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0" yWindow="3945" windowWidth="29040" windowHeight="5265" activeTab="1"/>
  </bookViews>
  <sheets>
    <sheet name="Celková bilance" sheetId="5" r:id="rId1"/>
    <sheet name="Hřiště" sheetId="1" r:id="rId2"/>
    <sheet name="Dešťová kanalizace" sheetId="4" r:id="rId3"/>
    <sheet name="Workout" sheetId="2" r:id="rId4"/>
  </sheets>
  <definedNames>
    <definedName name="_xlnm.Print_Area" localSheetId="0">'Celková bilance'!$A$1:$G$23</definedName>
    <definedName name="_xlnm.Print_Area" localSheetId="1">'Hřiště'!$A$1:$M$119</definedName>
    <definedName name="_xlnm.Print_Area" localSheetId="3">'Workout'!$A$1:$M$54</definedName>
  </definedNames>
  <calcPr calcId="145621"/>
</workbook>
</file>

<file path=xl/sharedStrings.xml><?xml version="1.0" encoding="utf-8"?>
<sst xmlns="http://schemas.openxmlformats.org/spreadsheetml/2006/main" count="779" uniqueCount="351">
  <si>
    <t>Stavba:</t>
  </si>
  <si>
    <t>Objekt:</t>
  </si>
  <si>
    <t>Místo:</t>
  </si>
  <si>
    <t>Datum:</t>
  </si>
  <si>
    <t>Zadavatel:</t>
  </si>
  <si>
    <t>Projektant:</t>
  </si>
  <si>
    <t>Uchazeč:</t>
  </si>
  <si>
    <t>Zpracovatel: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</si>
  <si>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</si>
  <si>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</si>
  <si>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</si>
  <si>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</si>
  <si>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</si>
  <si>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</si>
  <si>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</si>
  <si>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</si>
  <si>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Cenová soustava</t>
  </si>
  <si>
    <t>Náklady soupisu celkem</t>
  </si>
  <si>
    <t>D</t>
  </si>
  <si>
    <t>HSV</t>
  </si>
  <si>
    <t>Práce a dodávky HSV</t>
  </si>
  <si>
    <t>1</t>
  </si>
  <si>
    <t>Zemní práce</t>
  </si>
  <si>
    <t>K</t>
  </si>
  <si>
    <t>m2</t>
  </si>
  <si>
    <t>CS ÚRS 2022 01</t>
  </si>
  <si>
    <t>VV</t>
  </si>
  <si>
    <t/>
  </si>
  <si>
    <t>2</t>
  </si>
  <si>
    <t>3</t>
  </si>
  <si>
    <t>4</t>
  </si>
  <si>
    <t>m3</t>
  </si>
  <si>
    <t>5</t>
  </si>
  <si>
    <t>m</t>
  </si>
  <si>
    <t>6</t>
  </si>
  <si>
    <t>7</t>
  </si>
  <si>
    <t>8</t>
  </si>
  <si>
    <t>9</t>
  </si>
  <si>
    <t>10</t>
  </si>
  <si>
    <t>11</t>
  </si>
  <si>
    <t>132212111</t>
  </si>
  <si>
    <t>Hloubení rýh šířky do 800 mm ručně zapažených i nezapažených, s urovnáním dna do předepsaného profilu a spádu v hornině třídy těžitelnosti I skupiny 3 soudržných</t>
  </si>
  <si>
    <t>CS ÚRS 2021 01</t>
  </si>
  <si>
    <t>12</t>
  </si>
  <si>
    <t>132254103</t>
  </si>
  <si>
    <t>Hloubení zapažených rýh šířky do 800 mm strojně s urovnáním dna do předepsaného profilu a spádu v hornině třídy těžitelnosti I skupiny 3 přes 50 do 100 m3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</si>
  <si>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</si>
  <si>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</si>
  <si>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</si>
  <si>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naložení na prostředek je již při relizaci výkopů</t>
  </si>
  <si>
    <t>14</t>
  </si>
  <si>
    <t>15</t>
  </si>
  <si>
    <t>171201201</t>
  </si>
  <si>
    <t>Uložení sypaniny na skládky nebo meziskládky bez hutnění s upravením uložené sypaniny do předepsaného tvaru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</si>
  <si>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</si>
  <si>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</si>
  <si>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</si>
  <si>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</si>
  <si>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17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</si>
  <si>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</si>
  <si>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</si>
  <si>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18</t>
  </si>
  <si>
    <t>175111101.1</t>
  </si>
  <si>
    <t>19</t>
  </si>
  <si>
    <t>M</t>
  </si>
  <si>
    <t>583373030</t>
  </si>
  <si>
    <t>štěrkopísek frakce 0/8</t>
  </si>
  <si>
    <t>20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</si>
  <si>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</si>
  <si>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</si>
  <si>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21</t>
  </si>
  <si>
    <t>58344197</t>
  </si>
  <si>
    <t>štěrkodrť frakce 0/63</t>
  </si>
  <si>
    <t>22</t>
  </si>
  <si>
    <t>23</t>
  </si>
  <si>
    <t>24</t>
  </si>
  <si>
    <t>25</t>
  </si>
  <si>
    <t>26</t>
  </si>
  <si>
    <t>27</t>
  </si>
  <si>
    <t>28</t>
  </si>
  <si>
    <t>Zakládání</t>
  </si>
  <si>
    <t>29</t>
  </si>
  <si>
    <t>211971110</t>
  </si>
  <si>
    <t>Zřízení opláštění výplně z geotextilie odvodňovacích žeber nebo trativodů v rýze nebo zářezu se stěnami šikmými o sklonu do 1:2</t>
  </si>
  <si>
    <t>30</t>
  </si>
  <si>
    <t>69311081</t>
  </si>
  <si>
    <t>geotextilie netkaná separační, ochranná, filtrační, drenážní PES 300g/m2</t>
  </si>
  <si>
    <t>31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</si>
  <si>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</si>
  <si>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</si>
  <si>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32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</si>
  <si>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</si>
  <si>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</si>
  <si>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33</t>
  </si>
  <si>
    <t>34</t>
  </si>
  <si>
    <t>451572111</t>
  </si>
  <si>
    <t>Lože pod potrubí, stoky a drobné objekty v otevřeném výkopu z kameniva drobného těženého 0 až 4 mm</t>
  </si>
  <si>
    <t>Komunikace pozemní</t>
  </si>
  <si>
    <t>35</t>
  </si>
  <si>
    <t>36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</si>
  <si>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</si>
  <si>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</si>
  <si>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Kalkul.rozpočtáře</t>
  </si>
  <si>
    <t>56</t>
  </si>
  <si>
    <t>Podkladní vrstvy komunikací, letišť a ploch</t>
  </si>
  <si>
    <t>596211122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</si>
  <si>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100 do 300 m2</t>
  </si>
  <si>
    <t>47</t>
  </si>
  <si>
    <t>59245018</t>
  </si>
  <si>
    <t>dlažba tvar obdélník betonová 200x100x60mm přírodní</t>
  </si>
  <si>
    <t>Trubní vedení</t>
  </si>
  <si>
    <t>51</t>
  </si>
  <si>
    <t>871315211</t>
  </si>
  <si>
    <t>Kanalizační potrubí z tvrdého PVC v otevřeném výkopu ve sklonu do 20 %, hladkého plnostěnného jednovrstvého, tuhost třídy SN 4 DN 160</t>
  </si>
  <si>
    <t>53</t>
  </si>
  <si>
    <t>892351111</t>
  </si>
  <si>
    <t>Tlakové zkoušky vodou na potrubí DN 150 nebo 200</t>
  </si>
  <si>
    <t>Ostatní konstrukce a práce, bourání</t>
  </si>
  <si>
    <t>kus</t>
  </si>
  <si>
    <t>935932116</t>
  </si>
  <si>
    <t>Odvodňovací plastový žlab pro třídu zatížení A 15 vnitřní šířky 100 mm s krycím roštem mřížkovým z pozinkované oceli</t>
  </si>
  <si>
    <t>61</t>
  </si>
  <si>
    <t>962033111</t>
  </si>
  <si>
    <t>Bourání zdiva nadzákladového z tvárnic ztraceného bednění včetně výplně z betonu a výztuže objemu do 1 m3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</si>
  <si>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</si>
  <si>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</si>
  <si>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Kč</t>
  </si>
  <si>
    <t>997</t>
  </si>
  <si>
    <t>Přesun sutě</t>
  </si>
  <si>
    <t>80</t>
  </si>
  <si>
    <t>997013601</t>
  </si>
  <si>
    <t>Poplatek za uložení stavebního odpadu na skládce (skládkovné) z prostého betonu zatříděného do Katalogu odpadů pod kódem 17 01 01</t>
  </si>
  <si>
    <t>997013655</t>
  </si>
  <si>
    <t>Poplatek za uložení stavebního odpadu na skládce (skládkovné) zeminy a kamení zatříděného do Katalogu odpadů pod kódem 17 05 04</t>
  </si>
  <si>
    <t>83</t>
  </si>
  <si>
    <t>997231111</t>
  </si>
  <si>
    <t>Vodorovná doprava suti a vybouraných hmot s vyložením a hrubým urovnáním na vzdálenost do 1 km</t>
  </si>
  <si>
    <t>84</t>
  </si>
  <si>
    <t>997231119</t>
  </si>
  <si>
    <t>Vodorovná doprava suti a vybouraných hmot s vyložením a hrubým urovnáním na vzdálenost Příplatek k cenám za každý další i započatý 1 km</t>
  </si>
  <si>
    <t>998</t>
  </si>
  <si>
    <t>Přesun hmot</t>
  </si>
  <si>
    <t>PSV</t>
  </si>
  <si>
    <t>Práce a dodávky PSV</t>
  </si>
  <si>
    <t>767</t>
  </si>
  <si>
    <t>Konstrukce zámečnické</t>
  </si>
  <si>
    <t>bm</t>
  </si>
  <si>
    <t>97</t>
  </si>
  <si>
    <t>767R_0500</t>
  </si>
  <si>
    <t>D+M oplocení v. 4m - do 1m podezdívka+fošny 140x45mm, nad výplň z provaz. pletiva PE/45/4, sloupky Jäkl 80/80/4 Pz+RAL, vč. podezdívky ze štípaných tvárnic+stříšky, kotvení do základů, rozpínacích prvků, vzpěr, doměření, vč. povrchové úpravy-kom. na 1bm</t>
  </si>
  <si>
    <t>98</t>
  </si>
  <si>
    <t>767R_0501</t>
  </si>
  <si>
    <t>D+M příplatek na provedení vstupní uzamykatelné dvoukřídlé brany oplocení š./v. 3/3m vč. příplatek na úpravu oplocení, zesílení sloupků - kompletní provedení</t>
  </si>
  <si>
    <t>Kalkul. rozpočtáře</t>
  </si>
  <si>
    <t>SOUPIS PROVEDENÝCH PRACÍ</t>
  </si>
  <si>
    <t>Odpočet položky ř.12 -21,506m3</t>
  </si>
  <si>
    <t>Změna v poměru změny délky 0,903</t>
  </si>
  <si>
    <t>7x15,7+6x10</t>
  </si>
  <si>
    <t>Změna trasy drenáží</t>
  </si>
  <si>
    <t>Dešťová kanalizce</t>
  </si>
  <si>
    <t>113,7*0,8*0,15</t>
  </si>
  <si>
    <t>SOUPIS PRACÍ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</si>
  <si>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</si>
  <si>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</si>
  <si>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</si>
  <si>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</si>
  <si>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132251104</t>
  </si>
  <si>
    <t>Hloubení nezapažených rýh šířky do 800 mm strojně s urovnáním dna do předepsaného profilu a spádu v hornině třídy těžitelnosti I skupiny 3 přes 100 m3</t>
  </si>
  <si>
    <t>151101101</t>
  </si>
  <si>
    <t>Zřízení pažení a rozepření stěn rýh pro podzemní vedení příložné pro jakoukoliv mezerovitost, hloubky do 2 m</t>
  </si>
  <si>
    <t>151101111</t>
  </si>
  <si>
    <t>Odstranění pažení a rozepření stěn rýh pro podzemní vedení s uložením materiálu na vzdálenost do 3 m od kraje výkopu příložné, hloubky do 2 m</t>
  </si>
  <si>
    <t>167151101</t>
  </si>
  <si>
    <t>Nakládání, skládání a překládání neulehlého výkopku nebo sypaniny strojně nakládání, množství do 100 m3, z horniny třídy těžitelnosti I, skupiny 1 až 3</t>
  </si>
  <si>
    <t>4,386*1,9</t>
  </si>
  <si>
    <t>174101101</t>
  </si>
  <si>
    <t>Zásyp sypaninou z jakékoliv horniny strojně s uložením výkopku ve vrstvách se zhutněním jam, šachet, rýh nebo kolem objektů v těchto vykopávkách</t>
  </si>
  <si>
    <t>58343959</t>
  </si>
  <si>
    <t>kamenivo drcené hrubé frakce 32/63</t>
  </si>
  <si>
    <t>566901143</t>
  </si>
  <si>
    <t>Vyspravení podkladu po překopech inženýrských sítí plochy do 15 m2 s rozprostřením a zhutněním kamenivem hrubým drceným tl. 200 mm</t>
  </si>
  <si>
    <t>8_R001</t>
  </si>
  <si>
    <t>D+M betonové lůžko pro instalaci kameninového potrubí - příplatek na 1m montáže potrubí KAM 150</t>
  </si>
  <si>
    <t>8_R002</t>
  </si>
  <si>
    <t>D+M provedení podkopání základové konstrukce - prostup pod oplocením</t>
  </si>
  <si>
    <t>8_R003</t>
  </si>
  <si>
    <t>D+M příplatek na provedení kanalizace v ochranném pásmu VN a NN</t>
  </si>
  <si>
    <t>831262191</t>
  </si>
  <si>
    <t>Montáž potrubí z trub kameninových hrdlových s integrovaným těsněním Příplatek k cenám za práce v otevřeném výkopu ve sklonu přes 20 %, pro DN od 100 do 300</t>
  </si>
  <si>
    <t>831312121</t>
  </si>
  <si>
    <t>Montáž potrubí z trub kameninových hrdlových s integrovaným těsněním v otevřeném výkopu ve sklonu do 20 % DN 150</t>
  </si>
  <si>
    <t>STZ.RB0001534F10</t>
  </si>
  <si>
    <t>Trouba DN 150 F FN 34 1000</t>
  </si>
  <si>
    <t>837375121</t>
  </si>
  <si>
    <t>Výsek a montáž kameninové odbočné tvarovky na kameninovém potrubí DN 300</t>
  </si>
  <si>
    <t>894811233</t>
  </si>
  <si>
    <t>Revizní šachta z tvrdého PVC v otevřeném výkopu typ pravý/přímý/levý (DN šachty/DN trubního vedení) DN 400/160, odolnost vnějšímu tlaku 12,5 t, hloubka od 1360 do 1730 mm</t>
  </si>
  <si>
    <t>899722113</t>
  </si>
  <si>
    <t>Krytí potrubí z plastů výstražnou fólií z PVC šířky 34 cm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</si>
  <si>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</si>
  <si>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</si>
  <si>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997221571</t>
  </si>
  <si>
    <t>Vodorovná doprava vybouraných hmot bez naložení, ale se složením a s hrubým urovnáním na vzdálenost do 1 km</t>
  </si>
  <si>
    <t>997221579</t>
  </si>
  <si>
    <t>Vodorovná doprava vybouraných hmot bez naložení, ale se složením a s hrubým urovnáním na vzdálenost Příplatek k ceně za každý další i započatý 1 km přes 1 km</t>
  </si>
  <si>
    <t>998223011</t>
  </si>
  <si>
    <t>Přesun hmot pro pozemní komunikace s krytem dlážděným dopravní vzdálenost do 200 m jakékoliv délky objektu</t>
  </si>
  <si>
    <t>22,348-1,06</t>
  </si>
  <si>
    <t>998276101</t>
  </si>
  <si>
    <t>Přesun hmot pro trubní vedení hloubené z trub z plastických hmot nebo sklolaminátových pro vodovody nebo kanalizace v otevřeném výkopu dopravní vzdálenost do 15 m</t>
  </si>
  <si>
    <t>Původní cena</t>
  </si>
  <si>
    <t>hřiště</t>
  </si>
  <si>
    <t>dešťovka</t>
  </si>
  <si>
    <t>workout</t>
  </si>
  <si>
    <t>ostatní</t>
  </si>
  <si>
    <t>Celkem</t>
  </si>
  <si>
    <t>Plot</t>
  </si>
  <si>
    <t>CN SoD</t>
  </si>
  <si>
    <t xml:space="preserve">Úprava délky drenáží, dešťová kanalizace  </t>
  </si>
  <si>
    <t>kalkulováno 2x 2x - tedy 1/2</t>
  </si>
  <si>
    <t>33,1-11,3=21,8</t>
  </si>
  <si>
    <t>Úprava oplocení</t>
  </si>
  <si>
    <t>Přepočet jednotlivých objektů stavby</t>
  </si>
  <si>
    <t>Přípočet</t>
  </si>
  <si>
    <t>Odpočet</t>
  </si>
  <si>
    <t>Odpočty</t>
  </si>
  <si>
    <t>Přípočty</t>
  </si>
  <si>
    <t>Dodatek</t>
  </si>
  <si>
    <t>Položení nových obrub, nové dořezávky dlažby… došlo by k mísení nové a staré dlažby - vada</t>
  </si>
  <si>
    <t>R_X01</t>
  </si>
  <si>
    <t>Příplatek za provedení s hrazením z plastových desek šedé barvy, včetně dodatečných prvků ocelové konstrukce - základní obvod oplocení - navazuje na položku CN 767R_0100</t>
  </si>
  <si>
    <t>R_X02</t>
  </si>
  <si>
    <t>R_X03</t>
  </si>
  <si>
    <t>"směrem ke škole"0,3+41,2+21,3+2,3+3,35</t>
  </si>
  <si>
    <t>Příplatek za provedení s hrazením z plastových desek šedé barvy, včetně dodatečných prvků ocelové konstrukce  - základní obvod oplocení - navazuje na položku CN 767R_0400</t>
  </si>
  <si>
    <t>"roh u školy do ulice Palackého" - ke kuchyni"5,9</t>
  </si>
  <si>
    <t>"doměrek u školy - roh ulice Palackého" - ke kuchyni"2,7</t>
  </si>
  <si>
    <t>Provedení vyčištění stávajících šachet kanalizace</t>
  </si>
  <si>
    <t>899304111</t>
  </si>
  <si>
    <t>Osazení poklop železobetonových včetně rámů jakékoli hmotnosti</t>
  </si>
  <si>
    <t>Dodávka betonového šachetního poklopu D400</t>
  </si>
  <si>
    <t>Provedení kamerkové zkoušky potrubí v místě hřiště</t>
  </si>
  <si>
    <t>R_X04</t>
  </si>
  <si>
    <t>596411111</t>
  </si>
  <si>
    <t>Kladení dlažby z vegetačních tvárnic komunikací pro pěší tl 80 mm pl do 50 m2</t>
  </si>
  <si>
    <t>dlažba plošná betonová vegetační 600x400x80mm</t>
  </si>
  <si>
    <t>59246016</t>
  </si>
  <si>
    <t>Příplatek na vsazení tvárnice, změna sklonu, seříznutí na obou stranách diamantovým kotoučem, vč. příplatku na srovnání svahu, pomocný zemní trn</t>
  </si>
  <si>
    <t>Přípojka dešťové kanalizace nebude realizována - hřiště má stávající propoj s kanalizací školy. Odpočet je krom povrchů - předláždění v místě stavby, které bude provedeno v místě vjezdu na hřiště - oprava v důsledku nájezdů a točení nákladních vozů</t>
  </si>
  <si>
    <t>Příplatek za provedení s hrazením do výšky 1,8 m ze strany do ulice z dřevěných prken s povrchovou úpravou, včetně dodatečných prvků ocelové konstrukce a řešení detailu podezdívky</t>
  </si>
  <si>
    <t>Do ulice 25,65</t>
  </si>
  <si>
    <t>Příplatek za provedení s hrazením z plastových desek šedé barvy do výšky 1,8 m ze strany hřiště a hrazením do stejné výšky z dřevěných prken-  do ulice, včetně dodatečných prvků ocelové konstrukce  a řešení detailu podezdívky</t>
  </si>
  <si>
    <t>Do ulice 25,65+2,7</t>
  </si>
  <si>
    <t>Cena poměr 900/1*1,8m výšky</t>
  </si>
  <si>
    <t>SOD</t>
  </si>
  <si>
    <t>Odbourání rohové stěny 2,4*(6,05+5,85)*0,2 =5,712m3</t>
  </si>
  <si>
    <t>URS_2024/01</t>
  </si>
  <si>
    <t>57_hřiště</t>
  </si>
  <si>
    <t>W_X001</t>
  </si>
  <si>
    <t>Kalkul rozpočtáře</t>
  </si>
  <si>
    <t>D+M dopojení dešťové kanalizace od odvodňovacích žlabů do stávajícího svodného potrubí, vč. vysazení odbočky, DN 110, zemní práce</t>
  </si>
  <si>
    <t>"stovnání směrem ke hřišti od schodů po trafo - doplnění po plot"20,35*0,6</t>
  </si>
  <si>
    <t>"srovnání směrem k jídelně - doplnění po obrubu hřiště"31,9*0,6</t>
  </si>
  <si>
    <t>54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</si>
  <si>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</si>
  <si>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</si>
  <si>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Obrubník k tělocvičně - původní nebyl v rovině - narovnání 8,7+2,7+3,1</t>
  </si>
  <si>
    <t>55</t>
  </si>
  <si>
    <t>59217001</t>
  </si>
  <si>
    <t>obrubník betonový zahradní 1000x50x250mm</t>
  </si>
  <si>
    <t>ROZPOCET</t>
  </si>
  <si>
    <t>285645837</t>
  </si>
  <si>
    <t>113204111</t>
  </si>
  <si>
    <t>Vytrhání obrub s vybouráním lože, s přemístěním hmot na skládku na vzdálenost do 3 m nebo s naložením na dopravní prostředek záhonových</t>
  </si>
  <si>
    <t>-1446295393</t>
  </si>
  <si>
    <t>Posouzení změn do 15%</t>
  </si>
  <si>
    <t>"+"</t>
  </si>
  <si>
    <t>"-"</t>
  </si>
  <si>
    <t>Změna je méně než 15% ceny díla</t>
  </si>
  <si>
    <t>"%"</t>
  </si>
  <si>
    <t>Přepočet rozpočtu - dle SOD bez gumových obrub -118,05</t>
  </si>
  <si>
    <t>Doplnění obrub horní hřiště od písku po schody +6</t>
  </si>
  <si>
    <t>Nové obruby chodník směr k workoutovému hřišti - spád do roviny dle hřiště  +11,4+3,2</t>
  </si>
  <si>
    <t>Zadní stěna po schody horního hřiště +46,2</t>
  </si>
  <si>
    <t>Směrem ke kuchyni - po zadní stěnu +66,1</t>
  </si>
  <si>
    <t>Dopočet doskok +8,6</t>
  </si>
  <si>
    <t>46</t>
  </si>
  <si>
    <t>Náhrda zámkové dlažby za lapač písku</t>
  </si>
  <si>
    <t>10,65*1,05</t>
  </si>
  <si>
    <t>78</t>
  </si>
  <si>
    <t>9R_0133</t>
  </si>
  <si>
    <t>D+M stříška na doskočiště 8x2,8m vč. pomocné konstrukce, dělená</t>
  </si>
  <si>
    <t>Náhrda zámkové dlažby za lapač písku, změna zastřešení</t>
  </si>
  <si>
    <t>78a</t>
  </si>
  <si>
    <t>D+M plachta na doskočiště 8x3 m</t>
  </si>
  <si>
    <t>78b</t>
  </si>
  <si>
    <t>D+M lapač písku - žlab s pororoštem (žárový zinek), gumová rohož</t>
  </si>
  <si>
    <t>Náhrda zámkové dlažby za lapač písku, snížení vynášení písku na plochu hřiště</t>
  </si>
  <si>
    <t>R_X06</t>
  </si>
  <si>
    <t>R_X05</t>
  </si>
  <si>
    <t>R_X07</t>
  </si>
  <si>
    <t>R_X08</t>
  </si>
  <si>
    <t>R_X09</t>
  </si>
  <si>
    <t>Podél hřiště u svahu ke schodišti 7,5+3</t>
  </si>
  <si>
    <t>Od workoutu po liniovž žlab 20,66</t>
  </si>
  <si>
    <t>Od rohu schodiětě po roch stavby ke stávajícímu liniovému žlabu 12</t>
  </si>
  <si>
    <t>Řezání betonu, vybourání, výkop, položrní, zásyp, dobetonávka</t>
  </si>
  <si>
    <t>Hřiště / vstup 5,76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</si>
  <si>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</si>
  <si>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</si>
  <si>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53,82-36</t>
  </si>
  <si>
    <t>39</t>
  </si>
  <si>
    <t>40</t>
  </si>
  <si>
    <t>"lem hřiště"-12,9</t>
  </si>
  <si>
    <t>5+2,6</t>
  </si>
  <si>
    <t>"-118,05+66,1+46,2+8,6+6+11,4+3,2</t>
  </si>
  <si>
    <t>50</t>
  </si>
  <si>
    <t>767R_1000</t>
  </si>
  <si>
    <t>D+M zábradlí obdoba stávajícího ocelový rám z trubky d60mm, výplň rám + pletivo 3,6mm, oka 40/40mm, povrchová úprava Pz+RAL, vč. provedení kotvení, výška 900mm, dílenská dokumentace - kompletní provedení na 1bm</t>
  </si>
  <si>
    <t>W_X002</t>
  </si>
  <si>
    <t>Svislé a kompletní konstrukce</t>
  </si>
  <si>
    <t>339921131</t>
  </si>
  <si>
    <t>Osazování palisád betonových v řadě se zabetonováním výšky palisády do 500 mm</t>
  </si>
  <si>
    <t>59228275</t>
  </si>
  <si>
    <t>palisáda betonová hranatá šedá 500x115x1150mm</t>
  </si>
  <si>
    <t>W_X003</t>
  </si>
  <si>
    <t>D+M ochranné hrazením z plastových desek šedé barvy, včetně podkladního rozrbíratelného roštu na fasádu</t>
  </si>
  <si>
    <t>9,75*2</t>
  </si>
  <si>
    <t>R_X10</t>
  </si>
  <si>
    <t>R_X11</t>
  </si>
  <si>
    <t>"nový doskok"0,5*(8,65*2+4)</t>
  </si>
  <si>
    <t>napojení na odvodňovacích žlabů na kanalizaci.</t>
  </si>
  <si>
    <t>Celkem objekt Dodatek č.1</t>
  </si>
  <si>
    <t>cena bez DPH</t>
  </si>
  <si>
    <t xml:space="preserve">DPH </t>
  </si>
  <si>
    <t>Cena s DPH</t>
  </si>
  <si>
    <t>Rekapitulace dodatek č. 1.</t>
  </si>
  <si>
    <t>Náhrada za betonové prefa stupně</t>
  </si>
  <si>
    <t>339921132</t>
  </si>
  <si>
    <t>Osazování palisád betonových v řadě se zabetonováním výšky palisády přes 500 do 1000 mm</t>
  </si>
  <si>
    <t>"D1.1-01-07"</t>
  </si>
  <si>
    <t>"lem schodiště"0,7</t>
  </si>
  <si>
    <t>59228276</t>
  </si>
  <si>
    <t>palisáda betonová hranatá barevná 350x115x1150mm</t>
  </si>
  <si>
    <t>0,7/0,115*1,1</t>
  </si>
  <si>
    <t xml:space="preserve">D+M prefa btonové stupně hřičtě </t>
  </si>
  <si>
    <t>Náhrada stupńů z palisády</t>
  </si>
  <si>
    <t>W_X004</t>
  </si>
  <si>
    <t>"schodiště"-(2,2+1,65+2,35)</t>
  </si>
  <si>
    <t>"hřiště lem ke svahu"9,2</t>
  </si>
  <si>
    <t>"3/0,115*1,1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</si>
</sst>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d\.mm\.yyyy"/>
    <numFmt numFmtId="165" formatCode="#,##0.000"/>
    <numFmt numFmtId="166" formatCode="_-* #,##0.000\ _K_č_-;\-* #,##0.000\ _K_č_-;_-* &quot;-&quot;??\ _K_č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sz val="8"/>
      <name val="Arial CE"/>
      <family val="2"/>
    </font>
    <font>
      <i/>
      <u val="single"/>
      <sz val="11"/>
      <color theme="1"/>
      <name val="Calibri"/>
      <family val="2"/>
      <scheme val="minor"/>
    </font>
    <font>
      <b/>
      <sz val="10"/>
      <name val="Arial CE"/>
      <family val="2"/>
    </font>
    <font>
      <sz val="9"/>
      <color rgb="FF505050"/>
      <name val="Arial CE"/>
      <family val="2"/>
    </font>
    <font>
      <sz val="9"/>
      <color rgb="FF969696"/>
      <name val="Arial CE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rgb="FF0000FF"/>
      <name val="Arial CE"/>
      <family val="2"/>
    </font>
    <font>
      <sz val="9"/>
      <color theme="1"/>
      <name val="Arial CE"/>
      <family val="2"/>
    </font>
    <font>
      <sz val="9"/>
      <color rgb="FF000000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28" fillId="0" borderId="0" applyNumberFormat="0" applyFill="0" applyBorder="0" applyAlignment="0" applyProtection="0"/>
  </cellStyleXfs>
  <cellXfs count="369">
    <xf numFmtId="0" fontId="0" fillId="0" borderId="0" xfId="0"/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10" fillId="0" borderId="0" xfId="0" applyNumberFormat="1" applyFont="1"/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3" fontId="0" fillId="0" borderId="0" xfId="23" applyFont="1"/>
    <xf numFmtId="0" fontId="18" fillId="0" borderId="0" xfId="0" applyFont="1"/>
    <xf numFmtId="0" fontId="18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4" fontId="17" fillId="3" borderId="1" xfId="0" applyNumberFormat="1" applyFont="1" applyFill="1" applyBorder="1" applyAlignment="1" applyProtection="1">
      <alignment vertical="center"/>
      <protection locked="0"/>
    </xf>
    <xf numFmtId="43" fontId="2" fillId="0" borderId="0" xfId="23" applyFont="1"/>
    <xf numFmtId="0" fontId="19" fillId="0" borderId="0" xfId="0" applyFont="1"/>
    <xf numFmtId="43" fontId="19" fillId="0" borderId="0" xfId="23" applyFont="1"/>
    <xf numFmtId="0" fontId="20" fillId="0" borderId="0" xfId="0" applyFont="1"/>
    <xf numFmtId="4" fontId="20" fillId="0" borderId="0" xfId="0" applyNumberFormat="1" applyFont="1"/>
    <xf numFmtId="4" fontId="0" fillId="0" borderId="0" xfId="0" applyNumberFormat="1"/>
    <xf numFmtId="0" fontId="7" fillId="0" borderId="0" xfId="0" applyFont="1"/>
    <xf numFmtId="0" fontId="7" fillId="0" borderId="0" xfId="0" applyFont="1" applyAlignment="1">
      <alignment vertical="center"/>
    </xf>
    <xf numFmtId="166" fontId="7" fillId="0" borderId="0" xfId="23" applyNumberFormat="1" applyFont="1"/>
    <xf numFmtId="166" fontId="7" fillId="2" borderId="3" xfId="23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7" fillId="0" borderId="10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8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6" fontId="7" fillId="0" borderId="5" xfId="23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6" fontId="7" fillId="0" borderId="0" xfId="23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6" fontId="9" fillId="0" borderId="0" xfId="23" applyNumberFormat="1" applyFont="1" applyBorder="1"/>
    <xf numFmtId="0" fontId="18" fillId="0" borderId="0" xfId="0" applyFont="1" applyAlignment="1">
      <alignment wrapText="1"/>
    </xf>
    <xf numFmtId="43" fontId="0" fillId="0" borderId="0" xfId="0" applyNumberFormat="1"/>
    <xf numFmtId="43" fontId="2" fillId="0" borderId="0" xfId="0" applyNumberFormat="1" applyFont="1"/>
    <xf numFmtId="0" fontId="18" fillId="0" borderId="0" xfId="0" applyFont="1" applyFill="1" applyAlignment="1">
      <alignment vertical="center"/>
    </xf>
    <xf numFmtId="0" fontId="18" fillId="0" borderId="7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 applyProtection="1">
      <alignment vertical="center"/>
      <protection locked="0"/>
    </xf>
    <xf numFmtId="4" fontId="17" fillId="0" borderId="1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23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24" applyFont="1" applyBorder="1" applyAlignment="1" applyProtection="1">
      <alignment horizontal="center" vertical="center"/>
      <protection locked="0"/>
    </xf>
    <xf numFmtId="49" fontId="7" fillId="0" borderId="0" xfId="24" applyNumberFormat="1" applyFont="1" applyBorder="1" applyAlignment="1" applyProtection="1">
      <alignment horizontal="left" vertical="center" wrapText="1"/>
      <protection locked="0"/>
    </xf>
    <xf numFmtId="0" fontId="7" fillId="0" borderId="0" xfId="24" applyFont="1" applyBorder="1" applyAlignment="1" applyProtection="1">
      <alignment horizontal="left" vertical="center" wrapText="1"/>
      <protection locked="0"/>
    </xf>
    <xf numFmtId="0" fontId="7" fillId="0" borderId="0" xfId="24" applyFont="1" applyBorder="1" applyAlignment="1" applyProtection="1">
      <alignment horizontal="center" vertical="center" wrapText="1"/>
      <protection locked="0"/>
    </xf>
    <xf numFmtId="165" fontId="7" fillId="0" borderId="0" xfId="24" applyNumberFormat="1" applyFont="1" applyBorder="1" applyAlignment="1" applyProtection="1">
      <alignment vertical="center"/>
      <protection locked="0"/>
    </xf>
    <xf numFmtId="4" fontId="7" fillId="0" borderId="0" xfId="24" applyNumberFormat="1" applyFont="1" applyBorder="1" applyAlignment="1" applyProtection="1">
      <alignment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0" fontId="17" fillId="0" borderId="1" xfId="24" applyFont="1" applyBorder="1" applyAlignment="1" applyProtection="1">
      <alignment horizontal="center" vertical="center"/>
      <protection locked="0"/>
    </xf>
    <xf numFmtId="49" fontId="17" fillId="0" borderId="1" xfId="24" applyNumberFormat="1" applyFont="1" applyBorder="1" applyAlignment="1" applyProtection="1">
      <alignment horizontal="left" vertical="center" wrapText="1"/>
      <protection locked="0"/>
    </xf>
    <xf numFmtId="0" fontId="17" fillId="0" borderId="1" xfId="24" applyFont="1" applyBorder="1" applyAlignment="1" applyProtection="1">
      <alignment horizontal="left" vertical="center" wrapText="1"/>
      <protection locked="0"/>
    </xf>
    <xf numFmtId="0" fontId="17" fillId="0" borderId="1" xfId="24" applyFont="1" applyBorder="1" applyAlignment="1" applyProtection="1">
      <alignment horizontal="center" vertical="center" wrapText="1"/>
      <protection locked="0"/>
    </xf>
    <xf numFmtId="165" fontId="17" fillId="0" borderId="1" xfId="24" applyNumberFormat="1" applyFont="1" applyBorder="1" applyAlignment="1" applyProtection="1">
      <alignment vertical="center"/>
      <protection locked="0"/>
    </xf>
    <xf numFmtId="4" fontId="17" fillId="0" borderId="1" xfId="24" applyNumberFormat="1" applyFont="1" applyBorder="1" applyAlignment="1" applyProtection="1">
      <alignment vertical="center"/>
      <protection locked="0"/>
    </xf>
    <xf numFmtId="0" fontId="7" fillId="0" borderId="1" xfId="24" applyFont="1" applyBorder="1" applyAlignment="1" applyProtection="1">
      <alignment horizontal="center" vertical="center"/>
      <protection locked="0"/>
    </xf>
    <xf numFmtId="49" fontId="7" fillId="0" borderId="1" xfId="24" applyNumberFormat="1" applyFont="1" applyBorder="1" applyAlignment="1" applyProtection="1">
      <alignment horizontal="left" vertical="center" wrapText="1"/>
      <protection locked="0"/>
    </xf>
    <xf numFmtId="0" fontId="7" fillId="0" borderId="1" xfId="24" applyFont="1" applyBorder="1" applyAlignment="1" applyProtection="1">
      <alignment horizontal="left" vertical="center" wrapText="1"/>
      <protection locked="0"/>
    </xf>
    <xf numFmtId="0" fontId="7" fillId="0" borderId="1" xfId="24" applyFont="1" applyBorder="1" applyAlignment="1" applyProtection="1">
      <alignment horizontal="center" vertical="center" wrapText="1"/>
      <protection locked="0"/>
    </xf>
    <xf numFmtId="165" fontId="7" fillId="0" borderId="1" xfId="24" applyNumberFormat="1" applyFont="1" applyBorder="1" applyAlignment="1" applyProtection="1">
      <alignment vertical="center"/>
      <protection locked="0"/>
    </xf>
    <xf numFmtId="4" fontId="7" fillId="0" borderId="1" xfId="24" applyNumberFormat="1" applyFont="1" applyBorder="1" applyAlignment="1" applyProtection="1">
      <alignment vertical="center"/>
      <protection locked="0"/>
    </xf>
    <xf numFmtId="0" fontId="0" fillId="0" borderId="0" xfId="0" applyFill="1"/>
    <xf numFmtId="0" fontId="0" fillId="0" borderId="15" xfId="0" applyFill="1" applyBorder="1" applyAlignment="1">
      <alignment vertical="center"/>
    </xf>
    <xf numFmtId="0" fontId="9" fillId="0" borderId="15" xfId="0" applyFont="1" applyFill="1" applyBorder="1"/>
    <xf numFmtId="4" fontId="0" fillId="0" borderId="0" xfId="0" applyNumberFormat="1" applyFill="1"/>
    <xf numFmtId="0" fontId="18" fillId="0" borderId="0" xfId="24" applyFont="1" applyFill="1" applyAlignment="1">
      <alignment vertical="center"/>
      <protection/>
    </xf>
    <xf numFmtId="0" fontId="18" fillId="0" borderId="15" xfId="24" applyFont="1" applyFill="1" applyBorder="1" applyAlignment="1" applyProtection="1">
      <alignment vertical="center"/>
      <protection locked="0"/>
    </xf>
    <xf numFmtId="0" fontId="7" fillId="0" borderId="1" xfId="24" applyFont="1" applyFill="1" applyBorder="1" applyAlignment="1" applyProtection="1">
      <alignment horizontal="center" vertical="center"/>
      <protection locked="0"/>
    </xf>
    <xf numFmtId="49" fontId="7" fillId="0" borderId="1" xfId="24" applyNumberFormat="1" applyFont="1" applyFill="1" applyBorder="1" applyAlignment="1" applyProtection="1">
      <alignment horizontal="left" vertical="center" wrapText="1"/>
      <protection locked="0"/>
    </xf>
    <xf numFmtId="0" fontId="7" fillId="0" borderId="1" xfId="24" applyFont="1" applyFill="1" applyBorder="1" applyAlignment="1" applyProtection="1">
      <alignment horizontal="left" vertical="center" wrapText="1"/>
      <protection locked="0"/>
    </xf>
    <xf numFmtId="0" fontId="7" fillId="0" borderId="1" xfId="24" applyFont="1" applyFill="1" applyBorder="1" applyAlignment="1" applyProtection="1">
      <alignment horizontal="center" vertical="center" wrapText="1"/>
      <protection locked="0"/>
    </xf>
    <xf numFmtId="165" fontId="7" fillId="0" borderId="1" xfId="24" applyNumberFormat="1" applyFont="1" applyFill="1" applyBorder="1" applyAlignment="1" applyProtection="1">
      <alignment vertical="center"/>
      <protection locked="0"/>
    </xf>
    <xf numFmtId="4" fontId="7" fillId="0" borderId="1" xfId="24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>
      <alignment vertical="center"/>
    </xf>
    <xf numFmtId="0" fontId="18" fillId="0" borderId="0" xfId="24" applyFill="1" applyAlignment="1">
      <alignment vertical="center"/>
      <protection/>
    </xf>
    <xf numFmtId="0" fontId="7" fillId="0" borderId="0" xfId="24" applyFont="1" applyFill="1" applyAlignment="1">
      <alignment horizontal="left" vertical="center"/>
      <protection/>
    </xf>
    <xf numFmtId="0" fontId="18" fillId="0" borderId="0" xfId="24" applyFont="1" applyFill="1" applyAlignment="1">
      <alignment horizontal="left" vertical="center"/>
      <protection/>
    </xf>
    <xf numFmtId="4" fontId="18" fillId="0" borderId="0" xfId="24" applyNumberFormat="1" applyFont="1" applyFill="1" applyAlignment="1">
      <alignment vertical="center"/>
      <protection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7" fillId="0" borderId="1" xfId="24" applyFont="1" applyFill="1" applyBorder="1" applyAlignment="1" applyProtection="1">
      <alignment horizontal="center" vertical="center"/>
      <protection locked="0"/>
    </xf>
    <xf numFmtId="49" fontId="17" fillId="0" borderId="1" xfId="24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4" applyFont="1" applyFill="1" applyBorder="1" applyAlignment="1" applyProtection="1">
      <alignment horizontal="left" vertical="center" wrapText="1"/>
      <protection locked="0"/>
    </xf>
    <xf numFmtId="0" fontId="17" fillId="0" borderId="1" xfId="24" applyFont="1" applyFill="1" applyBorder="1" applyAlignment="1" applyProtection="1">
      <alignment horizontal="center" vertical="center" wrapText="1"/>
      <protection locked="0"/>
    </xf>
    <xf numFmtId="165" fontId="17" fillId="0" borderId="1" xfId="24" applyNumberFormat="1" applyFont="1" applyFill="1" applyBorder="1" applyAlignment="1" applyProtection="1">
      <alignment vertical="center"/>
      <protection locked="0"/>
    </xf>
    <xf numFmtId="4" fontId="17" fillId="0" borderId="1" xfId="24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" fontId="8" fillId="0" borderId="0" xfId="0" applyNumberFormat="1" applyFont="1" applyFill="1" applyBorder="1"/>
    <xf numFmtId="0" fontId="0" fillId="0" borderId="8" xfId="0" applyFill="1" applyBorder="1" applyAlignment="1">
      <alignment vertical="center"/>
    </xf>
    <xf numFmtId="0" fontId="9" fillId="0" borderId="7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4" fontId="10" fillId="0" borderId="0" xfId="0" applyNumberFormat="1" applyFont="1" applyFill="1" applyBorder="1"/>
    <xf numFmtId="0" fontId="9" fillId="0" borderId="8" xfId="0" applyFont="1" applyFill="1" applyBorder="1"/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/>
    <xf numFmtId="0" fontId="7" fillId="0" borderId="17" xfId="24" applyFont="1" applyFill="1" applyBorder="1" applyAlignment="1" applyProtection="1">
      <alignment horizontal="center" vertical="center"/>
      <protection locked="0"/>
    </xf>
    <xf numFmtId="0" fontId="18" fillId="0" borderId="10" xfId="24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20" applyFill="1" applyBorder="1">
      <alignment/>
      <protection/>
    </xf>
    <xf numFmtId="0" fontId="12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8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>
      <alignment vertical="center"/>
    </xf>
    <xf numFmtId="0" fontId="14" fillId="0" borderId="7" xfId="24" applyFont="1" applyFill="1" applyBorder="1" applyAlignment="1">
      <alignment vertical="center"/>
      <protection/>
    </xf>
    <xf numFmtId="0" fontId="13" fillId="0" borderId="0" xfId="24" applyFont="1" applyFill="1" applyBorder="1" applyAlignment="1">
      <alignment horizontal="left" vertical="center"/>
      <protection/>
    </xf>
    <xf numFmtId="0" fontId="14" fillId="0" borderId="0" xfId="24" applyFont="1" applyFill="1" applyBorder="1" applyAlignment="1">
      <alignment horizontal="left" vertical="center"/>
      <protection/>
    </xf>
    <xf numFmtId="0" fontId="14" fillId="0" borderId="0" xfId="24" applyFont="1" applyFill="1" applyBorder="1" applyAlignment="1">
      <alignment horizontal="left" vertical="center" wrapText="1"/>
      <protection/>
    </xf>
    <xf numFmtId="0" fontId="14" fillId="0" borderId="0" xfId="24" applyFont="1" applyFill="1" applyBorder="1" applyAlignment="1">
      <alignment vertical="center"/>
      <protection/>
    </xf>
    <xf numFmtId="165" fontId="14" fillId="0" borderId="0" xfId="24" applyNumberFormat="1" applyFont="1" applyFill="1" applyBorder="1" applyAlignment="1">
      <alignment vertical="center"/>
      <protection/>
    </xf>
    <xf numFmtId="0" fontId="17" fillId="0" borderId="17" xfId="24" applyFont="1" applyFill="1" applyBorder="1" applyAlignment="1" applyProtection="1">
      <alignment horizontal="center" vertical="center"/>
      <protection locked="0"/>
    </xf>
    <xf numFmtId="0" fontId="12" fillId="0" borderId="7" xfId="24" applyFont="1" applyFill="1" applyBorder="1" applyAlignment="1">
      <alignment vertical="center"/>
      <protection/>
    </xf>
    <xf numFmtId="0" fontId="12" fillId="0" borderId="0" xfId="24" applyFont="1" applyFill="1" applyBorder="1" applyAlignment="1">
      <alignment horizontal="left" vertical="center"/>
      <protection/>
    </xf>
    <xf numFmtId="0" fontId="12" fillId="0" borderId="0" xfId="24" applyFont="1" applyFill="1" applyBorder="1" applyAlignment="1">
      <alignment horizontal="left" vertical="center" wrapText="1"/>
      <protection/>
    </xf>
    <xf numFmtId="0" fontId="12" fillId="0" borderId="0" xfId="24" applyFont="1" applyFill="1" applyBorder="1" applyAlignment="1">
      <alignment vertical="center"/>
      <protection/>
    </xf>
    <xf numFmtId="0" fontId="25" fillId="0" borderId="10" xfId="24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1" xfId="24" applyFont="1" applyFill="1" applyBorder="1" applyAlignment="1" applyProtection="1">
      <alignment horizontal="center" vertical="center"/>
      <protection locked="0"/>
    </xf>
    <xf numFmtId="49" fontId="7" fillId="0" borderId="1" xfId="24" applyNumberFormat="1" applyFont="1" applyFill="1" applyBorder="1" applyAlignment="1" applyProtection="1">
      <alignment horizontal="left" vertical="center" wrapText="1"/>
      <protection locked="0"/>
    </xf>
    <xf numFmtId="0" fontId="7" fillId="0" borderId="1" xfId="24" applyFont="1" applyFill="1" applyBorder="1" applyAlignment="1" applyProtection="1">
      <alignment horizontal="left" vertical="center" wrapText="1"/>
      <protection locked="0"/>
    </xf>
    <xf numFmtId="0" fontId="7" fillId="0" borderId="1" xfId="24" applyFont="1" applyFill="1" applyBorder="1" applyAlignment="1" applyProtection="1">
      <alignment horizontal="center" vertical="center" wrapText="1"/>
      <protection locked="0"/>
    </xf>
    <xf numFmtId="165" fontId="7" fillId="0" borderId="1" xfId="24" applyNumberFormat="1" applyFont="1" applyFill="1" applyBorder="1" applyAlignment="1" applyProtection="1">
      <alignment vertical="center"/>
      <protection locked="0"/>
    </xf>
    <xf numFmtId="4" fontId="7" fillId="0" borderId="1" xfId="24" applyNumberFormat="1" applyFont="1" applyFill="1" applyBorder="1" applyAlignment="1" applyProtection="1">
      <alignment vertical="center"/>
      <protection locked="0"/>
    </xf>
    <xf numFmtId="0" fontId="17" fillId="0" borderId="1" xfId="24" applyFont="1" applyFill="1" applyBorder="1" applyAlignment="1" applyProtection="1">
      <alignment horizontal="center" vertical="center"/>
      <protection locked="0"/>
    </xf>
    <xf numFmtId="49" fontId="17" fillId="0" borderId="1" xfId="24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4" applyFont="1" applyFill="1" applyBorder="1" applyAlignment="1" applyProtection="1">
      <alignment horizontal="left" vertical="center" wrapText="1"/>
      <protection locked="0"/>
    </xf>
    <xf numFmtId="0" fontId="17" fillId="0" borderId="1" xfId="24" applyFont="1" applyFill="1" applyBorder="1" applyAlignment="1" applyProtection="1">
      <alignment horizontal="center" vertical="center" wrapText="1"/>
      <protection locked="0"/>
    </xf>
    <xf numFmtId="165" fontId="17" fillId="0" borderId="1" xfId="24" applyNumberFormat="1" applyFont="1" applyFill="1" applyBorder="1" applyAlignment="1" applyProtection="1">
      <alignment vertical="center"/>
      <protection locked="0"/>
    </xf>
    <xf numFmtId="4" fontId="17" fillId="0" borderId="1" xfId="24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21" fillId="0" borderId="7" xfId="0" applyFont="1" applyFill="1" applyBorder="1" applyAlignment="1">
      <alignment vertical="center"/>
    </xf>
    <xf numFmtId="166" fontId="21" fillId="0" borderId="0" xfId="23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/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8" fillId="0" borderId="0" xfId="0" applyNumberFormat="1" applyFont="1" applyBorder="1"/>
    <xf numFmtId="0" fontId="0" fillId="0" borderId="8" xfId="0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Protection="1">
      <protection locked="0"/>
    </xf>
    <xf numFmtId="4" fontId="10" fillId="0" borderId="0" xfId="0" applyNumberFormat="1" applyFont="1" applyBorder="1"/>
    <xf numFmtId="0" fontId="9" fillId="0" borderId="0" xfId="24" applyFont="1" applyBorder="1" applyAlignment="1">
      <alignment/>
      <protection/>
    </xf>
    <xf numFmtId="0" fontId="9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4" fontId="11" fillId="0" borderId="0" xfId="24" applyNumberFormat="1" applyFont="1" applyBorder="1" applyAlignment="1">
      <alignment/>
      <protection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/>
    <xf numFmtId="0" fontId="9" fillId="0" borderId="0" xfId="24" applyFont="1" applyFill="1" applyBorder="1" applyAlignment="1">
      <alignment/>
      <protection/>
    </xf>
    <xf numFmtId="0" fontId="9" fillId="0" borderId="0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4" fontId="11" fillId="0" borderId="0" xfId="24" applyNumberFormat="1" applyFont="1" applyFill="1" applyBorder="1" applyAlignment="1">
      <alignment/>
      <protection/>
    </xf>
    <xf numFmtId="0" fontId="14" fillId="0" borderId="0" xfId="24" applyFont="1" applyFill="1" applyBorder="1" applyAlignment="1">
      <alignment vertical="center"/>
      <protection/>
    </xf>
    <xf numFmtId="0" fontId="13" fillId="0" borderId="0" xfId="24" applyFont="1" applyFill="1" applyBorder="1" applyAlignment="1">
      <alignment horizontal="left" vertical="center"/>
      <protection/>
    </xf>
    <xf numFmtId="0" fontId="14" fillId="0" borderId="0" xfId="24" applyFont="1" applyFill="1" applyBorder="1" applyAlignment="1">
      <alignment horizontal="left" vertical="center"/>
      <protection/>
    </xf>
    <xf numFmtId="0" fontId="14" fillId="0" borderId="0" xfId="24" applyFont="1" applyFill="1" applyBorder="1" applyAlignment="1">
      <alignment horizontal="left" vertical="center" wrapText="1"/>
      <protection/>
    </xf>
    <xf numFmtId="165" fontId="14" fillId="0" borderId="0" xfId="24" applyNumberFormat="1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vertical="center"/>
      <protection locked="0"/>
    </xf>
    <xf numFmtId="0" fontId="10" fillId="0" borderId="0" xfId="24" applyFont="1" applyFill="1" applyBorder="1" applyAlignment="1">
      <alignment horizontal="left"/>
      <protection/>
    </xf>
    <xf numFmtId="4" fontId="10" fillId="0" borderId="0" xfId="24" applyNumberFormat="1" applyFont="1" applyFill="1" applyBorder="1" applyAlignment="1">
      <alignment/>
      <protection/>
    </xf>
    <xf numFmtId="0" fontId="7" fillId="0" borderId="7" xfId="0" applyFont="1" applyFill="1" applyBorder="1"/>
    <xf numFmtId="0" fontId="7" fillId="0" borderId="8" xfId="0" applyFont="1" applyFill="1" applyBorder="1"/>
    <xf numFmtId="0" fontId="14" fillId="0" borderId="12" xfId="24" applyFont="1" applyFill="1" applyBorder="1" applyAlignment="1">
      <alignment vertical="center"/>
      <protection/>
    </xf>
    <xf numFmtId="0" fontId="13" fillId="0" borderId="12" xfId="24" applyFont="1" applyFill="1" applyBorder="1" applyAlignment="1">
      <alignment horizontal="left" vertical="center"/>
      <protection/>
    </xf>
    <xf numFmtId="0" fontId="14" fillId="0" borderId="12" xfId="24" applyFont="1" applyFill="1" applyBorder="1" applyAlignment="1">
      <alignment horizontal="left" vertical="center"/>
      <protection/>
    </xf>
    <xf numFmtId="0" fontId="14" fillId="0" borderId="12" xfId="24" applyFont="1" applyFill="1" applyBorder="1" applyAlignment="1">
      <alignment horizontal="left" vertical="center" wrapText="1"/>
      <protection/>
    </xf>
    <xf numFmtId="165" fontId="14" fillId="0" borderId="12" xfId="24" applyNumberFormat="1" applyFont="1" applyFill="1" applyBorder="1" applyAlignment="1">
      <alignment vertical="center"/>
      <protection/>
    </xf>
    <xf numFmtId="0" fontId="7" fillId="0" borderId="18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applyBorder="1"/>
    <xf numFmtId="0" fontId="24" fillId="0" borderId="0" xfId="0" applyFont="1" applyBorder="1"/>
    <xf numFmtId="0" fontId="23" fillId="0" borderId="0" xfId="0" applyFont="1" applyBorder="1"/>
    <xf numFmtId="43" fontId="2" fillId="0" borderId="19" xfId="23" applyFont="1" applyBorder="1"/>
    <xf numFmtId="43" fontId="0" fillId="0" borderId="19" xfId="23" applyFont="1" applyBorder="1"/>
    <xf numFmtId="43" fontId="2" fillId="4" borderId="19" xfId="23" applyFont="1" applyFill="1" applyBorder="1"/>
    <xf numFmtId="0" fontId="2" fillId="0" borderId="20" xfId="0" applyFont="1" applyBorder="1"/>
    <xf numFmtId="43" fontId="2" fillId="0" borderId="21" xfId="23" applyFont="1" applyBorder="1"/>
    <xf numFmtId="43" fontId="2" fillId="0" borderId="22" xfId="23" applyFont="1" applyBorder="1" applyAlignment="1">
      <alignment wrapText="1"/>
    </xf>
    <xf numFmtId="0" fontId="0" fillId="0" borderId="23" xfId="0" applyBorder="1"/>
    <xf numFmtId="43" fontId="2" fillId="0" borderId="24" xfId="0" applyNumberFormat="1" applyFont="1" applyBorder="1"/>
    <xf numFmtId="0" fontId="0" fillId="0" borderId="25" xfId="0" applyBorder="1"/>
    <xf numFmtId="43" fontId="2" fillId="0" borderId="26" xfId="23" applyFont="1" applyBorder="1"/>
    <xf numFmtId="43" fontId="2" fillId="4" borderId="26" xfId="23" applyFont="1" applyFill="1" applyBorder="1"/>
    <xf numFmtId="43" fontId="2" fillId="4" borderId="27" xfId="23" applyFont="1" applyFill="1" applyBorder="1"/>
    <xf numFmtId="43" fontId="24" fillId="0" borderId="19" xfId="23" applyFont="1" applyBorder="1"/>
    <xf numFmtId="43" fontId="2" fillId="0" borderId="22" xfId="23" applyFont="1" applyBorder="1"/>
    <xf numFmtId="0" fontId="24" fillId="0" borderId="23" xfId="0" applyFont="1" applyBorder="1"/>
    <xf numFmtId="0" fontId="24" fillId="0" borderId="25" xfId="0" applyFont="1" applyBorder="1"/>
    <xf numFmtId="43" fontId="24" fillId="0" borderId="26" xfId="23" applyFont="1" applyBorder="1"/>
    <xf numFmtId="43" fontId="2" fillId="0" borderId="27" xfId="23" applyFont="1" applyBorder="1"/>
    <xf numFmtId="0" fontId="29" fillId="0" borderId="0" xfId="0" applyFont="1"/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7" fillId="0" borderId="0" xfId="23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4" fontId="17" fillId="5" borderId="1" xfId="0" applyNumberFormat="1" applyFont="1" applyFill="1" applyBorder="1" applyAlignment="1" applyProtection="1">
      <alignment vertical="center"/>
      <protection locked="0"/>
    </xf>
    <xf numFmtId="0" fontId="30" fillId="0" borderId="0" xfId="0" applyFont="1"/>
    <xf numFmtId="0" fontId="0" fillId="0" borderId="5" xfId="0" applyBorder="1"/>
    <xf numFmtId="0" fontId="0" fillId="0" borderId="6" xfId="0" applyBorder="1"/>
    <xf numFmtId="0" fontId="0" fillId="0" borderId="8" xfId="0" applyBorder="1"/>
    <xf numFmtId="4" fontId="0" fillId="0" borderId="0" xfId="0" applyNumberFormat="1" applyBorder="1"/>
    <xf numFmtId="4" fontId="0" fillId="0" borderId="8" xfId="0" applyNumberFormat="1" applyBorder="1"/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65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4" fontId="0" fillId="0" borderId="0" xfId="0" applyNumberFormat="1" applyFill="1" applyBorder="1"/>
    <xf numFmtId="4" fontId="0" fillId="0" borderId="8" xfId="0" applyNumberFormat="1" applyFill="1" applyBorder="1"/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Border="1"/>
    <xf numFmtId="0" fontId="7" fillId="0" borderId="0" xfId="0" applyFont="1" applyBorder="1"/>
    <xf numFmtId="166" fontId="7" fillId="0" borderId="0" xfId="23" applyNumberFormat="1" applyFont="1" applyBorder="1"/>
    <xf numFmtId="0" fontId="7" fillId="0" borderId="8" xfId="0" applyFont="1" applyBorder="1"/>
    <xf numFmtId="0" fontId="30" fillId="0" borderId="11" xfId="0" applyFont="1" applyBorder="1"/>
    <xf numFmtId="0" fontId="30" fillId="0" borderId="12" xfId="0" applyFont="1" applyBorder="1"/>
    <xf numFmtId="166" fontId="30" fillId="0" borderId="12" xfId="23" applyNumberFormat="1" applyFont="1" applyBorder="1"/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0" xfId="0" applyFont="1" applyFill="1"/>
    <xf numFmtId="0" fontId="0" fillId="0" borderId="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8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8" fillId="0" borderId="7" xfId="24" applyFont="1" applyFill="1" applyBorder="1" applyAlignment="1">
      <alignment vertical="center"/>
      <protection/>
    </xf>
    <xf numFmtId="0" fontId="0" fillId="0" borderId="7" xfId="0" applyFill="1" applyBorder="1"/>
    <xf numFmtId="0" fontId="2" fillId="0" borderId="11" xfId="0" applyFont="1" applyFill="1" applyBorder="1"/>
    <xf numFmtId="0" fontId="2" fillId="0" borderId="12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5" xfId="22"/>
    <cellStyle name="Čárka" xfId="23"/>
    <cellStyle name="Normální 2" xfId="24"/>
    <cellStyle name="Hypertextový odkaz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96" zoomScaleSheetLayoutView="96" workbookViewId="0" topLeftCell="A1">
      <selection activeCell="D20" sqref="D20"/>
    </sheetView>
  </sheetViews>
  <sheetFormatPr defaultColWidth="9.140625" defaultRowHeight="15"/>
  <cols>
    <col min="1" max="1" width="2.8515625" style="0" customWidth="1"/>
    <col min="2" max="2" width="16.57421875" style="0" customWidth="1"/>
    <col min="3" max="5" width="16.00390625" style="28" customWidth="1"/>
    <col min="6" max="7" width="16.00390625" style="0" customWidth="1"/>
  </cols>
  <sheetData>
    <row r="1" ht="28.5" customHeight="1">
      <c r="B1" s="308" t="s">
        <v>336</v>
      </c>
    </row>
    <row r="2" spans="2:3" ht="15">
      <c r="B2" t="s">
        <v>210</v>
      </c>
      <c r="C2" s="36">
        <v>7812600.24</v>
      </c>
    </row>
    <row r="5" spans="1:3" ht="15.75" thickBot="1">
      <c r="A5" s="37"/>
      <c r="B5" s="37" t="s">
        <v>222</v>
      </c>
      <c r="C5" s="38"/>
    </row>
    <row r="6" spans="2:7" s="286" customFormat="1" ht="30">
      <c r="B6" s="293"/>
      <c r="C6" s="294" t="s">
        <v>223</v>
      </c>
      <c r="D6" s="294" t="s">
        <v>224</v>
      </c>
      <c r="E6" s="294" t="s">
        <v>215</v>
      </c>
      <c r="F6" s="294" t="s">
        <v>254</v>
      </c>
      <c r="G6" s="295" t="s">
        <v>332</v>
      </c>
    </row>
    <row r="7" spans="2:7" ht="15">
      <c r="B7" s="296" t="s">
        <v>211</v>
      </c>
      <c r="C7" s="291">
        <f>Hřiště!M118</f>
        <v>402796.44</v>
      </c>
      <c r="D7" s="291">
        <f>Hřiště!L118</f>
        <v>-404484.279375</v>
      </c>
      <c r="E7" s="291">
        <f>C7+D7</f>
        <v>-1687.8393749999814</v>
      </c>
      <c r="F7" s="292">
        <v>6945138.54</v>
      </c>
      <c r="G7" s="297">
        <f>F7+E7</f>
        <v>6943450.7006250005</v>
      </c>
    </row>
    <row r="8" spans="2:7" ht="15">
      <c r="B8" s="296" t="s">
        <v>212</v>
      </c>
      <c r="C8" s="291"/>
      <c r="D8" s="291">
        <f>'Dešťová kanalizace'!J51</f>
        <v>-87066.93</v>
      </c>
      <c r="E8" s="291">
        <f aca="true" t="shared" si="0" ref="E8:E9">C8+D8</f>
        <v>-87066.93</v>
      </c>
      <c r="F8" s="292">
        <v>127702.31</v>
      </c>
      <c r="G8" s="297">
        <f>F8+E8</f>
        <v>40635.380000000005</v>
      </c>
    </row>
    <row r="9" spans="2:7" ht="15">
      <c r="B9" s="296" t="s">
        <v>213</v>
      </c>
      <c r="C9" s="291">
        <f>Workout!M54</f>
        <v>95966.25303652174</v>
      </c>
      <c r="D9" s="291">
        <f>Workout!L54</f>
        <v>-47352.49596</v>
      </c>
      <c r="E9" s="291">
        <f t="shared" si="0"/>
        <v>48613.75707652174</v>
      </c>
      <c r="F9" s="292">
        <v>679439.39</v>
      </c>
      <c r="G9" s="297">
        <f>F9+E9</f>
        <v>728053.1470765218</v>
      </c>
    </row>
    <row r="10" spans="2:7" ht="15">
      <c r="B10" s="296" t="s">
        <v>214</v>
      </c>
      <c r="C10" s="291"/>
      <c r="D10" s="291"/>
      <c r="E10" s="291"/>
      <c r="F10" s="292">
        <v>60320</v>
      </c>
      <c r="G10" s="297">
        <f aca="true" t="shared" si="1" ref="G10">F10+E10</f>
        <v>60320</v>
      </c>
    </row>
    <row r="11" spans="2:7" ht="15.75" thickBot="1">
      <c r="B11" s="298" t="s">
        <v>215</v>
      </c>
      <c r="C11" s="299">
        <f>SUM(C7:C10)</f>
        <v>498762.6930365217</v>
      </c>
      <c r="D11" s="299">
        <f aca="true" t="shared" si="2" ref="D11:G11">SUM(D7:D10)</f>
        <v>-538903.705335</v>
      </c>
      <c r="E11" s="299">
        <f t="shared" si="2"/>
        <v>-40141.012298478236</v>
      </c>
      <c r="F11" s="300">
        <f>SUM(F7:F10)</f>
        <v>7812600.239999999</v>
      </c>
      <c r="G11" s="301">
        <f t="shared" si="2"/>
        <v>7772459.227701522</v>
      </c>
    </row>
    <row r="12" ht="15.75" thickBot="1">
      <c r="A12" s="287"/>
    </row>
    <row r="13" spans="1:5" ht="15">
      <c r="A13" s="288"/>
      <c r="B13" s="293"/>
      <c r="C13" s="294" t="s">
        <v>333</v>
      </c>
      <c r="D13" s="294" t="s">
        <v>334</v>
      </c>
      <c r="E13" s="303" t="s">
        <v>335</v>
      </c>
    </row>
    <row r="14" spans="1:5" ht="15">
      <c r="A14" s="289"/>
      <c r="B14" s="304" t="s">
        <v>227</v>
      </c>
      <c r="C14" s="302">
        <f>C2+E11</f>
        <v>7772459.227701522</v>
      </c>
      <c r="D14" s="290">
        <f>C14*0.21</f>
        <v>1632216.4378173198</v>
      </c>
      <c r="E14" s="297">
        <f>C14*1.21</f>
        <v>9404675.665518843</v>
      </c>
    </row>
    <row r="15" spans="1:5" ht="15.75" thickBot="1">
      <c r="A15" s="287"/>
      <c r="B15" s="305"/>
      <c r="C15" s="306">
        <f>C14-C2</f>
        <v>-40141.01229847781</v>
      </c>
      <c r="D15" s="299"/>
      <c r="E15" s="307"/>
    </row>
    <row r="16" ht="15">
      <c r="A16" s="28"/>
    </row>
    <row r="18" spans="2:6" ht="15">
      <c r="B18" t="s">
        <v>275</v>
      </c>
      <c r="D18" s="28">
        <f>C2/100*15</f>
        <v>1171890.0359999998</v>
      </c>
      <c r="E18" s="28" t="s">
        <v>276</v>
      </c>
      <c r="F18" t="s">
        <v>277</v>
      </c>
    </row>
    <row r="19" spans="5:7" ht="15">
      <c r="E19" s="28">
        <f>C11</f>
        <v>498762.6930365217</v>
      </c>
      <c r="F19" s="72">
        <f>-D11</f>
        <v>538903.705335</v>
      </c>
      <c r="G19" s="73">
        <f>E19+F19</f>
        <v>1037666.3983715216</v>
      </c>
    </row>
    <row r="20" spans="4:7" ht="15">
      <c r="D20" s="28">
        <f>G19/(C2/100)</f>
        <v>13.281959482052311</v>
      </c>
      <c r="E20" s="28" t="s">
        <v>279</v>
      </c>
      <c r="F20" s="72"/>
      <c r="G20" s="73"/>
    </row>
    <row r="21" ht="15">
      <c r="B21" t="s">
        <v>278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25"/>
  <sheetViews>
    <sheetView tabSelected="1" view="pageBreakPreview" zoomScale="95" zoomScaleSheetLayoutView="95" workbookViewId="0" topLeftCell="A106">
      <selection activeCell="M118" sqref="A2:M118"/>
    </sheetView>
  </sheetViews>
  <sheetFormatPr defaultColWidth="9.140625" defaultRowHeight="15"/>
  <cols>
    <col min="1" max="1" width="0.2890625" style="114" customWidth="1"/>
    <col min="2" max="2" width="0.9921875" style="114" customWidth="1"/>
    <col min="3" max="3" width="3.57421875" style="114" customWidth="1"/>
    <col min="4" max="4" width="3.7109375" style="114" customWidth="1"/>
    <col min="5" max="5" width="12.421875" style="114" customWidth="1"/>
    <col min="6" max="6" width="77.57421875" style="114" customWidth="1"/>
    <col min="7" max="7" width="6.421875" style="114" customWidth="1"/>
    <col min="8" max="9" width="10.140625" style="114" customWidth="1"/>
    <col min="10" max="11" width="16.8515625" style="114" customWidth="1"/>
    <col min="12" max="13" width="14.57421875" style="114" customWidth="1"/>
    <col min="14" max="14" width="9.140625" style="114" customWidth="1"/>
    <col min="15" max="15" width="14.28125" style="114" customWidth="1"/>
    <col min="16" max="17" width="9.140625" style="114" customWidth="1"/>
    <col min="18" max="18" width="10.28125" style="114" bestFit="1" customWidth="1"/>
    <col min="19" max="16384" width="9.140625" style="114" customWidth="1"/>
  </cols>
  <sheetData>
    <row r="2" spans="1:13" ht="15">
      <c r="A2" s="348"/>
      <c r="B2" s="349"/>
      <c r="C2" s="350"/>
      <c r="D2" s="350"/>
      <c r="E2" s="350"/>
      <c r="F2" s="350"/>
      <c r="G2" s="350"/>
      <c r="H2" s="350"/>
      <c r="I2" s="350"/>
      <c r="J2" s="350"/>
      <c r="K2" s="350"/>
      <c r="L2" s="351"/>
      <c r="M2" s="352"/>
    </row>
    <row r="3" spans="1:13" ht="18">
      <c r="A3" s="353"/>
      <c r="B3" s="115"/>
      <c r="C3" s="354" t="s">
        <v>154</v>
      </c>
      <c r="D3" s="156"/>
      <c r="E3" s="156"/>
      <c r="F3" s="156"/>
      <c r="G3" s="156"/>
      <c r="H3" s="156"/>
      <c r="I3" s="156"/>
      <c r="J3" s="156"/>
      <c r="K3" s="156"/>
      <c r="L3" s="355"/>
      <c r="M3" s="356"/>
    </row>
    <row r="4" spans="1:13" ht="15">
      <c r="A4" s="353"/>
      <c r="B4" s="115"/>
      <c r="C4" s="156"/>
      <c r="D4" s="156"/>
      <c r="E4" s="156"/>
      <c r="F4" s="156"/>
      <c r="G4" s="156"/>
      <c r="H4" s="156"/>
      <c r="I4" s="156"/>
      <c r="J4" s="156"/>
      <c r="K4" s="156"/>
      <c r="L4" s="355"/>
      <c r="M4" s="356"/>
    </row>
    <row r="5" spans="1:13" ht="15" hidden="1">
      <c r="A5" s="353"/>
      <c r="B5" s="115"/>
      <c r="C5" s="357" t="s">
        <v>0</v>
      </c>
      <c r="D5" s="156"/>
      <c r="E5" s="156"/>
      <c r="F5" s="156"/>
      <c r="G5" s="156"/>
      <c r="H5" s="156"/>
      <c r="I5" s="156"/>
      <c r="J5" s="156"/>
      <c r="K5" s="156"/>
      <c r="L5" s="355"/>
      <c r="M5" s="356"/>
    </row>
    <row r="6" spans="1:13" ht="15" hidden="1">
      <c r="A6" s="353"/>
      <c r="B6" s="115"/>
      <c r="C6" s="156"/>
      <c r="D6" s="156"/>
      <c r="E6" s="358" t="e">
        <f>#REF!</f>
        <v>#REF!</v>
      </c>
      <c r="F6" s="359"/>
      <c r="G6" s="359"/>
      <c r="H6" s="359"/>
      <c r="I6" s="156"/>
      <c r="J6" s="156"/>
      <c r="K6" s="156"/>
      <c r="L6" s="355"/>
      <c r="M6" s="356"/>
    </row>
    <row r="7" spans="1:13" ht="15" hidden="1">
      <c r="A7" s="353"/>
      <c r="B7" s="115"/>
      <c r="C7" s="357" t="s">
        <v>1</v>
      </c>
      <c r="D7" s="156"/>
      <c r="E7" s="156"/>
      <c r="F7" s="156"/>
      <c r="G7" s="156"/>
      <c r="H7" s="156"/>
      <c r="I7" s="156"/>
      <c r="J7" s="156"/>
      <c r="K7" s="156"/>
      <c r="L7" s="355"/>
      <c r="M7" s="356"/>
    </row>
    <row r="8" spans="1:13" ht="15" hidden="1">
      <c r="A8" s="353"/>
      <c r="B8" s="115"/>
      <c r="C8" s="156"/>
      <c r="D8" s="156"/>
      <c r="E8" s="360" t="e">
        <f>#REF!</f>
        <v>#REF!</v>
      </c>
      <c r="F8" s="361"/>
      <c r="G8" s="361"/>
      <c r="H8" s="361"/>
      <c r="I8" s="156"/>
      <c r="J8" s="156"/>
      <c r="K8" s="156"/>
      <c r="L8" s="355"/>
      <c r="M8" s="356"/>
    </row>
    <row r="9" spans="1:13" ht="15" hidden="1">
      <c r="A9" s="353"/>
      <c r="B9" s="115"/>
      <c r="C9" s="156"/>
      <c r="D9" s="156"/>
      <c r="E9" s="156"/>
      <c r="F9" s="156"/>
      <c r="G9" s="156"/>
      <c r="H9" s="156"/>
      <c r="I9" s="156"/>
      <c r="J9" s="156"/>
      <c r="K9" s="156"/>
      <c r="L9" s="355"/>
      <c r="M9" s="356"/>
    </row>
    <row r="10" spans="1:13" ht="15" hidden="1">
      <c r="A10" s="353"/>
      <c r="B10" s="115"/>
      <c r="C10" s="357" t="s">
        <v>2</v>
      </c>
      <c r="D10" s="156"/>
      <c r="E10" s="156"/>
      <c r="F10" s="362" t="e">
        <f>#REF!</f>
        <v>#REF!</v>
      </c>
      <c r="G10" s="156"/>
      <c r="H10" s="156"/>
      <c r="I10" s="357" t="s">
        <v>3</v>
      </c>
      <c r="J10" s="363" t="e">
        <f>IF(#REF!="","",#REF!)</f>
        <v>#REF!</v>
      </c>
      <c r="K10" s="156"/>
      <c r="L10" s="355"/>
      <c r="M10" s="356"/>
    </row>
    <row r="11" spans="1:13" ht="15" hidden="1">
      <c r="A11" s="353"/>
      <c r="B11" s="115"/>
      <c r="C11" s="156"/>
      <c r="D11" s="156"/>
      <c r="E11" s="156"/>
      <c r="F11" s="156"/>
      <c r="G11" s="156"/>
      <c r="H11" s="156"/>
      <c r="I11" s="156"/>
      <c r="J11" s="156"/>
      <c r="K11" s="156"/>
      <c r="L11" s="355"/>
      <c r="M11" s="356"/>
    </row>
    <row r="12" spans="1:13" ht="15" hidden="1">
      <c r="A12" s="353"/>
      <c r="B12" s="115"/>
      <c r="C12" s="357" t="s">
        <v>4</v>
      </c>
      <c r="D12" s="156"/>
      <c r="E12" s="156"/>
      <c r="F12" s="362" t="e">
        <f>#REF!</f>
        <v>#REF!</v>
      </c>
      <c r="G12" s="156"/>
      <c r="H12" s="156"/>
      <c r="I12" s="357" t="s">
        <v>5</v>
      </c>
      <c r="J12" s="364" t="e">
        <f>#REF!</f>
        <v>#REF!</v>
      </c>
      <c r="K12" s="156"/>
      <c r="L12" s="355"/>
      <c r="M12" s="356"/>
    </row>
    <row r="13" spans="1:13" ht="15" hidden="1">
      <c r="A13" s="353"/>
      <c r="B13" s="115"/>
      <c r="C13" s="357" t="s">
        <v>6</v>
      </c>
      <c r="D13" s="156"/>
      <c r="E13" s="156"/>
      <c r="F13" s="362" t="e">
        <f>IF(#REF!="","",#REF!)</f>
        <v>#REF!</v>
      </c>
      <c r="G13" s="156"/>
      <c r="H13" s="156"/>
      <c r="I13" s="357" t="s">
        <v>7</v>
      </c>
      <c r="J13" s="364" t="e">
        <f>#REF!</f>
        <v>#REF!</v>
      </c>
      <c r="K13" s="156"/>
      <c r="L13" s="355"/>
      <c r="M13" s="356"/>
    </row>
    <row r="14" spans="1:13" ht="15">
      <c r="A14" s="353"/>
      <c r="B14" s="115"/>
      <c r="C14" s="156"/>
      <c r="D14" s="156"/>
      <c r="E14" s="156"/>
      <c r="F14" s="156"/>
      <c r="G14" s="156"/>
      <c r="H14" s="156"/>
      <c r="I14" s="156"/>
      <c r="J14" s="156"/>
      <c r="K14" s="156"/>
      <c r="L14" s="355"/>
      <c r="M14" s="356"/>
    </row>
    <row r="15" spans="1:15" s="33" customFormat="1" ht="29.25" customHeight="1">
      <c r="A15" s="51"/>
      <c r="B15" s="51"/>
      <c r="C15" s="31" t="s">
        <v>8</v>
      </c>
      <c r="D15" s="32" t="s">
        <v>9</v>
      </c>
      <c r="E15" s="32" t="s">
        <v>10</v>
      </c>
      <c r="F15" s="32" t="s">
        <v>11</v>
      </c>
      <c r="G15" s="32" t="s">
        <v>12</v>
      </c>
      <c r="H15" s="45" t="s">
        <v>13</v>
      </c>
      <c r="I15" s="32" t="s">
        <v>14</v>
      </c>
      <c r="J15" s="32" t="s">
        <v>15</v>
      </c>
      <c r="K15" s="52" t="s">
        <v>16</v>
      </c>
      <c r="L15" s="287"/>
      <c r="M15" s="321"/>
      <c r="N15"/>
      <c r="O15"/>
    </row>
    <row r="16" spans="1:15" ht="15.75">
      <c r="A16" s="353"/>
      <c r="B16" s="115"/>
      <c r="C16" s="155" t="s">
        <v>17</v>
      </c>
      <c r="D16" s="156"/>
      <c r="E16" s="156"/>
      <c r="F16" s="156"/>
      <c r="G16" s="156"/>
      <c r="H16" s="156"/>
      <c r="I16" s="156"/>
      <c r="J16" s="157">
        <f>J17+J102</f>
        <v>-1687.8393749999814</v>
      </c>
      <c r="K16" s="158"/>
      <c r="L16" s="355"/>
      <c r="M16" s="356"/>
      <c r="O16" s="114">
        <f>SUM(O17:O116)</f>
        <v>-1687.8393749999523</v>
      </c>
    </row>
    <row r="17" spans="1:13" ht="15.75">
      <c r="A17" s="159"/>
      <c r="B17" s="116"/>
      <c r="C17" s="159"/>
      <c r="D17" s="160" t="s">
        <v>18</v>
      </c>
      <c r="E17" s="161" t="s">
        <v>19</v>
      </c>
      <c r="F17" s="161" t="s">
        <v>20</v>
      </c>
      <c r="G17" s="162"/>
      <c r="H17" s="162"/>
      <c r="I17" s="163"/>
      <c r="J17" s="164">
        <f>J18+J42+J74+J97+J81+J54</f>
        <v>-137201.83937499998</v>
      </c>
      <c r="K17" s="165"/>
      <c r="L17" s="355" t="s">
        <v>225</v>
      </c>
      <c r="M17" s="356" t="s">
        <v>226</v>
      </c>
    </row>
    <row r="18" spans="1:15" ht="15">
      <c r="A18" s="159"/>
      <c r="B18" s="116"/>
      <c r="C18" s="159"/>
      <c r="D18" s="160" t="s">
        <v>18</v>
      </c>
      <c r="E18" s="166" t="s">
        <v>21</v>
      </c>
      <c r="F18" s="166" t="s">
        <v>22</v>
      </c>
      <c r="G18" s="162"/>
      <c r="H18" s="162"/>
      <c r="I18" s="163"/>
      <c r="J18" s="167">
        <f>SUM(J19:J41)</f>
        <v>-73171.77</v>
      </c>
      <c r="K18" s="165"/>
      <c r="L18" s="355"/>
      <c r="M18" s="356"/>
      <c r="O18" s="117">
        <f>SUM(L19:M40)</f>
        <v>-73171.77</v>
      </c>
    </row>
    <row r="19" spans="1:65" ht="24">
      <c r="A19" s="365"/>
      <c r="B19" s="119"/>
      <c r="C19" s="168" t="s">
        <v>34</v>
      </c>
      <c r="D19" s="120" t="s">
        <v>23</v>
      </c>
      <c r="E19" s="121" t="s">
        <v>272</v>
      </c>
      <c r="F19" s="122" t="s">
        <v>273</v>
      </c>
      <c r="G19" s="123" t="s">
        <v>33</v>
      </c>
      <c r="H19" s="124">
        <f>8.7+2.7+3.1</f>
        <v>14.499999999999998</v>
      </c>
      <c r="I19" s="125">
        <v>49.01</v>
      </c>
      <c r="J19" s="126">
        <f>ROUND(I19*H19,2)</f>
        <v>710.65</v>
      </c>
      <c r="K19" s="169"/>
      <c r="L19" s="334"/>
      <c r="M19" s="335">
        <f>J19</f>
        <v>710.65</v>
      </c>
      <c r="Y19" s="118"/>
      <c r="Z19" s="118"/>
      <c r="AA19" s="118"/>
      <c r="AB19" s="118"/>
      <c r="AC19" s="118"/>
      <c r="AD19" s="118"/>
      <c r="AE19" s="118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8" t="s">
        <v>30</v>
      </c>
      <c r="AS19" s="127"/>
      <c r="AT19" s="128" t="s">
        <v>23</v>
      </c>
      <c r="AU19" s="128" t="s">
        <v>28</v>
      </c>
      <c r="AV19" s="127"/>
      <c r="AW19" s="127"/>
      <c r="AX19" s="127"/>
      <c r="AY19" s="129" t="s">
        <v>270</v>
      </c>
      <c r="AZ19" s="127"/>
      <c r="BA19" s="127"/>
      <c r="BB19" s="127"/>
      <c r="BC19" s="127"/>
      <c r="BD19" s="127"/>
      <c r="BE19" s="130">
        <v>17351.99</v>
      </c>
      <c r="BF19" s="130">
        <v>0</v>
      </c>
      <c r="BG19" s="130">
        <v>0</v>
      </c>
      <c r="BH19" s="130">
        <v>0</v>
      </c>
      <c r="BI19" s="130">
        <v>0</v>
      </c>
      <c r="BJ19" s="129" t="s">
        <v>21</v>
      </c>
      <c r="BK19" s="130">
        <v>17351.99</v>
      </c>
      <c r="BL19" s="129" t="s">
        <v>30</v>
      </c>
      <c r="BM19" s="128" t="s">
        <v>274</v>
      </c>
    </row>
    <row r="20" spans="1:13" ht="17.25" customHeight="1">
      <c r="A20" s="159"/>
      <c r="B20" s="116"/>
      <c r="C20" s="159"/>
      <c r="D20" s="160"/>
      <c r="E20" s="166"/>
      <c r="F20" s="170" t="s">
        <v>266</v>
      </c>
      <c r="G20" s="162"/>
      <c r="H20" s="162"/>
      <c r="I20" s="163"/>
      <c r="J20" s="167"/>
      <c r="K20" s="165"/>
      <c r="L20" s="334"/>
      <c r="M20" s="335"/>
    </row>
    <row r="21" spans="1:13" ht="36.75" customHeight="1">
      <c r="A21" s="353"/>
      <c r="B21" s="115"/>
      <c r="C21" s="171" t="s">
        <v>43</v>
      </c>
      <c r="D21" s="131" t="s">
        <v>23</v>
      </c>
      <c r="E21" s="132" t="s">
        <v>44</v>
      </c>
      <c r="F21" s="172" t="s">
        <v>45</v>
      </c>
      <c r="G21" s="133" t="s">
        <v>31</v>
      </c>
      <c r="H21" s="134">
        <v>-21.506</v>
      </c>
      <c r="I21" s="135">
        <v>860.7779999999999</v>
      </c>
      <c r="J21" s="126">
        <f>ROUND(I21*H21,2)</f>
        <v>-18511.89</v>
      </c>
      <c r="K21" s="93" t="s">
        <v>217</v>
      </c>
      <c r="L21" s="334">
        <f>J21</f>
        <v>-18511.89</v>
      </c>
      <c r="M21" s="335"/>
    </row>
    <row r="22" spans="1:13" ht="17.25" customHeight="1">
      <c r="A22" s="173"/>
      <c r="B22" s="136"/>
      <c r="C22" s="173"/>
      <c r="D22" s="174" t="s">
        <v>26</v>
      </c>
      <c r="E22" s="175" t="s">
        <v>27</v>
      </c>
      <c r="F22" s="176" t="s">
        <v>218</v>
      </c>
      <c r="G22" s="177"/>
      <c r="H22" s="175"/>
      <c r="I22" s="178"/>
      <c r="J22" s="177"/>
      <c r="K22" s="179"/>
      <c r="L22" s="334"/>
      <c r="M22" s="335"/>
    </row>
    <row r="23" spans="1:13" ht="45.75" customHeight="1">
      <c r="A23" s="353"/>
      <c r="B23" s="115"/>
      <c r="C23" s="171" t="s">
        <v>46</v>
      </c>
      <c r="D23" s="131" t="s">
        <v>23</v>
      </c>
      <c r="E23" s="132" t="s">
        <v>47</v>
      </c>
      <c r="F23" s="180" t="s">
        <v>48</v>
      </c>
      <c r="G23" s="133" t="s">
        <v>31</v>
      </c>
      <c r="H23" s="134">
        <v>-21.506</v>
      </c>
      <c r="I23" s="135">
        <v>278.05199999999996</v>
      </c>
      <c r="J23" s="126">
        <f>ROUND(I23*H23,2)</f>
        <v>-5979.79</v>
      </c>
      <c r="K23" s="93" t="s">
        <v>217</v>
      </c>
      <c r="L23" s="334">
        <f aca="true" t="shared" si="0" ref="L23:L79">J23</f>
        <v>-5979.79</v>
      </c>
      <c r="M23" s="335"/>
    </row>
    <row r="24" spans="1:13" ht="17.25" customHeight="1">
      <c r="A24" s="173"/>
      <c r="B24" s="136"/>
      <c r="C24" s="173"/>
      <c r="D24" s="174" t="s">
        <v>26</v>
      </c>
      <c r="E24" s="175" t="s">
        <v>27</v>
      </c>
      <c r="F24" s="181" t="s">
        <v>49</v>
      </c>
      <c r="G24" s="177"/>
      <c r="H24" s="175" t="s">
        <v>27</v>
      </c>
      <c r="I24" s="178"/>
      <c r="J24" s="177"/>
      <c r="K24" s="179"/>
      <c r="L24" s="334"/>
      <c r="M24" s="335"/>
    </row>
    <row r="25" spans="1:13" ht="17.25" customHeight="1">
      <c r="A25" s="182"/>
      <c r="B25" s="137"/>
      <c r="C25" s="182"/>
      <c r="D25" s="174"/>
      <c r="E25" s="183"/>
      <c r="F25" s="184" t="s">
        <v>155</v>
      </c>
      <c r="G25" s="185"/>
      <c r="H25" s="186"/>
      <c r="I25" s="187"/>
      <c r="J25" s="185"/>
      <c r="K25" s="188"/>
      <c r="L25" s="334"/>
      <c r="M25" s="335"/>
    </row>
    <row r="26" spans="1:13" ht="33" customHeight="1">
      <c r="A26" s="353"/>
      <c r="B26" s="115"/>
      <c r="C26" s="171" t="s">
        <v>51</v>
      </c>
      <c r="D26" s="131" t="s">
        <v>23</v>
      </c>
      <c r="E26" s="132" t="s">
        <v>52</v>
      </c>
      <c r="F26" s="138" t="s">
        <v>53</v>
      </c>
      <c r="G26" s="133" t="s">
        <v>31</v>
      </c>
      <c r="H26" s="134">
        <v>-21.506</v>
      </c>
      <c r="I26" s="135">
        <v>20.508799999999997</v>
      </c>
      <c r="J26" s="126">
        <f>ROUND(I26*H26,2)</f>
        <v>-441.06</v>
      </c>
      <c r="K26" s="93" t="s">
        <v>217</v>
      </c>
      <c r="L26" s="334">
        <f t="shared" si="0"/>
        <v>-441.06</v>
      </c>
      <c r="M26" s="335"/>
    </row>
    <row r="27" spans="1:13" ht="17.25" customHeight="1">
      <c r="A27" s="173"/>
      <c r="B27" s="136"/>
      <c r="C27" s="173"/>
      <c r="D27" s="174" t="s">
        <v>26</v>
      </c>
      <c r="E27" s="175" t="s">
        <v>27</v>
      </c>
      <c r="F27" s="181" t="s">
        <v>49</v>
      </c>
      <c r="G27" s="177"/>
      <c r="H27" s="175" t="s">
        <v>27</v>
      </c>
      <c r="I27" s="178"/>
      <c r="J27" s="177"/>
      <c r="K27" s="179"/>
      <c r="L27" s="334"/>
      <c r="M27" s="335"/>
    </row>
    <row r="28" spans="1:13" ht="17.25" customHeight="1">
      <c r="A28" s="182"/>
      <c r="B28" s="137"/>
      <c r="C28" s="182"/>
      <c r="D28" s="174"/>
      <c r="E28" s="183"/>
      <c r="F28" s="184" t="s">
        <v>155</v>
      </c>
      <c r="G28" s="185"/>
      <c r="H28" s="186"/>
      <c r="I28" s="187"/>
      <c r="J28" s="185"/>
      <c r="K28" s="188"/>
      <c r="L28" s="334"/>
      <c r="M28" s="335"/>
    </row>
    <row r="29" spans="1:13" ht="33" customHeight="1">
      <c r="A29" s="353"/>
      <c r="B29" s="115"/>
      <c r="C29" s="171" t="s">
        <v>54</v>
      </c>
      <c r="D29" s="131" t="s">
        <v>23</v>
      </c>
      <c r="E29" s="132" t="s">
        <v>55</v>
      </c>
      <c r="F29" s="138" t="s">
        <v>56</v>
      </c>
      <c r="G29" s="133" t="s">
        <v>57</v>
      </c>
      <c r="H29" s="134">
        <f>-21.506*2</f>
        <v>-43.012</v>
      </c>
      <c r="I29" s="135">
        <v>266.79999999999995</v>
      </c>
      <c r="J29" s="126">
        <f>ROUND(I29*H29,2)</f>
        <v>-11475.6</v>
      </c>
      <c r="K29" s="93" t="s">
        <v>217</v>
      </c>
      <c r="L29" s="334">
        <f t="shared" si="0"/>
        <v>-11475.6</v>
      </c>
      <c r="M29" s="335"/>
    </row>
    <row r="30" spans="1:13" ht="17.25" customHeight="1">
      <c r="A30" s="182"/>
      <c r="B30" s="137"/>
      <c r="C30" s="182"/>
      <c r="D30" s="174"/>
      <c r="E30" s="183"/>
      <c r="F30" s="184" t="s">
        <v>155</v>
      </c>
      <c r="G30" s="185"/>
      <c r="H30" s="186"/>
      <c r="I30" s="187"/>
      <c r="J30" s="185"/>
      <c r="K30" s="188"/>
      <c r="L30" s="334"/>
      <c r="M30" s="335"/>
    </row>
    <row r="31" spans="1:13" ht="44.25" customHeight="1">
      <c r="A31" s="353"/>
      <c r="B31" s="115"/>
      <c r="C31" s="171" t="s">
        <v>58</v>
      </c>
      <c r="D31" s="131" t="s">
        <v>23</v>
      </c>
      <c r="E31" s="132" t="s">
        <v>59</v>
      </c>
      <c r="F31" s="138" t="s">
        <v>60</v>
      </c>
      <c r="G31" s="133" t="s">
        <v>31</v>
      </c>
      <c r="H31" s="134">
        <v>-1.62</v>
      </c>
      <c r="I31" s="135">
        <v>591.5999999999999</v>
      </c>
      <c r="J31" s="126">
        <f>ROUND(I31*H31,2)</f>
        <v>-958.39</v>
      </c>
      <c r="K31" s="93" t="s">
        <v>217</v>
      </c>
      <c r="L31" s="334">
        <f t="shared" si="0"/>
        <v>-958.39</v>
      </c>
      <c r="M31" s="335"/>
    </row>
    <row r="32" spans="1:13" ht="17.25" customHeight="1">
      <c r="A32" s="182"/>
      <c r="B32" s="137"/>
      <c r="C32" s="182"/>
      <c r="D32" s="174"/>
      <c r="E32" s="183"/>
      <c r="F32" s="184" t="s">
        <v>156</v>
      </c>
      <c r="G32" s="185"/>
      <c r="H32" s="186"/>
      <c r="I32" s="187"/>
      <c r="J32" s="185"/>
      <c r="K32" s="188"/>
      <c r="L32" s="334"/>
      <c r="M32" s="335"/>
    </row>
    <row r="33" spans="1:13" ht="41.25" customHeight="1">
      <c r="A33" s="353"/>
      <c r="B33" s="115"/>
      <c r="C33" s="171" t="s">
        <v>61</v>
      </c>
      <c r="D33" s="131" t="s">
        <v>23</v>
      </c>
      <c r="E33" s="132" t="s">
        <v>62</v>
      </c>
      <c r="F33" s="138" t="s">
        <v>60</v>
      </c>
      <c r="G33" s="133" t="s">
        <v>31</v>
      </c>
      <c r="H33" s="134">
        <v>-3.344</v>
      </c>
      <c r="I33" s="135">
        <v>591.5999999999999</v>
      </c>
      <c r="J33" s="126">
        <f>ROUND(I33*H33,2)</f>
        <v>-1978.31</v>
      </c>
      <c r="K33" s="93" t="s">
        <v>217</v>
      </c>
      <c r="L33" s="334">
        <f t="shared" si="0"/>
        <v>-1978.31</v>
      </c>
      <c r="M33" s="335"/>
    </row>
    <row r="34" spans="1:13" ht="17.25" customHeight="1">
      <c r="A34" s="182"/>
      <c r="B34" s="137"/>
      <c r="C34" s="182"/>
      <c r="D34" s="174"/>
      <c r="E34" s="183"/>
      <c r="F34" s="184" t="s">
        <v>156</v>
      </c>
      <c r="G34" s="185"/>
      <c r="H34" s="186"/>
      <c r="I34" s="187"/>
      <c r="J34" s="185"/>
      <c r="K34" s="188"/>
      <c r="L34" s="334"/>
      <c r="M34" s="335"/>
    </row>
    <row r="35" spans="1:13" ht="17.25" customHeight="1">
      <c r="A35" s="353"/>
      <c r="B35" s="115"/>
      <c r="C35" s="189" t="s">
        <v>63</v>
      </c>
      <c r="D35" s="77" t="s">
        <v>64</v>
      </c>
      <c r="E35" s="76" t="s">
        <v>65</v>
      </c>
      <c r="F35" s="78" t="s">
        <v>66</v>
      </c>
      <c r="G35" s="79" t="s">
        <v>57</v>
      </c>
      <c r="H35" s="80">
        <v>-75.647</v>
      </c>
      <c r="I35" s="81">
        <v>377.638</v>
      </c>
      <c r="J35" s="82">
        <f>ROUND(I35*H35,2)</f>
        <v>-28567.18</v>
      </c>
      <c r="K35" s="93" t="s">
        <v>217</v>
      </c>
      <c r="L35" s="334">
        <f t="shared" si="0"/>
        <v>-28567.18</v>
      </c>
      <c r="M35" s="335"/>
    </row>
    <row r="36" spans="1:13" ht="17.25" customHeight="1">
      <c r="A36" s="182"/>
      <c r="B36" s="137"/>
      <c r="C36" s="182"/>
      <c r="D36" s="174"/>
      <c r="E36" s="183"/>
      <c r="F36" s="184" t="s">
        <v>156</v>
      </c>
      <c r="G36" s="185"/>
      <c r="H36" s="186"/>
      <c r="I36" s="187"/>
      <c r="J36" s="185"/>
      <c r="K36" s="188"/>
      <c r="L36" s="334"/>
      <c r="M36" s="335"/>
    </row>
    <row r="37" spans="1:13" ht="17.25" customHeight="1">
      <c r="A37" s="182"/>
      <c r="B37" s="137"/>
      <c r="C37" s="182"/>
      <c r="D37" s="174"/>
      <c r="E37" s="185"/>
      <c r="F37" s="184" t="s">
        <v>219</v>
      </c>
      <c r="G37" s="185"/>
      <c r="H37" s="186"/>
      <c r="I37" s="187"/>
      <c r="J37" s="185"/>
      <c r="K37" s="188"/>
      <c r="L37" s="334"/>
      <c r="M37" s="335"/>
    </row>
    <row r="38" spans="1:13" ht="42.75" customHeight="1">
      <c r="A38" s="353"/>
      <c r="B38" s="115"/>
      <c r="C38" s="171" t="s">
        <v>67</v>
      </c>
      <c r="D38" s="131" t="s">
        <v>23</v>
      </c>
      <c r="E38" s="132" t="s">
        <v>68</v>
      </c>
      <c r="F38" s="138" t="s">
        <v>69</v>
      </c>
      <c r="G38" s="133" t="s">
        <v>31</v>
      </c>
      <c r="H38" s="134">
        <v>-3.779</v>
      </c>
      <c r="I38" s="135">
        <v>224.808</v>
      </c>
      <c r="J38" s="126">
        <f>ROUND(I38*H38,2)</f>
        <v>-849.55</v>
      </c>
      <c r="K38" s="93" t="s">
        <v>217</v>
      </c>
      <c r="L38" s="334">
        <f t="shared" si="0"/>
        <v>-849.55</v>
      </c>
      <c r="M38" s="335"/>
    </row>
    <row r="39" spans="1:13" ht="17.25" customHeight="1">
      <c r="A39" s="182"/>
      <c r="B39" s="137"/>
      <c r="C39" s="182"/>
      <c r="D39" s="174"/>
      <c r="E39" s="183"/>
      <c r="F39" s="184" t="s">
        <v>156</v>
      </c>
      <c r="G39" s="185"/>
      <c r="H39" s="186"/>
      <c r="I39" s="187"/>
      <c r="J39" s="185"/>
      <c r="K39" s="188"/>
      <c r="L39" s="334"/>
      <c r="M39" s="335"/>
    </row>
    <row r="40" spans="1:13" ht="17.25" customHeight="1">
      <c r="A40" s="353"/>
      <c r="B40" s="115"/>
      <c r="C40" s="189" t="s">
        <v>70</v>
      </c>
      <c r="D40" s="77" t="s">
        <v>64</v>
      </c>
      <c r="E40" s="76" t="s">
        <v>71</v>
      </c>
      <c r="F40" s="78" t="s">
        <v>72</v>
      </c>
      <c r="G40" s="79" t="s">
        <v>57</v>
      </c>
      <c r="H40" s="80">
        <v>-10.797</v>
      </c>
      <c r="I40" s="81">
        <v>474.266</v>
      </c>
      <c r="J40" s="82">
        <f>ROUND(I40*H40,2)</f>
        <v>-5120.65</v>
      </c>
      <c r="K40" s="93" t="s">
        <v>217</v>
      </c>
      <c r="L40" s="334">
        <f t="shared" si="0"/>
        <v>-5120.65</v>
      </c>
      <c r="M40" s="335"/>
    </row>
    <row r="41" spans="1:13" ht="17.25" customHeight="1">
      <c r="A41" s="182"/>
      <c r="B41" s="137"/>
      <c r="C41" s="182"/>
      <c r="D41" s="174"/>
      <c r="E41" s="183"/>
      <c r="F41" s="184" t="s">
        <v>156</v>
      </c>
      <c r="G41" s="185"/>
      <c r="H41" s="186"/>
      <c r="I41" s="187"/>
      <c r="J41" s="185"/>
      <c r="K41" s="188"/>
      <c r="L41" s="334"/>
      <c r="M41" s="335"/>
    </row>
    <row r="42" spans="1:15" ht="17.25" customHeight="1">
      <c r="A42" s="159"/>
      <c r="B42" s="116"/>
      <c r="C42" s="159"/>
      <c r="D42" s="160" t="s">
        <v>18</v>
      </c>
      <c r="E42" s="166" t="s">
        <v>28</v>
      </c>
      <c r="F42" s="166" t="s">
        <v>80</v>
      </c>
      <c r="G42" s="162"/>
      <c r="H42" s="162"/>
      <c r="I42" s="163"/>
      <c r="J42" s="167">
        <f>SUM(J43:J51)</f>
        <v>-213532.13999999998</v>
      </c>
      <c r="K42" s="165"/>
      <c r="L42" s="334"/>
      <c r="M42" s="335"/>
      <c r="O42" s="117">
        <f>SUM(L43:M52)</f>
        <v>-213532.13999999998</v>
      </c>
    </row>
    <row r="43" spans="1:13" ht="33" customHeight="1">
      <c r="A43" s="353"/>
      <c r="B43" s="115"/>
      <c r="C43" s="171" t="s">
        <v>81</v>
      </c>
      <c r="D43" s="131" t="s">
        <v>23</v>
      </c>
      <c r="E43" s="132" t="s">
        <v>82</v>
      </c>
      <c r="F43" s="138" t="s">
        <v>83</v>
      </c>
      <c r="G43" s="133" t="s">
        <v>24</v>
      </c>
      <c r="H43" s="134">
        <v>-42.71</v>
      </c>
      <c r="I43" s="135">
        <v>33.825599999999994</v>
      </c>
      <c r="J43" s="126">
        <f>ROUND(I43*H43,2)</f>
        <v>-1444.69</v>
      </c>
      <c r="K43" s="93" t="s">
        <v>217</v>
      </c>
      <c r="L43" s="334">
        <f t="shared" si="0"/>
        <v>-1444.69</v>
      </c>
      <c r="M43" s="335"/>
    </row>
    <row r="44" spans="1:13" ht="17.25" customHeight="1">
      <c r="A44" s="190"/>
      <c r="B44" s="139"/>
      <c r="C44" s="190"/>
      <c r="D44" s="174"/>
      <c r="E44" s="191"/>
      <c r="F44" s="184" t="s">
        <v>156</v>
      </c>
      <c r="G44" s="192"/>
      <c r="H44" s="193"/>
      <c r="I44" s="194"/>
      <c r="J44" s="192"/>
      <c r="K44" s="195"/>
      <c r="L44" s="334"/>
      <c r="M44" s="335"/>
    </row>
    <row r="45" spans="1:13" ht="17.25" customHeight="1">
      <c r="A45" s="353"/>
      <c r="B45" s="115"/>
      <c r="C45" s="189" t="s">
        <v>84</v>
      </c>
      <c r="D45" s="77" t="s">
        <v>64</v>
      </c>
      <c r="E45" s="76" t="s">
        <v>85</v>
      </c>
      <c r="F45" s="78" t="s">
        <v>86</v>
      </c>
      <c r="G45" s="79" t="s">
        <v>24</v>
      </c>
      <c r="H45" s="80">
        <v>-50.59</v>
      </c>
      <c r="I45" s="81">
        <v>33.825599999999994</v>
      </c>
      <c r="J45" s="82">
        <f>ROUND(I45*H45,2)</f>
        <v>-1711.24</v>
      </c>
      <c r="K45" s="93" t="s">
        <v>217</v>
      </c>
      <c r="L45" s="334">
        <f t="shared" si="0"/>
        <v>-1711.24</v>
      </c>
      <c r="M45" s="335"/>
    </row>
    <row r="46" spans="1:13" ht="17.25" customHeight="1">
      <c r="A46" s="190"/>
      <c r="B46" s="139"/>
      <c r="C46" s="190"/>
      <c r="D46" s="174"/>
      <c r="E46" s="191"/>
      <c r="F46" s="184" t="s">
        <v>156</v>
      </c>
      <c r="G46" s="192"/>
      <c r="H46" s="193"/>
      <c r="I46" s="194"/>
      <c r="J46" s="192"/>
      <c r="K46" s="195"/>
      <c r="L46" s="334"/>
      <c r="M46" s="335"/>
    </row>
    <row r="47" spans="1:13" ht="37.5" customHeight="1">
      <c r="A47" s="353"/>
      <c r="B47" s="115"/>
      <c r="C47" s="171" t="s">
        <v>87</v>
      </c>
      <c r="D47" s="131" t="s">
        <v>23</v>
      </c>
      <c r="E47" s="132" t="s">
        <v>88</v>
      </c>
      <c r="F47" s="138" t="s">
        <v>89</v>
      </c>
      <c r="G47" s="133" t="s">
        <v>33</v>
      </c>
      <c r="H47" s="134">
        <v>-17.5</v>
      </c>
      <c r="I47" s="135">
        <v>423.97999999999996</v>
      </c>
      <c r="J47" s="126">
        <f>ROUND(I47*H47,2)</f>
        <v>-7419.65</v>
      </c>
      <c r="K47" s="93" t="s">
        <v>217</v>
      </c>
      <c r="L47" s="334">
        <f t="shared" si="0"/>
        <v>-7419.65</v>
      </c>
      <c r="M47" s="335"/>
    </row>
    <row r="48" spans="1:13" ht="17.25" customHeight="1">
      <c r="A48" s="182"/>
      <c r="B48" s="137"/>
      <c r="C48" s="182"/>
      <c r="D48" s="174"/>
      <c r="E48" s="183"/>
      <c r="F48" s="184" t="s">
        <v>157</v>
      </c>
      <c r="G48" s="185"/>
      <c r="H48" s="186"/>
      <c r="I48" s="187"/>
      <c r="J48" s="185"/>
      <c r="K48" s="188"/>
      <c r="L48" s="334"/>
      <c r="M48" s="335"/>
    </row>
    <row r="49" spans="1:13" ht="42" customHeight="1">
      <c r="A49" s="353"/>
      <c r="B49" s="115"/>
      <c r="C49" s="171" t="s">
        <v>90</v>
      </c>
      <c r="D49" s="131" t="s">
        <v>23</v>
      </c>
      <c r="E49" s="132" t="s">
        <v>91</v>
      </c>
      <c r="F49" s="138" t="s">
        <v>92</v>
      </c>
      <c r="G49" s="133" t="s">
        <v>33</v>
      </c>
      <c r="H49" s="134">
        <v>-6.5</v>
      </c>
      <c r="I49" s="135">
        <v>582.726</v>
      </c>
      <c r="J49" s="126">
        <f>ROUND(I49*H49,2)</f>
        <v>-3787.72</v>
      </c>
      <c r="K49" s="93" t="s">
        <v>217</v>
      </c>
      <c r="L49" s="334">
        <f t="shared" si="0"/>
        <v>-3787.72</v>
      </c>
      <c r="M49" s="335"/>
    </row>
    <row r="50" spans="1:13" ht="17.25" customHeight="1">
      <c r="A50" s="182"/>
      <c r="B50" s="137"/>
      <c r="C50" s="182"/>
      <c r="D50" s="174"/>
      <c r="E50" s="183"/>
      <c r="F50" s="184" t="s">
        <v>158</v>
      </c>
      <c r="G50" s="185"/>
      <c r="H50" s="186"/>
      <c r="I50" s="187"/>
      <c r="J50" s="185"/>
      <c r="K50" s="188"/>
      <c r="L50" s="334"/>
      <c r="M50" s="335"/>
    </row>
    <row r="51" spans="1:13" ht="33" customHeight="1">
      <c r="A51" s="353"/>
      <c r="B51" s="115"/>
      <c r="C51" s="171" t="s">
        <v>94</v>
      </c>
      <c r="D51" s="131" t="s">
        <v>23</v>
      </c>
      <c r="E51" s="132" t="s">
        <v>95</v>
      </c>
      <c r="F51" s="138" t="s">
        <v>96</v>
      </c>
      <c r="G51" s="133" t="s">
        <v>31</v>
      </c>
      <c r="H51" s="134">
        <v>-117.44</v>
      </c>
      <c r="I51" s="135">
        <v>1695.9199999999998</v>
      </c>
      <c r="J51" s="126">
        <f>ROUND(I51*H51,2)</f>
        <v>-199168.84</v>
      </c>
      <c r="K51" s="93" t="s">
        <v>217</v>
      </c>
      <c r="L51" s="334">
        <f t="shared" si="0"/>
        <v>-199168.84</v>
      </c>
      <c r="M51" s="335"/>
    </row>
    <row r="52" spans="1:13" ht="17.25" customHeight="1">
      <c r="A52" s="196"/>
      <c r="B52" s="140"/>
      <c r="C52" s="196"/>
      <c r="D52" s="174"/>
      <c r="E52" s="197"/>
      <c r="F52" s="170" t="s">
        <v>159</v>
      </c>
      <c r="G52" s="198"/>
      <c r="H52" s="199"/>
      <c r="I52" s="200"/>
      <c r="J52" s="198"/>
      <c r="K52" s="201"/>
      <c r="L52" s="334"/>
      <c r="M52" s="335"/>
    </row>
    <row r="53" spans="1:13" ht="17.25" customHeight="1">
      <c r="A53" s="196"/>
      <c r="B53" s="140"/>
      <c r="C53" s="196"/>
      <c r="D53" s="174"/>
      <c r="E53" s="197"/>
      <c r="F53" s="170" t="s">
        <v>160</v>
      </c>
      <c r="G53" s="198"/>
      <c r="H53" s="199"/>
      <c r="I53" s="200"/>
      <c r="J53" s="198"/>
      <c r="K53" s="201"/>
      <c r="L53" s="334"/>
      <c r="M53" s="335"/>
    </row>
    <row r="54" spans="1:15" ht="17.25" customHeight="1">
      <c r="A54" s="159"/>
      <c r="B54" s="116"/>
      <c r="C54" s="159"/>
      <c r="D54" s="160" t="s">
        <v>18</v>
      </c>
      <c r="E54" s="166">
        <v>5</v>
      </c>
      <c r="F54" s="166" t="s">
        <v>97</v>
      </c>
      <c r="G54" s="162"/>
      <c r="H54" s="162"/>
      <c r="I54" s="163"/>
      <c r="J54" s="167">
        <f>SUM(J55:J73)</f>
        <v>42927.530625</v>
      </c>
      <c r="K54" s="165"/>
      <c r="L54" s="334"/>
      <c r="M54" s="335"/>
      <c r="O54" s="117">
        <f>SUM(L55:M73)</f>
        <v>42927.530625</v>
      </c>
    </row>
    <row r="55" spans="1:15" ht="36.75" customHeight="1">
      <c r="A55" s="159"/>
      <c r="B55" s="116"/>
      <c r="C55" s="168" t="s">
        <v>286</v>
      </c>
      <c r="D55" s="120" t="s">
        <v>23</v>
      </c>
      <c r="E55" s="121" t="s">
        <v>105</v>
      </c>
      <c r="F55" s="122" t="s">
        <v>106</v>
      </c>
      <c r="G55" s="123" t="s">
        <v>24</v>
      </c>
      <c r="H55" s="124">
        <v>-10.65</v>
      </c>
      <c r="I55" s="125">
        <v>349.04</v>
      </c>
      <c r="J55" s="126">
        <f>ROUND(I55*H55,2)</f>
        <v>-3717.28</v>
      </c>
      <c r="K55" s="165"/>
      <c r="L55" s="334">
        <f>J55</f>
        <v>-3717.28</v>
      </c>
      <c r="M55" s="335"/>
      <c r="O55" s="117"/>
    </row>
    <row r="56" spans="1:15" ht="17.25" customHeight="1">
      <c r="A56" s="159"/>
      <c r="B56" s="116"/>
      <c r="C56" s="202"/>
      <c r="D56" s="203" t="s">
        <v>26</v>
      </c>
      <c r="E56" s="204" t="s">
        <v>27</v>
      </c>
      <c r="F56" s="205" t="s">
        <v>330</v>
      </c>
      <c r="G56" s="206"/>
      <c r="H56" s="207"/>
      <c r="I56" s="206"/>
      <c r="J56" s="206"/>
      <c r="K56" s="165"/>
      <c r="L56" s="334"/>
      <c r="M56" s="335"/>
      <c r="O56" s="117"/>
    </row>
    <row r="57" spans="1:15" ht="17.25" customHeight="1">
      <c r="A57" s="159"/>
      <c r="B57" s="116"/>
      <c r="C57" s="202"/>
      <c r="D57" s="203" t="s">
        <v>26</v>
      </c>
      <c r="E57" s="204" t="s">
        <v>27</v>
      </c>
      <c r="F57" s="205" t="s">
        <v>287</v>
      </c>
      <c r="G57" s="206"/>
      <c r="H57" s="207"/>
      <c r="I57" s="206"/>
      <c r="J57" s="206"/>
      <c r="K57" s="165"/>
      <c r="L57" s="334"/>
      <c r="M57" s="335"/>
      <c r="O57" s="117"/>
    </row>
    <row r="58" spans="1:15" ht="17.25" customHeight="1">
      <c r="A58" s="159"/>
      <c r="B58" s="116"/>
      <c r="C58" s="208" t="s">
        <v>107</v>
      </c>
      <c r="D58" s="141" t="s">
        <v>64</v>
      </c>
      <c r="E58" s="142" t="s">
        <v>108</v>
      </c>
      <c r="F58" s="143" t="s">
        <v>109</v>
      </c>
      <c r="G58" s="144" t="s">
        <v>24</v>
      </c>
      <c r="H58" s="145">
        <f>-10.65*1.05</f>
        <v>-11.182500000000001</v>
      </c>
      <c r="I58" s="146">
        <v>369.75</v>
      </c>
      <c r="J58" s="146">
        <f>H58*I58</f>
        <v>-4134.729375000001</v>
      </c>
      <c r="K58" s="165"/>
      <c r="L58" s="334">
        <f>J58</f>
        <v>-4134.729375000001</v>
      </c>
      <c r="M58" s="335"/>
      <c r="O58" s="117"/>
    </row>
    <row r="59" spans="1:15" ht="17.25" customHeight="1">
      <c r="A59" s="159"/>
      <c r="B59" s="116"/>
      <c r="C59" s="209"/>
      <c r="D59" s="203" t="s">
        <v>26</v>
      </c>
      <c r="E59" s="210" t="s">
        <v>27</v>
      </c>
      <c r="F59" s="211" t="s">
        <v>288</v>
      </c>
      <c r="G59" s="212"/>
      <c r="H59" s="210" t="s">
        <v>27</v>
      </c>
      <c r="I59" s="212"/>
      <c r="J59" s="212"/>
      <c r="K59" s="165"/>
      <c r="L59" s="334"/>
      <c r="M59" s="335"/>
      <c r="O59" s="117"/>
    </row>
    <row r="60" spans="1:13" ht="28.5" customHeight="1">
      <c r="A60" s="159"/>
      <c r="B60" s="116"/>
      <c r="C60" s="168" t="s">
        <v>263</v>
      </c>
      <c r="D60" s="120" t="s">
        <v>23</v>
      </c>
      <c r="E60" s="121" t="s">
        <v>264</v>
      </c>
      <c r="F60" s="122" t="s">
        <v>265</v>
      </c>
      <c r="G60" s="123" t="s">
        <v>33</v>
      </c>
      <c r="H60" s="124">
        <f>-118.05+66.1+46.2+8.6+6+11.4+3.2</f>
        <v>23.45</v>
      </c>
      <c r="I60" s="125">
        <v>283.97</v>
      </c>
      <c r="J60" s="126">
        <f>ROUND(I60*H60,2)</f>
        <v>6659.1</v>
      </c>
      <c r="K60" s="93" t="s">
        <v>217</v>
      </c>
      <c r="L60" s="334"/>
      <c r="M60" s="335">
        <f>J60</f>
        <v>6659.1</v>
      </c>
    </row>
    <row r="61" spans="1:13" ht="17.25" customHeight="1">
      <c r="A61" s="159"/>
      <c r="B61" s="116"/>
      <c r="C61" s="159"/>
      <c r="D61" s="160"/>
      <c r="E61" s="166"/>
      <c r="F61" s="170" t="s">
        <v>280</v>
      </c>
      <c r="G61" s="162"/>
      <c r="H61" s="162"/>
      <c r="I61" s="163"/>
      <c r="J61" s="167"/>
      <c r="K61" s="165"/>
      <c r="L61" s="334"/>
      <c r="M61" s="335"/>
    </row>
    <row r="62" spans="1:13" ht="17.25" customHeight="1">
      <c r="A62" s="159"/>
      <c r="B62" s="116"/>
      <c r="C62" s="159"/>
      <c r="D62" s="160"/>
      <c r="E62" s="166"/>
      <c r="F62" s="170" t="s">
        <v>284</v>
      </c>
      <c r="G62" s="162"/>
      <c r="H62" s="162"/>
      <c r="I62" s="163"/>
      <c r="J62" s="167"/>
      <c r="K62" s="165"/>
      <c r="L62" s="334"/>
      <c r="M62" s="335"/>
    </row>
    <row r="63" spans="1:13" ht="17.25" customHeight="1">
      <c r="A63" s="159"/>
      <c r="B63" s="116"/>
      <c r="C63" s="159"/>
      <c r="D63" s="160"/>
      <c r="E63" s="166"/>
      <c r="F63" s="170" t="s">
        <v>283</v>
      </c>
      <c r="G63" s="162"/>
      <c r="H63" s="162"/>
      <c r="I63" s="163"/>
      <c r="J63" s="167"/>
      <c r="K63" s="165"/>
      <c r="L63" s="334"/>
      <c r="M63" s="335"/>
    </row>
    <row r="64" spans="1:13" ht="17.25" customHeight="1">
      <c r="A64" s="159"/>
      <c r="B64" s="116"/>
      <c r="C64" s="159"/>
      <c r="D64" s="160"/>
      <c r="E64" s="166"/>
      <c r="F64" s="170" t="s">
        <v>285</v>
      </c>
      <c r="G64" s="162"/>
      <c r="H64" s="162"/>
      <c r="I64" s="163"/>
      <c r="J64" s="167"/>
      <c r="K64" s="165"/>
      <c r="L64" s="334"/>
      <c r="M64" s="335"/>
    </row>
    <row r="65" spans="1:13" ht="17.25" customHeight="1">
      <c r="A65" s="159"/>
      <c r="B65" s="116"/>
      <c r="C65" s="159"/>
      <c r="D65" s="160"/>
      <c r="E65" s="166"/>
      <c r="F65" s="170" t="s">
        <v>281</v>
      </c>
      <c r="G65" s="162"/>
      <c r="H65" s="162"/>
      <c r="I65" s="163"/>
      <c r="J65" s="167"/>
      <c r="K65" s="165"/>
      <c r="L65" s="334"/>
      <c r="M65" s="335"/>
    </row>
    <row r="66" spans="1:13" ht="17.25" customHeight="1">
      <c r="A66" s="159"/>
      <c r="B66" s="116"/>
      <c r="C66" s="159"/>
      <c r="D66" s="160"/>
      <c r="E66" s="166"/>
      <c r="F66" s="170" t="s">
        <v>282</v>
      </c>
      <c r="G66" s="162"/>
      <c r="H66" s="162"/>
      <c r="I66" s="163"/>
      <c r="J66" s="167"/>
      <c r="K66" s="165"/>
      <c r="L66" s="334"/>
      <c r="M66" s="335"/>
    </row>
    <row r="67" spans="1:13" ht="17.25" customHeight="1">
      <c r="A67" s="159"/>
      <c r="B67" s="116"/>
      <c r="C67" s="159"/>
      <c r="D67" s="160"/>
      <c r="E67" s="166"/>
      <c r="F67" s="170" t="s">
        <v>315</v>
      </c>
      <c r="G67" s="162"/>
      <c r="H67" s="162"/>
      <c r="I67" s="163"/>
      <c r="J67" s="167"/>
      <c r="K67" s="165"/>
      <c r="L67" s="334"/>
      <c r="M67" s="335"/>
    </row>
    <row r="68" spans="1:65" ht="17.25" customHeight="1">
      <c r="A68" s="365"/>
      <c r="B68" s="119"/>
      <c r="C68" s="208" t="s">
        <v>267</v>
      </c>
      <c r="D68" s="141" t="s">
        <v>64</v>
      </c>
      <c r="E68" s="142" t="s">
        <v>268</v>
      </c>
      <c r="F68" s="143" t="s">
        <v>269</v>
      </c>
      <c r="G68" s="144" t="s">
        <v>33</v>
      </c>
      <c r="H68" s="145">
        <f>23.45*1.05</f>
        <v>24.6225</v>
      </c>
      <c r="I68" s="146">
        <v>124.24</v>
      </c>
      <c r="J68" s="82">
        <f>ROUND(I68*H68,2)</f>
        <v>3059.1</v>
      </c>
      <c r="K68" s="213"/>
      <c r="L68" s="334"/>
      <c r="M68" s="335">
        <f>J68</f>
        <v>3059.1</v>
      </c>
      <c r="O68" s="117"/>
      <c r="X68" s="118"/>
      <c r="Y68" s="118"/>
      <c r="Z68" s="118"/>
      <c r="AA68" s="118"/>
      <c r="AB68" s="118"/>
      <c r="AC68" s="118"/>
      <c r="AD68" s="118"/>
      <c r="AE68" s="118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 t="s">
        <v>36</v>
      </c>
      <c r="AS68" s="127"/>
      <c r="AT68" s="128" t="s">
        <v>64</v>
      </c>
      <c r="AU68" s="128" t="s">
        <v>28</v>
      </c>
      <c r="AV68" s="127"/>
      <c r="AW68" s="127"/>
      <c r="AX68" s="127"/>
      <c r="AY68" s="129" t="s">
        <v>270</v>
      </c>
      <c r="AZ68" s="127"/>
      <c r="BA68" s="127"/>
      <c r="BB68" s="127"/>
      <c r="BC68" s="127"/>
      <c r="BD68" s="127"/>
      <c r="BE68" s="130">
        <v>15399.92</v>
      </c>
      <c r="BF68" s="130">
        <v>0</v>
      </c>
      <c r="BG68" s="130">
        <v>0</v>
      </c>
      <c r="BH68" s="130">
        <v>0</v>
      </c>
      <c r="BI68" s="130">
        <v>0</v>
      </c>
      <c r="BJ68" s="129" t="s">
        <v>21</v>
      </c>
      <c r="BK68" s="130">
        <v>15399.92</v>
      </c>
      <c r="BL68" s="129" t="s">
        <v>30</v>
      </c>
      <c r="BM68" s="128" t="s">
        <v>271</v>
      </c>
    </row>
    <row r="69" spans="1:13" ht="25.5" customHeight="1">
      <c r="A69" s="353"/>
      <c r="B69" s="115"/>
      <c r="C69" s="214"/>
      <c r="D69" s="215"/>
      <c r="E69" s="216" t="s">
        <v>243</v>
      </c>
      <c r="F69" s="217" t="s">
        <v>244</v>
      </c>
      <c r="G69" s="218" t="s">
        <v>24</v>
      </c>
      <c r="H69" s="219">
        <f>31.9*0.6+20.35*0.6</f>
        <v>31.349999999999998</v>
      </c>
      <c r="I69" s="135">
        <v>343</v>
      </c>
      <c r="J69" s="126">
        <f>ROUND(I69*H69,2)</f>
        <v>10753.05</v>
      </c>
      <c r="K69" s="220" t="s">
        <v>256</v>
      </c>
      <c r="L69" s="334"/>
      <c r="M69" s="335">
        <f>J69</f>
        <v>10753.05</v>
      </c>
    </row>
    <row r="70" spans="1:13" ht="17.25" customHeight="1">
      <c r="A70" s="182"/>
      <c r="B70" s="137"/>
      <c r="C70" s="182"/>
      <c r="D70" s="174"/>
      <c r="E70" s="183"/>
      <c r="F70" s="184" t="s">
        <v>262</v>
      </c>
      <c r="G70" s="185"/>
      <c r="H70" s="186"/>
      <c r="I70" s="187"/>
      <c r="J70" s="185"/>
      <c r="K70" s="188"/>
      <c r="L70" s="334"/>
      <c r="M70" s="335"/>
    </row>
    <row r="71" spans="1:13" ht="17.25" customHeight="1">
      <c r="A71" s="182"/>
      <c r="B71" s="137"/>
      <c r="C71" s="182"/>
      <c r="D71" s="174"/>
      <c r="E71" s="183"/>
      <c r="F71" s="184" t="s">
        <v>261</v>
      </c>
      <c r="G71" s="185"/>
      <c r="H71" s="186"/>
      <c r="I71" s="187"/>
      <c r="J71" s="185"/>
      <c r="K71" s="188"/>
      <c r="L71" s="334"/>
      <c r="M71" s="335"/>
    </row>
    <row r="72" spans="1:13" ht="25.5" customHeight="1">
      <c r="A72" s="353"/>
      <c r="B72" s="115"/>
      <c r="C72" s="214"/>
      <c r="D72" s="215"/>
      <c r="E72" s="216" t="s">
        <v>246</v>
      </c>
      <c r="F72" s="217" t="s">
        <v>245</v>
      </c>
      <c r="G72" s="218" t="s">
        <v>24</v>
      </c>
      <c r="H72" s="219">
        <f>31.35*1.05</f>
        <v>32.917500000000004</v>
      </c>
      <c r="I72" s="135">
        <v>445</v>
      </c>
      <c r="J72" s="126">
        <f>ROUND(I72*H72,2)</f>
        <v>14648.29</v>
      </c>
      <c r="K72" s="220" t="s">
        <v>256</v>
      </c>
      <c r="L72" s="334"/>
      <c r="M72" s="335">
        <f>J72</f>
        <v>14648.29</v>
      </c>
    </row>
    <row r="73" spans="1:13" ht="25.5" customHeight="1">
      <c r="A73" s="353"/>
      <c r="B73" s="115"/>
      <c r="C73" s="214"/>
      <c r="D73" s="215"/>
      <c r="E73" s="216" t="s">
        <v>229</v>
      </c>
      <c r="F73" s="217" t="s">
        <v>247</v>
      </c>
      <c r="G73" s="218" t="s">
        <v>146</v>
      </c>
      <c r="H73" s="219">
        <f>31.85+20.35</f>
        <v>52.2</v>
      </c>
      <c r="I73" s="135">
        <v>300</v>
      </c>
      <c r="J73" s="126">
        <f>ROUND(I73*H73,2)</f>
        <v>15660</v>
      </c>
      <c r="K73" s="220" t="s">
        <v>102</v>
      </c>
      <c r="L73" s="334"/>
      <c r="M73" s="335">
        <f>J73</f>
        <v>15660</v>
      </c>
    </row>
    <row r="74" spans="1:15" ht="17.25" customHeight="1">
      <c r="A74" s="159"/>
      <c r="B74" s="116"/>
      <c r="C74" s="159"/>
      <c r="D74" s="160" t="s">
        <v>18</v>
      </c>
      <c r="E74" s="166" t="s">
        <v>103</v>
      </c>
      <c r="F74" s="166" t="s">
        <v>104</v>
      </c>
      <c r="G74" s="162"/>
      <c r="H74" s="162"/>
      <c r="I74" s="163"/>
      <c r="J74" s="167">
        <f>SUM(J75:J80)</f>
        <v>3934.64</v>
      </c>
      <c r="K74" s="165"/>
      <c r="L74" s="334"/>
      <c r="M74" s="335"/>
      <c r="O74" s="117">
        <f>SUM(L75:M79)</f>
        <v>3934.64</v>
      </c>
    </row>
    <row r="75" spans="1:13" ht="17.25" customHeight="1">
      <c r="A75" s="353"/>
      <c r="B75" s="115"/>
      <c r="C75" s="189" t="s">
        <v>107</v>
      </c>
      <c r="D75" s="77" t="s">
        <v>64</v>
      </c>
      <c r="E75" s="76" t="s">
        <v>108</v>
      </c>
      <c r="F75" s="78" t="s">
        <v>109</v>
      </c>
      <c r="G75" s="79" t="s">
        <v>24</v>
      </c>
      <c r="H75" s="80">
        <v>36.22</v>
      </c>
      <c r="I75" s="81">
        <v>369.75</v>
      </c>
      <c r="J75" s="82">
        <f>ROUND(I75*H75,2)</f>
        <v>13392.35</v>
      </c>
      <c r="K75" s="93" t="s">
        <v>217</v>
      </c>
      <c r="L75" s="334"/>
      <c r="M75" s="335">
        <f aca="true" t="shared" si="1" ref="M75:M115">J75</f>
        <v>13392.35</v>
      </c>
    </row>
    <row r="76" spans="1:13" ht="17.25" customHeight="1">
      <c r="A76" s="353"/>
      <c r="B76" s="115"/>
      <c r="C76" s="189"/>
      <c r="D76" s="77"/>
      <c r="E76" s="76"/>
      <c r="F76" s="78" t="s">
        <v>228</v>
      </c>
      <c r="G76" s="79"/>
      <c r="H76" s="80"/>
      <c r="I76" s="81"/>
      <c r="J76" s="82"/>
      <c r="K76" s="93"/>
      <c r="L76" s="334"/>
      <c r="M76" s="335"/>
    </row>
    <row r="77" spans="1:13" ht="33" customHeight="1">
      <c r="A77" s="353"/>
      <c r="B77" s="115"/>
      <c r="C77" s="171" t="s">
        <v>111</v>
      </c>
      <c r="D77" s="131" t="s">
        <v>23</v>
      </c>
      <c r="E77" s="132" t="s">
        <v>112</v>
      </c>
      <c r="F77" s="138" t="s">
        <v>113</v>
      </c>
      <c r="G77" s="133" t="s">
        <v>33</v>
      </c>
      <c r="H77" s="134">
        <v>-21.8</v>
      </c>
      <c r="I77" s="135">
        <v>406.23199999999997</v>
      </c>
      <c r="J77" s="126">
        <f>ROUND(I77*H77,2)</f>
        <v>-8855.86</v>
      </c>
      <c r="K77" s="93" t="s">
        <v>217</v>
      </c>
      <c r="L77" s="334">
        <f t="shared" si="0"/>
        <v>-8855.86</v>
      </c>
      <c r="M77" s="335"/>
    </row>
    <row r="78" spans="1:13" ht="17.25" customHeight="1">
      <c r="A78" s="182"/>
      <c r="B78" s="137"/>
      <c r="C78" s="182"/>
      <c r="D78" s="174"/>
      <c r="E78" s="183"/>
      <c r="F78" s="184" t="s">
        <v>220</v>
      </c>
      <c r="G78" s="185"/>
      <c r="H78" s="186"/>
      <c r="I78" s="187"/>
      <c r="J78" s="185"/>
      <c r="K78" s="188"/>
      <c r="L78" s="334"/>
      <c r="M78" s="335"/>
    </row>
    <row r="79" spans="1:13" ht="17.25" customHeight="1">
      <c r="A79" s="353"/>
      <c r="B79" s="115"/>
      <c r="C79" s="171" t="s">
        <v>114</v>
      </c>
      <c r="D79" s="131" t="s">
        <v>23</v>
      </c>
      <c r="E79" s="132" t="s">
        <v>115</v>
      </c>
      <c r="F79" s="138" t="s">
        <v>116</v>
      </c>
      <c r="G79" s="133" t="s">
        <v>33</v>
      </c>
      <c r="H79" s="134">
        <v>-21.8</v>
      </c>
      <c r="I79" s="135">
        <v>27.608</v>
      </c>
      <c r="J79" s="126">
        <f>ROUND(I79*H79,2)</f>
        <v>-601.85</v>
      </c>
      <c r="K79" s="93" t="s">
        <v>217</v>
      </c>
      <c r="L79" s="334">
        <f t="shared" si="0"/>
        <v>-601.85</v>
      </c>
      <c r="M79" s="335"/>
    </row>
    <row r="80" spans="1:13" ht="17.25" customHeight="1">
      <c r="A80" s="182"/>
      <c r="B80" s="137"/>
      <c r="C80" s="182"/>
      <c r="D80" s="174"/>
      <c r="E80" s="183"/>
      <c r="F80" s="184" t="s">
        <v>220</v>
      </c>
      <c r="G80" s="185"/>
      <c r="H80" s="186"/>
      <c r="I80" s="187"/>
      <c r="J80" s="185"/>
      <c r="K80" s="188"/>
      <c r="L80" s="334"/>
      <c r="M80" s="335"/>
    </row>
    <row r="81" spans="1:15" ht="17.25" customHeight="1">
      <c r="A81" s="159"/>
      <c r="B81" s="116"/>
      <c r="C81" s="159"/>
      <c r="D81" s="160" t="s">
        <v>18</v>
      </c>
      <c r="E81" s="166" t="s">
        <v>37</v>
      </c>
      <c r="F81" s="166" t="s">
        <v>117</v>
      </c>
      <c r="G81" s="162"/>
      <c r="H81" s="162"/>
      <c r="I81" s="163"/>
      <c r="J81" s="167">
        <f>SUM(J82:J94)</f>
        <v>76752.68</v>
      </c>
      <c r="K81" s="165"/>
      <c r="L81" s="334"/>
      <c r="M81" s="335"/>
      <c r="O81" s="117">
        <f>SUM(L82:M94)</f>
        <v>76752.68</v>
      </c>
    </row>
    <row r="82" spans="1:13" ht="25.5" customHeight="1">
      <c r="A82" s="353"/>
      <c r="B82" s="115"/>
      <c r="C82" s="171" t="s">
        <v>121</v>
      </c>
      <c r="D82" s="131" t="s">
        <v>23</v>
      </c>
      <c r="E82" s="132" t="s">
        <v>122</v>
      </c>
      <c r="F82" s="138" t="s">
        <v>123</v>
      </c>
      <c r="G82" s="133" t="s">
        <v>31</v>
      </c>
      <c r="H82" s="134">
        <v>5.712</v>
      </c>
      <c r="I82" s="135">
        <v>6300.54</v>
      </c>
      <c r="J82" s="126">
        <f>ROUND(I82*H82,2)</f>
        <v>35988.68</v>
      </c>
      <c r="K82" s="93" t="s">
        <v>217</v>
      </c>
      <c r="L82" s="334"/>
      <c r="M82" s="335">
        <f t="shared" si="1"/>
        <v>35988.68</v>
      </c>
    </row>
    <row r="83" spans="1:13" ht="17.25" customHeight="1">
      <c r="A83" s="182"/>
      <c r="B83" s="137"/>
      <c r="C83" s="182"/>
      <c r="D83" s="174"/>
      <c r="E83" s="183"/>
      <c r="F83" s="184" t="s">
        <v>255</v>
      </c>
      <c r="G83" s="185"/>
      <c r="H83" s="186"/>
      <c r="I83" s="187"/>
      <c r="J83" s="185"/>
      <c r="K83" s="188"/>
      <c r="L83" s="334"/>
      <c r="M83" s="335"/>
    </row>
    <row r="84" spans="1:13" ht="25.5" customHeight="1">
      <c r="A84" s="353"/>
      <c r="B84" s="115"/>
      <c r="C84" s="214"/>
      <c r="D84" s="215"/>
      <c r="E84" s="221" t="s">
        <v>231</v>
      </c>
      <c r="F84" s="217" t="s">
        <v>237</v>
      </c>
      <c r="G84" s="218" t="s">
        <v>118</v>
      </c>
      <c r="H84" s="219">
        <v>2</v>
      </c>
      <c r="I84" s="135">
        <v>1500</v>
      </c>
      <c r="J84" s="126">
        <f>ROUND(I84*H84,2)</f>
        <v>3000</v>
      </c>
      <c r="K84" s="220" t="s">
        <v>102</v>
      </c>
      <c r="L84" s="334"/>
      <c r="M84" s="335">
        <f>J84</f>
        <v>3000</v>
      </c>
    </row>
    <row r="85" spans="1:13" ht="25.5" customHeight="1">
      <c r="A85" s="353"/>
      <c r="B85" s="115"/>
      <c r="C85" s="214"/>
      <c r="D85" s="215"/>
      <c r="E85" s="216" t="s">
        <v>238</v>
      </c>
      <c r="F85" s="217" t="s">
        <v>239</v>
      </c>
      <c r="G85" s="218" t="s">
        <v>118</v>
      </c>
      <c r="H85" s="219">
        <v>1</v>
      </c>
      <c r="I85" s="135">
        <v>524</v>
      </c>
      <c r="J85" s="126">
        <f>ROUND(I85*H85,2)</f>
        <v>524</v>
      </c>
      <c r="K85" s="220" t="s">
        <v>256</v>
      </c>
      <c r="L85" s="334"/>
      <c r="M85" s="335">
        <f aca="true" t="shared" si="2" ref="M85:M88">J85</f>
        <v>524</v>
      </c>
    </row>
    <row r="86" spans="1:13" ht="25.5" customHeight="1">
      <c r="A86" s="353"/>
      <c r="B86" s="115"/>
      <c r="C86" s="214"/>
      <c r="D86" s="215"/>
      <c r="E86" s="221" t="s">
        <v>232</v>
      </c>
      <c r="F86" s="217" t="s">
        <v>240</v>
      </c>
      <c r="G86" s="218" t="s">
        <v>118</v>
      </c>
      <c r="H86" s="219">
        <v>1</v>
      </c>
      <c r="I86" s="135">
        <v>3500</v>
      </c>
      <c r="J86" s="126">
        <f>ROUND(I86*H86,2)</f>
        <v>3500</v>
      </c>
      <c r="K86" s="220" t="s">
        <v>102</v>
      </c>
      <c r="L86" s="334"/>
      <c r="M86" s="335">
        <f t="shared" si="2"/>
        <v>3500</v>
      </c>
    </row>
    <row r="87" spans="1:13" ht="25.5" customHeight="1">
      <c r="A87" s="353"/>
      <c r="B87" s="115"/>
      <c r="C87" s="214"/>
      <c r="D87" s="215"/>
      <c r="E87" s="221" t="s">
        <v>242</v>
      </c>
      <c r="F87" s="217" t="s">
        <v>241</v>
      </c>
      <c r="G87" s="218" t="s">
        <v>118</v>
      </c>
      <c r="H87" s="219">
        <v>1</v>
      </c>
      <c r="I87" s="135">
        <v>5000</v>
      </c>
      <c r="J87" s="126">
        <f>ROUND(I87*H87,2)</f>
        <v>5000</v>
      </c>
      <c r="K87" s="220" t="s">
        <v>102</v>
      </c>
      <c r="L87" s="334"/>
      <c r="M87" s="335">
        <f t="shared" si="2"/>
        <v>5000</v>
      </c>
    </row>
    <row r="88" spans="1:13" ht="25.5" customHeight="1">
      <c r="A88" s="353"/>
      <c r="B88" s="115"/>
      <c r="C88" s="214"/>
      <c r="D88" s="215"/>
      <c r="E88" s="221" t="s">
        <v>299</v>
      </c>
      <c r="F88" s="217" t="s">
        <v>241</v>
      </c>
      <c r="G88" s="218" t="s">
        <v>118</v>
      </c>
      <c r="H88" s="219">
        <v>1</v>
      </c>
      <c r="I88" s="135">
        <v>5000</v>
      </c>
      <c r="J88" s="126">
        <f>ROUND(I88*H88,2)</f>
        <v>5000</v>
      </c>
      <c r="K88" s="220" t="s">
        <v>102</v>
      </c>
      <c r="L88" s="334"/>
      <c r="M88" s="335">
        <f t="shared" si="2"/>
        <v>5000</v>
      </c>
    </row>
    <row r="89" spans="1:13" ht="17.25" customHeight="1">
      <c r="A89" s="173"/>
      <c r="B89" s="136"/>
      <c r="C89" s="173"/>
      <c r="D89" s="174" t="s">
        <v>26</v>
      </c>
      <c r="E89" s="175" t="s">
        <v>27</v>
      </c>
      <c r="F89" s="176" t="s">
        <v>221</v>
      </c>
      <c r="G89" s="177"/>
      <c r="H89" s="175" t="s">
        <v>27</v>
      </c>
      <c r="I89" s="178"/>
      <c r="J89" s="177"/>
      <c r="K89" s="179"/>
      <c r="L89" s="334"/>
      <c r="M89" s="335"/>
    </row>
    <row r="90" spans="1:13" ht="17.25" customHeight="1">
      <c r="A90" s="173"/>
      <c r="B90" s="136"/>
      <c r="C90" s="168" t="s">
        <v>289</v>
      </c>
      <c r="D90" s="120" t="s">
        <v>23</v>
      </c>
      <c r="E90" s="121" t="s">
        <v>290</v>
      </c>
      <c r="F90" s="122" t="s">
        <v>291</v>
      </c>
      <c r="G90" s="123" t="s">
        <v>118</v>
      </c>
      <c r="H90" s="124">
        <v>-1</v>
      </c>
      <c r="I90" s="125">
        <v>99760</v>
      </c>
      <c r="J90" s="125">
        <f>H90*I90</f>
        <v>-99760</v>
      </c>
      <c r="K90" s="179"/>
      <c r="L90" s="334">
        <f>J90</f>
        <v>-99760</v>
      </c>
      <c r="M90" s="335"/>
    </row>
    <row r="91" spans="1:13" ht="17.25" customHeight="1">
      <c r="A91" s="173"/>
      <c r="B91" s="136"/>
      <c r="C91" s="173"/>
      <c r="D91" s="174"/>
      <c r="E91" s="175"/>
      <c r="F91" s="184" t="s">
        <v>292</v>
      </c>
      <c r="G91" s="177"/>
      <c r="H91" s="175"/>
      <c r="I91" s="178"/>
      <c r="J91" s="177"/>
      <c r="K91" s="179"/>
      <c r="L91" s="334"/>
      <c r="M91" s="335"/>
    </row>
    <row r="92" spans="1:13" ht="25.5" customHeight="1">
      <c r="A92" s="353"/>
      <c r="B92" s="115"/>
      <c r="C92" s="214" t="s">
        <v>293</v>
      </c>
      <c r="D92" s="215" t="s">
        <v>23</v>
      </c>
      <c r="E92" s="221" t="s">
        <v>298</v>
      </c>
      <c r="F92" s="217" t="s">
        <v>294</v>
      </c>
      <c r="G92" s="218" t="s">
        <v>118</v>
      </c>
      <c r="H92" s="219">
        <v>1</v>
      </c>
      <c r="I92" s="135">
        <v>19200</v>
      </c>
      <c r="J92" s="126">
        <f>ROUND(I92*H92,2)</f>
        <v>19200</v>
      </c>
      <c r="K92" s="220" t="s">
        <v>102</v>
      </c>
      <c r="L92" s="334"/>
      <c r="M92" s="335">
        <f>J92</f>
        <v>19200</v>
      </c>
    </row>
    <row r="93" spans="1:13" ht="17.25" customHeight="1">
      <c r="A93" s="173"/>
      <c r="B93" s="136"/>
      <c r="C93" s="173"/>
      <c r="D93" s="174"/>
      <c r="E93" s="175"/>
      <c r="F93" s="184" t="s">
        <v>292</v>
      </c>
      <c r="G93" s="177"/>
      <c r="H93" s="175"/>
      <c r="I93" s="178"/>
      <c r="J93" s="177"/>
      <c r="K93" s="179"/>
      <c r="L93" s="334"/>
      <c r="M93" s="335"/>
    </row>
    <row r="94" spans="1:13" ht="25.5" customHeight="1">
      <c r="A94" s="353"/>
      <c r="B94" s="115"/>
      <c r="C94" s="214" t="s">
        <v>295</v>
      </c>
      <c r="D94" s="215" t="s">
        <v>23</v>
      </c>
      <c r="E94" s="221" t="s">
        <v>300</v>
      </c>
      <c r="F94" s="217" t="s">
        <v>296</v>
      </c>
      <c r="G94" s="218" t="s">
        <v>24</v>
      </c>
      <c r="H94" s="219">
        <v>10</v>
      </c>
      <c r="I94" s="135">
        <v>10430</v>
      </c>
      <c r="J94" s="126">
        <f>ROUND(I94*H94,2)</f>
        <v>104300</v>
      </c>
      <c r="K94" s="220" t="s">
        <v>102</v>
      </c>
      <c r="L94" s="334"/>
      <c r="M94" s="335">
        <f>J94</f>
        <v>104300</v>
      </c>
    </row>
    <row r="95" spans="1:13" ht="17.25" customHeight="1">
      <c r="A95" s="173"/>
      <c r="B95" s="136"/>
      <c r="C95" s="222"/>
      <c r="D95" s="147"/>
      <c r="E95" s="148"/>
      <c r="F95" s="184" t="s">
        <v>297</v>
      </c>
      <c r="G95" s="149"/>
      <c r="H95" s="150"/>
      <c r="I95" s="151"/>
      <c r="J95" s="152"/>
      <c r="K95" s="179"/>
      <c r="L95" s="334"/>
      <c r="M95" s="335"/>
    </row>
    <row r="96" spans="1:13" ht="17.25" customHeight="1">
      <c r="A96" s="173"/>
      <c r="B96" s="136"/>
      <c r="C96" s="222"/>
      <c r="D96" s="147"/>
      <c r="E96" s="148"/>
      <c r="F96" s="148"/>
      <c r="G96" s="149"/>
      <c r="H96" s="150"/>
      <c r="I96" s="151"/>
      <c r="J96" s="152"/>
      <c r="K96" s="179"/>
      <c r="L96" s="334"/>
      <c r="M96" s="335"/>
    </row>
    <row r="97" spans="1:15" ht="17.25" customHeight="1">
      <c r="A97" s="159"/>
      <c r="B97" s="116"/>
      <c r="C97" s="159"/>
      <c r="D97" s="160" t="s">
        <v>18</v>
      </c>
      <c r="E97" s="166" t="s">
        <v>127</v>
      </c>
      <c r="F97" s="166" t="s">
        <v>128</v>
      </c>
      <c r="G97" s="162"/>
      <c r="H97" s="162"/>
      <c r="I97" s="163"/>
      <c r="J97" s="167">
        <f>SUM(J98:J101)</f>
        <v>25887.22</v>
      </c>
      <c r="K97" s="165"/>
      <c r="L97" s="334"/>
      <c r="M97" s="335"/>
      <c r="O97" s="117">
        <f>SUM(L98:M101)</f>
        <v>25887.22</v>
      </c>
    </row>
    <row r="98" spans="1:13" ht="33" customHeight="1">
      <c r="A98" s="353"/>
      <c r="B98" s="115"/>
      <c r="C98" s="171" t="s">
        <v>129</v>
      </c>
      <c r="D98" s="131" t="s">
        <v>23</v>
      </c>
      <c r="E98" s="132" t="s">
        <v>130</v>
      </c>
      <c r="F98" s="138" t="s">
        <v>131</v>
      </c>
      <c r="G98" s="133" t="s">
        <v>57</v>
      </c>
      <c r="H98" s="134">
        <v>11.995</v>
      </c>
      <c r="I98" s="135">
        <v>1587.4599999999998</v>
      </c>
      <c r="J98" s="126">
        <f>ROUND(I98*H98,2)</f>
        <v>19041.58</v>
      </c>
      <c r="K98" s="93" t="s">
        <v>217</v>
      </c>
      <c r="L98" s="334"/>
      <c r="M98" s="335">
        <f t="shared" si="1"/>
        <v>19041.58</v>
      </c>
    </row>
    <row r="99" spans="1:13" ht="17.25" customHeight="1">
      <c r="A99" s="182"/>
      <c r="B99" s="137"/>
      <c r="C99" s="182"/>
      <c r="D99" s="174" t="s">
        <v>26</v>
      </c>
      <c r="E99" s="183" t="s">
        <v>27</v>
      </c>
      <c r="F99" s="184" t="s">
        <v>216</v>
      </c>
      <c r="G99" s="185"/>
      <c r="H99" s="186"/>
      <c r="I99" s="187"/>
      <c r="J99" s="185"/>
      <c r="K99" s="188"/>
      <c r="L99" s="334"/>
      <c r="M99" s="335"/>
    </row>
    <row r="100" spans="1:13" ht="26.25" customHeight="1">
      <c r="A100" s="353"/>
      <c r="B100" s="115"/>
      <c r="C100" s="171" t="s">
        <v>134</v>
      </c>
      <c r="D100" s="131" t="s">
        <v>23</v>
      </c>
      <c r="E100" s="132" t="s">
        <v>135</v>
      </c>
      <c r="F100" s="138" t="s">
        <v>136</v>
      </c>
      <c r="G100" s="133" t="s">
        <v>57</v>
      </c>
      <c r="H100" s="134">
        <v>11.995</v>
      </c>
      <c r="I100" s="135">
        <v>227.766</v>
      </c>
      <c r="J100" s="126">
        <f>ROUND(I100*H100,2)</f>
        <v>2732.05</v>
      </c>
      <c r="K100" s="93" t="s">
        <v>217</v>
      </c>
      <c r="L100" s="334"/>
      <c r="M100" s="335">
        <f t="shared" si="1"/>
        <v>2732.05</v>
      </c>
    </row>
    <row r="101" spans="1:13" ht="33" customHeight="1">
      <c r="A101" s="353"/>
      <c r="B101" s="115"/>
      <c r="C101" s="171" t="s">
        <v>137</v>
      </c>
      <c r="D101" s="131" t="s">
        <v>23</v>
      </c>
      <c r="E101" s="132" t="s">
        <v>138</v>
      </c>
      <c r="F101" s="138" t="s">
        <v>139</v>
      </c>
      <c r="G101" s="133" t="s">
        <v>57</v>
      </c>
      <c r="H101" s="134">
        <f>11.995*19</f>
        <v>227.90499999999997</v>
      </c>
      <c r="I101" s="135">
        <v>18.049599999999998</v>
      </c>
      <c r="J101" s="126">
        <f>ROUND(I101*H101,2)</f>
        <v>4113.59</v>
      </c>
      <c r="K101" s="93" t="s">
        <v>217</v>
      </c>
      <c r="L101" s="334"/>
      <c r="M101" s="335">
        <f t="shared" si="1"/>
        <v>4113.59</v>
      </c>
    </row>
    <row r="102" spans="1:13" ht="17.25" customHeight="1">
      <c r="A102" s="159"/>
      <c r="B102" s="116"/>
      <c r="C102" s="159"/>
      <c r="D102" s="160" t="s">
        <v>18</v>
      </c>
      <c r="E102" s="161" t="s">
        <v>142</v>
      </c>
      <c r="F102" s="161" t="s">
        <v>143</v>
      </c>
      <c r="G102" s="162"/>
      <c r="H102" s="162"/>
      <c r="I102" s="163"/>
      <c r="J102" s="164">
        <f>J103</f>
        <v>135514</v>
      </c>
      <c r="K102" s="165"/>
      <c r="L102" s="334"/>
      <c r="M102" s="335"/>
    </row>
    <row r="103" spans="1:15" ht="17.25" customHeight="1">
      <c r="A103" s="159"/>
      <c r="B103" s="116"/>
      <c r="C103" s="159"/>
      <c r="D103" s="160" t="s">
        <v>18</v>
      </c>
      <c r="E103" s="166" t="s">
        <v>144</v>
      </c>
      <c r="F103" s="166" t="s">
        <v>145</v>
      </c>
      <c r="G103" s="162"/>
      <c r="H103" s="162"/>
      <c r="I103" s="163"/>
      <c r="J103" s="167">
        <f>SUM(J104:J115)</f>
        <v>135514</v>
      </c>
      <c r="K103" s="165"/>
      <c r="L103" s="334"/>
      <c r="M103" s="335"/>
      <c r="O103" s="117">
        <f>SUM(L104:M115)</f>
        <v>135514</v>
      </c>
    </row>
    <row r="104" spans="1:18" ht="42" customHeight="1">
      <c r="A104" s="353"/>
      <c r="B104" s="115"/>
      <c r="C104" s="214"/>
      <c r="D104" s="215"/>
      <c r="E104" s="221" t="s">
        <v>301</v>
      </c>
      <c r="F104" s="153" t="s">
        <v>230</v>
      </c>
      <c r="G104" s="133" t="s">
        <v>146</v>
      </c>
      <c r="H104" s="134">
        <v>68.45</v>
      </c>
      <c r="I104" s="135">
        <v>650</v>
      </c>
      <c r="J104" s="126">
        <f aca="true" t="shared" si="3" ref="J104:J115">ROUND(I104*H104,2)</f>
        <v>44492.5</v>
      </c>
      <c r="K104" s="220" t="s">
        <v>102</v>
      </c>
      <c r="L104" s="334"/>
      <c r="M104" s="335">
        <f t="shared" si="1"/>
        <v>44492.5</v>
      </c>
      <c r="R104" s="117"/>
    </row>
    <row r="105" spans="1:13" ht="21" customHeight="1">
      <c r="A105" s="353"/>
      <c r="B105" s="115"/>
      <c r="C105" s="214"/>
      <c r="D105" s="215"/>
      <c r="E105" s="216"/>
      <c r="F105" s="184" t="s">
        <v>233</v>
      </c>
      <c r="G105" s="133"/>
      <c r="H105" s="186">
        <v>68.45</v>
      </c>
      <c r="I105" s="135"/>
      <c r="J105" s="126"/>
      <c r="K105" s="220"/>
      <c r="L105" s="334"/>
      <c r="M105" s="335"/>
    </row>
    <row r="106" spans="1:13" ht="41.25" customHeight="1">
      <c r="A106" s="353"/>
      <c r="B106" s="115"/>
      <c r="C106" s="214"/>
      <c r="D106" s="215"/>
      <c r="E106" s="221" t="s">
        <v>302</v>
      </c>
      <c r="F106" s="153" t="s">
        <v>234</v>
      </c>
      <c r="G106" s="133" t="s">
        <v>146</v>
      </c>
      <c r="H106" s="134">
        <v>5.9</v>
      </c>
      <c r="I106" s="135">
        <v>650</v>
      </c>
      <c r="J106" s="126">
        <f t="shared" si="3"/>
        <v>3835</v>
      </c>
      <c r="K106" s="220" t="s">
        <v>102</v>
      </c>
      <c r="L106" s="334"/>
      <c r="M106" s="335">
        <f t="shared" si="1"/>
        <v>3835</v>
      </c>
    </row>
    <row r="107" spans="1:13" ht="17.25" customHeight="1">
      <c r="A107" s="353"/>
      <c r="B107" s="115"/>
      <c r="C107" s="214"/>
      <c r="D107" s="215"/>
      <c r="E107" s="216"/>
      <c r="F107" s="184" t="s">
        <v>235</v>
      </c>
      <c r="G107" s="133"/>
      <c r="H107" s="134"/>
      <c r="I107" s="135"/>
      <c r="J107" s="126"/>
      <c r="K107" s="220"/>
      <c r="L107" s="334"/>
      <c r="M107" s="335"/>
    </row>
    <row r="108" spans="1:13" ht="41.25" customHeight="1">
      <c r="A108" s="353"/>
      <c r="B108" s="115"/>
      <c r="C108" s="214"/>
      <c r="D108" s="215"/>
      <c r="E108" s="221" t="s">
        <v>328</v>
      </c>
      <c r="F108" s="153" t="s">
        <v>251</v>
      </c>
      <c r="G108" s="133" t="s">
        <v>146</v>
      </c>
      <c r="H108" s="134">
        <v>25.65</v>
      </c>
      <c r="I108" s="135">
        <v>1170</v>
      </c>
      <c r="J108" s="126">
        <f t="shared" si="3"/>
        <v>30010.5</v>
      </c>
      <c r="K108" s="220" t="s">
        <v>102</v>
      </c>
      <c r="L108" s="334"/>
      <c r="M108" s="335">
        <f t="shared" si="1"/>
        <v>30010.5</v>
      </c>
    </row>
    <row r="109" spans="1:13" ht="17.25" customHeight="1">
      <c r="A109" s="353"/>
      <c r="B109" s="115"/>
      <c r="C109" s="214"/>
      <c r="D109" s="215"/>
      <c r="E109" s="216"/>
      <c r="F109" s="184" t="s">
        <v>250</v>
      </c>
      <c r="G109" s="133"/>
      <c r="H109" s="134"/>
      <c r="I109" s="135"/>
      <c r="J109" s="126"/>
      <c r="K109" s="220"/>
      <c r="L109" s="334"/>
      <c r="M109" s="335"/>
    </row>
    <row r="110" spans="1:13" ht="17.25" customHeight="1">
      <c r="A110" s="353"/>
      <c r="B110" s="115"/>
      <c r="C110" s="214"/>
      <c r="D110" s="215"/>
      <c r="E110" s="216"/>
      <c r="F110" s="184" t="s">
        <v>253</v>
      </c>
      <c r="G110" s="133"/>
      <c r="H110" s="134"/>
      <c r="I110" s="135"/>
      <c r="J110" s="126"/>
      <c r="K110" s="220"/>
      <c r="L110" s="334"/>
      <c r="M110" s="335"/>
    </row>
    <row r="111" spans="1:13" ht="41.25" customHeight="1">
      <c r="A111" s="353"/>
      <c r="B111" s="115"/>
      <c r="C111" s="214"/>
      <c r="D111" s="215"/>
      <c r="E111" s="221" t="s">
        <v>329</v>
      </c>
      <c r="F111" s="153" t="s">
        <v>249</v>
      </c>
      <c r="G111" s="133" t="s">
        <v>146</v>
      </c>
      <c r="H111" s="134">
        <f>25.65+2.7</f>
        <v>28.349999999999998</v>
      </c>
      <c r="I111" s="135">
        <v>1000</v>
      </c>
      <c r="J111" s="126">
        <f aca="true" t="shared" si="4" ref="J111">ROUND(I111*H111,2)</f>
        <v>28350</v>
      </c>
      <c r="K111" s="220" t="s">
        <v>102</v>
      </c>
      <c r="L111" s="334"/>
      <c r="M111" s="335">
        <f aca="true" t="shared" si="5" ref="M111">J111</f>
        <v>28350</v>
      </c>
    </row>
    <row r="112" spans="1:13" ht="17.25" customHeight="1">
      <c r="A112" s="353"/>
      <c r="B112" s="115"/>
      <c r="C112" s="214"/>
      <c r="D112" s="215"/>
      <c r="E112" s="216"/>
      <c r="F112" s="184" t="s">
        <v>252</v>
      </c>
      <c r="G112" s="133"/>
      <c r="H112" s="134"/>
      <c r="I112" s="135"/>
      <c r="J112" s="126"/>
      <c r="K112" s="220"/>
      <c r="L112" s="334"/>
      <c r="M112" s="335"/>
    </row>
    <row r="113" spans="1:13" ht="41.25" customHeight="1">
      <c r="A113" s="353"/>
      <c r="B113" s="115"/>
      <c r="C113" s="171" t="s">
        <v>147</v>
      </c>
      <c r="D113" s="131" t="s">
        <v>23</v>
      </c>
      <c r="E113" s="132" t="s">
        <v>148</v>
      </c>
      <c r="F113" s="138" t="s">
        <v>149</v>
      </c>
      <c r="G113" s="133" t="s">
        <v>146</v>
      </c>
      <c r="H113" s="134">
        <v>2.7</v>
      </c>
      <c r="I113" s="135">
        <v>6380</v>
      </c>
      <c r="J113" s="126">
        <f t="shared" si="3"/>
        <v>17226</v>
      </c>
      <c r="K113" s="93" t="s">
        <v>217</v>
      </c>
      <c r="L113" s="334"/>
      <c r="M113" s="335">
        <f t="shared" si="1"/>
        <v>17226</v>
      </c>
    </row>
    <row r="114" spans="1:13" ht="17.25" customHeight="1">
      <c r="A114" s="353"/>
      <c r="B114" s="115"/>
      <c r="C114" s="214"/>
      <c r="D114" s="215"/>
      <c r="E114" s="216"/>
      <c r="F114" s="184" t="s">
        <v>236</v>
      </c>
      <c r="G114" s="133"/>
      <c r="H114" s="134"/>
      <c r="I114" s="135"/>
      <c r="J114" s="126"/>
      <c r="K114" s="220"/>
      <c r="L114" s="334"/>
      <c r="M114" s="335"/>
    </row>
    <row r="115" spans="1:13" ht="33" customHeight="1">
      <c r="A115" s="353"/>
      <c r="B115" s="115"/>
      <c r="C115" s="171" t="s">
        <v>150</v>
      </c>
      <c r="D115" s="131" t="s">
        <v>23</v>
      </c>
      <c r="E115" s="132" t="s">
        <v>151</v>
      </c>
      <c r="F115" s="138" t="s">
        <v>152</v>
      </c>
      <c r="G115" s="133" t="s">
        <v>118</v>
      </c>
      <c r="H115" s="134">
        <v>1</v>
      </c>
      <c r="I115" s="135">
        <v>11600</v>
      </c>
      <c r="J115" s="126">
        <f t="shared" si="3"/>
        <v>11600</v>
      </c>
      <c r="K115" s="93" t="s">
        <v>217</v>
      </c>
      <c r="L115" s="334"/>
      <c r="M115" s="335">
        <f t="shared" si="1"/>
        <v>11600</v>
      </c>
    </row>
    <row r="116" spans="1:13" ht="15">
      <c r="A116" s="353"/>
      <c r="B116" s="154"/>
      <c r="C116" s="223"/>
      <c r="D116" s="224"/>
      <c r="E116" s="224"/>
      <c r="F116" s="224"/>
      <c r="G116" s="224"/>
      <c r="H116" s="224"/>
      <c r="I116" s="224"/>
      <c r="J116" s="224"/>
      <c r="K116" s="225"/>
      <c r="L116" s="355"/>
      <c r="M116" s="356"/>
    </row>
    <row r="117" spans="1:15" ht="15">
      <c r="A117" s="366"/>
      <c r="B117" s="355"/>
      <c r="C117" s="355"/>
      <c r="D117" s="355"/>
      <c r="E117" s="355"/>
      <c r="F117" s="355"/>
      <c r="G117" s="355"/>
      <c r="H117" s="355"/>
      <c r="I117" s="355"/>
      <c r="J117" s="334"/>
      <c r="K117" s="355"/>
      <c r="L117" s="355"/>
      <c r="M117" s="356"/>
      <c r="O117" s="117">
        <f>L118+M118</f>
        <v>-1687.8393749999814</v>
      </c>
    </row>
    <row r="118" spans="1:13" s="347" customFormat="1" ht="15">
      <c r="A118" s="367"/>
      <c r="B118" s="368"/>
      <c r="C118" s="368"/>
      <c r="D118" s="368"/>
      <c r="E118" s="368"/>
      <c r="F118" s="368"/>
      <c r="G118" s="368"/>
      <c r="H118" s="368"/>
      <c r="I118" s="368"/>
      <c r="J118" s="368"/>
      <c r="K118" s="368" t="s">
        <v>215</v>
      </c>
      <c r="L118" s="345">
        <f>SUM(L21:L115)</f>
        <v>-404484.279375</v>
      </c>
      <c r="M118" s="346">
        <f>SUM(M19:M115)</f>
        <v>402796.44</v>
      </c>
    </row>
    <row r="125" ht="15">
      <c r="M125" s="117"/>
    </row>
  </sheetData>
  <mergeCells count="2">
    <mergeCell ref="E6:H6"/>
    <mergeCell ref="E8:H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view="pageBreakPreview" zoomScaleSheetLayoutView="100" workbookViewId="0" topLeftCell="B30">
      <selection activeCell="F21" sqref="F21"/>
    </sheetView>
  </sheetViews>
  <sheetFormatPr defaultColWidth="9.140625" defaultRowHeight="15"/>
  <cols>
    <col min="1" max="1" width="7.140625" style="29" hidden="1" customWidth="1"/>
    <col min="2" max="2" width="0.9921875" style="29" customWidth="1"/>
    <col min="3" max="3" width="3.57421875" style="29" customWidth="1"/>
    <col min="4" max="4" width="3.7109375" style="29" customWidth="1"/>
    <col min="5" max="5" width="14.7109375" style="29" customWidth="1"/>
    <col min="6" max="6" width="86.421875" style="29" customWidth="1"/>
    <col min="7" max="7" width="6.421875" style="29" customWidth="1"/>
    <col min="8" max="8" width="12.00390625" style="29" customWidth="1"/>
    <col min="9" max="9" width="13.57421875" style="29" customWidth="1"/>
    <col min="10" max="11" width="19.140625" style="29" customWidth="1"/>
    <col min="12" max="16384" width="9.140625" style="29" customWidth="1"/>
  </cols>
  <sheetData>
    <row r="2" spans="2:11" s="30" customFormat="1" ht="6.95" customHeight="1"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2:11" s="30" customFormat="1" ht="24.95" customHeight="1">
      <c r="B3" s="49"/>
      <c r="C3" s="1" t="s">
        <v>161</v>
      </c>
      <c r="K3" s="50"/>
    </row>
    <row r="4" spans="2:11" s="30" customFormat="1" ht="6.95" customHeight="1">
      <c r="B4" s="49"/>
      <c r="K4" s="50"/>
    </row>
    <row r="5" spans="2:11" s="30" customFormat="1" ht="10.35" customHeight="1">
      <c r="B5" s="49"/>
      <c r="K5" s="50"/>
    </row>
    <row r="6" spans="2:11" s="33" customFormat="1" ht="29.25" customHeight="1">
      <c r="B6" s="51"/>
      <c r="C6" s="31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13</v>
      </c>
      <c r="I6" s="32" t="s">
        <v>14</v>
      </c>
      <c r="J6" s="32" t="s">
        <v>15</v>
      </c>
      <c r="K6" s="52" t="s">
        <v>16</v>
      </c>
    </row>
    <row r="7" spans="2:11" s="30" customFormat="1" ht="22.9" customHeight="1">
      <c r="B7" s="49"/>
      <c r="C7" s="2" t="s">
        <v>17</v>
      </c>
      <c r="J7" s="3">
        <f>J8</f>
        <v>-87066.93</v>
      </c>
      <c r="K7" s="50"/>
    </row>
    <row r="8" spans="2:11" s="4" customFormat="1" ht="25.9" customHeight="1">
      <c r="B8" s="53"/>
      <c r="D8" s="5" t="s">
        <v>18</v>
      </c>
      <c r="E8" s="6" t="s">
        <v>19</v>
      </c>
      <c r="F8" s="6" t="s">
        <v>20</v>
      </c>
      <c r="I8" s="7"/>
      <c r="J8" s="8">
        <f>J9+J26+J28+J39+J41+J45</f>
        <v>-87066.93</v>
      </c>
      <c r="K8" s="54"/>
    </row>
    <row r="9" spans="2:11" s="4" customFormat="1" ht="22.9" customHeight="1">
      <c r="B9" s="53"/>
      <c r="D9" s="5" t="s">
        <v>18</v>
      </c>
      <c r="E9" s="9" t="s">
        <v>21</v>
      </c>
      <c r="F9" s="9" t="s">
        <v>22</v>
      </c>
      <c r="I9" s="7"/>
      <c r="J9" s="10">
        <f>SUM(J10:J25)</f>
        <v>-16092.27</v>
      </c>
      <c r="K9" s="54"/>
    </row>
    <row r="10" spans="2:11" s="30" customFormat="1" ht="33" customHeight="1">
      <c r="B10" s="49"/>
      <c r="C10" s="11" t="s">
        <v>28</v>
      </c>
      <c r="D10" s="11" t="s">
        <v>23</v>
      </c>
      <c r="E10" s="12" t="s">
        <v>162</v>
      </c>
      <c r="F10" s="13" t="s">
        <v>163</v>
      </c>
      <c r="G10" s="14" t="s">
        <v>24</v>
      </c>
      <c r="H10" s="15">
        <v>-8.925</v>
      </c>
      <c r="I10" s="34">
        <v>29.481399999999997</v>
      </c>
      <c r="J10" s="16">
        <f aca="true" t="shared" si="0" ref="J10:J19">ROUND(I10*H10,2)</f>
        <v>-263.12</v>
      </c>
      <c r="K10" s="55" t="s">
        <v>25</v>
      </c>
    </row>
    <row r="11" spans="2:11" s="30" customFormat="1" ht="36">
      <c r="B11" s="49"/>
      <c r="C11" s="11" t="s">
        <v>29</v>
      </c>
      <c r="D11" s="11" t="s">
        <v>23</v>
      </c>
      <c r="E11" s="12" t="s">
        <v>164</v>
      </c>
      <c r="F11" s="13" t="s">
        <v>165</v>
      </c>
      <c r="G11" s="14" t="s">
        <v>24</v>
      </c>
      <c r="H11" s="15">
        <v>-8.925</v>
      </c>
      <c r="I11" s="34">
        <v>71.47919999999999</v>
      </c>
      <c r="J11" s="16">
        <f t="shared" si="0"/>
        <v>-637.95</v>
      </c>
      <c r="K11" s="55" t="s">
        <v>25</v>
      </c>
    </row>
    <row r="12" spans="2:11" s="30" customFormat="1" ht="24">
      <c r="B12" s="49"/>
      <c r="C12" s="11" t="s">
        <v>30</v>
      </c>
      <c r="D12" s="11" t="s">
        <v>23</v>
      </c>
      <c r="E12" s="12" t="s">
        <v>40</v>
      </c>
      <c r="F12" s="13" t="s">
        <v>41</v>
      </c>
      <c r="G12" s="14" t="s">
        <v>31</v>
      </c>
      <c r="H12" s="15">
        <v>-1</v>
      </c>
      <c r="I12" s="34">
        <v>1114.1799999999998</v>
      </c>
      <c r="J12" s="16">
        <f t="shared" si="0"/>
        <v>-1114.18</v>
      </c>
      <c r="K12" s="55" t="s">
        <v>42</v>
      </c>
    </row>
    <row r="13" spans="2:11" s="30" customFormat="1" ht="24">
      <c r="B13" s="49"/>
      <c r="C13" s="11" t="s">
        <v>32</v>
      </c>
      <c r="D13" s="11" t="s">
        <v>23</v>
      </c>
      <c r="E13" s="12" t="s">
        <v>166</v>
      </c>
      <c r="F13" s="13" t="s">
        <v>167</v>
      </c>
      <c r="G13" s="14" t="s">
        <v>31</v>
      </c>
      <c r="H13" s="15">
        <v>-3.386</v>
      </c>
      <c r="I13" s="34">
        <v>1114.1799999999998</v>
      </c>
      <c r="J13" s="16">
        <f t="shared" si="0"/>
        <v>-3772.61</v>
      </c>
      <c r="K13" s="55" t="s">
        <v>25</v>
      </c>
    </row>
    <row r="14" spans="2:11" s="30" customFormat="1" ht="21.75" customHeight="1">
      <c r="B14" s="49"/>
      <c r="C14" s="11" t="s">
        <v>34</v>
      </c>
      <c r="D14" s="11" t="s">
        <v>23</v>
      </c>
      <c r="E14" s="12" t="s">
        <v>168</v>
      </c>
      <c r="F14" s="13" t="s">
        <v>169</v>
      </c>
      <c r="G14" s="14" t="s">
        <v>24</v>
      </c>
      <c r="H14" s="15">
        <v>-10.6</v>
      </c>
      <c r="I14" s="34">
        <v>137.054</v>
      </c>
      <c r="J14" s="16">
        <f t="shared" si="0"/>
        <v>-1452.77</v>
      </c>
      <c r="K14" s="55" t="s">
        <v>25</v>
      </c>
    </row>
    <row r="15" spans="2:11" s="30" customFormat="1" ht="24">
      <c r="B15" s="49"/>
      <c r="C15" s="11" t="s">
        <v>35</v>
      </c>
      <c r="D15" s="11" t="s">
        <v>23</v>
      </c>
      <c r="E15" s="12" t="s">
        <v>170</v>
      </c>
      <c r="F15" s="13" t="s">
        <v>171</v>
      </c>
      <c r="G15" s="14" t="s">
        <v>24</v>
      </c>
      <c r="H15" s="15">
        <v>-10.6</v>
      </c>
      <c r="I15" s="34">
        <v>81.7394</v>
      </c>
      <c r="J15" s="16">
        <f t="shared" si="0"/>
        <v>-866.44</v>
      </c>
      <c r="K15" s="55" t="s">
        <v>25</v>
      </c>
    </row>
    <row r="16" spans="2:11" s="30" customFormat="1" ht="36">
      <c r="B16" s="49"/>
      <c r="C16" s="11" t="s">
        <v>36</v>
      </c>
      <c r="D16" s="11" t="s">
        <v>23</v>
      </c>
      <c r="E16" s="12" t="s">
        <v>47</v>
      </c>
      <c r="F16" s="13" t="s">
        <v>48</v>
      </c>
      <c r="G16" s="14" t="s">
        <v>31</v>
      </c>
      <c r="H16" s="15">
        <v>-4.386</v>
      </c>
      <c r="I16" s="34">
        <v>278.05199999999996</v>
      </c>
      <c r="J16" s="16">
        <f t="shared" si="0"/>
        <v>-1219.54</v>
      </c>
      <c r="K16" s="55" t="s">
        <v>25</v>
      </c>
    </row>
    <row r="17" spans="2:11" s="30" customFormat="1" ht="24">
      <c r="B17" s="49"/>
      <c r="C17" s="11" t="s">
        <v>37</v>
      </c>
      <c r="D17" s="11" t="s">
        <v>23</v>
      </c>
      <c r="E17" s="12" t="s">
        <v>172</v>
      </c>
      <c r="F17" s="13" t="s">
        <v>173</v>
      </c>
      <c r="G17" s="14" t="s">
        <v>31</v>
      </c>
      <c r="H17" s="15">
        <v>-1</v>
      </c>
      <c r="I17" s="34">
        <v>159.73199999999997</v>
      </c>
      <c r="J17" s="16">
        <f t="shared" si="0"/>
        <v>-159.73</v>
      </c>
      <c r="K17" s="55" t="s">
        <v>25</v>
      </c>
    </row>
    <row r="18" spans="2:11" s="30" customFormat="1" ht="24">
      <c r="B18" s="49"/>
      <c r="C18" s="11" t="s">
        <v>38</v>
      </c>
      <c r="D18" s="11" t="s">
        <v>23</v>
      </c>
      <c r="E18" s="12" t="s">
        <v>52</v>
      </c>
      <c r="F18" s="13" t="s">
        <v>53</v>
      </c>
      <c r="G18" s="14" t="s">
        <v>31</v>
      </c>
      <c r="H18" s="15">
        <v>-4.386</v>
      </c>
      <c r="I18" s="34">
        <v>20.508799999999997</v>
      </c>
      <c r="J18" s="16">
        <f t="shared" si="0"/>
        <v>-89.95</v>
      </c>
      <c r="K18" s="55" t="s">
        <v>25</v>
      </c>
    </row>
    <row r="19" spans="2:11" s="30" customFormat="1" ht="24">
      <c r="B19" s="49"/>
      <c r="C19" s="11" t="s">
        <v>39</v>
      </c>
      <c r="D19" s="11" t="s">
        <v>23</v>
      </c>
      <c r="E19" s="12" t="s">
        <v>55</v>
      </c>
      <c r="F19" s="13" t="s">
        <v>56</v>
      </c>
      <c r="G19" s="14" t="s">
        <v>57</v>
      </c>
      <c r="H19" s="15">
        <v>-8.333</v>
      </c>
      <c r="I19" s="34">
        <v>266.79999999999995</v>
      </c>
      <c r="J19" s="16">
        <f t="shared" si="0"/>
        <v>-2223.24</v>
      </c>
      <c r="K19" s="55" t="s">
        <v>25</v>
      </c>
    </row>
    <row r="20" spans="2:11" s="18" customFormat="1" ht="15">
      <c r="B20" s="56"/>
      <c r="D20" s="17" t="s">
        <v>26</v>
      </c>
      <c r="E20" s="19" t="s">
        <v>27</v>
      </c>
      <c r="F20" s="57" t="s">
        <v>174</v>
      </c>
      <c r="H20" s="20">
        <v>-8.333</v>
      </c>
      <c r="I20" s="21"/>
      <c r="K20" s="58"/>
    </row>
    <row r="21" spans="2:11" s="30" customFormat="1" ht="24">
      <c r="B21" s="49"/>
      <c r="C21" s="11" t="s">
        <v>43</v>
      </c>
      <c r="D21" s="11" t="s">
        <v>23</v>
      </c>
      <c r="E21" s="12" t="s">
        <v>175</v>
      </c>
      <c r="F21" s="13" t="s">
        <v>176</v>
      </c>
      <c r="G21" s="14" t="s">
        <v>31</v>
      </c>
      <c r="H21" s="15">
        <v>-1.602</v>
      </c>
      <c r="I21" s="34">
        <v>157.76</v>
      </c>
      <c r="J21" s="16">
        <f>ROUND(I21*H21,2)</f>
        <v>-252.73</v>
      </c>
      <c r="K21" s="55" t="s">
        <v>25</v>
      </c>
    </row>
    <row r="22" spans="2:11" s="30" customFormat="1" ht="16.5" customHeight="1">
      <c r="B22" s="49"/>
      <c r="C22" s="22" t="s">
        <v>46</v>
      </c>
      <c r="D22" s="22" t="s">
        <v>64</v>
      </c>
      <c r="E22" s="23" t="s">
        <v>177</v>
      </c>
      <c r="F22" s="24" t="s">
        <v>178</v>
      </c>
      <c r="G22" s="25" t="s">
        <v>57</v>
      </c>
      <c r="H22" s="26">
        <v>-3.204</v>
      </c>
      <c r="I22" s="35">
        <v>564.978</v>
      </c>
      <c r="J22" s="27">
        <f>ROUND(I22*H22,2)</f>
        <v>-1810.19</v>
      </c>
      <c r="K22" s="59" t="s">
        <v>42</v>
      </c>
    </row>
    <row r="23" spans="2:11" s="30" customFormat="1" ht="36">
      <c r="B23" s="49"/>
      <c r="C23" s="11" t="s">
        <v>50</v>
      </c>
      <c r="D23" s="11" t="s">
        <v>23</v>
      </c>
      <c r="E23" s="12" t="s">
        <v>59</v>
      </c>
      <c r="F23" s="13" t="s">
        <v>60</v>
      </c>
      <c r="G23" s="14" t="s">
        <v>31</v>
      </c>
      <c r="H23" s="15">
        <v>-0.5</v>
      </c>
      <c r="I23" s="34">
        <v>591.5999999999999</v>
      </c>
      <c r="J23" s="16">
        <f>ROUND(I23*H23,2)</f>
        <v>-295.8</v>
      </c>
      <c r="K23" s="55" t="s">
        <v>25</v>
      </c>
    </row>
    <row r="24" spans="2:11" s="30" customFormat="1" ht="36">
      <c r="B24" s="49"/>
      <c r="C24" s="11" t="s">
        <v>51</v>
      </c>
      <c r="D24" s="11" t="s">
        <v>23</v>
      </c>
      <c r="E24" s="12" t="s">
        <v>68</v>
      </c>
      <c r="F24" s="13" t="s">
        <v>69</v>
      </c>
      <c r="G24" s="14" t="s">
        <v>31</v>
      </c>
      <c r="H24" s="15">
        <v>-1.588</v>
      </c>
      <c r="I24" s="34">
        <v>224.808</v>
      </c>
      <c r="J24" s="16">
        <f>ROUND(I24*H24,2)</f>
        <v>-357</v>
      </c>
      <c r="K24" s="55" t="s">
        <v>25</v>
      </c>
    </row>
    <row r="25" spans="2:11" s="30" customFormat="1" ht="16.5" customHeight="1">
      <c r="B25" s="49"/>
      <c r="C25" s="22" t="s">
        <v>54</v>
      </c>
      <c r="D25" s="22" t="s">
        <v>64</v>
      </c>
      <c r="E25" s="23" t="s">
        <v>65</v>
      </c>
      <c r="F25" s="24" t="s">
        <v>66</v>
      </c>
      <c r="G25" s="25" t="s">
        <v>57</v>
      </c>
      <c r="H25" s="26">
        <v>-4.176</v>
      </c>
      <c r="I25" s="35">
        <v>377.638</v>
      </c>
      <c r="J25" s="27">
        <f>ROUND(I25*H25,2)</f>
        <v>-1577.02</v>
      </c>
      <c r="K25" s="59" t="s">
        <v>25</v>
      </c>
    </row>
    <row r="26" spans="2:11" s="4" customFormat="1" ht="22.9" customHeight="1">
      <c r="B26" s="53"/>
      <c r="D26" s="5" t="s">
        <v>18</v>
      </c>
      <c r="E26" s="9" t="s">
        <v>32</v>
      </c>
      <c r="F26" s="9" t="s">
        <v>97</v>
      </c>
      <c r="I26" s="7"/>
      <c r="J26" s="10">
        <f>SUM(J27:J27)</f>
        <v>-3652.02</v>
      </c>
      <c r="K26" s="54"/>
    </row>
    <row r="27" spans="2:11" s="30" customFormat="1" ht="24">
      <c r="B27" s="49"/>
      <c r="C27" s="11" t="s">
        <v>61</v>
      </c>
      <c r="D27" s="11" t="s">
        <v>23</v>
      </c>
      <c r="E27" s="12" t="s">
        <v>179</v>
      </c>
      <c r="F27" s="13" t="s">
        <v>180</v>
      </c>
      <c r="G27" s="14" t="s">
        <v>24</v>
      </c>
      <c r="H27" s="15">
        <v>-8.925</v>
      </c>
      <c r="I27" s="34">
        <v>409.19</v>
      </c>
      <c r="J27" s="16">
        <f>ROUND(I27*H27,2)</f>
        <v>-3652.02</v>
      </c>
      <c r="K27" s="55" t="s">
        <v>25</v>
      </c>
    </row>
    <row r="28" spans="2:11" s="4" customFormat="1" ht="22.9" customHeight="1">
      <c r="B28" s="53"/>
      <c r="D28" s="5" t="s">
        <v>18</v>
      </c>
      <c r="E28" s="9" t="s">
        <v>36</v>
      </c>
      <c r="F28" s="9" t="s">
        <v>110</v>
      </c>
      <c r="I28" s="7"/>
      <c r="J28" s="10">
        <f>SUM(J29:J38)</f>
        <v>-35682.15</v>
      </c>
      <c r="K28" s="54"/>
    </row>
    <row r="29" spans="2:11" s="30" customFormat="1" ht="21.75" customHeight="1">
      <c r="B29" s="49"/>
      <c r="C29" s="11" t="s">
        <v>67</v>
      </c>
      <c r="D29" s="11" t="s">
        <v>23</v>
      </c>
      <c r="E29" s="12" t="s">
        <v>181</v>
      </c>
      <c r="F29" s="13" t="s">
        <v>182</v>
      </c>
      <c r="G29" s="14" t="s">
        <v>146</v>
      </c>
      <c r="H29" s="15">
        <v>-5.3</v>
      </c>
      <c r="I29" s="34">
        <v>812</v>
      </c>
      <c r="J29" s="16">
        <f aca="true" t="shared" si="1" ref="J29:J38">ROUND(I29*H29,2)</f>
        <v>-4303.6</v>
      </c>
      <c r="K29" s="55" t="s">
        <v>153</v>
      </c>
    </row>
    <row r="30" spans="2:11" s="30" customFormat="1" ht="16.5" customHeight="1">
      <c r="B30" s="49"/>
      <c r="C30" s="11" t="s">
        <v>70</v>
      </c>
      <c r="D30" s="11" t="s">
        <v>23</v>
      </c>
      <c r="E30" s="12" t="s">
        <v>183</v>
      </c>
      <c r="F30" s="13" t="s">
        <v>184</v>
      </c>
      <c r="G30" s="14" t="s">
        <v>126</v>
      </c>
      <c r="H30" s="15">
        <v>-1</v>
      </c>
      <c r="I30" s="34">
        <v>2320</v>
      </c>
      <c r="J30" s="16">
        <f t="shared" si="1"/>
        <v>-2320</v>
      </c>
      <c r="K30" s="55" t="s">
        <v>153</v>
      </c>
    </row>
    <row r="31" spans="2:11" s="30" customFormat="1" ht="16.5" customHeight="1">
      <c r="B31" s="49"/>
      <c r="C31" s="11" t="s">
        <v>73</v>
      </c>
      <c r="D31" s="11" t="s">
        <v>23</v>
      </c>
      <c r="E31" s="12" t="s">
        <v>185</v>
      </c>
      <c r="F31" s="13" t="s">
        <v>186</v>
      </c>
      <c r="G31" s="14" t="s">
        <v>126</v>
      </c>
      <c r="H31" s="15">
        <v>-1</v>
      </c>
      <c r="I31" s="34">
        <v>1739.9999999999998</v>
      </c>
      <c r="J31" s="16">
        <f t="shared" si="1"/>
        <v>-1740</v>
      </c>
      <c r="K31" s="55" t="s">
        <v>153</v>
      </c>
    </row>
    <row r="32" spans="2:11" s="30" customFormat="1" ht="24">
      <c r="B32" s="49"/>
      <c r="C32" s="11" t="s">
        <v>74</v>
      </c>
      <c r="D32" s="11" t="s">
        <v>23</v>
      </c>
      <c r="E32" s="12" t="s">
        <v>187</v>
      </c>
      <c r="F32" s="13" t="s">
        <v>188</v>
      </c>
      <c r="G32" s="14" t="s">
        <v>33</v>
      </c>
      <c r="H32" s="15">
        <v>-5.3</v>
      </c>
      <c r="I32" s="34">
        <v>13.2124</v>
      </c>
      <c r="J32" s="16">
        <f t="shared" si="1"/>
        <v>-70.03</v>
      </c>
      <c r="K32" s="55" t="s">
        <v>42</v>
      </c>
    </row>
    <row r="33" spans="2:11" s="30" customFormat="1" ht="24">
      <c r="B33" s="49"/>
      <c r="C33" s="11" t="s">
        <v>75</v>
      </c>
      <c r="D33" s="11" t="s">
        <v>23</v>
      </c>
      <c r="E33" s="12" t="s">
        <v>189</v>
      </c>
      <c r="F33" s="13" t="s">
        <v>190</v>
      </c>
      <c r="G33" s="14" t="s">
        <v>33</v>
      </c>
      <c r="H33" s="15">
        <v>-5.3</v>
      </c>
      <c r="I33" s="34">
        <v>203.11599999999999</v>
      </c>
      <c r="J33" s="16">
        <f t="shared" si="1"/>
        <v>-1076.51</v>
      </c>
      <c r="K33" s="55" t="s">
        <v>42</v>
      </c>
    </row>
    <row r="34" spans="2:11" s="30" customFormat="1" ht="24.2" customHeight="1">
      <c r="B34" s="49"/>
      <c r="C34" s="22" t="s">
        <v>76</v>
      </c>
      <c r="D34" s="22" t="s">
        <v>64</v>
      </c>
      <c r="E34" s="23" t="s">
        <v>191</v>
      </c>
      <c r="F34" s="24" t="s">
        <v>192</v>
      </c>
      <c r="G34" s="25" t="s">
        <v>33</v>
      </c>
      <c r="H34" s="26">
        <v>-6</v>
      </c>
      <c r="I34" s="35">
        <v>871.9836</v>
      </c>
      <c r="J34" s="27">
        <f t="shared" si="1"/>
        <v>-5231.9</v>
      </c>
      <c r="K34" s="59" t="s">
        <v>153</v>
      </c>
    </row>
    <row r="35" spans="2:11" s="30" customFormat="1" ht="16.5" customHeight="1">
      <c r="B35" s="49"/>
      <c r="C35" s="11" t="s">
        <v>77</v>
      </c>
      <c r="D35" s="11" t="s">
        <v>23</v>
      </c>
      <c r="E35" s="12" t="s">
        <v>193</v>
      </c>
      <c r="F35" s="13" t="s">
        <v>194</v>
      </c>
      <c r="G35" s="14" t="s">
        <v>118</v>
      </c>
      <c r="H35" s="15">
        <v>-1</v>
      </c>
      <c r="I35" s="34">
        <v>12127.8</v>
      </c>
      <c r="J35" s="16">
        <f t="shared" si="1"/>
        <v>-12127.8</v>
      </c>
      <c r="K35" s="55" t="s">
        <v>42</v>
      </c>
    </row>
    <row r="36" spans="2:11" s="30" customFormat="1" ht="16.5" customHeight="1">
      <c r="B36" s="49"/>
      <c r="C36" s="11" t="s">
        <v>78</v>
      </c>
      <c r="D36" s="11" t="s">
        <v>23</v>
      </c>
      <c r="E36" s="12" t="s">
        <v>115</v>
      </c>
      <c r="F36" s="13" t="s">
        <v>116</v>
      </c>
      <c r="G36" s="14" t="s">
        <v>33</v>
      </c>
      <c r="H36" s="15">
        <v>-5.3</v>
      </c>
      <c r="I36" s="34">
        <v>27.608</v>
      </c>
      <c r="J36" s="16">
        <f t="shared" si="1"/>
        <v>-146.32</v>
      </c>
      <c r="K36" s="55" t="s">
        <v>25</v>
      </c>
    </row>
    <row r="37" spans="2:11" s="30" customFormat="1" ht="24">
      <c r="B37" s="49"/>
      <c r="C37" s="11" t="s">
        <v>79</v>
      </c>
      <c r="D37" s="11" t="s">
        <v>23</v>
      </c>
      <c r="E37" s="12" t="s">
        <v>195</v>
      </c>
      <c r="F37" s="13" t="s">
        <v>196</v>
      </c>
      <c r="G37" s="14" t="s">
        <v>118</v>
      </c>
      <c r="H37" s="15">
        <v>-1</v>
      </c>
      <c r="I37" s="34">
        <v>8578.199999999999</v>
      </c>
      <c r="J37" s="16">
        <f t="shared" si="1"/>
        <v>-8578.2</v>
      </c>
      <c r="K37" s="55" t="s">
        <v>42</v>
      </c>
    </row>
    <row r="38" spans="2:11" s="30" customFormat="1" ht="16.5" customHeight="1">
      <c r="B38" s="49"/>
      <c r="C38" s="11" t="s">
        <v>81</v>
      </c>
      <c r="D38" s="11" t="s">
        <v>23</v>
      </c>
      <c r="E38" s="12" t="s">
        <v>197</v>
      </c>
      <c r="F38" s="13" t="s">
        <v>198</v>
      </c>
      <c r="G38" s="14" t="s">
        <v>33</v>
      </c>
      <c r="H38" s="15">
        <v>-5.3</v>
      </c>
      <c r="I38" s="34">
        <v>16.564799999999998</v>
      </c>
      <c r="J38" s="16">
        <f t="shared" si="1"/>
        <v>-87.79</v>
      </c>
      <c r="K38" s="55" t="s">
        <v>25</v>
      </c>
    </row>
    <row r="39" spans="2:11" s="4" customFormat="1" ht="22.9" customHeight="1">
      <c r="B39" s="53"/>
      <c r="D39" s="5" t="s">
        <v>18</v>
      </c>
      <c r="E39" s="9" t="s">
        <v>37</v>
      </c>
      <c r="F39" s="9" t="s">
        <v>117</v>
      </c>
      <c r="I39" s="7"/>
      <c r="J39" s="10">
        <f>J40</f>
        <v>-422.28</v>
      </c>
      <c r="K39" s="54"/>
    </row>
    <row r="40" spans="2:11" s="30" customFormat="1" ht="36">
      <c r="B40" s="49"/>
      <c r="C40" s="11" t="s">
        <v>84</v>
      </c>
      <c r="D40" s="11" t="s">
        <v>23</v>
      </c>
      <c r="E40" s="12" t="s">
        <v>199</v>
      </c>
      <c r="F40" s="13" t="s">
        <v>200</v>
      </c>
      <c r="G40" s="14" t="s">
        <v>24</v>
      </c>
      <c r="H40" s="15">
        <v>-12.9</v>
      </c>
      <c r="I40" s="34">
        <v>32.7352</v>
      </c>
      <c r="J40" s="16">
        <f>ROUND(I40*H40,2)</f>
        <v>-422.28</v>
      </c>
      <c r="K40" s="55" t="s">
        <v>42</v>
      </c>
    </row>
    <row r="41" spans="2:11" s="4" customFormat="1" ht="22.9" customHeight="1">
      <c r="B41" s="53"/>
      <c r="D41" s="5" t="s">
        <v>18</v>
      </c>
      <c r="E41" s="9" t="s">
        <v>127</v>
      </c>
      <c r="F41" s="9" t="s">
        <v>128</v>
      </c>
      <c r="I41" s="7"/>
      <c r="J41" s="10">
        <f>SUM(J42:J44)</f>
        <v>-24481.590000000004</v>
      </c>
      <c r="K41" s="54"/>
    </row>
    <row r="42" spans="2:11" s="30" customFormat="1" ht="24">
      <c r="B42" s="49"/>
      <c r="C42" s="11" t="s">
        <v>87</v>
      </c>
      <c r="D42" s="11" t="s">
        <v>23</v>
      </c>
      <c r="E42" s="12" t="s">
        <v>132</v>
      </c>
      <c r="F42" s="13" t="s">
        <v>133</v>
      </c>
      <c r="G42" s="14" t="s">
        <v>57</v>
      </c>
      <c r="H42" s="15">
        <v>-9.574</v>
      </c>
      <c r="I42" s="34">
        <v>1528.3</v>
      </c>
      <c r="J42" s="16">
        <f>ROUND(I42*H42,2)</f>
        <v>-14631.94</v>
      </c>
      <c r="K42" s="55" t="s">
        <v>25</v>
      </c>
    </row>
    <row r="43" spans="2:11" s="30" customFormat="1" ht="24">
      <c r="B43" s="49"/>
      <c r="C43" s="11" t="s">
        <v>90</v>
      </c>
      <c r="D43" s="11" t="s">
        <v>23</v>
      </c>
      <c r="E43" s="12" t="s">
        <v>201</v>
      </c>
      <c r="F43" s="13" t="s">
        <v>202</v>
      </c>
      <c r="G43" s="14" t="s">
        <v>57</v>
      </c>
      <c r="H43" s="15">
        <v>-9.574</v>
      </c>
      <c r="I43" s="34">
        <v>699.074</v>
      </c>
      <c r="J43" s="16">
        <f>ROUND(I43*H43,2)</f>
        <v>-6692.93</v>
      </c>
      <c r="K43" s="55" t="s">
        <v>25</v>
      </c>
    </row>
    <row r="44" spans="2:11" s="30" customFormat="1" ht="24">
      <c r="B44" s="49"/>
      <c r="C44" s="11" t="s">
        <v>93</v>
      </c>
      <c r="D44" s="11" t="s">
        <v>23</v>
      </c>
      <c r="E44" s="12" t="s">
        <v>203</v>
      </c>
      <c r="F44" s="13" t="s">
        <v>204</v>
      </c>
      <c r="G44" s="14" t="s">
        <v>57</v>
      </c>
      <c r="H44" s="15">
        <v>-181.906</v>
      </c>
      <c r="I44" s="34">
        <v>17.3536</v>
      </c>
      <c r="J44" s="16">
        <f>ROUND(I44*H44,2)</f>
        <v>-3156.72</v>
      </c>
      <c r="K44" s="55" t="s">
        <v>25</v>
      </c>
    </row>
    <row r="45" spans="2:11" s="4" customFormat="1" ht="22.9" customHeight="1">
      <c r="B45" s="53"/>
      <c r="D45" s="5" t="s">
        <v>18</v>
      </c>
      <c r="E45" s="9" t="s">
        <v>140</v>
      </c>
      <c r="F45" s="9" t="s">
        <v>141</v>
      </c>
      <c r="I45" s="7"/>
      <c r="J45" s="10">
        <f>J46+J48</f>
        <v>-6736.62</v>
      </c>
      <c r="K45" s="54"/>
    </row>
    <row r="46" spans="2:11" s="30" customFormat="1" ht="24">
      <c r="B46" s="49"/>
      <c r="C46" s="11" t="s">
        <v>94</v>
      </c>
      <c r="D46" s="11" t="s">
        <v>23</v>
      </c>
      <c r="E46" s="12" t="s">
        <v>205</v>
      </c>
      <c r="F46" s="13" t="s">
        <v>206</v>
      </c>
      <c r="G46" s="14" t="s">
        <v>57</v>
      </c>
      <c r="H46" s="15">
        <v>-21.288</v>
      </c>
      <c r="I46" s="34">
        <v>232.69599999999997</v>
      </c>
      <c r="J46" s="16">
        <f>ROUND(I46*H46,2)</f>
        <v>-4953.63</v>
      </c>
      <c r="K46" s="55" t="s">
        <v>25</v>
      </c>
    </row>
    <row r="47" spans="2:11" s="18" customFormat="1" ht="15">
      <c r="B47" s="56"/>
      <c r="D47" s="17" t="s">
        <v>26</v>
      </c>
      <c r="E47" s="19" t="s">
        <v>27</v>
      </c>
      <c r="F47" s="57" t="s">
        <v>207</v>
      </c>
      <c r="H47" s="20">
        <v>21.288</v>
      </c>
      <c r="I47" s="21"/>
      <c r="K47" s="58"/>
    </row>
    <row r="48" spans="2:11" s="30" customFormat="1" ht="24">
      <c r="B48" s="49"/>
      <c r="C48" s="11" t="s">
        <v>98</v>
      </c>
      <c r="D48" s="11" t="s">
        <v>23</v>
      </c>
      <c r="E48" s="12" t="s">
        <v>208</v>
      </c>
      <c r="F48" s="13" t="s">
        <v>209</v>
      </c>
      <c r="G48" s="14" t="s">
        <v>57</v>
      </c>
      <c r="H48" s="15">
        <v>-1.659</v>
      </c>
      <c r="I48" s="34">
        <v>1074.74</v>
      </c>
      <c r="J48" s="16">
        <f>ROUND(I48*H48,2)</f>
        <v>-1782.99</v>
      </c>
      <c r="K48" s="55" t="s">
        <v>25</v>
      </c>
    </row>
    <row r="49" spans="2:11" s="30" customFormat="1" ht="6.95" customHeight="1">
      <c r="B49" s="60"/>
      <c r="C49" s="61"/>
      <c r="D49" s="61"/>
      <c r="E49" s="61"/>
      <c r="F49" s="61"/>
      <c r="G49" s="61"/>
      <c r="H49" s="61"/>
      <c r="I49" s="61"/>
      <c r="J49" s="61"/>
      <c r="K49" s="62"/>
    </row>
    <row r="51" s="39" customFormat="1" ht="24" customHeight="1">
      <c r="J51" s="40">
        <f>J7</f>
        <v>-87066.93</v>
      </c>
    </row>
    <row r="52" ht="48" customHeight="1">
      <c r="F52" s="71" t="s">
        <v>248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view="pageBreakPreview" zoomScale="95" zoomScaleSheetLayoutView="95" workbookViewId="0" topLeftCell="B39">
      <selection activeCell="M54" sqref="A2:M54"/>
    </sheetView>
  </sheetViews>
  <sheetFormatPr defaultColWidth="9.140625" defaultRowHeight="15"/>
  <cols>
    <col min="1" max="1" width="7.140625" style="42" hidden="1" customWidth="1"/>
    <col min="2" max="2" width="0.9921875" style="42" customWidth="1"/>
    <col min="3" max="3" width="10.00390625" style="42" customWidth="1"/>
    <col min="4" max="4" width="3.7109375" style="42" customWidth="1"/>
    <col min="5" max="5" width="14.7109375" style="42" customWidth="1"/>
    <col min="6" max="6" width="86.421875" style="42" customWidth="1"/>
    <col min="7" max="7" width="6.421875" style="42" customWidth="1"/>
    <col min="8" max="8" width="12.00390625" style="44" customWidth="1"/>
    <col min="9" max="9" width="13.57421875" style="42" customWidth="1"/>
    <col min="10" max="11" width="19.140625" style="42" customWidth="1"/>
    <col min="12" max="12" width="14.421875" style="0" customWidth="1"/>
    <col min="13" max="13" width="17.8515625" style="0" customWidth="1"/>
    <col min="15" max="15" width="14.28125" style="0" customWidth="1"/>
    <col min="16" max="16384" width="9.140625" style="42" customWidth="1"/>
  </cols>
  <sheetData>
    <row r="2" spans="1:15" s="43" customFormat="1" ht="6.95" customHeight="1">
      <c r="A2" s="63"/>
      <c r="B2" s="63"/>
      <c r="C2" s="64"/>
      <c r="D2" s="64"/>
      <c r="E2" s="64"/>
      <c r="F2" s="64"/>
      <c r="G2" s="64"/>
      <c r="H2" s="65"/>
      <c r="I2" s="64"/>
      <c r="J2" s="64"/>
      <c r="K2" s="66"/>
      <c r="L2" s="319"/>
      <c r="M2" s="320"/>
      <c r="N2"/>
      <c r="O2"/>
    </row>
    <row r="3" spans="1:15" s="43" customFormat="1" ht="24.95" customHeight="1">
      <c r="A3" s="67"/>
      <c r="B3" s="67"/>
      <c r="C3" s="244" t="s">
        <v>161</v>
      </c>
      <c r="D3" s="245"/>
      <c r="E3" s="245"/>
      <c r="F3" s="245"/>
      <c r="G3" s="245"/>
      <c r="H3" s="68"/>
      <c r="I3" s="245"/>
      <c r="J3" s="245"/>
      <c r="K3" s="69"/>
      <c r="L3" s="287"/>
      <c r="M3" s="321"/>
      <c r="N3"/>
      <c r="O3"/>
    </row>
    <row r="4" spans="1:15" s="43" customFormat="1" ht="32.25" customHeight="1">
      <c r="A4" s="67"/>
      <c r="B4" s="67"/>
      <c r="C4" s="245"/>
      <c r="D4" s="245"/>
      <c r="E4" s="245"/>
      <c r="F4" s="245"/>
      <c r="G4" s="245"/>
      <c r="H4" s="68"/>
      <c r="I4" s="245"/>
      <c r="J4" s="245"/>
      <c r="K4" s="69"/>
      <c r="L4" s="287"/>
      <c r="M4" s="321"/>
      <c r="N4"/>
      <c r="O4"/>
    </row>
    <row r="5" spans="1:15" s="33" customFormat="1" ht="29.25" customHeight="1">
      <c r="A5" s="51"/>
      <c r="B5" s="51"/>
      <c r="C5" s="31" t="s">
        <v>8</v>
      </c>
      <c r="D5" s="32" t="s">
        <v>9</v>
      </c>
      <c r="E5" s="32" t="s">
        <v>10</v>
      </c>
      <c r="F5" s="32" t="s">
        <v>11</v>
      </c>
      <c r="G5" s="32" t="s">
        <v>12</v>
      </c>
      <c r="H5" s="45" t="s">
        <v>13</v>
      </c>
      <c r="I5" s="32" t="s">
        <v>14</v>
      </c>
      <c r="J5" s="32" t="s">
        <v>15</v>
      </c>
      <c r="K5" s="52" t="s">
        <v>16</v>
      </c>
      <c r="L5" s="287" t="s">
        <v>225</v>
      </c>
      <c r="M5" s="321" t="s">
        <v>226</v>
      </c>
      <c r="N5"/>
      <c r="O5"/>
    </row>
    <row r="6" spans="1:15" ht="15.75">
      <c r="A6" s="246"/>
      <c r="B6" s="246"/>
      <c r="C6" s="247" t="s">
        <v>17</v>
      </c>
      <c r="D6" s="248"/>
      <c r="E6" s="248"/>
      <c r="F6" s="248"/>
      <c r="G6" s="248"/>
      <c r="H6" s="248"/>
      <c r="I6" s="248"/>
      <c r="J6" s="249">
        <f>J7+J48</f>
        <v>48613.75707652174</v>
      </c>
      <c r="K6" s="250"/>
      <c r="L6" s="287"/>
      <c r="M6" s="321"/>
      <c r="O6" s="41"/>
    </row>
    <row r="7" spans="1:15" s="4" customFormat="1" ht="25.9" customHeight="1">
      <c r="A7" s="53"/>
      <c r="B7" s="53"/>
      <c r="C7" s="251"/>
      <c r="D7" s="252" t="s">
        <v>18</v>
      </c>
      <c r="E7" s="253" t="s">
        <v>19</v>
      </c>
      <c r="F7" s="253" t="s">
        <v>20</v>
      </c>
      <c r="G7" s="251"/>
      <c r="H7" s="70"/>
      <c r="I7" s="254"/>
      <c r="J7" s="255">
        <f>J8+J26+J34+J11</f>
        <v>64645.55707652174</v>
      </c>
      <c r="K7" s="54"/>
      <c r="L7" s="322"/>
      <c r="M7" s="323"/>
      <c r="N7"/>
      <c r="O7"/>
    </row>
    <row r="8" spans="1:15" s="4" customFormat="1" ht="25.9" customHeight="1">
      <c r="A8" s="53"/>
      <c r="B8" s="53"/>
      <c r="C8" s="256"/>
      <c r="D8" s="257" t="s">
        <v>18</v>
      </c>
      <c r="E8" s="258" t="s">
        <v>21</v>
      </c>
      <c r="F8" s="258" t="s">
        <v>22</v>
      </c>
      <c r="G8" s="256"/>
      <c r="H8" s="256"/>
      <c r="I8" s="256"/>
      <c r="J8" s="259">
        <f>J9</f>
        <v>1757.052</v>
      </c>
      <c r="K8" s="54"/>
      <c r="L8" s="322"/>
      <c r="M8" s="323"/>
      <c r="N8"/>
      <c r="O8"/>
    </row>
    <row r="9" spans="1:15" s="4" customFormat="1" ht="25.9" customHeight="1">
      <c r="A9" s="53"/>
      <c r="B9" s="53"/>
      <c r="C9" s="108" t="s">
        <v>21</v>
      </c>
      <c r="D9" s="108" t="s">
        <v>23</v>
      </c>
      <c r="E9" s="109" t="s">
        <v>308</v>
      </c>
      <c r="F9" s="110" t="s">
        <v>309</v>
      </c>
      <c r="G9" s="111" t="s">
        <v>24</v>
      </c>
      <c r="H9" s="96">
        <f>53.82-36</f>
        <v>17.82</v>
      </c>
      <c r="I9" s="113">
        <v>98.6</v>
      </c>
      <c r="J9" s="113">
        <f>H9*I9</f>
        <v>1757.052</v>
      </c>
      <c r="K9" s="93" t="s">
        <v>217</v>
      </c>
      <c r="L9" s="322"/>
      <c r="M9" s="323">
        <f>J9</f>
        <v>1757.052</v>
      </c>
      <c r="N9"/>
      <c r="O9"/>
    </row>
    <row r="10" spans="1:15" s="4" customFormat="1" ht="25.9" customHeight="1">
      <c r="A10" s="53"/>
      <c r="B10" s="53"/>
      <c r="C10" s="94"/>
      <c r="D10" s="94"/>
      <c r="E10" s="95"/>
      <c r="F10" s="96" t="s">
        <v>310</v>
      </c>
      <c r="G10" s="97"/>
      <c r="H10" s="98"/>
      <c r="I10" s="99"/>
      <c r="J10" s="99"/>
      <c r="K10" s="54"/>
      <c r="L10" s="322"/>
      <c r="M10" s="323"/>
      <c r="N10"/>
      <c r="O10"/>
    </row>
    <row r="11" spans="1:15" s="4" customFormat="1" ht="25.9" customHeight="1">
      <c r="A11" s="53"/>
      <c r="B11" s="53"/>
      <c r="C11" s="256"/>
      <c r="D11" s="257" t="s">
        <v>18</v>
      </c>
      <c r="E11" s="258" t="s">
        <v>29</v>
      </c>
      <c r="F11" s="258" t="s">
        <v>320</v>
      </c>
      <c r="G11" s="256"/>
      <c r="H11" s="256"/>
      <c r="I11" s="256"/>
      <c r="J11" s="259">
        <f>SUM(J12:J23)</f>
        <v>8953.918956521738</v>
      </c>
      <c r="K11" s="54"/>
      <c r="L11" s="322"/>
      <c r="M11" s="323"/>
      <c r="N11"/>
      <c r="O11"/>
    </row>
    <row r="12" spans="1:15" s="4" customFormat="1" ht="25.9" customHeight="1">
      <c r="A12" s="53"/>
      <c r="B12" s="53"/>
      <c r="C12" s="108" t="s">
        <v>76</v>
      </c>
      <c r="D12" s="108" t="s">
        <v>23</v>
      </c>
      <c r="E12" s="109" t="s">
        <v>321</v>
      </c>
      <c r="F12" s="110" t="s">
        <v>322</v>
      </c>
      <c r="G12" s="111" t="s">
        <v>33</v>
      </c>
      <c r="H12" s="112">
        <f>-6.2+9.2</f>
        <v>2.999999999999999</v>
      </c>
      <c r="I12" s="113">
        <v>467.364</v>
      </c>
      <c r="J12" s="113">
        <f>H12*I12</f>
        <v>1402.0919999999994</v>
      </c>
      <c r="K12" s="93" t="s">
        <v>217</v>
      </c>
      <c r="L12" s="322"/>
      <c r="M12" s="323">
        <f aca="true" t="shared" si="0" ref="M12:M16">J12</f>
        <v>1402.0919999999994</v>
      </c>
      <c r="N12"/>
      <c r="O12"/>
    </row>
    <row r="13" spans="1:15" s="84" customFormat="1" ht="15">
      <c r="A13" s="85"/>
      <c r="B13" s="85"/>
      <c r="C13" s="86"/>
      <c r="D13" s="86"/>
      <c r="E13" s="87"/>
      <c r="F13" s="324" t="s">
        <v>337</v>
      </c>
      <c r="G13" s="100"/>
      <c r="H13" s="90"/>
      <c r="I13" s="101"/>
      <c r="J13" s="92"/>
      <c r="K13" s="93"/>
      <c r="L13" s="322"/>
      <c r="M13" s="323"/>
      <c r="N13"/>
      <c r="O13"/>
    </row>
    <row r="14" spans="1:15" s="84" customFormat="1" ht="15">
      <c r="A14" s="85"/>
      <c r="B14" s="85"/>
      <c r="C14" s="86"/>
      <c r="D14" s="86" t="s">
        <v>26</v>
      </c>
      <c r="E14" s="87" t="s">
        <v>27</v>
      </c>
      <c r="F14" s="324" t="s">
        <v>348</v>
      </c>
      <c r="G14" s="100"/>
      <c r="H14" s="90"/>
      <c r="I14" s="101"/>
      <c r="J14" s="92"/>
      <c r="K14" s="93"/>
      <c r="L14" s="322"/>
      <c r="M14" s="323"/>
      <c r="N14"/>
      <c r="O14"/>
    </row>
    <row r="15" spans="1:15" s="84" customFormat="1" ht="15">
      <c r="A15" s="85"/>
      <c r="B15" s="85"/>
      <c r="C15" s="86"/>
      <c r="D15" s="86" t="s">
        <v>26</v>
      </c>
      <c r="E15" s="87" t="s">
        <v>27</v>
      </c>
      <c r="F15" s="324" t="s">
        <v>349</v>
      </c>
      <c r="G15" s="100"/>
      <c r="H15" s="90"/>
      <c r="I15" s="101"/>
      <c r="J15" s="92"/>
      <c r="K15" s="93"/>
      <c r="L15" s="322"/>
      <c r="M15" s="323"/>
      <c r="N15"/>
      <c r="O15"/>
    </row>
    <row r="16" spans="1:15" s="4" customFormat="1" ht="25.9" customHeight="1">
      <c r="A16" s="53"/>
      <c r="B16" s="53"/>
      <c r="C16" s="102" t="s">
        <v>77</v>
      </c>
      <c r="D16" s="102" t="s">
        <v>64</v>
      </c>
      <c r="E16" s="103" t="s">
        <v>323</v>
      </c>
      <c r="F16" s="104" t="s">
        <v>324</v>
      </c>
      <c r="G16" s="105" t="s">
        <v>118</v>
      </c>
      <c r="H16" s="106">
        <f>3/0.115*1.1</f>
        <v>28.695652173913043</v>
      </c>
      <c r="I16" s="107">
        <v>102.544</v>
      </c>
      <c r="J16" s="107">
        <f>H16*I16</f>
        <v>2942.566956521739</v>
      </c>
      <c r="K16" s="83" t="s">
        <v>217</v>
      </c>
      <c r="L16" s="322"/>
      <c r="M16" s="323">
        <f t="shared" si="0"/>
        <v>2942.566956521739</v>
      </c>
      <c r="N16"/>
      <c r="O16"/>
    </row>
    <row r="17" spans="1:15" s="84" customFormat="1" ht="15">
      <c r="A17" s="85"/>
      <c r="B17" s="85"/>
      <c r="C17" s="86"/>
      <c r="D17" s="86"/>
      <c r="E17" s="87"/>
      <c r="F17" s="324" t="s">
        <v>350</v>
      </c>
      <c r="G17" s="100"/>
      <c r="H17" s="90"/>
      <c r="I17" s="101"/>
      <c r="J17" s="92"/>
      <c r="K17" s="93"/>
      <c r="L17" s="322"/>
      <c r="M17" s="323"/>
      <c r="N17"/>
      <c r="O17"/>
    </row>
    <row r="18" spans="1:15" s="84" customFormat="1" ht="15">
      <c r="A18" s="85"/>
      <c r="B18" s="85"/>
      <c r="C18" s="11" t="s">
        <v>78</v>
      </c>
      <c r="D18" s="11" t="s">
        <v>23</v>
      </c>
      <c r="E18" s="12" t="s">
        <v>338</v>
      </c>
      <c r="F18" s="13" t="s">
        <v>339</v>
      </c>
      <c r="G18" s="14" t="s">
        <v>33</v>
      </c>
      <c r="H18" s="15">
        <v>-0.7</v>
      </c>
      <c r="I18" s="316">
        <v>784.856</v>
      </c>
      <c r="J18" s="16">
        <f>ROUND(I18*H18,2)</f>
        <v>-549.4</v>
      </c>
      <c r="K18" s="93" t="s">
        <v>217</v>
      </c>
      <c r="L18" s="322">
        <f>J18</f>
        <v>-549.4</v>
      </c>
      <c r="M18" s="323"/>
      <c r="N18"/>
      <c r="O18"/>
    </row>
    <row r="19" spans="1:15" s="84" customFormat="1" ht="15">
      <c r="A19" s="85"/>
      <c r="B19" s="85"/>
      <c r="C19" s="325"/>
      <c r="D19" s="326" t="s">
        <v>26</v>
      </c>
      <c r="E19" s="327" t="s">
        <v>27</v>
      </c>
      <c r="F19" s="328" t="s">
        <v>340</v>
      </c>
      <c r="G19" s="325"/>
      <c r="H19" s="327" t="s">
        <v>27</v>
      </c>
      <c r="I19" s="329"/>
      <c r="J19" s="325"/>
      <c r="K19" s="93"/>
      <c r="L19" s="322"/>
      <c r="M19" s="323"/>
      <c r="N19"/>
      <c r="O19"/>
    </row>
    <row r="20" spans="1:15" s="84" customFormat="1" ht="15">
      <c r="A20" s="85"/>
      <c r="B20" s="85"/>
      <c r="C20" s="330"/>
      <c r="D20" s="326" t="s">
        <v>26</v>
      </c>
      <c r="E20" s="331" t="s">
        <v>27</v>
      </c>
      <c r="F20" s="324" t="s">
        <v>341</v>
      </c>
      <c r="G20" s="330"/>
      <c r="H20" s="332"/>
      <c r="I20" s="333"/>
      <c r="J20" s="330"/>
      <c r="K20" s="93"/>
      <c r="L20" s="322"/>
      <c r="M20" s="323"/>
      <c r="N20"/>
      <c r="O20"/>
    </row>
    <row r="21" spans="1:15" s="84" customFormat="1" ht="15">
      <c r="A21" s="85"/>
      <c r="B21" s="85"/>
      <c r="C21" s="22" t="s">
        <v>79</v>
      </c>
      <c r="D21" s="22" t="s">
        <v>64</v>
      </c>
      <c r="E21" s="23" t="s">
        <v>342</v>
      </c>
      <c r="F21" s="24" t="s">
        <v>343</v>
      </c>
      <c r="G21" s="25" t="s">
        <v>118</v>
      </c>
      <c r="H21" s="26">
        <v>-6.696</v>
      </c>
      <c r="I21" s="317">
        <v>71.8852</v>
      </c>
      <c r="J21" s="27">
        <f>ROUND(I21*H21,2)</f>
        <v>-481.34</v>
      </c>
      <c r="K21" s="83" t="s">
        <v>217</v>
      </c>
      <c r="L21" s="322">
        <f>J21</f>
        <v>-481.34</v>
      </c>
      <c r="M21" s="323"/>
      <c r="N21"/>
      <c r="O21"/>
    </row>
    <row r="22" spans="1:15" s="84" customFormat="1" ht="15">
      <c r="A22" s="85"/>
      <c r="B22" s="85"/>
      <c r="C22" s="330"/>
      <c r="D22" s="326" t="s">
        <v>26</v>
      </c>
      <c r="E22" s="331" t="s">
        <v>27</v>
      </c>
      <c r="F22" s="324" t="s">
        <v>344</v>
      </c>
      <c r="G22" s="330"/>
      <c r="H22" s="332"/>
      <c r="I22" s="333"/>
      <c r="J22" s="330"/>
      <c r="K22" s="93"/>
      <c r="L22" s="322"/>
      <c r="M22" s="323"/>
      <c r="N22"/>
      <c r="O22"/>
    </row>
    <row r="23" spans="1:15" s="84" customFormat="1" ht="15">
      <c r="A23" s="85"/>
      <c r="B23" s="85"/>
      <c r="C23" s="227" t="s">
        <v>258</v>
      </c>
      <c r="D23" s="11" t="s">
        <v>23</v>
      </c>
      <c r="E23" s="227" t="s">
        <v>258</v>
      </c>
      <c r="F23" s="13" t="s">
        <v>345</v>
      </c>
      <c r="G23" s="14" t="s">
        <v>33</v>
      </c>
      <c r="H23" s="15">
        <v>4.7</v>
      </c>
      <c r="I23" s="316">
        <v>1200</v>
      </c>
      <c r="J23" s="16">
        <f>ROUND(I23*H23,2)</f>
        <v>5640</v>
      </c>
      <c r="K23" s="93" t="s">
        <v>259</v>
      </c>
      <c r="L23" s="322"/>
      <c r="M23" s="323">
        <f>J23</f>
        <v>5640</v>
      </c>
      <c r="N23"/>
      <c r="O23"/>
    </row>
    <row r="24" spans="1:15" s="84" customFormat="1" ht="15">
      <c r="A24" s="85"/>
      <c r="B24" s="85"/>
      <c r="C24" s="330"/>
      <c r="D24" s="326" t="s">
        <v>26</v>
      </c>
      <c r="E24" s="331" t="s">
        <v>27</v>
      </c>
      <c r="F24" s="324" t="s">
        <v>346</v>
      </c>
      <c r="G24" s="330"/>
      <c r="H24" s="332"/>
      <c r="I24" s="333"/>
      <c r="J24" s="330"/>
      <c r="K24" s="93"/>
      <c r="L24" s="322"/>
      <c r="M24" s="323"/>
      <c r="N24"/>
      <c r="O24"/>
    </row>
    <row r="25" spans="1:15" s="84" customFormat="1" ht="15">
      <c r="A25" s="85"/>
      <c r="B25" s="85"/>
      <c r="C25" s="309"/>
      <c r="D25" s="309"/>
      <c r="E25" s="310"/>
      <c r="F25" s="324"/>
      <c r="G25" s="311"/>
      <c r="H25" s="312"/>
      <c r="I25" s="313"/>
      <c r="J25" s="314"/>
      <c r="K25" s="315"/>
      <c r="L25" s="322"/>
      <c r="M25" s="323"/>
      <c r="N25"/>
      <c r="O25"/>
    </row>
    <row r="26" spans="1:15" s="4" customFormat="1" ht="22.9" customHeight="1">
      <c r="A26" s="53"/>
      <c r="B26" s="53"/>
      <c r="C26" s="251"/>
      <c r="D26" s="252" t="s">
        <v>18</v>
      </c>
      <c r="E26" s="260" t="s">
        <v>32</v>
      </c>
      <c r="F26" s="260" t="s">
        <v>97</v>
      </c>
      <c r="G26" s="251"/>
      <c r="H26" s="70"/>
      <c r="I26" s="254"/>
      <c r="J26" s="261">
        <f>SUM(J27:J33)</f>
        <v>1864.2151200000008</v>
      </c>
      <c r="K26" s="54"/>
      <c r="L26" s="322"/>
      <c r="M26" s="323"/>
      <c r="N26"/>
      <c r="O26"/>
    </row>
    <row r="27" spans="1:15" s="84" customFormat="1" ht="36">
      <c r="A27" s="85"/>
      <c r="B27" s="85"/>
      <c r="C27" s="86" t="s">
        <v>87</v>
      </c>
      <c r="D27" s="86" t="s">
        <v>23</v>
      </c>
      <c r="E27" s="87" t="s">
        <v>100</v>
      </c>
      <c r="F27" s="88" t="s">
        <v>101</v>
      </c>
      <c r="G27" s="89" t="s">
        <v>24</v>
      </c>
      <c r="H27" s="90">
        <f>5.76-18.9</f>
        <v>-13.139999999999999</v>
      </c>
      <c r="I27" s="91">
        <v>57.88399999999999</v>
      </c>
      <c r="J27" s="92">
        <f>H27*I27</f>
        <v>-760.5957599999998</v>
      </c>
      <c r="K27" s="93" t="s">
        <v>217</v>
      </c>
      <c r="L27" s="322">
        <f aca="true" t="shared" si="1" ref="L27:L38">J27</f>
        <v>-760.5957599999998</v>
      </c>
      <c r="M27" s="323"/>
      <c r="N27"/>
      <c r="O27"/>
    </row>
    <row r="28" spans="1:15" s="84" customFormat="1" ht="15">
      <c r="A28" s="85"/>
      <c r="B28" s="85"/>
      <c r="C28" s="86"/>
      <c r="D28" s="86"/>
      <c r="E28" s="87"/>
      <c r="F28" s="88">
        <v>-18.9</v>
      </c>
      <c r="G28" s="100"/>
      <c r="H28" s="90"/>
      <c r="I28" s="101"/>
      <c r="J28" s="92"/>
      <c r="K28" s="93"/>
      <c r="L28" s="322"/>
      <c r="M28" s="323"/>
      <c r="N28"/>
      <c r="O28"/>
    </row>
    <row r="29" spans="1:15" s="84" customFormat="1" ht="15">
      <c r="A29" s="85"/>
      <c r="B29" s="85"/>
      <c r="C29" s="86"/>
      <c r="D29" s="86"/>
      <c r="E29" s="87"/>
      <c r="F29" s="88" t="s">
        <v>307</v>
      </c>
      <c r="G29" s="100"/>
      <c r="H29" s="90"/>
      <c r="I29" s="101"/>
      <c r="J29" s="92"/>
      <c r="K29" s="93"/>
      <c r="L29" s="334"/>
      <c r="M29" s="335"/>
      <c r="N29" s="114"/>
      <c r="O29" s="114"/>
    </row>
    <row r="30" spans="1:15" s="84" customFormat="1" ht="36">
      <c r="A30" s="85"/>
      <c r="B30" s="85"/>
      <c r="C30" s="86" t="s">
        <v>99</v>
      </c>
      <c r="D30" s="86" t="s">
        <v>23</v>
      </c>
      <c r="E30" s="87" t="s">
        <v>105</v>
      </c>
      <c r="F30" s="88" t="s">
        <v>106</v>
      </c>
      <c r="G30" s="89" t="s">
        <v>24</v>
      </c>
      <c r="H30" s="90">
        <f>20.66+5.76-18.9</f>
        <v>7.520000000000003</v>
      </c>
      <c r="I30" s="91">
        <v>349.0439999999999</v>
      </c>
      <c r="J30" s="92">
        <f aca="true" t="shared" si="2" ref="J30:J41">H30*I30</f>
        <v>2624.8108800000005</v>
      </c>
      <c r="K30" s="93" t="s">
        <v>217</v>
      </c>
      <c r="L30" s="334"/>
      <c r="M30" s="335">
        <f aca="true" t="shared" si="3" ref="M30">J30</f>
        <v>2624.8108800000005</v>
      </c>
      <c r="N30" s="114"/>
      <c r="O30" s="114"/>
    </row>
    <row r="31" spans="1:15" s="84" customFormat="1" ht="15">
      <c r="A31" s="85"/>
      <c r="B31" s="85"/>
      <c r="C31" s="86"/>
      <c r="D31" s="86"/>
      <c r="E31" s="87"/>
      <c r="F31" s="88">
        <v>-18.9</v>
      </c>
      <c r="G31" s="100"/>
      <c r="H31" s="90"/>
      <c r="I31" s="101"/>
      <c r="J31" s="92"/>
      <c r="K31" s="93"/>
      <c r="L31" s="334"/>
      <c r="M31" s="335"/>
      <c r="N31" s="114"/>
      <c r="O31" s="114"/>
    </row>
    <row r="32" spans="1:15" s="84" customFormat="1" ht="15">
      <c r="A32" s="85"/>
      <c r="B32" s="85"/>
      <c r="C32" s="86"/>
      <c r="D32" s="86"/>
      <c r="E32" s="87"/>
      <c r="F32" s="88" t="s">
        <v>304</v>
      </c>
      <c r="G32" s="100"/>
      <c r="H32" s="90"/>
      <c r="I32" s="101"/>
      <c r="J32" s="92"/>
      <c r="K32" s="93"/>
      <c r="L32" s="334"/>
      <c r="M32" s="335"/>
      <c r="N32" s="114"/>
      <c r="O32" s="114"/>
    </row>
    <row r="33" spans="1:15" s="84" customFormat="1" ht="15">
      <c r="A33" s="85"/>
      <c r="B33" s="85"/>
      <c r="C33" s="86"/>
      <c r="D33" s="86"/>
      <c r="E33" s="87"/>
      <c r="F33" s="88" t="s">
        <v>307</v>
      </c>
      <c r="G33" s="100"/>
      <c r="H33" s="90"/>
      <c r="I33" s="101"/>
      <c r="J33" s="92"/>
      <c r="K33" s="93"/>
      <c r="L33" s="334"/>
      <c r="M33" s="335"/>
      <c r="N33" s="114"/>
      <c r="O33" s="114"/>
    </row>
    <row r="34" spans="1:15" s="84" customFormat="1" ht="15">
      <c r="A34" s="85"/>
      <c r="B34" s="85"/>
      <c r="C34" s="262"/>
      <c r="D34" s="263" t="s">
        <v>18</v>
      </c>
      <c r="E34" s="264" t="s">
        <v>37</v>
      </c>
      <c r="F34" s="264" t="s">
        <v>117</v>
      </c>
      <c r="G34" s="262"/>
      <c r="H34" s="262"/>
      <c r="I34" s="262"/>
      <c r="J34" s="265">
        <f>SUM(J35:J46)</f>
        <v>52070.371</v>
      </c>
      <c r="K34" s="93"/>
      <c r="L34" s="334"/>
      <c r="M34" s="335"/>
      <c r="N34" s="114"/>
      <c r="O34" s="114"/>
    </row>
    <row r="35" spans="1:15" s="84" customFormat="1" ht="24">
      <c r="A35" s="85"/>
      <c r="B35" s="85"/>
      <c r="C35" s="226" t="s">
        <v>311</v>
      </c>
      <c r="D35" s="226" t="s">
        <v>23</v>
      </c>
      <c r="E35" s="227" t="s">
        <v>264</v>
      </c>
      <c r="F35" s="228" t="s">
        <v>265</v>
      </c>
      <c r="G35" s="229" t="s">
        <v>33</v>
      </c>
      <c r="H35" s="230">
        <f>-12.9+5+2.6</f>
        <v>-5.300000000000001</v>
      </c>
      <c r="I35" s="231">
        <v>283.97</v>
      </c>
      <c r="J35" s="231">
        <f>H35*I35</f>
        <v>-1505.0410000000004</v>
      </c>
      <c r="K35" s="93" t="s">
        <v>217</v>
      </c>
      <c r="L35" s="334">
        <f t="shared" si="1"/>
        <v>-1505.0410000000004</v>
      </c>
      <c r="M35" s="335"/>
      <c r="N35" s="114"/>
      <c r="O35" s="114"/>
    </row>
    <row r="36" spans="1:15" s="84" customFormat="1" ht="15">
      <c r="A36" s="85"/>
      <c r="B36" s="85"/>
      <c r="C36" s="266"/>
      <c r="D36" s="267" t="s">
        <v>26</v>
      </c>
      <c r="E36" s="268" t="s">
        <v>27</v>
      </c>
      <c r="F36" s="269" t="s">
        <v>313</v>
      </c>
      <c r="G36" s="266"/>
      <c r="H36" s="270"/>
      <c r="I36" s="266"/>
      <c r="J36" s="266"/>
      <c r="K36" s="93"/>
      <c r="L36" s="334"/>
      <c r="M36" s="335"/>
      <c r="N36" s="114"/>
      <c r="O36" s="114"/>
    </row>
    <row r="37" spans="1:15" s="84" customFormat="1" ht="15">
      <c r="A37" s="85"/>
      <c r="B37" s="85"/>
      <c r="C37" s="266"/>
      <c r="D37" s="267" t="s">
        <v>26</v>
      </c>
      <c r="E37" s="268" t="s">
        <v>27</v>
      </c>
      <c r="F37" s="269" t="s">
        <v>314</v>
      </c>
      <c r="G37" s="266"/>
      <c r="H37" s="270">
        <v>12.9</v>
      </c>
      <c r="I37" s="266"/>
      <c r="J37" s="266"/>
      <c r="K37" s="93"/>
      <c r="L37" s="334"/>
      <c r="M37" s="335"/>
      <c r="N37" s="114"/>
      <c r="O37" s="114"/>
    </row>
    <row r="38" spans="1:15" s="84" customFormat="1" ht="15">
      <c r="A38" s="85"/>
      <c r="B38" s="85"/>
      <c r="C38" s="232" t="s">
        <v>312</v>
      </c>
      <c r="D38" s="232" t="s">
        <v>64</v>
      </c>
      <c r="E38" s="233" t="s">
        <v>268</v>
      </c>
      <c r="F38" s="234" t="s">
        <v>269</v>
      </c>
      <c r="G38" s="235" t="s">
        <v>33</v>
      </c>
      <c r="H38" s="236">
        <v>-5.83</v>
      </c>
      <c r="I38" s="237">
        <v>124.24</v>
      </c>
      <c r="J38" s="237">
        <f>H38*I38</f>
        <v>-724.3192</v>
      </c>
      <c r="K38" s="83" t="s">
        <v>217</v>
      </c>
      <c r="L38" s="334">
        <f t="shared" si="1"/>
        <v>-724.3192</v>
      </c>
      <c r="M38" s="335"/>
      <c r="N38" s="114"/>
      <c r="O38" s="114"/>
    </row>
    <row r="39" spans="1:15" s="84" customFormat="1" ht="15">
      <c r="A39" s="85"/>
      <c r="B39" s="85"/>
      <c r="C39" s="266"/>
      <c r="D39" s="267" t="s">
        <v>26</v>
      </c>
      <c r="E39" s="268" t="s">
        <v>27</v>
      </c>
      <c r="F39" s="269">
        <f>-5.3*1.1</f>
        <v>-5.83</v>
      </c>
      <c r="G39" s="266"/>
      <c r="H39" s="270"/>
      <c r="I39" s="266"/>
      <c r="J39" s="266"/>
      <c r="K39" s="93"/>
      <c r="L39" s="334"/>
      <c r="M39" s="335"/>
      <c r="N39" s="114"/>
      <c r="O39" s="114"/>
    </row>
    <row r="40" spans="1:15" s="84" customFormat="1" ht="36">
      <c r="A40" s="85"/>
      <c r="B40" s="85"/>
      <c r="C40" s="226">
        <v>41</v>
      </c>
      <c r="D40" s="226" t="s">
        <v>23</v>
      </c>
      <c r="E40" s="227" t="s">
        <v>124</v>
      </c>
      <c r="F40" s="228" t="s">
        <v>125</v>
      </c>
      <c r="G40" s="229" t="s">
        <v>24</v>
      </c>
      <c r="H40" s="230">
        <v>7.52</v>
      </c>
      <c r="I40" s="231">
        <v>119.31</v>
      </c>
      <c r="J40" s="231">
        <f>H40*I40</f>
        <v>897.2112</v>
      </c>
      <c r="K40" s="93" t="s">
        <v>217</v>
      </c>
      <c r="L40" s="334"/>
      <c r="M40" s="335">
        <f aca="true" t="shared" si="4" ref="M40:M43">J40</f>
        <v>897.2112</v>
      </c>
      <c r="N40" s="114"/>
      <c r="O40" s="114"/>
    </row>
    <row r="41" spans="1:15" s="74" customFormat="1" ht="31.5" customHeight="1">
      <c r="A41" s="75"/>
      <c r="B41" s="75"/>
      <c r="C41" s="76" t="s">
        <v>257</v>
      </c>
      <c r="D41" s="77" t="s">
        <v>23</v>
      </c>
      <c r="E41" s="76" t="s">
        <v>119</v>
      </c>
      <c r="F41" s="78" t="s">
        <v>120</v>
      </c>
      <c r="G41" s="79" t="s">
        <v>33</v>
      </c>
      <c r="H41" s="80">
        <f>7.5+3</f>
        <v>10.5</v>
      </c>
      <c r="I41" s="81">
        <v>2800.24</v>
      </c>
      <c r="J41" s="82">
        <f t="shared" si="2"/>
        <v>29402.519999999997</v>
      </c>
      <c r="K41" s="83" t="s">
        <v>217</v>
      </c>
      <c r="L41" s="334"/>
      <c r="M41" s="335">
        <f t="shared" si="4"/>
        <v>29402.519999999997</v>
      </c>
      <c r="N41" s="114"/>
      <c r="O41" s="114"/>
    </row>
    <row r="42" spans="1:13" s="114" customFormat="1" ht="17.25" customHeight="1">
      <c r="A42" s="182"/>
      <c r="B42" s="182"/>
      <c r="C42" s="185"/>
      <c r="D42" s="174"/>
      <c r="E42" s="183"/>
      <c r="F42" s="184" t="s">
        <v>303</v>
      </c>
      <c r="G42" s="185"/>
      <c r="H42" s="186"/>
      <c r="I42" s="187"/>
      <c r="J42" s="185"/>
      <c r="K42" s="188"/>
      <c r="L42" s="334"/>
      <c r="M42" s="335"/>
    </row>
    <row r="43" spans="1:15" s="84" customFormat="1" ht="24">
      <c r="A43" s="85"/>
      <c r="B43" s="85"/>
      <c r="C43" s="226" t="s">
        <v>319</v>
      </c>
      <c r="D43" s="226" t="s">
        <v>23</v>
      </c>
      <c r="E43" s="227" t="s">
        <v>319</v>
      </c>
      <c r="F43" s="228" t="s">
        <v>260</v>
      </c>
      <c r="G43" s="229" t="s">
        <v>33</v>
      </c>
      <c r="H43" s="230">
        <v>12</v>
      </c>
      <c r="I43" s="231">
        <v>1000</v>
      </c>
      <c r="J43" s="231">
        <f aca="true" t="shared" si="5" ref="J43">H43*I43</f>
        <v>12000</v>
      </c>
      <c r="K43" s="93" t="s">
        <v>259</v>
      </c>
      <c r="L43" s="334"/>
      <c r="M43" s="335">
        <f t="shared" si="4"/>
        <v>12000</v>
      </c>
      <c r="N43" s="114"/>
      <c r="O43" s="114"/>
    </row>
    <row r="44" spans="1:13" s="114" customFormat="1" ht="17.25" customHeight="1">
      <c r="A44" s="182"/>
      <c r="B44" s="182"/>
      <c r="C44" s="185"/>
      <c r="D44" s="174"/>
      <c r="E44" s="183"/>
      <c r="F44" s="184" t="s">
        <v>305</v>
      </c>
      <c r="G44" s="185"/>
      <c r="H44" s="186"/>
      <c r="I44" s="187"/>
      <c r="J44" s="185"/>
      <c r="K44" s="188"/>
      <c r="L44" s="334"/>
      <c r="M44" s="335"/>
    </row>
    <row r="45" spans="1:15" s="114" customFormat="1" ht="17.25" customHeight="1">
      <c r="A45" s="182"/>
      <c r="B45" s="182"/>
      <c r="C45" s="185"/>
      <c r="D45" s="174"/>
      <c r="E45" s="183"/>
      <c r="F45" s="184" t="s">
        <v>306</v>
      </c>
      <c r="G45" s="185"/>
      <c r="H45" s="186"/>
      <c r="I45" s="187"/>
      <c r="J45" s="185"/>
      <c r="K45" s="188"/>
      <c r="L45" s="334"/>
      <c r="M45" s="335"/>
      <c r="O45" s="117"/>
    </row>
    <row r="46" spans="1:15" s="84" customFormat="1" ht="24">
      <c r="A46" s="85"/>
      <c r="B46" s="85"/>
      <c r="C46" s="226" t="s">
        <v>325</v>
      </c>
      <c r="D46" s="226" t="s">
        <v>23</v>
      </c>
      <c r="E46" s="227" t="s">
        <v>325</v>
      </c>
      <c r="F46" s="228" t="s">
        <v>260</v>
      </c>
      <c r="G46" s="229" t="s">
        <v>33</v>
      </c>
      <c r="H46" s="230">
        <v>12</v>
      </c>
      <c r="I46" s="231">
        <v>1000</v>
      </c>
      <c r="J46" s="231">
        <f aca="true" t="shared" si="6" ref="J46">H46*I46</f>
        <v>12000</v>
      </c>
      <c r="K46" s="93" t="s">
        <v>259</v>
      </c>
      <c r="L46" s="334"/>
      <c r="M46" s="335">
        <f aca="true" t="shared" si="7" ref="M46">J46</f>
        <v>12000</v>
      </c>
      <c r="N46" s="114"/>
      <c r="O46" s="114"/>
    </row>
    <row r="47" spans="1:15" s="238" customFormat="1" ht="15">
      <c r="A47" s="239"/>
      <c r="B47" s="239"/>
      <c r="C47" s="271"/>
      <c r="D47" s="272"/>
      <c r="E47" s="273"/>
      <c r="F47" s="274" t="s">
        <v>331</v>
      </c>
      <c r="G47" s="271"/>
      <c r="H47" s="240"/>
      <c r="I47" s="275"/>
      <c r="J47" s="271"/>
      <c r="K47" s="241"/>
      <c r="L47" s="334"/>
      <c r="M47" s="335"/>
      <c r="N47" s="114"/>
      <c r="O47" s="114"/>
    </row>
    <row r="48" spans="1:15" s="84" customFormat="1" ht="15.75">
      <c r="A48" s="85"/>
      <c r="B48" s="85"/>
      <c r="C48" s="262"/>
      <c r="D48" s="263" t="s">
        <v>18</v>
      </c>
      <c r="E48" s="276" t="s">
        <v>142</v>
      </c>
      <c r="F48" s="276" t="s">
        <v>143</v>
      </c>
      <c r="G48" s="262"/>
      <c r="H48" s="262"/>
      <c r="I48" s="262"/>
      <c r="J48" s="277">
        <f>J49</f>
        <v>-16031.800000000003</v>
      </c>
      <c r="K48" s="93"/>
      <c r="L48" s="334"/>
      <c r="M48" s="335"/>
      <c r="N48" s="114"/>
      <c r="O48" s="114"/>
    </row>
    <row r="49" spans="1:15" s="84" customFormat="1" ht="19.5" customHeight="1">
      <c r="A49" s="85"/>
      <c r="B49" s="242"/>
      <c r="C49" s="262"/>
      <c r="D49" s="263" t="s">
        <v>18</v>
      </c>
      <c r="E49" s="264" t="s">
        <v>144</v>
      </c>
      <c r="F49" s="264" t="s">
        <v>145</v>
      </c>
      <c r="G49" s="262"/>
      <c r="H49" s="262"/>
      <c r="I49" s="262"/>
      <c r="J49" s="265">
        <f>SUM(J50:J51)</f>
        <v>-16031.800000000003</v>
      </c>
      <c r="K49" s="93"/>
      <c r="L49" s="334"/>
      <c r="M49" s="335"/>
      <c r="N49" s="114"/>
      <c r="O49" s="114"/>
    </row>
    <row r="50" spans="1:15" s="243" customFormat="1" ht="30" customHeight="1">
      <c r="A50" s="278"/>
      <c r="B50" s="278"/>
      <c r="C50" s="226" t="s">
        <v>316</v>
      </c>
      <c r="D50" s="226" t="s">
        <v>23</v>
      </c>
      <c r="E50" s="227" t="s">
        <v>317</v>
      </c>
      <c r="F50" s="228" t="s">
        <v>318</v>
      </c>
      <c r="G50" s="229" t="s">
        <v>146</v>
      </c>
      <c r="H50" s="230">
        <v>-12.05</v>
      </c>
      <c r="I50" s="231">
        <v>3596</v>
      </c>
      <c r="J50" s="231">
        <f>H50*I50</f>
        <v>-43331.8</v>
      </c>
      <c r="K50" s="93" t="s">
        <v>217</v>
      </c>
      <c r="L50" s="334">
        <f aca="true" t="shared" si="8" ref="L50">J50</f>
        <v>-43331.8</v>
      </c>
      <c r="M50" s="335"/>
      <c r="N50" s="114"/>
      <c r="O50" s="114"/>
    </row>
    <row r="51" spans="1:15" s="243" customFormat="1" ht="30" customHeight="1">
      <c r="A51" s="278"/>
      <c r="B51" s="278"/>
      <c r="C51" s="226" t="s">
        <v>347</v>
      </c>
      <c r="D51" s="226"/>
      <c r="E51" s="227" t="s">
        <v>347</v>
      </c>
      <c r="F51" s="228" t="s">
        <v>326</v>
      </c>
      <c r="G51" s="229" t="s">
        <v>24</v>
      </c>
      <c r="H51" s="230">
        <f>9.75*2</f>
        <v>19.5</v>
      </c>
      <c r="I51" s="231">
        <v>1400</v>
      </c>
      <c r="J51" s="231">
        <f aca="true" t="shared" si="9" ref="J51">ROUND(I51*H51,2)</f>
        <v>27300</v>
      </c>
      <c r="K51" s="279" t="s">
        <v>102</v>
      </c>
      <c r="L51" s="334"/>
      <c r="M51" s="335">
        <f>J51</f>
        <v>27300</v>
      </c>
      <c r="N51" s="114"/>
      <c r="O51" s="114"/>
    </row>
    <row r="52" spans="1:15" s="84" customFormat="1" ht="15">
      <c r="A52" s="85"/>
      <c r="B52" s="242"/>
      <c r="C52" s="280"/>
      <c r="D52" s="281" t="s">
        <v>26</v>
      </c>
      <c r="E52" s="282" t="s">
        <v>27</v>
      </c>
      <c r="F52" s="283" t="s">
        <v>327</v>
      </c>
      <c r="G52" s="280"/>
      <c r="H52" s="284"/>
      <c r="I52" s="280"/>
      <c r="J52" s="280"/>
      <c r="K52" s="285"/>
      <c r="L52" s="336"/>
      <c r="M52" s="337"/>
      <c r="N52" s="114"/>
      <c r="O52" s="117">
        <f>L54+M54</f>
        <v>48613.75707652174</v>
      </c>
    </row>
    <row r="53" spans="1:13" ht="15">
      <c r="A53" s="338"/>
      <c r="B53" s="339"/>
      <c r="C53" s="339"/>
      <c r="D53" s="339"/>
      <c r="E53" s="339"/>
      <c r="F53" s="339"/>
      <c r="G53" s="339"/>
      <c r="H53" s="340"/>
      <c r="I53" s="339"/>
      <c r="J53" s="339"/>
      <c r="K53" s="339"/>
      <c r="L53" s="339"/>
      <c r="M53" s="341"/>
    </row>
    <row r="54" spans="1:15" s="318" customFormat="1" ht="15">
      <c r="A54" s="342"/>
      <c r="B54" s="343"/>
      <c r="C54" s="343"/>
      <c r="D54" s="343"/>
      <c r="E54" s="343"/>
      <c r="F54" s="343"/>
      <c r="G54" s="343"/>
      <c r="H54" s="344"/>
      <c r="I54" s="343"/>
      <c r="J54" s="343"/>
      <c r="K54" s="343" t="s">
        <v>215</v>
      </c>
      <c r="L54" s="345">
        <f>SUM(L6:L51)</f>
        <v>-47352.49596</v>
      </c>
      <c r="M54" s="346">
        <f>SUM(M6:M51)</f>
        <v>95966.25303652174</v>
      </c>
      <c r="N54" s="286"/>
      <c r="O54" s="286"/>
    </row>
    <row r="60" ht="15">
      <c r="M60" s="41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Fikera</dc:creator>
  <cp:keywords/>
  <dc:description/>
  <cp:lastModifiedBy>Radek</cp:lastModifiedBy>
  <cp:lastPrinted>2024-04-22T05:23:58Z</cp:lastPrinted>
  <dcterms:created xsi:type="dcterms:W3CDTF">2023-11-01T09:54:43Z</dcterms:created>
  <dcterms:modified xsi:type="dcterms:W3CDTF">2024-05-02T10:01:38Z</dcterms:modified>
  <cp:category/>
  <cp:version/>
  <cp:contentType/>
  <cp:contentStatus/>
</cp:coreProperties>
</file>