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<sst xmlns="http://schemas.openxmlformats.org/spreadsheetml/2006/main" count="863" uniqueCount="326">
  <si>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</si>
  <si>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</si>
  <si>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</si>
  <si>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</si>
  <si>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</si>
  <si>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</si>
  <si>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</si>
  <si>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</si>
  <si>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</si>
  <si>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</si>
  <si>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</si>
  <si>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</si>
  <si>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</si>
  <si>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</si>
  <si>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</si>
  <si>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</si>
  <si>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</si>
  <si>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</si>
  <si>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</si>
  <si>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</si>
  <si>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</si>
  <si>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</si>
  <si>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</si>
  <si>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</si>
  <si>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</si>
  <si>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</si>
  <si>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</si>
  <si>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</si>
  <si>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</si>
  <si>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</si>
  <si>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</si>
  <si>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</si>
  <si>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</si>
  <si>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</si>
  <si>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</si>
  <si>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</si>
  <si>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</si>
  <si>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</si>
  <si>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</si>
  <si>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</si>
  <si>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</si>
  <si>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</si>
  <si>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Poznámka:</t>
  </si>
  <si>
    <t>Rozpočet proveden ze studie a zjednodušeného projektu pro stavební povolení.Nejedná se o prováděcí projekt.Bez dodání vlastní technologie(stroje,ostatní vybavení apod.)Nezapočítáno hasicí a signální zařízení,ÚT apod.</t>
  </si>
  <si>
    <t>Kód</t>
  </si>
  <si>
    <t>131201110R00</t>
  </si>
  <si>
    <t>131201119R00</t>
  </si>
  <si>
    <t>161101101R00</t>
  </si>
  <si>
    <t>199000002R00</t>
  </si>
  <si>
    <t>274272140RT2</t>
  </si>
  <si>
    <t>274313711R00</t>
  </si>
  <si>
    <t>274351215R00</t>
  </si>
  <si>
    <t>274351216R00</t>
  </si>
  <si>
    <t>342280040RAJ</t>
  </si>
  <si>
    <t>41</t>
  </si>
  <si>
    <t>413941125RT4</t>
  </si>
  <si>
    <t>56</t>
  </si>
  <si>
    <t>564811111RT2</t>
  </si>
  <si>
    <t>61</t>
  </si>
  <si>
    <t>612100033RAA</t>
  </si>
  <si>
    <t>63</t>
  </si>
  <si>
    <t>631313611R00</t>
  </si>
  <si>
    <t>631361921RT5</t>
  </si>
  <si>
    <t>64</t>
  </si>
  <si>
    <t>642202012RAB</t>
  </si>
  <si>
    <t>713</t>
  </si>
  <si>
    <t>713100020RAC</t>
  </si>
  <si>
    <t>723</t>
  </si>
  <si>
    <t>723100001RA0</t>
  </si>
  <si>
    <t>728</t>
  </si>
  <si>
    <t>728000001VD</t>
  </si>
  <si>
    <t>766</t>
  </si>
  <si>
    <t>766120110RA0</t>
  </si>
  <si>
    <t>777</t>
  </si>
  <si>
    <t>777210020RA0</t>
  </si>
  <si>
    <t>786</t>
  </si>
  <si>
    <t>786623121R00</t>
  </si>
  <si>
    <t>787</t>
  </si>
  <si>
    <t>787900010RA0</t>
  </si>
  <si>
    <t>90</t>
  </si>
  <si>
    <t>900      R02</t>
  </si>
  <si>
    <t>94</t>
  </si>
  <si>
    <t>941955004R00</t>
  </si>
  <si>
    <t>95</t>
  </si>
  <si>
    <t>952901111R00</t>
  </si>
  <si>
    <t>96</t>
  </si>
  <si>
    <t>962032231R00</t>
  </si>
  <si>
    <t>966068001R00</t>
  </si>
  <si>
    <t>963016343R00</t>
  </si>
  <si>
    <t>965042231RT2</t>
  </si>
  <si>
    <t>H99</t>
  </si>
  <si>
    <t>999281108R00</t>
  </si>
  <si>
    <t>999000001VD</t>
  </si>
  <si>
    <t>M21001</t>
  </si>
  <si>
    <t>210000001VD</t>
  </si>
  <si>
    <t>S</t>
  </si>
  <si>
    <t>979082317R00</t>
  </si>
  <si>
    <t>979990105R00</t>
  </si>
  <si>
    <t>979990108R00</t>
  </si>
  <si>
    <t>Jihlava OK Hydraulik,Polenská 5012/12</t>
  </si>
  <si>
    <t>SO-01 Úprava stáv.objektu haly na p.č.474/2</t>
  </si>
  <si>
    <t>k.ú.Jihlava</t>
  </si>
  <si>
    <t>Zkrácený popis</t>
  </si>
  <si>
    <t>Rozměry</t>
  </si>
  <si>
    <t>Hloubené vykopávky</t>
  </si>
  <si>
    <t>Hloubení nezapaž. jam hor.3 do 50 m3, STROJNĚ</t>
  </si>
  <si>
    <t>(4,5*2,50*1)+(5*4*0,60*2)   </t>
  </si>
  <si>
    <t>Příplatek za lepivost - hloubení nezap.jam v hor.3</t>
  </si>
  <si>
    <t>35,25/2   </t>
  </si>
  <si>
    <t>Přemístění výkopku</t>
  </si>
  <si>
    <t>Svislé přemístění výkopku z hor.1-4 do 2,5 m</t>
  </si>
  <si>
    <t>17,62   </t>
  </si>
  <si>
    <t>Hloubení pro podzemní stěny, ražení a hloubení důlní</t>
  </si>
  <si>
    <t>Poplatek za skládku horniny 1- 4</t>
  </si>
  <si>
    <t>Základy</t>
  </si>
  <si>
    <t>Zdivo základové z bednicích tvárnic, tl. 30 cm</t>
  </si>
  <si>
    <t>0,50*12,36   </t>
  </si>
  <si>
    <t>Beton základových pasů prostý C 25/30</t>
  </si>
  <si>
    <t>(5*4*0,60*2)   </t>
  </si>
  <si>
    <t>(13,24*0,60*0,60)   </t>
  </si>
  <si>
    <t>Bednění stěn základových pasů - zřízení</t>
  </si>
  <si>
    <t>(12,40*1)+(18*1*2)   </t>
  </si>
  <si>
    <t>Bednění stěn základových pasů - odstranění</t>
  </si>
  <si>
    <t>48,40   </t>
  </si>
  <si>
    <t>Stěny a příčky</t>
  </si>
  <si>
    <t>Podhled podkroví z desek sádrokartonových</t>
  </si>
  <si>
    <t>55   </t>
  </si>
  <si>
    <t>Stropy a stropní konstrukce (pro pozemní stavby)</t>
  </si>
  <si>
    <t>Osazení válcovaných nosníků ve stropech č.24 a výš výměna</t>
  </si>
  <si>
    <t>(7,4*2*1,08*54,20)/1000   </t>
  </si>
  <si>
    <t>Podkladní vrstvy komunikací, letišť a ploch</t>
  </si>
  <si>
    <t>Podklad ze štěrkodrti po zhutnění tloušťky 5 cm</t>
  </si>
  <si>
    <t>(5*4*2)+(4,26*2,37)   </t>
  </si>
  <si>
    <t>Úprava povrchů vnitřní</t>
  </si>
  <si>
    <t>Oprava omítek stěn vnitřních vápenocem. štukových</t>
  </si>
  <si>
    <t>(8+2+6,90+3)*2*4,5   </t>
  </si>
  <si>
    <t>Podlahy a podlahové konstrukce</t>
  </si>
  <si>
    <t>Mazanina betonová tl. 8 - 12 cm C 16/20</t>
  </si>
  <si>
    <t>55*0,10   </t>
  </si>
  <si>
    <t>Výztuž mazanin svařovanou sítí</t>
  </si>
  <si>
    <t>(55*3,50*1,08)/1000   </t>
  </si>
  <si>
    <t>Výplně otvorů</t>
  </si>
  <si>
    <t>Zazdění dveří dvoukřídlových, omítka</t>
  </si>
  <si>
    <t>2   </t>
  </si>
  <si>
    <t>Izolace tepelné</t>
  </si>
  <si>
    <t>Izolace tepelné volně položené polystyr.</t>
  </si>
  <si>
    <t>8,50   </t>
  </si>
  <si>
    <t>Vnitřní rozvod stlačeného vzduchu</t>
  </si>
  <si>
    <t>Přeložka dalších inž.sítí(stlačený vzduch apod.)</t>
  </si>
  <si>
    <t>1   </t>
  </si>
  <si>
    <t>Vzduchotechnika</t>
  </si>
  <si>
    <t>Odvětrání,VZD odtahy z místností</t>
  </si>
  <si>
    <t>Konstrukce truhlářské</t>
  </si>
  <si>
    <t>M+D nová interní dveřní stěna s okny</t>
  </si>
  <si>
    <t>5*3   </t>
  </si>
  <si>
    <t>Podlahy ze syntetických hmot</t>
  </si>
  <si>
    <t>Podlahy z epoxid. plastbet. C tl.8 mm</t>
  </si>
  <si>
    <t>4,50*2,30   </t>
  </si>
  <si>
    <t>Čalounické úpravy</t>
  </si>
  <si>
    <t>Žaluzie lamelové venkovní pro okna kovo,</t>
  </si>
  <si>
    <t>30,5*2   </t>
  </si>
  <si>
    <t>Zasklívání</t>
  </si>
  <si>
    <t>Nová okenní výplň,mříž mezi haly</t>
  </si>
  <si>
    <t>2*30   </t>
  </si>
  <si>
    <t>Hodinové zúčtovací sazby (HZS)</t>
  </si>
  <si>
    <t>HZS-vyklizení místnosti</t>
  </si>
  <si>
    <t>15   </t>
  </si>
  <si>
    <t>Lešení a stavební výtahy</t>
  </si>
  <si>
    <t>Lešení lehké pomocné, výška podlahy do 3,5 m</t>
  </si>
  <si>
    <t>30   </t>
  </si>
  <si>
    <t>Různé dokončovací konstrukce a práce na pozemních stavbách</t>
  </si>
  <si>
    <t>Vyčištění budov o výšce podlaží do 4 m</t>
  </si>
  <si>
    <t>33,66+44,51+8,25   </t>
  </si>
  <si>
    <t>Bourání konstrukcí</t>
  </si>
  <si>
    <t>Bourání zdiva z cihel pálených na MVC</t>
  </si>
  <si>
    <t>(3,60+3)*0,30*3   </t>
  </si>
  <si>
    <t>Demontáž části stěny u vstupních dveří</t>
  </si>
  <si>
    <t>DMTZ stávajícího kovového podhledu</t>
  </si>
  <si>
    <t>6,60*3   </t>
  </si>
  <si>
    <t>Bourání mazanin betonových tl. nad 10 cm, pl. 4 m2</t>
  </si>
  <si>
    <t>4,50*2,30*0,15   </t>
  </si>
  <si>
    <t>Ostatní přesuny hmot</t>
  </si>
  <si>
    <t>Přesun hmot pro opravy a údržbu do výšky 12 m</t>
  </si>
  <si>
    <t>114,719+0,181   </t>
  </si>
  <si>
    <t>Výpomoce pro řemeslné a mont.práce</t>
  </si>
  <si>
    <t>Trubková vedení, krabice, svorkovnice</t>
  </si>
  <si>
    <t>Elektroinstalace</t>
  </si>
  <si>
    <t>Přesuny sutí</t>
  </si>
  <si>
    <t>Vodorovná doprava suti a hmot po suchu do 5000 m</t>
  </si>
  <si>
    <t>14,621   </t>
  </si>
  <si>
    <t>Poplatek za skládku suti-cihel.výrobky do 30x30 cm</t>
  </si>
  <si>
    <t>10,699   </t>
  </si>
  <si>
    <t>Poplatek za skládku suti - železobeton</t>
  </si>
  <si>
    <t>3,41   </t>
  </si>
  <si>
    <t>Doba výstavby:</t>
  </si>
  <si>
    <t>Začátek výstavby:</t>
  </si>
  <si>
    <t>Konec výstavby:</t>
  </si>
  <si>
    <t>Zpracováno dne:</t>
  </si>
  <si>
    <t>30.10.2018</t>
  </si>
  <si>
    <t>MJ</t>
  </si>
  <si>
    <t>m3</t>
  </si>
  <si>
    <t>m2</t>
  </si>
  <si>
    <t>t</t>
  </si>
  <si>
    <t>kus</t>
  </si>
  <si>
    <t>soubor</t>
  </si>
  <si>
    <t>h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</si>
  <si>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</si>
  <si>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</si>
  <si>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</si>
  <si>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</si>
  <si>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</si>
  <si>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</si>
  <si>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</si>
  <si>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OK Hydraulik s.r.o.,Polenská 5012/12,Jihlava</t>
  </si>
  <si>
    <t>Kaktus Projekce s.r.o.,Purkyňova 14,Jihlava</t>
  </si>
  <si>
    <t>Vzejde z výběr.řízení</t>
  </si>
  <si>
    <t>František Nykodým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</si>
  <si>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</si>
  <si>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</si>
  <si>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</si>
  <si>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</si>
  <si>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</si>
  <si>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</si>
  <si>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</si>
  <si>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</si>
  <si>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</si>
  <si>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</si>
  <si>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</si>
  <si>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</si>
  <si>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</si>
  <si>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</si>
  <si>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</si>
  <si>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</si>
  <si>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</si>
  <si>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</si>
  <si>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16_</t>
  </si>
  <si>
    <t>19_</t>
  </si>
  <si>
    <t>27_</t>
  </si>
  <si>
    <t>34_</t>
  </si>
  <si>
    <t>41_</t>
  </si>
  <si>
    <t>56_</t>
  </si>
  <si>
    <t>61_</t>
  </si>
  <si>
    <t>63_</t>
  </si>
  <si>
    <t>64_</t>
  </si>
  <si>
    <t>713_</t>
  </si>
  <si>
    <t>723_</t>
  </si>
  <si>
    <t>728_</t>
  </si>
  <si>
    <t>766_</t>
  </si>
  <si>
    <t>777_</t>
  </si>
  <si>
    <t>786_</t>
  </si>
  <si>
    <t>787_</t>
  </si>
  <si>
    <t>90_</t>
  </si>
  <si>
    <t>94_</t>
  </si>
  <si>
    <t>95_</t>
  </si>
  <si>
    <t>96_</t>
  </si>
  <si>
    <t>H99_</t>
  </si>
  <si>
    <t>M21001_</t>
  </si>
  <si>
    <t>S_</t>
  </si>
  <si>
    <t>1_</t>
  </si>
  <si>
    <t>2_</t>
  </si>
  <si>
    <t>3_</t>
  </si>
  <si>
    <t>4_</t>
  </si>
  <si>
    <t>5_</t>
  </si>
  <si>
    <t>6_</t>
  </si>
  <si>
    <t>71_</t>
  </si>
  <si>
    <t>72_</t>
  </si>
  <si>
    <t>76_</t>
  </si>
  <si>
    <t>77_</t>
  </si>
  <si>
    <t>78_</t>
  </si>
  <si>
    <t>9_</t>
  </si>
  <si>
    <t>_</t>
  </si>
  <si>
    <t>MAT</t>
  </si>
  <si>
    <t>WORK</t>
  </si>
  <si>
    <t>CELK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</si>
  <si>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</si>
  <si>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</si>
  <si>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</si>
  <si>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</si>
  <si>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</si>
  <si>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</si>
  <si>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Výkaz výměr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</si>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</sst>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9"/>
      <color indexed="61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9" fontId="11" fillId="34" borderId="29" xfId="0" applyNumberFormat="1" applyFont="1" applyFill="1" applyBorder="1" applyAlignment="1" applyProtection="1">
      <alignment horizontal="center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49" fontId="12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3" fillId="0" borderId="29" xfId="0" applyNumberFormat="1" applyFont="1" applyFill="1" applyBorder="1" applyAlignment="1" applyProtection="1">
      <alignment horizontal="right" vertical="center"/>
      <protection/>
    </xf>
    <xf numFmtId="49" fontId="13" fillId="0" borderId="29" xfId="0" applyNumberFormat="1" applyFont="1" applyFill="1" applyBorder="1" applyAlignment="1" applyProtection="1">
      <alignment horizontal="right" vertical="center"/>
      <protection/>
    </xf>
    <xf numFmtId="4" fontId="13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2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0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2" fillId="34" borderId="37" xfId="0" applyNumberFormat="1" applyFont="1" applyFill="1" applyBorder="1" applyAlignment="1" applyProtection="1">
      <alignment horizontal="left" vertical="center"/>
      <protection/>
    </xf>
    <xf numFmtId="0" fontId="12" fillId="34" borderId="50" xfId="0" applyNumberFormat="1" applyFont="1" applyFill="1" applyBorder="1" applyAlignment="1" applyProtection="1">
      <alignment horizontal="left" vertical="center"/>
      <protection/>
    </xf>
    <xf numFmtId="49" fontId="13" fillId="0" borderId="51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52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53" xfId="0" applyNumberFormat="1" applyFont="1" applyFill="1" applyBorder="1" applyAlignment="1" applyProtection="1">
      <alignment horizontal="left" vertical="center"/>
      <protection/>
    </xf>
    <xf numFmtId="49" fontId="13" fillId="0" borderId="54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0" fontId="13" fillId="0" borderId="5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09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51.00390625" style="0" customWidth="1"/>
    <col min="4" max="5" width="11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13" max="24" width="11.57421875" style="0" customWidth="1"/>
    <col min="25" max="62" width="12.140625" style="0" hidden="1" customWidth="1"/>
  </cols>
  <sheetData>
    <row r="1" spans="1:12" ht="72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2.75">
      <c r="A2" s="66" t="s">
        <v>1</v>
      </c>
      <c r="B2" s="67"/>
      <c r="C2" s="70" t="s">
        <v>99</v>
      </c>
      <c r="D2" s="72" t="s">
        <v>194</v>
      </c>
      <c r="E2" s="67"/>
      <c r="F2" s="72" t="s">
        <v>6</v>
      </c>
      <c r="G2" s="67"/>
      <c r="H2" s="73" t="s">
        <v>207</v>
      </c>
      <c r="I2" s="73" t="s">
        <v>213</v>
      </c>
      <c r="J2" s="67"/>
      <c r="K2" s="67"/>
      <c r="L2" s="74"/>
      <c r="M2" s="28"/>
    </row>
    <row r="3" spans="1:13" ht="12.75">
      <c r="A3" s="68"/>
      <c r="B3" s="69"/>
      <c r="C3" s="71"/>
      <c r="D3" s="69"/>
      <c r="E3" s="69"/>
      <c r="F3" s="69"/>
      <c r="G3" s="69"/>
      <c r="H3" s="69"/>
      <c r="I3" s="69"/>
      <c r="J3" s="69"/>
      <c r="K3" s="69"/>
      <c r="L3" s="75"/>
      <c r="M3" s="28"/>
    </row>
    <row r="4" spans="1:13" ht="12.75">
      <c r="A4" s="76" t="s">
        <v>2</v>
      </c>
      <c r="B4" s="69"/>
      <c r="C4" s="77" t="s">
        <v>100</v>
      </c>
      <c r="D4" s="78" t="s">
        <v>195</v>
      </c>
      <c r="E4" s="69"/>
      <c r="F4" s="78" t="s">
        <v>6</v>
      </c>
      <c r="G4" s="69"/>
      <c r="H4" s="77" t="s">
        <v>208</v>
      </c>
      <c r="I4" s="77" t="s">
        <v>214</v>
      </c>
      <c r="J4" s="69"/>
      <c r="K4" s="69"/>
      <c r="L4" s="75"/>
      <c r="M4" s="28"/>
    </row>
    <row r="5" spans="1:13" ht="12.7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75"/>
      <c r="M5" s="28"/>
    </row>
    <row r="6" spans="1:13" ht="12.75">
      <c r="A6" s="76" t="s">
        <v>3</v>
      </c>
      <c r="B6" s="69"/>
      <c r="C6" s="77" t="s">
        <v>101</v>
      </c>
      <c r="D6" s="78" t="s">
        <v>196</v>
      </c>
      <c r="E6" s="69"/>
      <c r="F6" s="78" t="s">
        <v>6</v>
      </c>
      <c r="G6" s="69"/>
      <c r="H6" s="77" t="s">
        <v>209</v>
      </c>
      <c r="I6" s="77" t="s">
        <v>215</v>
      </c>
      <c r="J6" s="69"/>
      <c r="K6" s="69"/>
      <c r="L6" s="75"/>
      <c r="M6" s="28"/>
    </row>
    <row r="7" spans="1:13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75"/>
      <c r="M7" s="28"/>
    </row>
    <row r="8" spans="1:13" ht="12.75">
      <c r="A8" s="76" t="s">
        <v>4</v>
      </c>
      <c r="B8" s="69"/>
      <c r="C8" s="77">
        <v>8112112</v>
      </c>
      <c r="D8" s="78" t="s">
        <v>197</v>
      </c>
      <c r="E8" s="69"/>
      <c r="F8" s="78" t="s">
        <v>198</v>
      </c>
      <c r="G8" s="69"/>
      <c r="H8" s="77" t="s">
        <v>210</v>
      </c>
      <c r="I8" s="77" t="s">
        <v>216</v>
      </c>
      <c r="J8" s="69"/>
      <c r="K8" s="69"/>
      <c r="L8" s="75"/>
      <c r="M8" s="28"/>
    </row>
    <row r="9" spans="1:13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28"/>
    </row>
    <row r="10" spans="1:13" ht="12.75">
      <c r="A10" s="1" t="s">
        <v>5</v>
      </c>
      <c r="B10" s="9" t="s">
        <v>44</v>
      </c>
      <c r="C10" s="82" t="s">
        <v>102</v>
      </c>
      <c r="D10" s="83"/>
      <c r="E10" s="84"/>
      <c r="F10" s="9" t="s">
        <v>199</v>
      </c>
      <c r="G10" s="14" t="s">
        <v>206</v>
      </c>
      <c r="H10" s="18" t="s">
        <v>211</v>
      </c>
      <c r="I10" s="85" t="s">
        <v>217</v>
      </c>
      <c r="J10" s="86"/>
      <c r="K10" s="87"/>
      <c r="L10" s="23" t="s">
        <v>222</v>
      </c>
      <c r="M10" s="29"/>
    </row>
    <row r="11" spans="1:62" ht="12.75">
      <c r="A11" s="2" t="s">
        <v>6</v>
      </c>
      <c r="B11" s="10" t="s">
        <v>6</v>
      </c>
      <c r="C11" s="88" t="s">
        <v>103</v>
      </c>
      <c r="D11" s="89"/>
      <c r="E11" s="90"/>
      <c r="F11" s="10" t="s">
        <v>6</v>
      </c>
      <c r="G11" s="10" t="s">
        <v>6</v>
      </c>
      <c r="H11" s="19" t="s">
        <v>212</v>
      </c>
      <c r="I11" s="20" t="s">
        <v>218</v>
      </c>
      <c r="J11" s="21" t="s">
        <v>220</v>
      </c>
      <c r="K11" s="22" t="s">
        <v>221</v>
      </c>
      <c r="L11" s="24" t="s">
        <v>223</v>
      </c>
      <c r="M11" s="29"/>
      <c r="Z11" s="27" t="s">
        <v>225</v>
      </c>
      <c r="AA11" s="27" t="s">
        <v>226</v>
      </c>
      <c r="AB11" s="27" t="s">
        <v>227</v>
      </c>
      <c r="AC11" s="27" t="s">
        <v>228</v>
      </c>
      <c r="AD11" s="27" t="s">
        <v>229</v>
      </c>
      <c r="AE11" s="27" t="s">
        <v>230</v>
      </c>
      <c r="AF11" s="27" t="s">
        <v>231</v>
      </c>
      <c r="AG11" s="27" t="s">
        <v>232</v>
      </c>
      <c r="AH11" s="27" t="s">
        <v>233</v>
      </c>
      <c r="BH11" s="27" t="s">
        <v>271</v>
      </c>
      <c r="BI11" s="27" t="s">
        <v>272</v>
      </c>
      <c r="BJ11" s="27" t="s">
        <v>273</v>
      </c>
    </row>
    <row r="12" spans="1:47" ht="12.75">
      <c r="A12" s="3"/>
      <c r="B12" s="11" t="s">
        <v>19</v>
      </c>
      <c r="C12" s="91" t="s">
        <v>104</v>
      </c>
      <c r="D12" s="92"/>
      <c r="E12" s="92"/>
      <c r="F12" s="3" t="s">
        <v>6</v>
      </c>
      <c r="G12" s="3" t="s">
        <v>6</v>
      </c>
      <c r="H12" s="3" t="s">
        <v>6</v>
      </c>
      <c r="I12" s="32">
        <f>SUM(I13:I15)</f>
        <v>0</v>
      </c>
      <c r="J12" s="32">
        <f>SUM(J13:J15)</f>
        <v>0</v>
      </c>
      <c r="K12" s="32">
        <f>SUM(K13:K15)</f>
        <v>0</v>
      </c>
      <c r="L12" s="25"/>
      <c r="AI12" s="27"/>
      <c r="AS12" s="33">
        <f>SUM(AJ13:AJ15)</f>
        <v>0</v>
      </c>
      <c r="AT12" s="33">
        <f>SUM(AK13:AK15)</f>
        <v>0</v>
      </c>
      <c r="AU12" s="33">
        <f>SUM(AL13:AL15)</f>
        <v>0</v>
      </c>
    </row>
    <row r="13" spans="1:62" ht="12.75">
      <c r="A13" s="4" t="s">
        <v>7</v>
      </c>
      <c r="B13" s="4" t="s">
        <v>45</v>
      </c>
      <c r="C13" s="93" t="s">
        <v>105</v>
      </c>
      <c r="D13" s="94"/>
      <c r="E13" s="94"/>
      <c r="F13" s="4" t="s">
        <v>200</v>
      </c>
      <c r="G13" s="15">
        <v>35.25</v>
      </c>
      <c r="H13" s="15">
        <v>0</v>
      </c>
      <c r="I13" s="15">
        <f>G13*AO13</f>
        <v>0</v>
      </c>
      <c r="J13" s="15">
        <f>G13*AP13</f>
        <v>0</v>
      </c>
      <c r="K13" s="15">
        <f>G13*H13</f>
        <v>0</v>
      </c>
      <c r="L13" s="26" t="s">
        <v>224</v>
      </c>
      <c r="Z13" s="30">
        <f>IF(AQ13="5",BJ13,0)</f>
        <v>0</v>
      </c>
      <c r="AB13" s="30">
        <f>IF(AQ13="1",BH13,0)</f>
        <v>0</v>
      </c>
      <c r="AC13" s="30">
        <f>IF(AQ13="1",BI13,0)</f>
        <v>0</v>
      </c>
      <c r="AD13" s="30">
        <f>IF(AQ13="7",BH13,0)</f>
        <v>0</v>
      </c>
      <c r="AE13" s="30">
        <f>IF(AQ13="7",BI13,0)</f>
        <v>0</v>
      </c>
      <c r="AF13" s="30">
        <f>IF(AQ13="2",BH13,0)</f>
        <v>0</v>
      </c>
      <c r="AG13" s="30">
        <f>IF(AQ13="2",BI13,0)</f>
        <v>0</v>
      </c>
      <c r="AH13" s="30">
        <f>IF(AQ13="0",BJ13,0)</f>
        <v>0</v>
      </c>
      <c r="AI13" s="27"/>
      <c r="AJ13" s="15">
        <f>IF(AN13=0,K13,0)</f>
        <v>0</v>
      </c>
      <c r="AK13" s="15">
        <f>IF(AN13=15,K13,0)</f>
        <v>0</v>
      </c>
      <c r="AL13" s="15">
        <f>IF(AN13=21,K13,0)</f>
        <v>0</v>
      </c>
      <c r="AN13" s="30">
        <v>21</v>
      </c>
      <c r="AO13" s="30">
        <f>H13*0</f>
        <v>0</v>
      </c>
      <c r="AP13" s="30">
        <f>H13*(1-0)</f>
        <v>0</v>
      </c>
      <c r="AQ13" s="26" t="s">
        <v>7</v>
      </c>
      <c r="AV13" s="30">
        <f>AW13+AX13</f>
        <v>0</v>
      </c>
      <c r="AW13" s="30">
        <f>G13*AO13</f>
        <v>0</v>
      </c>
      <c r="AX13" s="30">
        <f>G13*AP13</f>
        <v>0</v>
      </c>
      <c r="AY13" s="31" t="s">
        <v>234</v>
      </c>
      <c r="AZ13" s="31" t="s">
        <v>258</v>
      </c>
      <c r="BA13" s="27" t="s">
        <v>270</v>
      </c>
      <c r="BC13" s="30">
        <f>AW13+AX13</f>
        <v>0</v>
      </c>
      <c r="BD13" s="30">
        <f>H13/(100-BE13)*100</f>
        <v>0</v>
      </c>
      <c r="BE13" s="30">
        <v>0</v>
      </c>
      <c r="BF13" s="30">
        <f>13</f>
        <v>13</v>
      </c>
      <c r="BH13" s="15">
        <f>G13*AO13</f>
        <v>0</v>
      </c>
      <c r="BI13" s="15">
        <f>G13*AP13</f>
        <v>0</v>
      </c>
      <c r="BJ13" s="15">
        <f>G13*H13</f>
        <v>0</v>
      </c>
    </row>
    <row r="14" spans="3:7" ht="12.75">
      <c r="C14" s="95" t="s">
        <v>106</v>
      </c>
      <c r="D14" s="96"/>
      <c r="E14" s="96"/>
      <c r="G14" s="16">
        <v>35.25</v>
      </c>
    </row>
    <row r="15" spans="1:62" ht="12.75">
      <c r="A15" s="4" t="s">
        <v>8</v>
      </c>
      <c r="B15" s="4" t="s">
        <v>46</v>
      </c>
      <c r="C15" s="93" t="s">
        <v>107</v>
      </c>
      <c r="D15" s="94"/>
      <c r="E15" s="94"/>
      <c r="F15" s="4" t="s">
        <v>200</v>
      </c>
      <c r="G15" s="15">
        <v>17.625</v>
      </c>
      <c r="H15" s="15">
        <v>0</v>
      </c>
      <c r="I15" s="15">
        <f>G15*AO15</f>
        <v>0</v>
      </c>
      <c r="J15" s="15">
        <f>G15*AP15</f>
        <v>0</v>
      </c>
      <c r="K15" s="15">
        <f>G15*H15</f>
        <v>0</v>
      </c>
      <c r="L15" s="26" t="s">
        <v>224</v>
      </c>
      <c r="Z15" s="30">
        <f>IF(AQ15="5",BJ15,0)</f>
        <v>0</v>
      </c>
      <c r="AB15" s="30">
        <f>IF(AQ15="1",BH15,0)</f>
        <v>0</v>
      </c>
      <c r="AC15" s="30">
        <f>IF(AQ15="1",BI15,0)</f>
        <v>0</v>
      </c>
      <c r="AD15" s="30">
        <f>IF(AQ15="7",BH15,0)</f>
        <v>0</v>
      </c>
      <c r="AE15" s="30">
        <f>IF(AQ15="7",BI15,0)</f>
        <v>0</v>
      </c>
      <c r="AF15" s="30">
        <f>IF(AQ15="2",BH15,0)</f>
        <v>0</v>
      </c>
      <c r="AG15" s="30">
        <f>IF(AQ15="2",BI15,0)</f>
        <v>0</v>
      </c>
      <c r="AH15" s="30">
        <f>IF(AQ15="0",BJ15,0)</f>
        <v>0</v>
      </c>
      <c r="AI15" s="27"/>
      <c r="AJ15" s="15">
        <f>IF(AN15=0,K15,0)</f>
        <v>0</v>
      </c>
      <c r="AK15" s="15">
        <f>IF(AN15=15,K15,0)</f>
        <v>0</v>
      </c>
      <c r="AL15" s="15">
        <f>IF(AN15=21,K15,0)</f>
        <v>0</v>
      </c>
      <c r="AN15" s="30">
        <v>21</v>
      </c>
      <c r="AO15" s="30">
        <f>H15*0</f>
        <v>0</v>
      </c>
      <c r="AP15" s="30">
        <f>H15*(1-0)</f>
        <v>0</v>
      </c>
      <c r="AQ15" s="26" t="s">
        <v>7</v>
      </c>
      <c r="AV15" s="30">
        <f>AW15+AX15</f>
        <v>0</v>
      </c>
      <c r="AW15" s="30">
        <f>G15*AO15</f>
        <v>0</v>
      </c>
      <c r="AX15" s="30">
        <f>G15*AP15</f>
        <v>0</v>
      </c>
      <c r="AY15" s="31" t="s">
        <v>234</v>
      </c>
      <c r="AZ15" s="31" t="s">
        <v>258</v>
      </c>
      <c r="BA15" s="27" t="s">
        <v>270</v>
      </c>
      <c r="BC15" s="30">
        <f>AW15+AX15</f>
        <v>0</v>
      </c>
      <c r="BD15" s="30">
        <f>H15/(100-BE15)*100</f>
        <v>0</v>
      </c>
      <c r="BE15" s="30">
        <v>0</v>
      </c>
      <c r="BF15" s="30">
        <f>15</f>
        <v>15</v>
      </c>
      <c r="BH15" s="15">
        <f>G15*AO15</f>
        <v>0</v>
      </c>
      <c r="BI15" s="15">
        <f>G15*AP15</f>
        <v>0</v>
      </c>
      <c r="BJ15" s="15">
        <f>G15*H15</f>
        <v>0</v>
      </c>
    </row>
    <row r="16" spans="3:7" ht="12.75">
      <c r="C16" s="95" t="s">
        <v>108</v>
      </c>
      <c r="D16" s="96"/>
      <c r="E16" s="96"/>
      <c r="G16" s="16">
        <v>17.625</v>
      </c>
    </row>
    <row r="17" spans="1:47" ht="12.75">
      <c r="A17" s="5"/>
      <c r="B17" s="12" t="s">
        <v>22</v>
      </c>
      <c r="C17" s="97" t="s">
        <v>109</v>
      </c>
      <c r="D17" s="98"/>
      <c r="E17" s="98"/>
      <c r="F17" s="5" t="s">
        <v>6</v>
      </c>
      <c r="G17" s="5" t="s">
        <v>6</v>
      </c>
      <c r="H17" s="5" t="s">
        <v>6</v>
      </c>
      <c r="I17" s="33">
        <f>SUM(I18:I18)</f>
        <v>0</v>
      </c>
      <c r="J17" s="33">
        <f>SUM(J18:J18)</f>
        <v>0</v>
      </c>
      <c r="K17" s="33">
        <f>SUM(K18:K18)</f>
        <v>0</v>
      </c>
      <c r="L17" s="27"/>
      <c r="AI17" s="27"/>
      <c r="AS17" s="33">
        <f>SUM(AJ18:AJ18)</f>
        <v>0</v>
      </c>
      <c r="AT17" s="33">
        <f>SUM(AK18:AK18)</f>
        <v>0</v>
      </c>
      <c r="AU17" s="33">
        <f>SUM(AL18:AL18)</f>
        <v>0</v>
      </c>
    </row>
    <row r="18" spans="1:62" ht="12.75">
      <c r="A18" s="4" t="s">
        <v>9</v>
      </c>
      <c r="B18" s="4" t="s">
        <v>47</v>
      </c>
      <c r="C18" s="93" t="s">
        <v>110</v>
      </c>
      <c r="D18" s="94"/>
      <c r="E18" s="94"/>
      <c r="F18" s="4" t="s">
        <v>200</v>
      </c>
      <c r="G18" s="15">
        <v>17.62</v>
      </c>
      <c r="H18" s="15">
        <v>0</v>
      </c>
      <c r="I18" s="15">
        <f>G18*AO18</f>
        <v>0</v>
      </c>
      <c r="J18" s="15">
        <f>G18*AP18</f>
        <v>0</v>
      </c>
      <c r="K18" s="15">
        <f>G18*H18</f>
        <v>0</v>
      </c>
      <c r="L18" s="26" t="s">
        <v>224</v>
      </c>
      <c r="Z18" s="30">
        <f>IF(AQ18="5",BJ18,0)</f>
        <v>0</v>
      </c>
      <c r="AB18" s="30">
        <f>IF(AQ18="1",BH18,0)</f>
        <v>0</v>
      </c>
      <c r="AC18" s="30">
        <f>IF(AQ18="1",BI18,0)</f>
        <v>0</v>
      </c>
      <c r="AD18" s="30">
        <f>IF(AQ18="7",BH18,0)</f>
        <v>0</v>
      </c>
      <c r="AE18" s="30">
        <f>IF(AQ18="7",BI18,0)</f>
        <v>0</v>
      </c>
      <c r="AF18" s="30">
        <f>IF(AQ18="2",BH18,0)</f>
        <v>0</v>
      </c>
      <c r="AG18" s="30">
        <f>IF(AQ18="2",BI18,0)</f>
        <v>0</v>
      </c>
      <c r="AH18" s="30">
        <f>IF(AQ18="0",BJ18,0)</f>
        <v>0</v>
      </c>
      <c r="AI18" s="27"/>
      <c r="AJ18" s="15">
        <f>IF(AN18=0,K18,0)</f>
        <v>0</v>
      </c>
      <c r="AK18" s="15">
        <f>IF(AN18=15,K18,0)</f>
        <v>0</v>
      </c>
      <c r="AL18" s="15">
        <f>IF(AN18=21,K18,0)</f>
        <v>0</v>
      </c>
      <c r="AN18" s="30">
        <v>21</v>
      </c>
      <c r="AO18" s="30">
        <f>H18*0</f>
        <v>0</v>
      </c>
      <c r="AP18" s="30">
        <f>H18*(1-0)</f>
        <v>0</v>
      </c>
      <c r="AQ18" s="26" t="s">
        <v>7</v>
      </c>
      <c r="AV18" s="30">
        <f>AW18+AX18</f>
        <v>0</v>
      </c>
      <c r="AW18" s="30">
        <f>G18*AO18</f>
        <v>0</v>
      </c>
      <c r="AX18" s="30">
        <f>G18*AP18</f>
        <v>0</v>
      </c>
      <c r="AY18" s="31" t="s">
        <v>235</v>
      </c>
      <c r="AZ18" s="31" t="s">
        <v>258</v>
      </c>
      <c r="BA18" s="27" t="s">
        <v>270</v>
      </c>
      <c r="BC18" s="30">
        <f>AW18+AX18</f>
        <v>0</v>
      </c>
      <c r="BD18" s="30">
        <f>H18/(100-BE18)*100</f>
        <v>0</v>
      </c>
      <c r="BE18" s="30">
        <v>0</v>
      </c>
      <c r="BF18" s="30">
        <f>18</f>
        <v>18</v>
      </c>
      <c r="BH18" s="15">
        <f>G18*AO18</f>
        <v>0</v>
      </c>
      <c r="BI18" s="15">
        <f>G18*AP18</f>
        <v>0</v>
      </c>
      <c r="BJ18" s="15">
        <f>G18*H18</f>
        <v>0</v>
      </c>
    </row>
    <row r="19" spans="3:7" ht="12.75">
      <c r="C19" s="95" t="s">
        <v>111</v>
      </c>
      <c r="D19" s="96"/>
      <c r="E19" s="96"/>
      <c r="G19" s="16">
        <v>17.62</v>
      </c>
    </row>
    <row r="20" spans="1:47" ht="12.75">
      <c r="A20" s="5"/>
      <c r="B20" s="12" t="s">
        <v>25</v>
      </c>
      <c r="C20" s="97" t="s">
        <v>112</v>
      </c>
      <c r="D20" s="98"/>
      <c r="E20" s="98"/>
      <c r="F20" s="5" t="s">
        <v>6</v>
      </c>
      <c r="G20" s="5" t="s">
        <v>6</v>
      </c>
      <c r="H20" s="5" t="s">
        <v>6</v>
      </c>
      <c r="I20" s="33">
        <f>SUM(I21:I21)</f>
        <v>0</v>
      </c>
      <c r="J20" s="33">
        <f>SUM(J21:J21)</f>
        <v>0</v>
      </c>
      <c r="K20" s="33">
        <f>SUM(K21:K21)</f>
        <v>0</v>
      </c>
      <c r="L20" s="27"/>
      <c r="AI20" s="27"/>
      <c r="AS20" s="33">
        <f>SUM(AJ21:AJ21)</f>
        <v>0</v>
      </c>
      <c r="AT20" s="33">
        <f>SUM(AK21:AK21)</f>
        <v>0</v>
      </c>
      <c r="AU20" s="33">
        <f>SUM(AL21:AL21)</f>
        <v>0</v>
      </c>
    </row>
    <row r="21" spans="1:62" ht="12.75">
      <c r="A21" s="4" t="s">
        <v>10</v>
      </c>
      <c r="B21" s="4" t="s">
        <v>48</v>
      </c>
      <c r="C21" s="93" t="s">
        <v>113</v>
      </c>
      <c r="D21" s="94"/>
      <c r="E21" s="94"/>
      <c r="F21" s="4" t="s">
        <v>200</v>
      </c>
      <c r="G21" s="15">
        <v>17.62</v>
      </c>
      <c r="H21" s="15">
        <v>0</v>
      </c>
      <c r="I21" s="15">
        <f>G21*AO21</f>
        <v>0</v>
      </c>
      <c r="J21" s="15">
        <f>G21*AP21</f>
        <v>0</v>
      </c>
      <c r="K21" s="15">
        <f>G21*H21</f>
        <v>0</v>
      </c>
      <c r="L21" s="26" t="s">
        <v>224</v>
      </c>
      <c r="Z21" s="30">
        <f>IF(AQ21="5",BJ21,0)</f>
        <v>0</v>
      </c>
      <c r="AB21" s="30">
        <f>IF(AQ21="1",BH21,0)</f>
        <v>0</v>
      </c>
      <c r="AC21" s="30">
        <f>IF(AQ21="1",BI21,0)</f>
        <v>0</v>
      </c>
      <c r="AD21" s="30">
        <f>IF(AQ21="7",BH21,0)</f>
        <v>0</v>
      </c>
      <c r="AE21" s="30">
        <f>IF(AQ21="7",BI21,0)</f>
        <v>0</v>
      </c>
      <c r="AF21" s="30">
        <f>IF(AQ21="2",BH21,0)</f>
        <v>0</v>
      </c>
      <c r="AG21" s="30">
        <f>IF(AQ21="2",BI21,0)</f>
        <v>0</v>
      </c>
      <c r="AH21" s="30">
        <f>IF(AQ21="0",BJ21,0)</f>
        <v>0</v>
      </c>
      <c r="AI21" s="27"/>
      <c r="AJ21" s="15">
        <f>IF(AN21=0,K21,0)</f>
        <v>0</v>
      </c>
      <c r="AK21" s="15">
        <f>IF(AN21=15,K21,0)</f>
        <v>0</v>
      </c>
      <c r="AL21" s="15">
        <f>IF(AN21=21,K21,0)</f>
        <v>0</v>
      </c>
      <c r="AN21" s="30">
        <v>21</v>
      </c>
      <c r="AO21" s="30">
        <f>H21*0</f>
        <v>0</v>
      </c>
      <c r="AP21" s="30">
        <f>H21*(1-0)</f>
        <v>0</v>
      </c>
      <c r="AQ21" s="26" t="s">
        <v>7</v>
      </c>
      <c r="AV21" s="30">
        <f>AW21+AX21</f>
        <v>0</v>
      </c>
      <c r="AW21" s="30">
        <f>G21*AO21</f>
        <v>0</v>
      </c>
      <c r="AX21" s="30">
        <f>G21*AP21</f>
        <v>0</v>
      </c>
      <c r="AY21" s="31" t="s">
        <v>236</v>
      </c>
      <c r="AZ21" s="31" t="s">
        <v>258</v>
      </c>
      <c r="BA21" s="27" t="s">
        <v>270</v>
      </c>
      <c r="BC21" s="30">
        <f>AW21+AX21</f>
        <v>0</v>
      </c>
      <c r="BD21" s="30">
        <f>H21/(100-BE21)*100</f>
        <v>0</v>
      </c>
      <c r="BE21" s="30">
        <v>0</v>
      </c>
      <c r="BF21" s="30">
        <f>21</f>
        <v>21</v>
      </c>
      <c r="BH21" s="15">
        <f>G21*AO21</f>
        <v>0</v>
      </c>
      <c r="BI21" s="15">
        <f>G21*AP21</f>
        <v>0</v>
      </c>
      <c r="BJ21" s="15">
        <f>G21*H21</f>
        <v>0</v>
      </c>
    </row>
    <row r="22" spans="3:7" ht="12.75">
      <c r="C22" s="95" t="s">
        <v>111</v>
      </c>
      <c r="D22" s="96"/>
      <c r="E22" s="96"/>
      <c r="G22" s="16">
        <v>17.62</v>
      </c>
    </row>
    <row r="23" spans="1:47" ht="12.75">
      <c r="A23" s="5"/>
      <c r="B23" s="12" t="s">
        <v>33</v>
      </c>
      <c r="C23" s="97" t="s">
        <v>114</v>
      </c>
      <c r="D23" s="98"/>
      <c r="E23" s="98"/>
      <c r="F23" s="5" t="s">
        <v>6</v>
      </c>
      <c r="G23" s="5" t="s">
        <v>6</v>
      </c>
      <c r="H23" s="5" t="s">
        <v>6</v>
      </c>
      <c r="I23" s="33">
        <f>SUM(I24:I31)</f>
        <v>0</v>
      </c>
      <c r="J23" s="33">
        <f>SUM(J24:J31)</f>
        <v>0</v>
      </c>
      <c r="K23" s="33">
        <f>SUM(K24:K31)</f>
        <v>0</v>
      </c>
      <c r="L23" s="27"/>
      <c r="AI23" s="27"/>
      <c r="AS23" s="33">
        <f>SUM(AJ24:AJ31)</f>
        <v>0</v>
      </c>
      <c r="AT23" s="33">
        <f>SUM(AK24:AK31)</f>
        <v>0</v>
      </c>
      <c r="AU23" s="33">
        <f>SUM(AL24:AL31)</f>
        <v>0</v>
      </c>
    </row>
    <row r="24" spans="1:62" ht="12.75">
      <c r="A24" s="4" t="s">
        <v>11</v>
      </c>
      <c r="B24" s="4" t="s">
        <v>49</v>
      </c>
      <c r="C24" s="93" t="s">
        <v>115</v>
      </c>
      <c r="D24" s="94"/>
      <c r="E24" s="94"/>
      <c r="F24" s="4" t="s">
        <v>201</v>
      </c>
      <c r="G24" s="15">
        <v>6.18</v>
      </c>
      <c r="H24" s="15">
        <v>0</v>
      </c>
      <c r="I24" s="15">
        <f>G24*AO24</f>
        <v>0</v>
      </c>
      <c r="J24" s="15">
        <f>G24*AP24</f>
        <v>0</v>
      </c>
      <c r="K24" s="15">
        <f>G24*H24</f>
        <v>0</v>
      </c>
      <c r="L24" s="26" t="s">
        <v>224</v>
      </c>
      <c r="Z24" s="30">
        <f>IF(AQ24="5",BJ24,0)</f>
        <v>0</v>
      </c>
      <c r="AB24" s="30">
        <f>IF(AQ24="1",BH24,0)</f>
        <v>0</v>
      </c>
      <c r="AC24" s="30">
        <f>IF(AQ24="1",BI24,0)</f>
        <v>0</v>
      </c>
      <c r="AD24" s="30">
        <f>IF(AQ24="7",BH24,0)</f>
        <v>0</v>
      </c>
      <c r="AE24" s="30">
        <f>IF(AQ24="7",BI24,0)</f>
        <v>0</v>
      </c>
      <c r="AF24" s="30">
        <f>IF(AQ24="2",BH24,0)</f>
        <v>0</v>
      </c>
      <c r="AG24" s="30">
        <f>IF(AQ24="2",BI24,0)</f>
        <v>0</v>
      </c>
      <c r="AH24" s="30">
        <f>IF(AQ24="0",BJ24,0)</f>
        <v>0</v>
      </c>
      <c r="AI24" s="27"/>
      <c r="AJ24" s="15">
        <f>IF(AN24=0,K24,0)</f>
        <v>0</v>
      </c>
      <c r="AK24" s="15">
        <f>IF(AN24=15,K24,0)</f>
        <v>0</v>
      </c>
      <c r="AL24" s="15">
        <f>IF(AN24=21,K24,0)</f>
        <v>0</v>
      </c>
      <c r="AN24" s="30">
        <v>21</v>
      </c>
      <c r="AO24" s="30">
        <f>H24*0.624712416687238</f>
        <v>0</v>
      </c>
      <c r="AP24" s="30">
        <f>H24*(1-0.624712416687238)</f>
        <v>0</v>
      </c>
      <c r="AQ24" s="26" t="s">
        <v>7</v>
      </c>
      <c r="AV24" s="30">
        <f>AW24+AX24</f>
        <v>0</v>
      </c>
      <c r="AW24" s="30">
        <f>G24*AO24</f>
        <v>0</v>
      </c>
      <c r="AX24" s="30">
        <f>G24*AP24</f>
        <v>0</v>
      </c>
      <c r="AY24" s="31" t="s">
        <v>237</v>
      </c>
      <c r="AZ24" s="31" t="s">
        <v>259</v>
      </c>
      <c r="BA24" s="27" t="s">
        <v>270</v>
      </c>
      <c r="BC24" s="30">
        <f>AW24+AX24</f>
        <v>0</v>
      </c>
      <c r="BD24" s="30">
        <f>H24/(100-BE24)*100</f>
        <v>0</v>
      </c>
      <c r="BE24" s="30">
        <v>0</v>
      </c>
      <c r="BF24" s="30">
        <f>24</f>
        <v>24</v>
      </c>
      <c r="BH24" s="15">
        <f>G24*AO24</f>
        <v>0</v>
      </c>
      <c r="BI24" s="15">
        <f>G24*AP24</f>
        <v>0</v>
      </c>
      <c r="BJ24" s="15">
        <f>G24*H24</f>
        <v>0</v>
      </c>
    </row>
    <row r="25" spans="3:7" ht="12.75">
      <c r="C25" s="95" t="s">
        <v>116</v>
      </c>
      <c r="D25" s="96"/>
      <c r="E25" s="96"/>
      <c r="G25" s="16">
        <v>6.18</v>
      </c>
    </row>
    <row r="26" spans="1:62" ht="12.75">
      <c r="A26" s="4" t="s">
        <v>12</v>
      </c>
      <c r="B26" s="4" t="s">
        <v>50</v>
      </c>
      <c r="C26" s="93" t="s">
        <v>117</v>
      </c>
      <c r="D26" s="94"/>
      <c r="E26" s="94"/>
      <c r="F26" s="4" t="s">
        <v>200</v>
      </c>
      <c r="G26" s="15">
        <v>28.7664</v>
      </c>
      <c r="H26" s="15">
        <v>0</v>
      </c>
      <c r="I26" s="15">
        <f>G26*AO26</f>
        <v>0</v>
      </c>
      <c r="J26" s="15">
        <f>G26*AP26</f>
        <v>0</v>
      </c>
      <c r="K26" s="15">
        <f>G26*H26</f>
        <v>0</v>
      </c>
      <c r="L26" s="26" t="s">
        <v>224</v>
      </c>
      <c r="Z26" s="30">
        <f>IF(AQ26="5",BJ26,0)</f>
        <v>0</v>
      </c>
      <c r="AB26" s="30">
        <f>IF(AQ26="1",BH26,0)</f>
        <v>0</v>
      </c>
      <c r="AC26" s="30">
        <f>IF(AQ26="1",BI26,0)</f>
        <v>0</v>
      </c>
      <c r="AD26" s="30">
        <f>IF(AQ26="7",BH26,0)</f>
        <v>0</v>
      </c>
      <c r="AE26" s="30">
        <f>IF(AQ26="7",BI26,0)</f>
        <v>0</v>
      </c>
      <c r="AF26" s="30">
        <f>IF(AQ26="2",BH26,0)</f>
        <v>0</v>
      </c>
      <c r="AG26" s="30">
        <f>IF(AQ26="2",BI26,0)</f>
        <v>0</v>
      </c>
      <c r="AH26" s="30">
        <f>IF(AQ26="0",BJ26,0)</f>
        <v>0</v>
      </c>
      <c r="AI26" s="27"/>
      <c r="AJ26" s="15">
        <f>IF(AN26=0,K26,0)</f>
        <v>0</v>
      </c>
      <c r="AK26" s="15">
        <f>IF(AN26=15,K26,0)</f>
        <v>0</v>
      </c>
      <c r="AL26" s="15">
        <f>IF(AN26=21,K26,0)</f>
        <v>0</v>
      </c>
      <c r="AN26" s="30">
        <v>21</v>
      </c>
      <c r="AO26" s="30">
        <f>H26*0.896619402373334</f>
        <v>0</v>
      </c>
      <c r="AP26" s="30">
        <f>H26*(1-0.896619402373334)</f>
        <v>0</v>
      </c>
      <c r="AQ26" s="26" t="s">
        <v>7</v>
      </c>
      <c r="AV26" s="30">
        <f>AW26+AX26</f>
        <v>0</v>
      </c>
      <c r="AW26" s="30">
        <f>G26*AO26</f>
        <v>0</v>
      </c>
      <c r="AX26" s="30">
        <f>G26*AP26</f>
        <v>0</v>
      </c>
      <c r="AY26" s="31" t="s">
        <v>237</v>
      </c>
      <c r="AZ26" s="31" t="s">
        <v>259</v>
      </c>
      <c r="BA26" s="27" t="s">
        <v>270</v>
      </c>
      <c r="BC26" s="30">
        <f>AW26+AX26</f>
        <v>0</v>
      </c>
      <c r="BD26" s="30">
        <f>H26/(100-BE26)*100</f>
        <v>0</v>
      </c>
      <c r="BE26" s="30">
        <v>0</v>
      </c>
      <c r="BF26" s="30">
        <f>26</f>
        <v>26</v>
      </c>
      <c r="BH26" s="15">
        <f>G26*AO26</f>
        <v>0</v>
      </c>
      <c r="BI26" s="15">
        <f>G26*AP26</f>
        <v>0</v>
      </c>
      <c r="BJ26" s="15">
        <f>G26*H26</f>
        <v>0</v>
      </c>
    </row>
    <row r="27" spans="3:7" ht="12.75">
      <c r="C27" s="95" t="s">
        <v>118</v>
      </c>
      <c r="D27" s="96"/>
      <c r="E27" s="96"/>
      <c r="G27" s="16">
        <v>24</v>
      </c>
    </row>
    <row r="28" spans="3:7" ht="12.75">
      <c r="C28" s="95" t="s">
        <v>119</v>
      </c>
      <c r="D28" s="96"/>
      <c r="E28" s="96"/>
      <c r="G28" s="16">
        <v>4.7664</v>
      </c>
    </row>
    <row r="29" spans="1:62" ht="12.75">
      <c r="A29" s="4" t="s">
        <v>13</v>
      </c>
      <c r="B29" s="4" t="s">
        <v>51</v>
      </c>
      <c r="C29" s="93" t="s">
        <v>120</v>
      </c>
      <c r="D29" s="94"/>
      <c r="E29" s="94"/>
      <c r="F29" s="4" t="s">
        <v>201</v>
      </c>
      <c r="G29" s="15">
        <v>48.4</v>
      </c>
      <c r="H29" s="15">
        <v>0</v>
      </c>
      <c r="I29" s="15">
        <f>G29*AO29</f>
        <v>0</v>
      </c>
      <c r="J29" s="15">
        <f>G29*AP29</f>
        <v>0</v>
      </c>
      <c r="K29" s="15">
        <f>G29*H29</f>
        <v>0</v>
      </c>
      <c r="L29" s="26" t="s">
        <v>224</v>
      </c>
      <c r="Z29" s="30">
        <f>IF(AQ29="5",BJ29,0)</f>
        <v>0</v>
      </c>
      <c r="AB29" s="30">
        <f>IF(AQ29="1",BH29,0)</f>
        <v>0</v>
      </c>
      <c r="AC29" s="30">
        <f>IF(AQ29="1",BI29,0)</f>
        <v>0</v>
      </c>
      <c r="AD29" s="30">
        <f>IF(AQ29="7",BH29,0)</f>
        <v>0</v>
      </c>
      <c r="AE29" s="30">
        <f>IF(AQ29="7",BI29,0)</f>
        <v>0</v>
      </c>
      <c r="AF29" s="30">
        <f>IF(AQ29="2",BH29,0)</f>
        <v>0</v>
      </c>
      <c r="AG29" s="30">
        <f>IF(AQ29="2",BI29,0)</f>
        <v>0</v>
      </c>
      <c r="AH29" s="30">
        <f>IF(AQ29="0",BJ29,0)</f>
        <v>0</v>
      </c>
      <c r="AI29" s="27"/>
      <c r="AJ29" s="15">
        <f>IF(AN29=0,K29,0)</f>
        <v>0</v>
      </c>
      <c r="AK29" s="15">
        <f>IF(AN29=15,K29,0)</f>
        <v>0</v>
      </c>
      <c r="AL29" s="15">
        <f>IF(AN29=21,K29,0)</f>
        <v>0</v>
      </c>
      <c r="AN29" s="30">
        <v>21</v>
      </c>
      <c r="AO29" s="30">
        <f>H29*0.281559633027523</f>
        <v>0</v>
      </c>
      <c r="AP29" s="30">
        <f>H29*(1-0.281559633027523)</f>
        <v>0</v>
      </c>
      <c r="AQ29" s="26" t="s">
        <v>7</v>
      </c>
      <c r="AV29" s="30">
        <f>AW29+AX29</f>
        <v>0</v>
      </c>
      <c r="AW29" s="30">
        <f>G29*AO29</f>
        <v>0</v>
      </c>
      <c r="AX29" s="30">
        <f>G29*AP29</f>
        <v>0</v>
      </c>
      <c r="AY29" s="31" t="s">
        <v>237</v>
      </c>
      <c r="AZ29" s="31" t="s">
        <v>259</v>
      </c>
      <c r="BA29" s="27" t="s">
        <v>270</v>
      </c>
      <c r="BC29" s="30">
        <f>AW29+AX29</f>
        <v>0</v>
      </c>
      <c r="BD29" s="30">
        <f>H29/(100-BE29)*100</f>
        <v>0</v>
      </c>
      <c r="BE29" s="30">
        <v>0</v>
      </c>
      <c r="BF29" s="30">
        <f>29</f>
        <v>29</v>
      </c>
      <c r="BH29" s="15">
        <f>G29*AO29</f>
        <v>0</v>
      </c>
      <c r="BI29" s="15">
        <f>G29*AP29</f>
        <v>0</v>
      </c>
      <c r="BJ29" s="15">
        <f>G29*H29</f>
        <v>0</v>
      </c>
    </row>
    <row r="30" spans="3:7" ht="12.75">
      <c r="C30" s="95" t="s">
        <v>121</v>
      </c>
      <c r="D30" s="96"/>
      <c r="E30" s="96"/>
      <c r="G30" s="16">
        <v>48.4</v>
      </c>
    </row>
    <row r="31" spans="1:62" ht="12.75">
      <c r="A31" s="4" t="s">
        <v>14</v>
      </c>
      <c r="B31" s="4" t="s">
        <v>52</v>
      </c>
      <c r="C31" s="93" t="s">
        <v>122</v>
      </c>
      <c r="D31" s="94"/>
      <c r="E31" s="94"/>
      <c r="F31" s="4" t="s">
        <v>201</v>
      </c>
      <c r="G31" s="15">
        <v>48.4</v>
      </c>
      <c r="H31" s="15">
        <v>0</v>
      </c>
      <c r="I31" s="15">
        <f>G31*AO31</f>
        <v>0</v>
      </c>
      <c r="J31" s="15">
        <f>G31*AP31</f>
        <v>0</v>
      </c>
      <c r="K31" s="15">
        <f>G31*H31</f>
        <v>0</v>
      </c>
      <c r="L31" s="26" t="s">
        <v>224</v>
      </c>
      <c r="Z31" s="30">
        <f>IF(AQ31="5",BJ31,0)</f>
        <v>0</v>
      </c>
      <c r="AB31" s="30">
        <f>IF(AQ31="1",BH31,0)</f>
        <v>0</v>
      </c>
      <c r="AC31" s="30">
        <f>IF(AQ31="1",BI31,0)</f>
        <v>0</v>
      </c>
      <c r="AD31" s="30">
        <f>IF(AQ31="7",BH31,0)</f>
        <v>0</v>
      </c>
      <c r="AE31" s="30">
        <f>IF(AQ31="7",BI31,0)</f>
        <v>0</v>
      </c>
      <c r="AF31" s="30">
        <f>IF(AQ31="2",BH31,0)</f>
        <v>0</v>
      </c>
      <c r="AG31" s="30">
        <f>IF(AQ31="2",BI31,0)</f>
        <v>0</v>
      </c>
      <c r="AH31" s="30">
        <f>IF(AQ31="0",BJ31,0)</f>
        <v>0</v>
      </c>
      <c r="AI31" s="27"/>
      <c r="AJ31" s="15">
        <f>IF(AN31=0,K31,0)</f>
        <v>0</v>
      </c>
      <c r="AK31" s="15">
        <f>IF(AN31=15,K31,0)</f>
        <v>0</v>
      </c>
      <c r="AL31" s="15">
        <f>IF(AN31=21,K31,0)</f>
        <v>0</v>
      </c>
      <c r="AN31" s="30">
        <v>21</v>
      </c>
      <c r="AO31" s="30">
        <f>H31*0</f>
        <v>0</v>
      </c>
      <c r="AP31" s="30">
        <f>H31*(1-0)</f>
        <v>0</v>
      </c>
      <c r="AQ31" s="26" t="s">
        <v>7</v>
      </c>
      <c r="AV31" s="30">
        <f>AW31+AX31</f>
        <v>0</v>
      </c>
      <c r="AW31" s="30">
        <f>G31*AO31</f>
        <v>0</v>
      </c>
      <c r="AX31" s="30">
        <f>G31*AP31</f>
        <v>0</v>
      </c>
      <c r="AY31" s="31" t="s">
        <v>237</v>
      </c>
      <c r="AZ31" s="31" t="s">
        <v>259</v>
      </c>
      <c r="BA31" s="27" t="s">
        <v>270</v>
      </c>
      <c r="BC31" s="30">
        <f>AW31+AX31</f>
        <v>0</v>
      </c>
      <c r="BD31" s="30">
        <f>H31/(100-BE31)*100</f>
        <v>0</v>
      </c>
      <c r="BE31" s="30">
        <v>0</v>
      </c>
      <c r="BF31" s="30">
        <f>31</f>
        <v>31</v>
      </c>
      <c r="BH31" s="15">
        <f>G31*AO31</f>
        <v>0</v>
      </c>
      <c r="BI31" s="15">
        <f>G31*AP31</f>
        <v>0</v>
      </c>
      <c r="BJ31" s="15">
        <f>G31*H31</f>
        <v>0</v>
      </c>
    </row>
    <row r="32" spans="3:7" ht="12.75">
      <c r="C32" s="95" t="s">
        <v>123</v>
      </c>
      <c r="D32" s="96"/>
      <c r="E32" s="96"/>
      <c r="G32" s="16">
        <v>48.4</v>
      </c>
    </row>
    <row r="33" spans="1:47" ht="12.75">
      <c r="A33" s="5"/>
      <c r="B33" s="12" t="s">
        <v>40</v>
      </c>
      <c r="C33" s="97" t="s">
        <v>124</v>
      </c>
      <c r="D33" s="98"/>
      <c r="E33" s="98"/>
      <c r="F33" s="5" t="s">
        <v>6</v>
      </c>
      <c r="G33" s="5" t="s">
        <v>6</v>
      </c>
      <c r="H33" s="5" t="s">
        <v>6</v>
      </c>
      <c r="I33" s="33">
        <f>SUM(I34:I34)</f>
        <v>0</v>
      </c>
      <c r="J33" s="33">
        <f>SUM(J34:J34)</f>
        <v>0</v>
      </c>
      <c r="K33" s="33">
        <f>SUM(K34:K34)</f>
        <v>0</v>
      </c>
      <c r="L33" s="27"/>
      <c r="AI33" s="27"/>
      <c r="AS33" s="33">
        <f>SUM(AJ34:AJ34)</f>
        <v>0</v>
      </c>
      <c r="AT33" s="33">
        <f>SUM(AK34:AK34)</f>
        <v>0</v>
      </c>
      <c r="AU33" s="33">
        <f>SUM(AL34:AL34)</f>
        <v>0</v>
      </c>
    </row>
    <row r="34" spans="1:62" ht="12.75">
      <c r="A34" s="4" t="s">
        <v>15</v>
      </c>
      <c r="B34" s="4" t="s">
        <v>53</v>
      </c>
      <c r="C34" s="93" t="s">
        <v>125</v>
      </c>
      <c r="D34" s="94"/>
      <c r="E34" s="94"/>
      <c r="F34" s="4" t="s">
        <v>201</v>
      </c>
      <c r="G34" s="15">
        <v>55</v>
      </c>
      <c r="H34" s="15">
        <v>0</v>
      </c>
      <c r="I34" s="15">
        <f>G34*AO34</f>
        <v>0</v>
      </c>
      <c r="J34" s="15">
        <f>G34*AP34</f>
        <v>0</v>
      </c>
      <c r="K34" s="15">
        <f>G34*H34</f>
        <v>0</v>
      </c>
      <c r="L34" s="26" t="s">
        <v>224</v>
      </c>
      <c r="Z34" s="30">
        <f>IF(AQ34="5",BJ34,0)</f>
        <v>0</v>
      </c>
      <c r="AB34" s="30">
        <f>IF(AQ34="1",BH34,0)</f>
        <v>0</v>
      </c>
      <c r="AC34" s="30">
        <f>IF(AQ34="1",BI34,0)</f>
        <v>0</v>
      </c>
      <c r="AD34" s="30">
        <f>IF(AQ34="7",BH34,0)</f>
        <v>0</v>
      </c>
      <c r="AE34" s="30">
        <f>IF(AQ34="7",BI34,0)</f>
        <v>0</v>
      </c>
      <c r="AF34" s="30">
        <f>IF(AQ34="2",BH34,0)</f>
        <v>0</v>
      </c>
      <c r="AG34" s="30">
        <f>IF(AQ34="2",BI34,0)</f>
        <v>0</v>
      </c>
      <c r="AH34" s="30">
        <f>IF(AQ34="0",BJ34,0)</f>
        <v>0</v>
      </c>
      <c r="AI34" s="27"/>
      <c r="AJ34" s="15">
        <f>IF(AN34=0,K34,0)</f>
        <v>0</v>
      </c>
      <c r="AK34" s="15">
        <f>IF(AN34=15,K34,0)</f>
        <v>0</v>
      </c>
      <c r="AL34" s="15">
        <f>IF(AN34=21,K34,0)</f>
        <v>0</v>
      </c>
      <c r="AN34" s="30">
        <v>21</v>
      </c>
      <c r="AO34" s="30">
        <f>H34*0.402093267796444</f>
        <v>0</v>
      </c>
      <c r="AP34" s="30">
        <f>H34*(1-0.402093267796444)</f>
        <v>0</v>
      </c>
      <c r="AQ34" s="26" t="s">
        <v>7</v>
      </c>
      <c r="AV34" s="30">
        <f>AW34+AX34</f>
        <v>0</v>
      </c>
      <c r="AW34" s="30">
        <f>G34*AO34</f>
        <v>0</v>
      </c>
      <c r="AX34" s="30">
        <f>G34*AP34</f>
        <v>0</v>
      </c>
      <c r="AY34" s="31" t="s">
        <v>238</v>
      </c>
      <c r="AZ34" s="31" t="s">
        <v>260</v>
      </c>
      <c r="BA34" s="27" t="s">
        <v>270</v>
      </c>
      <c r="BC34" s="30">
        <f>AW34+AX34</f>
        <v>0</v>
      </c>
      <c r="BD34" s="30">
        <f>H34/(100-BE34)*100</f>
        <v>0</v>
      </c>
      <c r="BE34" s="30">
        <v>0</v>
      </c>
      <c r="BF34" s="30">
        <f>34</f>
        <v>34</v>
      </c>
      <c r="BH34" s="15">
        <f>G34*AO34</f>
        <v>0</v>
      </c>
      <c r="BI34" s="15">
        <f>G34*AP34</f>
        <v>0</v>
      </c>
      <c r="BJ34" s="15">
        <f>G34*H34</f>
        <v>0</v>
      </c>
    </row>
    <row r="35" spans="3:7" ht="12.75">
      <c r="C35" s="95" t="s">
        <v>126</v>
      </c>
      <c r="D35" s="96"/>
      <c r="E35" s="96"/>
      <c r="G35" s="16">
        <v>55</v>
      </c>
    </row>
    <row r="36" spans="1:47" ht="12.75">
      <c r="A36" s="5"/>
      <c r="B36" s="12" t="s">
        <v>54</v>
      </c>
      <c r="C36" s="97" t="s">
        <v>127</v>
      </c>
      <c r="D36" s="98"/>
      <c r="E36" s="98"/>
      <c r="F36" s="5" t="s">
        <v>6</v>
      </c>
      <c r="G36" s="5" t="s">
        <v>6</v>
      </c>
      <c r="H36" s="5" t="s">
        <v>6</v>
      </c>
      <c r="I36" s="33">
        <f>SUM(I37:I37)</f>
        <v>0</v>
      </c>
      <c r="J36" s="33">
        <f>SUM(J37:J37)</f>
        <v>0</v>
      </c>
      <c r="K36" s="33">
        <f>SUM(K37:K37)</f>
        <v>0</v>
      </c>
      <c r="L36" s="27"/>
      <c r="AI36" s="27"/>
      <c r="AS36" s="33">
        <f>SUM(AJ37:AJ37)</f>
        <v>0</v>
      </c>
      <c r="AT36" s="33">
        <f>SUM(AK37:AK37)</f>
        <v>0</v>
      </c>
      <c r="AU36" s="33">
        <f>SUM(AL37:AL37)</f>
        <v>0</v>
      </c>
    </row>
    <row r="37" spans="1:62" ht="12.75">
      <c r="A37" s="4" t="s">
        <v>16</v>
      </c>
      <c r="B37" s="4" t="s">
        <v>55</v>
      </c>
      <c r="C37" s="93" t="s">
        <v>128</v>
      </c>
      <c r="D37" s="94"/>
      <c r="E37" s="94"/>
      <c r="F37" s="4" t="s">
        <v>202</v>
      </c>
      <c r="G37" s="15">
        <v>0.86633</v>
      </c>
      <c r="H37" s="15">
        <v>0</v>
      </c>
      <c r="I37" s="15">
        <f>G37*AO37</f>
        <v>0</v>
      </c>
      <c r="J37" s="15">
        <f>G37*AP37</f>
        <v>0</v>
      </c>
      <c r="K37" s="15">
        <f>G37*H37</f>
        <v>0</v>
      </c>
      <c r="L37" s="26" t="s">
        <v>224</v>
      </c>
      <c r="Z37" s="30">
        <f>IF(AQ37="5",BJ37,0)</f>
        <v>0</v>
      </c>
      <c r="AB37" s="30">
        <f>IF(AQ37="1",BH37,0)</f>
        <v>0</v>
      </c>
      <c r="AC37" s="30">
        <f>IF(AQ37="1",BI37,0)</f>
        <v>0</v>
      </c>
      <c r="AD37" s="30">
        <f>IF(AQ37="7",BH37,0)</f>
        <v>0</v>
      </c>
      <c r="AE37" s="30">
        <f>IF(AQ37="7",BI37,0)</f>
        <v>0</v>
      </c>
      <c r="AF37" s="30">
        <f>IF(AQ37="2",BH37,0)</f>
        <v>0</v>
      </c>
      <c r="AG37" s="30">
        <f>IF(AQ37="2",BI37,0)</f>
        <v>0</v>
      </c>
      <c r="AH37" s="30">
        <f>IF(AQ37="0",BJ37,0)</f>
        <v>0</v>
      </c>
      <c r="AI37" s="27"/>
      <c r="AJ37" s="15">
        <f>IF(AN37=0,K37,0)</f>
        <v>0</v>
      </c>
      <c r="AK37" s="15">
        <f>IF(AN37=15,K37,0)</f>
        <v>0</v>
      </c>
      <c r="AL37" s="15">
        <f>IF(AN37=21,K37,0)</f>
        <v>0</v>
      </c>
      <c r="AN37" s="30">
        <v>21</v>
      </c>
      <c r="AO37" s="30">
        <f>H37*0.714188771195797</f>
        <v>0</v>
      </c>
      <c r="AP37" s="30">
        <f>H37*(1-0.714188771195797)</f>
        <v>0</v>
      </c>
      <c r="AQ37" s="26" t="s">
        <v>7</v>
      </c>
      <c r="AV37" s="30">
        <f>AW37+AX37</f>
        <v>0</v>
      </c>
      <c r="AW37" s="30">
        <f>G37*AO37</f>
        <v>0</v>
      </c>
      <c r="AX37" s="30">
        <f>G37*AP37</f>
        <v>0</v>
      </c>
      <c r="AY37" s="31" t="s">
        <v>239</v>
      </c>
      <c r="AZ37" s="31" t="s">
        <v>261</v>
      </c>
      <c r="BA37" s="27" t="s">
        <v>270</v>
      </c>
      <c r="BC37" s="30">
        <f>AW37+AX37</f>
        <v>0</v>
      </c>
      <c r="BD37" s="30">
        <f>H37/(100-BE37)*100</f>
        <v>0</v>
      </c>
      <c r="BE37" s="30">
        <v>0</v>
      </c>
      <c r="BF37" s="30">
        <f>37</f>
        <v>37</v>
      </c>
      <c r="BH37" s="15">
        <f>G37*AO37</f>
        <v>0</v>
      </c>
      <c r="BI37" s="15">
        <f>G37*AP37</f>
        <v>0</v>
      </c>
      <c r="BJ37" s="15">
        <f>G37*H37</f>
        <v>0</v>
      </c>
    </row>
    <row r="38" spans="3:7" ht="12.75">
      <c r="C38" s="95" t="s">
        <v>129</v>
      </c>
      <c r="D38" s="96"/>
      <c r="E38" s="96"/>
      <c r="G38" s="16">
        <v>0.86633</v>
      </c>
    </row>
    <row r="39" spans="1:47" ht="12.75">
      <c r="A39" s="5"/>
      <c r="B39" s="12" t="s">
        <v>56</v>
      </c>
      <c r="C39" s="97" t="s">
        <v>130</v>
      </c>
      <c r="D39" s="98"/>
      <c r="E39" s="98"/>
      <c r="F39" s="5" t="s">
        <v>6</v>
      </c>
      <c r="G39" s="5" t="s">
        <v>6</v>
      </c>
      <c r="H39" s="5" t="s">
        <v>6</v>
      </c>
      <c r="I39" s="33">
        <f>SUM(I40:I40)</f>
        <v>0</v>
      </c>
      <c r="J39" s="33">
        <f>SUM(J40:J40)</f>
        <v>0</v>
      </c>
      <c r="K39" s="33">
        <f>SUM(K40:K40)</f>
        <v>0</v>
      </c>
      <c r="L39" s="27"/>
      <c r="AI39" s="27"/>
      <c r="AS39" s="33">
        <f>SUM(AJ40:AJ40)</f>
        <v>0</v>
      </c>
      <c r="AT39" s="33">
        <f>SUM(AK40:AK40)</f>
        <v>0</v>
      </c>
      <c r="AU39" s="33">
        <f>SUM(AL40:AL40)</f>
        <v>0</v>
      </c>
    </row>
    <row r="40" spans="1:62" ht="12.75">
      <c r="A40" s="4" t="s">
        <v>17</v>
      </c>
      <c r="B40" s="4" t="s">
        <v>57</v>
      </c>
      <c r="C40" s="93" t="s">
        <v>131</v>
      </c>
      <c r="D40" s="94"/>
      <c r="E40" s="94"/>
      <c r="F40" s="4" t="s">
        <v>201</v>
      </c>
      <c r="G40" s="15">
        <v>50.0962</v>
      </c>
      <c r="H40" s="15">
        <v>0</v>
      </c>
      <c r="I40" s="15">
        <f>G40*AO40</f>
        <v>0</v>
      </c>
      <c r="J40" s="15">
        <f>G40*AP40</f>
        <v>0</v>
      </c>
      <c r="K40" s="15">
        <f>G40*H40</f>
        <v>0</v>
      </c>
      <c r="L40" s="26" t="s">
        <v>224</v>
      </c>
      <c r="Z40" s="30">
        <f>IF(AQ40="5",BJ40,0)</f>
        <v>0</v>
      </c>
      <c r="AB40" s="30">
        <f>IF(AQ40="1",BH40,0)</f>
        <v>0</v>
      </c>
      <c r="AC40" s="30">
        <f>IF(AQ40="1",BI40,0)</f>
        <v>0</v>
      </c>
      <c r="AD40" s="30">
        <f>IF(AQ40="7",BH40,0)</f>
        <v>0</v>
      </c>
      <c r="AE40" s="30">
        <f>IF(AQ40="7",BI40,0)</f>
        <v>0</v>
      </c>
      <c r="AF40" s="30">
        <f>IF(AQ40="2",BH40,0)</f>
        <v>0</v>
      </c>
      <c r="AG40" s="30">
        <f>IF(AQ40="2",BI40,0)</f>
        <v>0</v>
      </c>
      <c r="AH40" s="30">
        <f>IF(AQ40="0",BJ40,0)</f>
        <v>0</v>
      </c>
      <c r="AI40" s="27"/>
      <c r="AJ40" s="15">
        <f>IF(AN40=0,K40,0)</f>
        <v>0</v>
      </c>
      <c r="AK40" s="15">
        <f>IF(AN40=15,K40,0)</f>
        <v>0</v>
      </c>
      <c r="AL40" s="15">
        <f>IF(AN40=21,K40,0)</f>
        <v>0</v>
      </c>
      <c r="AN40" s="30">
        <v>21</v>
      </c>
      <c r="AO40" s="30">
        <f>H40*0.727363935521688</f>
        <v>0</v>
      </c>
      <c r="AP40" s="30">
        <f>H40*(1-0.727363935521688)</f>
        <v>0</v>
      </c>
      <c r="AQ40" s="26" t="s">
        <v>7</v>
      </c>
      <c r="AV40" s="30">
        <f>AW40+AX40</f>
        <v>0</v>
      </c>
      <c r="AW40" s="30">
        <f>G40*AO40</f>
        <v>0</v>
      </c>
      <c r="AX40" s="30">
        <f>G40*AP40</f>
        <v>0</v>
      </c>
      <c r="AY40" s="31" t="s">
        <v>240</v>
      </c>
      <c r="AZ40" s="31" t="s">
        <v>262</v>
      </c>
      <c r="BA40" s="27" t="s">
        <v>270</v>
      </c>
      <c r="BC40" s="30">
        <f>AW40+AX40</f>
        <v>0</v>
      </c>
      <c r="BD40" s="30">
        <f>H40/(100-BE40)*100</f>
        <v>0</v>
      </c>
      <c r="BE40" s="30">
        <v>0</v>
      </c>
      <c r="BF40" s="30">
        <f>40</f>
        <v>40</v>
      </c>
      <c r="BH40" s="15">
        <f>G40*AO40</f>
        <v>0</v>
      </c>
      <c r="BI40" s="15">
        <f>G40*AP40</f>
        <v>0</v>
      </c>
      <c r="BJ40" s="15">
        <f>G40*H40</f>
        <v>0</v>
      </c>
    </row>
    <row r="41" spans="3:7" ht="12.75">
      <c r="C41" s="95" t="s">
        <v>132</v>
      </c>
      <c r="D41" s="96"/>
      <c r="E41" s="96"/>
      <c r="G41" s="16">
        <v>50.0962</v>
      </c>
    </row>
    <row r="42" spans="1:47" ht="12.75">
      <c r="A42" s="5"/>
      <c r="B42" s="12" t="s">
        <v>58</v>
      </c>
      <c r="C42" s="97" t="s">
        <v>133</v>
      </c>
      <c r="D42" s="98"/>
      <c r="E42" s="98"/>
      <c r="F42" s="5" t="s">
        <v>6</v>
      </c>
      <c r="G42" s="5" t="s">
        <v>6</v>
      </c>
      <c r="H42" s="5" t="s">
        <v>6</v>
      </c>
      <c r="I42" s="33">
        <f>SUM(I43:I43)</f>
        <v>0</v>
      </c>
      <c r="J42" s="33">
        <f>SUM(J43:J43)</f>
        <v>0</v>
      </c>
      <c r="K42" s="33">
        <f>SUM(K43:K43)</f>
        <v>0</v>
      </c>
      <c r="L42" s="27"/>
      <c r="AI42" s="27"/>
      <c r="AS42" s="33">
        <f>SUM(AJ43:AJ43)</f>
        <v>0</v>
      </c>
      <c r="AT42" s="33">
        <f>SUM(AK43:AK43)</f>
        <v>0</v>
      </c>
      <c r="AU42" s="33">
        <f>SUM(AL43:AL43)</f>
        <v>0</v>
      </c>
    </row>
    <row r="43" spans="1:62" ht="12.75">
      <c r="A43" s="4" t="s">
        <v>18</v>
      </c>
      <c r="B43" s="4" t="s">
        <v>59</v>
      </c>
      <c r="C43" s="93" t="s">
        <v>134</v>
      </c>
      <c r="D43" s="94"/>
      <c r="E43" s="94"/>
      <c r="F43" s="4" t="s">
        <v>201</v>
      </c>
      <c r="G43" s="15">
        <v>179.1</v>
      </c>
      <c r="H43" s="15">
        <v>0</v>
      </c>
      <c r="I43" s="15">
        <f>G43*AO43</f>
        <v>0</v>
      </c>
      <c r="J43" s="15">
        <f>G43*AP43</f>
        <v>0</v>
      </c>
      <c r="K43" s="15">
        <f>G43*H43</f>
        <v>0</v>
      </c>
      <c r="L43" s="26" t="s">
        <v>224</v>
      </c>
      <c r="Z43" s="30">
        <f>IF(AQ43="5",BJ43,0)</f>
        <v>0</v>
      </c>
      <c r="AB43" s="30">
        <f>IF(AQ43="1",BH43,0)</f>
        <v>0</v>
      </c>
      <c r="AC43" s="30">
        <f>IF(AQ43="1",BI43,0)</f>
        <v>0</v>
      </c>
      <c r="AD43" s="30">
        <f>IF(AQ43="7",BH43,0)</f>
        <v>0</v>
      </c>
      <c r="AE43" s="30">
        <f>IF(AQ43="7",BI43,0)</f>
        <v>0</v>
      </c>
      <c r="AF43" s="30">
        <f>IF(AQ43="2",BH43,0)</f>
        <v>0</v>
      </c>
      <c r="AG43" s="30">
        <f>IF(AQ43="2",BI43,0)</f>
        <v>0</v>
      </c>
      <c r="AH43" s="30">
        <f>IF(AQ43="0",BJ43,0)</f>
        <v>0</v>
      </c>
      <c r="AI43" s="27"/>
      <c r="AJ43" s="15">
        <f>IF(AN43=0,K43,0)</f>
        <v>0</v>
      </c>
      <c r="AK43" s="15">
        <f>IF(AN43=15,K43,0)</f>
        <v>0</v>
      </c>
      <c r="AL43" s="15">
        <f>IF(AN43=21,K43,0)</f>
        <v>0</v>
      </c>
      <c r="AN43" s="30">
        <v>21</v>
      </c>
      <c r="AO43" s="30">
        <f>H43*0.0950995424927215</f>
        <v>0</v>
      </c>
      <c r="AP43" s="30">
        <f>H43*(1-0.0950995424927215)</f>
        <v>0</v>
      </c>
      <c r="AQ43" s="26" t="s">
        <v>7</v>
      </c>
      <c r="AV43" s="30">
        <f>AW43+AX43</f>
        <v>0</v>
      </c>
      <c r="AW43" s="30">
        <f>G43*AO43</f>
        <v>0</v>
      </c>
      <c r="AX43" s="30">
        <f>G43*AP43</f>
        <v>0</v>
      </c>
      <c r="AY43" s="31" t="s">
        <v>241</v>
      </c>
      <c r="AZ43" s="31" t="s">
        <v>263</v>
      </c>
      <c r="BA43" s="27" t="s">
        <v>270</v>
      </c>
      <c r="BC43" s="30">
        <f>AW43+AX43</f>
        <v>0</v>
      </c>
      <c r="BD43" s="30">
        <f>H43/(100-BE43)*100</f>
        <v>0</v>
      </c>
      <c r="BE43" s="30">
        <v>0</v>
      </c>
      <c r="BF43" s="30">
        <f>43</f>
        <v>43</v>
      </c>
      <c r="BH43" s="15">
        <f>G43*AO43</f>
        <v>0</v>
      </c>
      <c r="BI43" s="15">
        <f>G43*AP43</f>
        <v>0</v>
      </c>
      <c r="BJ43" s="15">
        <f>G43*H43</f>
        <v>0</v>
      </c>
    </row>
    <row r="44" spans="3:7" ht="12.75">
      <c r="C44" s="95" t="s">
        <v>135</v>
      </c>
      <c r="D44" s="96"/>
      <c r="E44" s="96"/>
      <c r="G44" s="16">
        <v>179.1</v>
      </c>
    </row>
    <row r="45" spans="1:47" ht="12.75">
      <c r="A45" s="5"/>
      <c r="B45" s="12" t="s">
        <v>60</v>
      </c>
      <c r="C45" s="97" t="s">
        <v>136</v>
      </c>
      <c r="D45" s="98"/>
      <c r="E45" s="98"/>
      <c r="F45" s="5" t="s">
        <v>6</v>
      </c>
      <c r="G45" s="5" t="s">
        <v>6</v>
      </c>
      <c r="H45" s="5" t="s">
        <v>6</v>
      </c>
      <c r="I45" s="33">
        <f>SUM(I46:I48)</f>
        <v>0</v>
      </c>
      <c r="J45" s="33">
        <f>SUM(J46:J48)</f>
        <v>0</v>
      </c>
      <c r="K45" s="33">
        <f>SUM(K46:K48)</f>
        <v>0</v>
      </c>
      <c r="L45" s="27"/>
      <c r="AI45" s="27"/>
      <c r="AS45" s="33">
        <f>SUM(AJ46:AJ48)</f>
        <v>0</v>
      </c>
      <c r="AT45" s="33">
        <f>SUM(AK46:AK48)</f>
        <v>0</v>
      </c>
      <c r="AU45" s="33">
        <f>SUM(AL46:AL48)</f>
        <v>0</v>
      </c>
    </row>
    <row r="46" spans="1:62" ht="12.75">
      <c r="A46" s="4" t="s">
        <v>19</v>
      </c>
      <c r="B46" s="4" t="s">
        <v>61</v>
      </c>
      <c r="C46" s="93" t="s">
        <v>137</v>
      </c>
      <c r="D46" s="94"/>
      <c r="E46" s="94"/>
      <c r="F46" s="4" t="s">
        <v>200</v>
      </c>
      <c r="G46" s="15">
        <v>5.5</v>
      </c>
      <c r="H46" s="15">
        <v>0</v>
      </c>
      <c r="I46" s="15">
        <f>G46*AO46</f>
        <v>0</v>
      </c>
      <c r="J46" s="15">
        <f>G46*AP46</f>
        <v>0</v>
      </c>
      <c r="K46" s="15">
        <f>G46*H46</f>
        <v>0</v>
      </c>
      <c r="L46" s="26" t="s">
        <v>224</v>
      </c>
      <c r="Z46" s="30">
        <f>IF(AQ46="5",BJ46,0)</f>
        <v>0</v>
      </c>
      <c r="AB46" s="30">
        <f>IF(AQ46="1",BH46,0)</f>
        <v>0</v>
      </c>
      <c r="AC46" s="30">
        <f>IF(AQ46="1",BI46,0)</f>
        <v>0</v>
      </c>
      <c r="AD46" s="30">
        <f>IF(AQ46="7",BH46,0)</f>
        <v>0</v>
      </c>
      <c r="AE46" s="30">
        <f>IF(AQ46="7",BI46,0)</f>
        <v>0</v>
      </c>
      <c r="AF46" s="30">
        <f>IF(AQ46="2",BH46,0)</f>
        <v>0</v>
      </c>
      <c r="AG46" s="30">
        <f>IF(AQ46="2",BI46,0)</f>
        <v>0</v>
      </c>
      <c r="AH46" s="30">
        <f>IF(AQ46="0",BJ46,0)</f>
        <v>0</v>
      </c>
      <c r="AI46" s="27"/>
      <c r="AJ46" s="15">
        <f>IF(AN46=0,K46,0)</f>
        <v>0</v>
      </c>
      <c r="AK46" s="15">
        <f>IF(AN46=15,K46,0)</f>
        <v>0</v>
      </c>
      <c r="AL46" s="15">
        <f>IF(AN46=21,K46,0)</f>
        <v>0</v>
      </c>
      <c r="AN46" s="30">
        <v>21</v>
      </c>
      <c r="AO46" s="30">
        <f>H46*0.688142721556531</f>
        <v>0</v>
      </c>
      <c r="AP46" s="30">
        <f>H46*(1-0.688142721556531)</f>
        <v>0</v>
      </c>
      <c r="AQ46" s="26" t="s">
        <v>7</v>
      </c>
      <c r="AV46" s="30">
        <f>AW46+AX46</f>
        <v>0</v>
      </c>
      <c r="AW46" s="30">
        <f>G46*AO46</f>
        <v>0</v>
      </c>
      <c r="AX46" s="30">
        <f>G46*AP46</f>
        <v>0</v>
      </c>
      <c r="AY46" s="31" t="s">
        <v>242</v>
      </c>
      <c r="AZ46" s="31" t="s">
        <v>263</v>
      </c>
      <c r="BA46" s="27" t="s">
        <v>270</v>
      </c>
      <c r="BC46" s="30">
        <f>AW46+AX46</f>
        <v>0</v>
      </c>
      <c r="BD46" s="30">
        <f>H46/(100-BE46)*100</f>
        <v>0</v>
      </c>
      <c r="BE46" s="30">
        <v>0</v>
      </c>
      <c r="BF46" s="30">
        <f>46</f>
        <v>46</v>
      </c>
      <c r="BH46" s="15">
        <f>G46*AO46</f>
        <v>0</v>
      </c>
      <c r="BI46" s="15">
        <f>G46*AP46</f>
        <v>0</v>
      </c>
      <c r="BJ46" s="15">
        <f>G46*H46</f>
        <v>0</v>
      </c>
    </row>
    <row r="47" spans="3:7" ht="12.75">
      <c r="C47" s="95" t="s">
        <v>138</v>
      </c>
      <c r="D47" s="96"/>
      <c r="E47" s="96"/>
      <c r="G47" s="16">
        <v>5.5</v>
      </c>
    </row>
    <row r="48" spans="1:62" ht="12.75">
      <c r="A48" s="4" t="s">
        <v>20</v>
      </c>
      <c r="B48" s="4" t="s">
        <v>62</v>
      </c>
      <c r="C48" s="93" t="s">
        <v>139</v>
      </c>
      <c r="D48" s="94"/>
      <c r="E48" s="94"/>
      <c r="F48" s="4" t="s">
        <v>202</v>
      </c>
      <c r="G48" s="15">
        <v>0.2079</v>
      </c>
      <c r="H48" s="15">
        <v>0</v>
      </c>
      <c r="I48" s="15">
        <f>G48*AO48</f>
        <v>0</v>
      </c>
      <c r="J48" s="15">
        <f>G48*AP48</f>
        <v>0</v>
      </c>
      <c r="K48" s="15">
        <f>G48*H48</f>
        <v>0</v>
      </c>
      <c r="L48" s="26" t="s">
        <v>224</v>
      </c>
      <c r="Z48" s="30">
        <f>IF(AQ48="5",BJ48,0)</f>
        <v>0</v>
      </c>
      <c r="AB48" s="30">
        <f>IF(AQ48="1",BH48,0)</f>
        <v>0</v>
      </c>
      <c r="AC48" s="30">
        <f>IF(AQ48="1",BI48,0)</f>
        <v>0</v>
      </c>
      <c r="AD48" s="30">
        <f>IF(AQ48="7",BH48,0)</f>
        <v>0</v>
      </c>
      <c r="AE48" s="30">
        <f>IF(AQ48="7",BI48,0)</f>
        <v>0</v>
      </c>
      <c r="AF48" s="30">
        <f>IF(AQ48="2",BH48,0)</f>
        <v>0</v>
      </c>
      <c r="AG48" s="30">
        <f>IF(AQ48="2",BI48,0)</f>
        <v>0</v>
      </c>
      <c r="AH48" s="30">
        <f>IF(AQ48="0",BJ48,0)</f>
        <v>0</v>
      </c>
      <c r="AI48" s="27"/>
      <c r="AJ48" s="15">
        <f>IF(AN48=0,K48,0)</f>
        <v>0</v>
      </c>
      <c r="AK48" s="15">
        <f>IF(AN48=15,K48,0)</f>
        <v>0</v>
      </c>
      <c r="AL48" s="15">
        <f>IF(AN48=21,K48,0)</f>
        <v>0</v>
      </c>
      <c r="AN48" s="30">
        <v>21</v>
      </c>
      <c r="AO48" s="30">
        <f>H48*0.801304498483316</f>
        <v>0</v>
      </c>
      <c r="AP48" s="30">
        <f>H48*(1-0.801304498483316)</f>
        <v>0</v>
      </c>
      <c r="AQ48" s="26" t="s">
        <v>7</v>
      </c>
      <c r="AV48" s="30">
        <f>AW48+AX48</f>
        <v>0</v>
      </c>
      <c r="AW48" s="30">
        <f>G48*AO48</f>
        <v>0</v>
      </c>
      <c r="AX48" s="30">
        <f>G48*AP48</f>
        <v>0</v>
      </c>
      <c r="AY48" s="31" t="s">
        <v>242</v>
      </c>
      <c r="AZ48" s="31" t="s">
        <v>263</v>
      </c>
      <c r="BA48" s="27" t="s">
        <v>270</v>
      </c>
      <c r="BC48" s="30">
        <f>AW48+AX48</f>
        <v>0</v>
      </c>
      <c r="BD48" s="30">
        <f>H48/(100-BE48)*100</f>
        <v>0</v>
      </c>
      <c r="BE48" s="30">
        <v>0</v>
      </c>
      <c r="BF48" s="30">
        <f>48</f>
        <v>48</v>
      </c>
      <c r="BH48" s="15">
        <f>G48*AO48</f>
        <v>0</v>
      </c>
      <c r="BI48" s="15">
        <f>G48*AP48</f>
        <v>0</v>
      </c>
      <c r="BJ48" s="15">
        <f>G48*H48</f>
        <v>0</v>
      </c>
    </row>
    <row r="49" spans="3:7" ht="12.75">
      <c r="C49" s="95" t="s">
        <v>140</v>
      </c>
      <c r="D49" s="96"/>
      <c r="E49" s="96"/>
      <c r="G49" s="16">
        <v>0.2079</v>
      </c>
    </row>
    <row r="50" spans="1:47" ht="12.75">
      <c r="A50" s="5"/>
      <c r="B50" s="12" t="s">
        <v>63</v>
      </c>
      <c r="C50" s="97" t="s">
        <v>141</v>
      </c>
      <c r="D50" s="98"/>
      <c r="E50" s="98"/>
      <c r="F50" s="5" t="s">
        <v>6</v>
      </c>
      <c r="G50" s="5" t="s">
        <v>6</v>
      </c>
      <c r="H50" s="5" t="s">
        <v>6</v>
      </c>
      <c r="I50" s="33">
        <f>SUM(I51:I51)</f>
        <v>0</v>
      </c>
      <c r="J50" s="33">
        <f>SUM(J51:J51)</f>
        <v>0</v>
      </c>
      <c r="K50" s="33">
        <f>SUM(K51:K51)</f>
        <v>0</v>
      </c>
      <c r="L50" s="27"/>
      <c r="AI50" s="27"/>
      <c r="AS50" s="33">
        <f>SUM(AJ51:AJ51)</f>
        <v>0</v>
      </c>
      <c r="AT50" s="33">
        <f>SUM(AK51:AK51)</f>
        <v>0</v>
      </c>
      <c r="AU50" s="33">
        <f>SUM(AL51:AL51)</f>
        <v>0</v>
      </c>
    </row>
    <row r="51" spans="1:62" ht="12.75">
      <c r="A51" s="4" t="s">
        <v>21</v>
      </c>
      <c r="B51" s="4" t="s">
        <v>64</v>
      </c>
      <c r="C51" s="93" t="s">
        <v>142</v>
      </c>
      <c r="D51" s="94"/>
      <c r="E51" s="94"/>
      <c r="F51" s="4" t="s">
        <v>203</v>
      </c>
      <c r="G51" s="15">
        <v>2</v>
      </c>
      <c r="H51" s="15">
        <v>0</v>
      </c>
      <c r="I51" s="15">
        <f>G51*AO51</f>
        <v>0</v>
      </c>
      <c r="J51" s="15">
        <f>G51*AP51</f>
        <v>0</v>
      </c>
      <c r="K51" s="15">
        <f>G51*H51</f>
        <v>0</v>
      </c>
      <c r="L51" s="26" t="s">
        <v>224</v>
      </c>
      <c r="Z51" s="30">
        <f>IF(AQ51="5",BJ51,0)</f>
        <v>0</v>
      </c>
      <c r="AB51" s="30">
        <f>IF(AQ51="1",BH51,0)</f>
        <v>0</v>
      </c>
      <c r="AC51" s="30">
        <f>IF(AQ51="1",BI51,0)</f>
        <v>0</v>
      </c>
      <c r="AD51" s="30">
        <f>IF(AQ51="7",BH51,0)</f>
        <v>0</v>
      </c>
      <c r="AE51" s="30">
        <f>IF(AQ51="7",BI51,0)</f>
        <v>0</v>
      </c>
      <c r="AF51" s="30">
        <f>IF(AQ51="2",BH51,0)</f>
        <v>0</v>
      </c>
      <c r="AG51" s="30">
        <f>IF(AQ51="2",BI51,0)</f>
        <v>0</v>
      </c>
      <c r="AH51" s="30">
        <f>IF(AQ51="0",BJ51,0)</f>
        <v>0</v>
      </c>
      <c r="AI51" s="27"/>
      <c r="AJ51" s="15">
        <f>IF(AN51=0,K51,0)</f>
        <v>0</v>
      </c>
      <c r="AK51" s="15">
        <f>IF(AN51=15,K51,0)</f>
        <v>0</v>
      </c>
      <c r="AL51" s="15">
        <f>IF(AN51=21,K51,0)</f>
        <v>0</v>
      </c>
      <c r="AN51" s="30">
        <v>21</v>
      </c>
      <c r="AO51" s="30">
        <f>H51*0.278312020460358</f>
        <v>0</v>
      </c>
      <c r="AP51" s="30">
        <f>H51*(1-0.278312020460358)</f>
        <v>0</v>
      </c>
      <c r="AQ51" s="26" t="s">
        <v>7</v>
      </c>
      <c r="AV51" s="30">
        <f>AW51+AX51</f>
        <v>0</v>
      </c>
      <c r="AW51" s="30">
        <f>G51*AO51</f>
        <v>0</v>
      </c>
      <c r="AX51" s="30">
        <f>G51*AP51</f>
        <v>0</v>
      </c>
      <c r="AY51" s="31" t="s">
        <v>243</v>
      </c>
      <c r="AZ51" s="31" t="s">
        <v>263</v>
      </c>
      <c r="BA51" s="27" t="s">
        <v>270</v>
      </c>
      <c r="BC51" s="30">
        <f>AW51+AX51</f>
        <v>0</v>
      </c>
      <c r="BD51" s="30">
        <f>H51/(100-BE51)*100</f>
        <v>0</v>
      </c>
      <c r="BE51" s="30">
        <v>0</v>
      </c>
      <c r="BF51" s="30">
        <f>51</f>
        <v>51</v>
      </c>
      <c r="BH51" s="15">
        <f>G51*AO51</f>
        <v>0</v>
      </c>
      <c r="BI51" s="15">
        <f>G51*AP51</f>
        <v>0</v>
      </c>
      <c r="BJ51" s="15">
        <f>G51*H51</f>
        <v>0</v>
      </c>
    </row>
    <row r="52" spans="3:7" ht="12.75">
      <c r="C52" s="95" t="s">
        <v>143</v>
      </c>
      <c r="D52" s="96"/>
      <c r="E52" s="96"/>
      <c r="G52" s="16">
        <v>2</v>
      </c>
    </row>
    <row r="53" spans="1:47" ht="12.75">
      <c r="A53" s="5"/>
      <c r="B53" s="12" t="s">
        <v>65</v>
      </c>
      <c r="C53" s="97" t="s">
        <v>144</v>
      </c>
      <c r="D53" s="98"/>
      <c r="E53" s="98"/>
      <c r="F53" s="5" t="s">
        <v>6</v>
      </c>
      <c r="G53" s="5" t="s">
        <v>6</v>
      </c>
      <c r="H53" s="5" t="s">
        <v>6</v>
      </c>
      <c r="I53" s="33">
        <f>SUM(I54:I54)</f>
        <v>0</v>
      </c>
      <c r="J53" s="33">
        <f>SUM(J54:J54)</f>
        <v>0</v>
      </c>
      <c r="K53" s="33">
        <f>SUM(K54:K54)</f>
        <v>0</v>
      </c>
      <c r="L53" s="27"/>
      <c r="AI53" s="27"/>
      <c r="AS53" s="33">
        <f>SUM(AJ54:AJ54)</f>
        <v>0</v>
      </c>
      <c r="AT53" s="33">
        <f>SUM(AK54:AK54)</f>
        <v>0</v>
      </c>
      <c r="AU53" s="33">
        <f>SUM(AL54:AL54)</f>
        <v>0</v>
      </c>
    </row>
    <row r="54" spans="1:62" ht="12.75">
      <c r="A54" s="4" t="s">
        <v>22</v>
      </c>
      <c r="B54" s="4" t="s">
        <v>66</v>
      </c>
      <c r="C54" s="93" t="s">
        <v>145</v>
      </c>
      <c r="D54" s="94"/>
      <c r="E54" s="94"/>
      <c r="F54" s="4" t="s">
        <v>201</v>
      </c>
      <c r="G54" s="15">
        <v>8.5</v>
      </c>
      <c r="H54" s="15">
        <v>0</v>
      </c>
      <c r="I54" s="15">
        <f>G54*AO54</f>
        <v>0</v>
      </c>
      <c r="J54" s="15">
        <f>G54*AP54</f>
        <v>0</v>
      </c>
      <c r="K54" s="15">
        <f>G54*H54</f>
        <v>0</v>
      </c>
      <c r="L54" s="26" t="s">
        <v>224</v>
      </c>
      <c r="Z54" s="30">
        <f>IF(AQ54="5",BJ54,0)</f>
        <v>0</v>
      </c>
      <c r="AB54" s="30">
        <f>IF(AQ54="1",BH54,0)</f>
        <v>0</v>
      </c>
      <c r="AC54" s="30">
        <f>IF(AQ54="1",BI54,0)</f>
        <v>0</v>
      </c>
      <c r="AD54" s="30">
        <f>IF(AQ54="7",BH54,0)</f>
        <v>0</v>
      </c>
      <c r="AE54" s="30">
        <f>IF(AQ54="7",BI54,0)</f>
        <v>0</v>
      </c>
      <c r="AF54" s="30">
        <f>IF(AQ54="2",BH54,0)</f>
        <v>0</v>
      </c>
      <c r="AG54" s="30">
        <f>IF(AQ54="2",BI54,0)</f>
        <v>0</v>
      </c>
      <c r="AH54" s="30">
        <f>IF(AQ54="0",BJ54,0)</f>
        <v>0</v>
      </c>
      <c r="AI54" s="27"/>
      <c r="AJ54" s="15">
        <f>IF(AN54=0,K54,0)</f>
        <v>0</v>
      </c>
      <c r="AK54" s="15">
        <f>IF(AN54=15,K54,0)</f>
        <v>0</v>
      </c>
      <c r="AL54" s="15">
        <f>IF(AN54=21,K54,0)</f>
        <v>0</v>
      </c>
      <c r="AN54" s="30">
        <v>21</v>
      </c>
      <c r="AO54" s="30">
        <f>H54*0.662777777777778</f>
        <v>0</v>
      </c>
      <c r="AP54" s="30">
        <f>H54*(1-0.662777777777778)</f>
        <v>0</v>
      </c>
      <c r="AQ54" s="26" t="s">
        <v>13</v>
      </c>
      <c r="AV54" s="30">
        <f>AW54+AX54</f>
        <v>0</v>
      </c>
      <c r="AW54" s="30">
        <f>G54*AO54</f>
        <v>0</v>
      </c>
      <c r="AX54" s="30">
        <f>G54*AP54</f>
        <v>0</v>
      </c>
      <c r="AY54" s="31" t="s">
        <v>244</v>
      </c>
      <c r="AZ54" s="31" t="s">
        <v>264</v>
      </c>
      <c r="BA54" s="27" t="s">
        <v>270</v>
      </c>
      <c r="BC54" s="30">
        <f>AW54+AX54</f>
        <v>0</v>
      </c>
      <c r="BD54" s="30">
        <f>H54/(100-BE54)*100</f>
        <v>0</v>
      </c>
      <c r="BE54" s="30">
        <v>0</v>
      </c>
      <c r="BF54" s="30">
        <f>54</f>
        <v>54</v>
      </c>
      <c r="BH54" s="15">
        <f>G54*AO54</f>
        <v>0</v>
      </c>
      <c r="BI54" s="15">
        <f>G54*AP54</f>
        <v>0</v>
      </c>
      <c r="BJ54" s="15">
        <f>G54*H54</f>
        <v>0</v>
      </c>
    </row>
    <row r="55" spans="3:7" ht="12.75">
      <c r="C55" s="95" t="s">
        <v>146</v>
      </c>
      <c r="D55" s="96"/>
      <c r="E55" s="96"/>
      <c r="G55" s="16">
        <v>8.5</v>
      </c>
    </row>
    <row r="56" spans="1:47" ht="12.75">
      <c r="A56" s="5"/>
      <c r="B56" s="12" t="s">
        <v>67</v>
      </c>
      <c r="C56" s="97" t="s">
        <v>147</v>
      </c>
      <c r="D56" s="98"/>
      <c r="E56" s="98"/>
      <c r="F56" s="5" t="s">
        <v>6</v>
      </c>
      <c r="G56" s="5" t="s">
        <v>6</v>
      </c>
      <c r="H56" s="5" t="s">
        <v>6</v>
      </c>
      <c r="I56" s="33">
        <f>SUM(I57:I57)</f>
        <v>0</v>
      </c>
      <c r="J56" s="33">
        <f>SUM(J57:J57)</f>
        <v>0</v>
      </c>
      <c r="K56" s="33">
        <f>SUM(K57:K57)</f>
        <v>0</v>
      </c>
      <c r="L56" s="27"/>
      <c r="AI56" s="27"/>
      <c r="AS56" s="33">
        <f>SUM(AJ57:AJ57)</f>
        <v>0</v>
      </c>
      <c r="AT56" s="33">
        <f>SUM(AK57:AK57)</f>
        <v>0</v>
      </c>
      <c r="AU56" s="33">
        <f>SUM(AL57:AL57)</f>
        <v>0</v>
      </c>
    </row>
    <row r="57" spans="1:62" ht="12.75">
      <c r="A57" s="4" t="s">
        <v>23</v>
      </c>
      <c r="B57" s="4" t="s">
        <v>68</v>
      </c>
      <c r="C57" s="93" t="s">
        <v>148</v>
      </c>
      <c r="D57" s="94"/>
      <c r="E57" s="94"/>
      <c r="F57" s="4" t="s">
        <v>204</v>
      </c>
      <c r="G57" s="15">
        <v>1</v>
      </c>
      <c r="H57" s="15">
        <v>0</v>
      </c>
      <c r="I57" s="15">
        <f>G57*AO57</f>
        <v>0</v>
      </c>
      <c r="J57" s="15">
        <f>G57*AP57</f>
        <v>0</v>
      </c>
      <c r="K57" s="15">
        <f>G57*H57</f>
        <v>0</v>
      </c>
      <c r="L57" s="26" t="s">
        <v>224</v>
      </c>
      <c r="Z57" s="30">
        <f>IF(AQ57="5",BJ57,0)</f>
        <v>0</v>
      </c>
      <c r="AB57" s="30">
        <f>IF(AQ57="1",BH57,0)</f>
        <v>0</v>
      </c>
      <c r="AC57" s="30">
        <f>IF(AQ57="1",BI57,0)</f>
        <v>0</v>
      </c>
      <c r="AD57" s="30">
        <f>IF(AQ57="7",BH57,0)</f>
        <v>0</v>
      </c>
      <c r="AE57" s="30">
        <f>IF(AQ57="7",BI57,0)</f>
        <v>0</v>
      </c>
      <c r="AF57" s="30">
        <f>IF(AQ57="2",BH57,0)</f>
        <v>0</v>
      </c>
      <c r="AG57" s="30">
        <f>IF(AQ57="2",BI57,0)</f>
        <v>0</v>
      </c>
      <c r="AH57" s="30">
        <f>IF(AQ57="0",BJ57,0)</f>
        <v>0</v>
      </c>
      <c r="AI57" s="27"/>
      <c r="AJ57" s="15">
        <f>IF(AN57=0,K57,0)</f>
        <v>0</v>
      </c>
      <c r="AK57" s="15">
        <f>IF(AN57=15,K57,0)</f>
        <v>0</v>
      </c>
      <c r="AL57" s="15">
        <f>IF(AN57=21,K57,0)</f>
        <v>0</v>
      </c>
      <c r="AN57" s="30">
        <v>21</v>
      </c>
      <c r="AO57" s="30">
        <f>H57*0.0398487609329446</f>
        <v>0</v>
      </c>
      <c r="AP57" s="30">
        <f>H57*(1-0.0398487609329446)</f>
        <v>0</v>
      </c>
      <c r="AQ57" s="26" t="s">
        <v>13</v>
      </c>
      <c r="AV57" s="30">
        <f>AW57+AX57</f>
        <v>0</v>
      </c>
      <c r="AW57" s="30">
        <f>G57*AO57</f>
        <v>0</v>
      </c>
      <c r="AX57" s="30">
        <f>G57*AP57</f>
        <v>0</v>
      </c>
      <c r="AY57" s="31" t="s">
        <v>245</v>
      </c>
      <c r="AZ57" s="31" t="s">
        <v>265</v>
      </c>
      <c r="BA57" s="27" t="s">
        <v>270</v>
      </c>
      <c r="BC57" s="30">
        <f>AW57+AX57</f>
        <v>0</v>
      </c>
      <c r="BD57" s="30">
        <f>H57/(100-BE57)*100</f>
        <v>0</v>
      </c>
      <c r="BE57" s="30">
        <v>0</v>
      </c>
      <c r="BF57" s="30">
        <f>57</f>
        <v>57</v>
      </c>
      <c r="BH57" s="15">
        <f>G57*AO57</f>
        <v>0</v>
      </c>
      <c r="BI57" s="15">
        <f>G57*AP57</f>
        <v>0</v>
      </c>
      <c r="BJ57" s="15">
        <f>G57*H57</f>
        <v>0</v>
      </c>
    </row>
    <row r="58" spans="3:7" ht="12.75">
      <c r="C58" s="95" t="s">
        <v>149</v>
      </c>
      <c r="D58" s="96"/>
      <c r="E58" s="96"/>
      <c r="G58" s="16">
        <v>1</v>
      </c>
    </row>
    <row r="59" spans="1:47" ht="12.75">
      <c r="A59" s="5"/>
      <c r="B59" s="12" t="s">
        <v>69</v>
      </c>
      <c r="C59" s="97" t="s">
        <v>150</v>
      </c>
      <c r="D59" s="98"/>
      <c r="E59" s="98"/>
      <c r="F59" s="5" t="s">
        <v>6</v>
      </c>
      <c r="G59" s="5" t="s">
        <v>6</v>
      </c>
      <c r="H59" s="5" t="s">
        <v>6</v>
      </c>
      <c r="I59" s="33">
        <f>SUM(I60:I60)</f>
        <v>0</v>
      </c>
      <c r="J59" s="33">
        <f>SUM(J60:J60)</f>
        <v>0</v>
      </c>
      <c r="K59" s="33">
        <f>SUM(K60:K60)</f>
        <v>0</v>
      </c>
      <c r="L59" s="27"/>
      <c r="AI59" s="27"/>
      <c r="AS59" s="33">
        <f>SUM(AJ60:AJ60)</f>
        <v>0</v>
      </c>
      <c r="AT59" s="33">
        <f>SUM(AK60:AK60)</f>
        <v>0</v>
      </c>
      <c r="AU59" s="33">
        <f>SUM(AL60:AL60)</f>
        <v>0</v>
      </c>
    </row>
    <row r="60" spans="1:62" ht="12.75">
      <c r="A60" s="4" t="s">
        <v>24</v>
      </c>
      <c r="B60" s="4" t="s">
        <v>70</v>
      </c>
      <c r="C60" s="93" t="s">
        <v>151</v>
      </c>
      <c r="D60" s="94"/>
      <c r="E60" s="94"/>
      <c r="F60" s="4" t="s">
        <v>204</v>
      </c>
      <c r="G60" s="15">
        <v>1</v>
      </c>
      <c r="H60" s="15">
        <v>0</v>
      </c>
      <c r="I60" s="15">
        <f>G60*AO60</f>
        <v>0</v>
      </c>
      <c r="J60" s="15">
        <f>G60*AP60</f>
        <v>0</v>
      </c>
      <c r="K60" s="15">
        <f>G60*H60</f>
        <v>0</v>
      </c>
      <c r="L60" s="26"/>
      <c r="Z60" s="30">
        <f>IF(AQ60="5",BJ60,0)</f>
        <v>0</v>
      </c>
      <c r="AB60" s="30">
        <f>IF(AQ60="1",BH60,0)</f>
        <v>0</v>
      </c>
      <c r="AC60" s="30">
        <f>IF(AQ60="1",BI60,0)</f>
        <v>0</v>
      </c>
      <c r="AD60" s="30">
        <f>IF(AQ60="7",BH60,0)</f>
        <v>0</v>
      </c>
      <c r="AE60" s="30">
        <f>IF(AQ60="7",BI60,0)</f>
        <v>0</v>
      </c>
      <c r="AF60" s="30">
        <f>IF(AQ60="2",BH60,0)</f>
        <v>0</v>
      </c>
      <c r="AG60" s="30">
        <f>IF(AQ60="2",BI60,0)</f>
        <v>0</v>
      </c>
      <c r="AH60" s="30">
        <f>IF(AQ60="0",BJ60,0)</f>
        <v>0</v>
      </c>
      <c r="AI60" s="27"/>
      <c r="AJ60" s="15">
        <f>IF(AN60=0,K60,0)</f>
        <v>0</v>
      </c>
      <c r="AK60" s="15">
        <f>IF(AN60=15,K60,0)</f>
        <v>0</v>
      </c>
      <c r="AL60" s="15">
        <f>IF(AN60=21,K60,0)</f>
        <v>0</v>
      </c>
      <c r="AN60" s="30">
        <v>21</v>
      </c>
      <c r="AO60" s="30">
        <f>H60*0</f>
        <v>0</v>
      </c>
      <c r="AP60" s="30">
        <f>H60*(1-0)</f>
        <v>0</v>
      </c>
      <c r="AQ60" s="26" t="s">
        <v>13</v>
      </c>
      <c r="AV60" s="30">
        <f>AW60+AX60</f>
        <v>0</v>
      </c>
      <c r="AW60" s="30">
        <f>G60*AO60</f>
        <v>0</v>
      </c>
      <c r="AX60" s="30">
        <f>G60*AP60</f>
        <v>0</v>
      </c>
      <c r="AY60" s="31" t="s">
        <v>246</v>
      </c>
      <c r="AZ60" s="31" t="s">
        <v>265</v>
      </c>
      <c r="BA60" s="27" t="s">
        <v>270</v>
      </c>
      <c r="BC60" s="30">
        <f>AW60+AX60</f>
        <v>0</v>
      </c>
      <c r="BD60" s="30">
        <f>H60/(100-BE60)*100</f>
        <v>0</v>
      </c>
      <c r="BE60" s="30">
        <v>0</v>
      </c>
      <c r="BF60" s="30">
        <f>60</f>
        <v>60</v>
      </c>
      <c r="BH60" s="15">
        <f>G60*AO60</f>
        <v>0</v>
      </c>
      <c r="BI60" s="15">
        <f>G60*AP60</f>
        <v>0</v>
      </c>
      <c r="BJ60" s="15">
        <f>G60*H60</f>
        <v>0</v>
      </c>
    </row>
    <row r="61" spans="3:7" ht="12.75">
      <c r="C61" s="95" t="s">
        <v>149</v>
      </c>
      <c r="D61" s="96"/>
      <c r="E61" s="96"/>
      <c r="G61" s="16">
        <v>1</v>
      </c>
    </row>
    <row r="62" spans="1:47" ht="12.75">
      <c r="A62" s="5"/>
      <c r="B62" s="12" t="s">
        <v>71</v>
      </c>
      <c r="C62" s="97" t="s">
        <v>152</v>
      </c>
      <c r="D62" s="98"/>
      <c r="E62" s="98"/>
      <c r="F62" s="5" t="s">
        <v>6</v>
      </c>
      <c r="G62" s="5" t="s">
        <v>6</v>
      </c>
      <c r="H62" s="5" t="s">
        <v>6</v>
      </c>
      <c r="I62" s="33">
        <f>SUM(I63:I63)</f>
        <v>0</v>
      </c>
      <c r="J62" s="33">
        <f>SUM(J63:J63)</f>
        <v>0</v>
      </c>
      <c r="K62" s="33">
        <f>SUM(K63:K63)</f>
        <v>0</v>
      </c>
      <c r="L62" s="27"/>
      <c r="AI62" s="27"/>
      <c r="AS62" s="33">
        <f>SUM(AJ63:AJ63)</f>
        <v>0</v>
      </c>
      <c r="AT62" s="33">
        <f>SUM(AK63:AK63)</f>
        <v>0</v>
      </c>
      <c r="AU62" s="33">
        <f>SUM(AL63:AL63)</f>
        <v>0</v>
      </c>
    </row>
    <row r="63" spans="1:62" ht="12.75">
      <c r="A63" s="4" t="s">
        <v>25</v>
      </c>
      <c r="B63" s="4" t="s">
        <v>72</v>
      </c>
      <c r="C63" s="93" t="s">
        <v>153</v>
      </c>
      <c r="D63" s="94"/>
      <c r="E63" s="94"/>
      <c r="F63" s="4" t="s">
        <v>201</v>
      </c>
      <c r="G63" s="15">
        <v>15</v>
      </c>
      <c r="H63" s="15">
        <v>0</v>
      </c>
      <c r="I63" s="15">
        <f>G63*AO63</f>
        <v>0</v>
      </c>
      <c r="J63" s="15">
        <f>G63*AP63</f>
        <v>0</v>
      </c>
      <c r="K63" s="15">
        <f>G63*H63</f>
        <v>0</v>
      </c>
      <c r="L63" s="26" t="s">
        <v>224</v>
      </c>
      <c r="Z63" s="30">
        <f>IF(AQ63="5",BJ63,0)</f>
        <v>0</v>
      </c>
      <c r="AB63" s="30">
        <f>IF(AQ63="1",BH63,0)</f>
        <v>0</v>
      </c>
      <c r="AC63" s="30">
        <f>IF(AQ63="1",BI63,0)</f>
        <v>0</v>
      </c>
      <c r="AD63" s="30">
        <f>IF(AQ63="7",BH63,0)</f>
        <v>0</v>
      </c>
      <c r="AE63" s="30">
        <f>IF(AQ63="7",BI63,0)</f>
        <v>0</v>
      </c>
      <c r="AF63" s="30">
        <f>IF(AQ63="2",BH63,0)</f>
        <v>0</v>
      </c>
      <c r="AG63" s="30">
        <f>IF(AQ63="2",BI63,0)</f>
        <v>0</v>
      </c>
      <c r="AH63" s="30">
        <f>IF(AQ63="0",BJ63,0)</f>
        <v>0</v>
      </c>
      <c r="AI63" s="27"/>
      <c r="AJ63" s="15">
        <f>IF(AN63=0,K63,0)</f>
        <v>0</v>
      </c>
      <c r="AK63" s="15">
        <f>IF(AN63=15,K63,0)</f>
        <v>0</v>
      </c>
      <c r="AL63" s="15">
        <f>IF(AN63=21,K63,0)</f>
        <v>0</v>
      </c>
      <c r="AN63" s="30">
        <v>21</v>
      </c>
      <c r="AO63" s="30">
        <f>H63*0.94886241920591</f>
        <v>0</v>
      </c>
      <c r="AP63" s="30">
        <f>H63*(1-0.94886241920591)</f>
        <v>0</v>
      </c>
      <c r="AQ63" s="26" t="s">
        <v>13</v>
      </c>
      <c r="AV63" s="30">
        <f>AW63+AX63</f>
        <v>0</v>
      </c>
      <c r="AW63" s="30">
        <f>G63*AO63</f>
        <v>0</v>
      </c>
      <c r="AX63" s="30">
        <f>G63*AP63</f>
        <v>0</v>
      </c>
      <c r="AY63" s="31" t="s">
        <v>247</v>
      </c>
      <c r="AZ63" s="31" t="s">
        <v>266</v>
      </c>
      <c r="BA63" s="27" t="s">
        <v>270</v>
      </c>
      <c r="BC63" s="30">
        <f>AW63+AX63</f>
        <v>0</v>
      </c>
      <c r="BD63" s="30">
        <f>H63/(100-BE63)*100</f>
        <v>0</v>
      </c>
      <c r="BE63" s="30">
        <v>0</v>
      </c>
      <c r="BF63" s="30">
        <f>63</f>
        <v>63</v>
      </c>
      <c r="BH63" s="15">
        <f>G63*AO63</f>
        <v>0</v>
      </c>
      <c r="BI63" s="15">
        <f>G63*AP63</f>
        <v>0</v>
      </c>
      <c r="BJ63" s="15">
        <f>G63*H63</f>
        <v>0</v>
      </c>
    </row>
    <row r="64" spans="3:7" ht="12.75">
      <c r="C64" s="95" t="s">
        <v>154</v>
      </c>
      <c r="D64" s="96"/>
      <c r="E64" s="96"/>
      <c r="G64" s="16">
        <v>15</v>
      </c>
    </row>
    <row r="65" spans="1:47" ht="12.75">
      <c r="A65" s="5"/>
      <c r="B65" s="12" t="s">
        <v>73</v>
      </c>
      <c r="C65" s="97" t="s">
        <v>155</v>
      </c>
      <c r="D65" s="98"/>
      <c r="E65" s="98"/>
      <c r="F65" s="5" t="s">
        <v>6</v>
      </c>
      <c r="G65" s="5" t="s">
        <v>6</v>
      </c>
      <c r="H65" s="5" t="s">
        <v>6</v>
      </c>
      <c r="I65" s="33">
        <f>SUM(I66:I66)</f>
        <v>0</v>
      </c>
      <c r="J65" s="33">
        <f>SUM(J66:J66)</f>
        <v>0</v>
      </c>
      <c r="K65" s="33">
        <f>SUM(K66:K66)</f>
        <v>0</v>
      </c>
      <c r="L65" s="27"/>
      <c r="AI65" s="27"/>
      <c r="AS65" s="33">
        <f>SUM(AJ66:AJ66)</f>
        <v>0</v>
      </c>
      <c r="AT65" s="33">
        <f>SUM(AK66:AK66)</f>
        <v>0</v>
      </c>
      <c r="AU65" s="33">
        <f>SUM(AL66:AL66)</f>
        <v>0</v>
      </c>
    </row>
    <row r="66" spans="1:62" ht="12.75">
      <c r="A66" s="4" t="s">
        <v>26</v>
      </c>
      <c r="B66" s="4" t="s">
        <v>74</v>
      </c>
      <c r="C66" s="93" t="s">
        <v>156</v>
      </c>
      <c r="D66" s="94"/>
      <c r="E66" s="94"/>
      <c r="F66" s="4" t="s">
        <v>201</v>
      </c>
      <c r="G66" s="15">
        <v>10.35</v>
      </c>
      <c r="H66" s="15">
        <v>0</v>
      </c>
      <c r="I66" s="15">
        <f>G66*AO66</f>
        <v>0</v>
      </c>
      <c r="J66" s="15">
        <f>G66*AP66</f>
        <v>0</v>
      </c>
      <c r="K66" s="15">
        <f>G66*H66</f>
        <v>0</v>
      </c>
      <c r="L66" s="26" t="s">
        <v>224</v>
      </c>
      <c r="Z66" s="30">
        <f>IF(AQ66="5",BJ66,0)</f>
        <v>0</v>
      </c>
      <c r="AB66" s="30">
        <f>IF(AQ66="1",BH66,0)</f>
        <v>0</v>
      </c>
      <c r="AC66" s="30">
        <f>IF(AQ66="1",BI66,0)</f>
        <v>0</v>
      </c>
      <c r="AD66" s="30">
        <f>IF(AQ66="7",BH66,0)</f>
        <v>0</v>
      </c>
      <c r="AE66" s="30">
        <f>IF(AQ66="7",BI66,0)</f>
        <v>0</v>
      </c>
      <c r="AF66" s="30">
        <f>IF(AQ66="2",BH66,0)</f>
        <v>0</v>
      </c>
      <c r="AG66" s="30">
        <f>IF(AQ66="2",BI66,0)</f>
        <v>0</v>
      </c>
      <c r="AH66" s="30">
        <f>IF(AQ66="0",BJ66,0)</f>
        <v>0</v>
      </c>
      <c r="AI66" s="27"/>
      <c r="AJ66" s="15">
        <f>IF(AN66=0,K66,0)</f>
        <v>0</v>
      </c>
      <c r="AK66" s="15">
        <f>IF(AN66=15,K66,0)</f>
        <v>0</v>
      </c>
      <c r="AL66" s="15">
        <f>IF(AN66=21,K66,0)</f>
        <v>0</v>
      </c>
      <c r="AN66" s="30">
        <v>21</v>
      </c>
      <c r="AO66" s="30">
        <f>H66*0.515497123430962</f>
        <v>0</v>
      </c>
      <c r="AP66" s="30">
        <f>H66*(1-0.515497123430962)</f>
        <v>0</v>
      </c>
      <c r="AQ66" s="26" t="s">
        <v>13</v>
      </c>
      <c r="AV66" s="30">
        <f>AW66+AX66</f>
        <v>0</v>
      </c>
      <c r="AW66" s="30">
        <f>G66*AO66</f>
        <v>0</v>
      </c>
      <c r="AX66" s="30">
        <f>G66*AP66</f>
        <v>0</v>
      </c>
      <c r="AY66" s="31" t="s">
        <v>248</v>
      </c>
      <c r="AZ66" s="31" t="s">
        <v>267</v>
      </c>
      <c r="BA66" s="27" t="s">
        <v>270</v>
      </c>
      <c r="BC66" s="30">
        <f>AW66+AX66</f>
        <v>0</v>
      </c>
      <c r="BD66" s="30">
        <f>H66/(100-BE66)*100</f>
        <v>0</v>
      </c>
      <c r="BE66" s="30">
        <v>0</v>
      </c>
      <c r="BF66" s="30">
        <f>66</f>
        <v>66</v>
      </c>
      <c r="BH66" s="15">
        <f>G66*AO66</f>
        <v>0</v>
      </c>
      <c r="BI66" s="15">
        <f>G66*AP66</f>
        <v>0</v>
      </c>
      <c r="BJ66" s="15">
        <f>G66*H66</f>
        <v>0</v>
      </c>
    </row>
    <row r="67" spans="3:7" ht="12.75">
      <c r="C67" s="95" t="s">
        <v>157</v>
      </c>
      <c r="D67" s="96"/>
      <c r="E67" s="96"/>
      <c r="G67" s="16">
        <v>10.35</v>
      </c>
    </row>
    <row r="68" spans="1:47" ht="12.75">
      <c r="A68" s="5"/>
      <c r="B68" s="12" t="s">
        <v>75</v>
      </c>
      <c r="C68" s="97" t="s">
        <v>158</v>
      </c>
      <c r="D68" s="98"/>
      <c r="E68" s="98"/>
      <c r="F68" s="5" t="s">
        <v>6</v>
      </c>
      <c r="G68" s="5" t="s">
        <v>6</v>
      </c>
      <c r="H68" s="5" t="s">
        <v>6</v>
      </c>
      <c r="I68" s="33">
        <f>SUM(I69:I69)</f>
        <v>0</v>
      </c>
      <c r="J68" s="33">
        <f>SUM(J69:J69)</f>
        <v>0</v>
      </c>
      <c r="K68" s="33">
        <f>SUM(K69:K69)</f>
        <v>0</v>
      </c>
      <c r="L68" s="27"/>
      <c r="AI68" s="27"/>
      <c r="AS68" s="33">
        <f>SUM(AJ69:AJ69)</f>
        <v>0</v>
      </c>
      <c r="AT68" s="33">
        <f>SUM(AK69:AK69)</f>
        <v>0</v>
      </c>
      <c r="AU68" s="33">
        <f>SUM(AL69:AL69)</f>
        <v>0</v>
      </c>
    </row>
    <row r="69" spans="1:62" ht="12.75">
      <c r="A69" s="4" t="s">
        <v>27</v>
      </c>
      <c r="B69" s="4" t="s">
        <v>76</v>
      </c>
      <c r="C69" s="93" t="s">
        <v>159</v>
      </c>
      <c r="D69" s="94"/>
      <c r="E69" s="94"/>
      <c r="F69" s="4" t="s">
        <v>201</v>
      </c>
      <c r="G69" s="15">
        <v>61</v>
      </c>
      <c r="H69" s="15">
        <v>0</v>
      </c>
      <c r="I69" s="15">
        <f>G69*AO69</f>
        <v>0</v>
      </c>
      <c r="J69" s="15">
        <f>G69*AP69</f>
        <v>0</v>
      </c>
      <c r="K69" s="15">
        <f>G69*H69</f>
        <v>0</v>
      </c>
      <c r="L69" s="26" t="s">
        <v>224</v>
      </c>
      <c r="Z69" s="30">
        <f>IF(AQ69="5",BJ69,0)</f>
        <v>0</v>
      </c>
      <c r="AB69" s="30">
        <f>IF(AQ69="1",BH69,0)</f>
        <v>0</v>
      </c>
      <c r="AC69" s="30">
        <f>IF(AQ69="1",BI69,0)</f>
        <v>0</v>
      </c>
      <c r="AD69" s="30">
        <f>IF(AQ69="7",BH69,0)</f>
        <v>0</v>
      </c>
      <c r="AE69" s="30">
        <f>IF(AQ69="7",BI69,0)</f>
        <v>0</v>
      </c>
      <c r="AF69" s="30">
        <f>IF(AQ69="2",BH69,0)</f>
        <v>0</v>
      </c>
      <c r="AG69" s="30">
        <f>IF(AQ69="2",BI69,0)</f>
        <v>0</v>
      </c>
      <c r="AH69" s="30">
        <f>IF(AQ69="0",BJ69,0)</f>
        <v>0</v>
      </c>
      <c r="AI69" s="27"/>
      <c r="AJ69" s="15">
        <f>IF(AN69=0,K69,0)</f>
        <v>0</v>
      </c>
      <c r="AK69" s="15">
        <f>IF(AN69=15,K69,0)</f>
        <v>0</v>
      </c>
      <c r="AL69" s="15">
        <f>IF(AN69=21,K69,0)</f>
        <v>0</v>
      </c>
      <c r="AN69" s="30">
        <v>21</v>
      </c>
      <c r="AO69" s="30">
        <f>H69*0.482126816380449</f>
        <v>0</v>
      </c>
      <c r="AP69" s="30">
        <f>H69*(1-0.482126816380449)</f>
        <v>0</v>
      </c>
      <c r="AQ69" s="26" t="s">
        <v>13</v>
      </c>
      <c r="AV69" s="30">
        <f>AW69+AX69</f>
        <v>0</v>
      </c>
      <c r="AW69" s="30">
        <f>G69*AO69</f>
        <v>0</v>
      </c>
      <c r="AX69" s="30">
        <f>G69*AP69</f>
        <v>0</v>
      </c>
      <c r="AY69" s="31" t="s">
        <v>249</v>
      </c>
      <c r="AZ69" s="31" t="s">
        <v>268</v>
      </c>
      <c r="BA69" s="27" t="s">
        <v>270</v>
      </c>
      <c r="BC69" s="30">
        <f>AW69+AX69</f>
        <v>0</v>
      </c>
      <c r="BD69" s="30">
        <f>H69/(100-BE69)*100</f>
        <v>0</v>
      </c>
      <c r="BE69" s="30">
        <v>0</v>
      </c>
      <c r="BF69" s="30">
        <f>69</f>
        <v>69</v>
      </c>
      <c r="BH69" s="15">
        <f>G69*AO69</f>
        <v>0</v>
      </c>
      <c r="BI69" s="15">
        <f>G69*AP69</f>
        <v>0</v>
      </c>
      <c r="BJ69" s="15">
        <f>G69*H69</f>
        <v>0</v>
      </c>
    </row>
    <row r="70" spans="3:7" ht="12.75">
      <c r="C70" s="95" t="s">
        <v>160</v>
      </c>
      <c r="D70" s="96"/>
      <c r="E70" s="96"/>
      <c r="G70" s="16">
        <v>61</v>
      </c>
    </row>
    <row r="71" spans="1:47" ht="12.75">
      <c r="A71" s="5"/>
      <c r="B71" s="12" t="s">
        <v>77</v>
      </c>
      <c r="C71" s="97" t="s">
        <v>161</v>
      </c>
      <c r="D71" s="98"/>
      <c r="E71" s="98"/>
      <c r="F71" s="5" t="s">
        <v>6</v>
      </c>
      <c r="G71" s="5" t="s">
        <v>6</v>
      </c>
      <c r="H71" s="5" t="s">
        <v>6</v>
      </c>
      <c r="I71" s="33">
        <f>SUM(I72:I72)</f>
        <v>0</v>
      </c>
      <c r="J71" s="33">
        <f>SUM(J72:J72)</f>
        <v>0</v>
      </c>
      <c r="K71" s="33">
        <f>SUM(K72:K72)</f>
        <v>0</v>
      </c>
      <c r="L71" s="27"/>
      <c r="AI71" s="27"/>
      <c r="AS71" s="33">
        <f>SUM(AJ72:AJ72)</f>
        <v>0</v>
      </c>
      <c r="AT71" s="33">
        <f>SUM(AK72:AK72)</f>
        <v>0</v>
      </c>
      <c r="AU71" s="33">
        <f>SUM(AL72:AL72)</f>
        <v>0</v>
      </c>
    </row>
    <row r="72" spans="1:62" ht="12.75">
      <c r="A72" s="4" t="s">
        <v>28</v>
      </c>
      <c r="B72" s="4" t="s">
        <v>78</v>
      </c>
      <c r="C72" s="93" t="s">
        <v>162</v>
      </c>
      <c r="D72" s="94"/>
      <c r="E72" s="94"/>
      <c r="F72" s="4" t="s">
        <v>201</v>
      </c>
      <c r="G72" s="15">
        <v>60</v>
      </c>
      <c r="H72" s="15">
        <v>0</v>
      </c>
      <c r="I72" s="15">
        <f>G72*AO72</f>
        <v>0</v>
      </c>
      <c r="J72" s="15">
        <f>G72*AP72</f>
        <v>0</v>
      </c>
      <c r="K72" s="15">
        <f>G72*H72</f>
        <v>0</v>
      </c>
      <c r="L72" s="26" t="s">
        <v>224</v>
      </c>
      <c r="Z72" s="30">
        <f>IF(AQ72="5",BJ72,0)</f>
        <v>0</v>
      </c>
      <c r="AB72" s="30">
        <f>IF(AQ72="1",BH72,0)</f>
        <v>0</v>
      </c>
      <c r="AC72" s="30">
        <f>IF(AQ72="1",BI72,0)</f>
        <v>0</v>
      </c>
      <c r="AD72" s="30">
        <f>IF(AQ72="7",BH72,0)</f>
        <v>0</v>
      </c>
      <c r="AE72" s="30">
        <f>IF(AQ72="7",BI72,0)</f>
        <v>0</v>
      </c>
      <c r="AF72" s="30">
        <f>IF(AQ72="2",BH72,0)</f>
        <v>0</v>
      </c>
      <c r="AG72" s="30">
        <f>IF(AQ72="2",BI72,0)</f>
        <v>0</v>
      </c>
      <c r="AH72" s="30">
        <f>IF(AQ72="0",BJ72,0)</f>
        <v>0</v>
      </c>
      <c r="AI72" s="27"/>
      <c r="AJ72" s="15">
        <f>IF(AN72=0,K72,0)</f>
        <v>0</v>
      </c>
      <c r="AK72" s="15">
        <f>IF(AN72=15,K72,0)</f>
        <v>0</v>
      </c>
      <c r="AL72" s="15">
        <f>IF(AN72=21,K72,0)</f>
        <v>0</v>
      </c>
      <c r="AN72" s="30">
        <v>21</v>
      </c>
      <c r="AO72" s="30">
        <f>H72*0.401885225600606</f>
        <v>0</v>
      </c>
      <c r="AP72" s="30">
        <f>H72*(1-0.401885225600606)</f>
        <v>0</v>
      </c>
      <c r="AQ72" s="26" t="s">
        <v>13</v>
      </c>
      <c r="AV72" s="30">
        <f>AW72+AX72</f>
        <v>0</v>
      </c>
      <c r="AW72" s="30">
        <f>G72*AO72</f>
        <v>0</v>
      </c>
      <c r="AX72" s="30">
        <f>G72*AP72</f>
        <v>0</v>
      </c>
      <c r="AY72" s="31" t="s">
        <v>250</v>
      </c>
      <c r="AZ72" s="31" t="s">
        <v>268</v>
      </c>
      <c r="BA72" s="27" t="s">
        <v>270</v>
      </c>
      <c r="BC72" s="30">
        <f>AW72+AX72</f>
        <v>0</v>
      </c>
      <c r="BD72" s="30">
        <f>H72/(100-BE72)*100</f>
        <v>0</v>
      </c>
      <c r="BE72" s="30">
        <v>0</v>
      </c>
      <c r="BF72" s="30">
        <f>72</f>
        <v>72</v>
      </c>
      <c r="BH72" s="15">
        <f>G72*AO72</f>
        <v>0</v>
      </c>
      <c r="BI72" s="15">
        <f>G72*AP72</f>
        <v>0</v>
      </c>
      <c r="BJ72" s="15">
        <f>G72*H72</f>
        <v>0</v>
      </c>
    </row>
    <row r="73" spans="3:7" ht="12.75">
      <c r="C73" s="95" t="s">
        <v>163</v>
      </c>
      <c r="D73" s="96"/>
      <c r="E73" s="96"/>
      <c r="G73" s="16">
        <v>60</v>
      </c>
    </row>
    <row r="74" spans="1:47" ht="12.75">
      <c r="A74" s="5"/>
      <c r="B74" s="12" t="s">
        <v>79</v>
      </c>
      <c r="C74" s="97" t="s">
        <v>164</v>
      </c>
      <c r="D74" s="98"/>
      <c r="E74" s="98"/>
      <c r="F74" s="5" t="s">
        <v>6</v>
      </c>
      <c r="G74" s="5" t="s">
        <v>6</v>
      </c>
      <c r="H74" s="5" t="s">
        <v>6</v>
      </c>
      <c r="I74" s="33">
        <f>SUM(I75:I75)</f>
        <v>0</v>
      </c>
      <c r="J74" s="33">
        <f>SUM(J75:J75)</f>
        <v>0</v>
      </c>
      <c r="K74" s="33">
        <f>SUM(K75:K75)</f>
        <v>0</v>
      </c>
      <c r="L74" s="27"/>
      <c r="AI74" s="27"/>
      <c r="AS74" s="33">
        <f>SUM(AJ75:AJ75)</f>
        <v>0</v>
      </c>
      <c r="AT74" s="33">
        <f>SUM(AK75:AK75)</f>
        <v>0</v>
      </c>
      <c r="AU74" s="33">
        <f>SUM(AL75:AL75)</f>
        <v>0</v>
      </c>
    </row>
    <row r="75" spans="1:62" ht="12.75">
      <c r="A75" s="4" t="s">
        <v>29</v>
      </c>
      <c r="B75" s="4" t="s">
        <v>80</v>
      </c>
      <c r="C75" s="93" t="s">
        <v>165</v>
      </c>
      <c r="D75" s="94"/>
      <c r="E75" s="94"/>
      <c r="F75" s="4" t="s">
        <v>205</v>
      </c>
      <c r="G75" s="15">
        <v>15</v>
      </c>
      <c r="H75" s="15">
        <v>0</v>
      </c>
      <c r="I75" s="15">
        <f>G75*AO75</f>
        <v>0</v>
      </c>
      <c r="J75" s="15">
        <f>G75*AP75</f>
        <v>0</v>
      </c>
      <c r="K75" s="15">
        <f>G75*H75</f>
        <v>0</v>
      </c>
      <c r="L75" s="26" t="s">
        <v>224</v>
      </c>
      <c r="Z75" s="30">
        <f>IF(AQ75="5",BJ75,0)</f>
        <v>0</v>
      </c>
      <c r="AB75" s="30">
        <f>IF(AQ75="1",BH75,0)</f>
        <v>0</v>
      </c>
      <c r="AC75" s="30">
        <f>IF(AQ75="1",BI75,0)</f>
        <v>0</v>
      </c>
      <c r="AD75" s="30">
        <f>IF(AQ75="7",BH75,0)</f>
        <v>0</v>
      </c>
      <c r="AE75" s="30">
        <f>IF(AQ75="7",BI75,0)</f>
        <v>0</v>
      </c>
      <c r="AF75" s="30">
        <f>IF(AQ75="2",BH75,0)</f>
        <v>0</v>
      </c>
      <c r="AG75" s="30">
        <f>IF(AQ75="2",BI75,0)</f>
        <v>0</v>
      </c>
      <c r="AH75" s="30">
        <f>IF(AQ75="0",BJ75,0)</f>
        <v>0</v>
      </c>
      <c r="AI75" s="27"/>
      <c r="AJ75" s="15">
        <f>IF(AN75=0,K75,0)</f>
        <v>0</v>
      </c>
      <c r="AK75" s="15">
        <f>IF(AN75=15,K75,0)</f>
        <v>0</v>
      </c>
      <c r="AL75" s="15">
        <f>IF(AN75=21,K75,0)</f>
        <v>0</v>
      </c>
      <c r="AN75" s="30">
        <v>21</v>
      </c>
      <c r="AO75" s="30">
        <f>H75*0</f>
        <v>0</v>
      </c>
      <c r="AP75" s="30">
        <f>H75*(1-0)</f>
        <v>0</v>
      </c>
      <c r="AQ75" s="26" t="s">
        <v>7</v>
      </c>
      <c r="AV75" s="30">
        <f>AW75+AX75</f>
        <v>0</v>
      </c>
      <c r="AW75" s="30">
        <f>G75*AO75</f>
        <v>0</v>
      </c>
      <c r="AX75" s="30">
        <f>G75*AP75</f>
        <v>0</v>
      </c>
      <c r="AY75" s="31" t="s">
        <v>251</v>
      </c>
      <c r="AZ75" s="31" t="s">
        <v>269</v>
      </c>
      <c r="BA75" s="27" t="s">
        <v>270</v>
      </c>
      <c r="BC75" s="30">
        <f>AW75+AX75</f>
        <v>0</v>
      </c>
      <c r="BD75" s="30">
        <f>H75/(100-BE75)*100</f>
        <v>0</v>
      </c>
      <c r="BE75" s="30">
        <v>0</v>
      </c>
      <c r="BF75" s="30">
        <f>75</f>
        <v>75</v>
      </c>
      <c r="BH75" s="15">
        <f>G75*AO75</f>
        <v>0</v>
      </c>
      <c r="BI75" s="15">
        <f>G75*AP75</f>
        <v>0</v>
      </c>
      <c r="BJ75" s="15">
        <f>G75*H75</f>
        <v>0</v>
      </c>
    </row>
    <row r="76" spans="3:7" ht="12.75">
      <c r="C76" s="95" t="s">
        <v>166</v>
      </c>
      <c r="D76" s="96"/>
      <c r="E76" s="96"/>
      <c r="G76" s="16">
        <v>15</v>
      </c>
    </row>
    <row r="77" spans="1:47" ht="12.75">
      <c r="A77" s="5"/>
      <c r="B77" s="12" t="s">
        <v>81</v>
      </c>
      <c r="C77" s="97" t="s">
        <v>167</v>
      </c>
      <c r="D77" s="98"/>
      <c r="E77" s="98"/>
      <c r="F77" s="5" t="s">
        <v>6</v>
      </c>
      <c r="G77" s="5" t="s">
        <v>6</v>
      </c>
      <c r="H77" s="5" t="s">
        <v>6</v>
      </c>
      <c r="I77" s="33">
        <f>SUM(I78:I78)</f>
        <v>0</v>
      </c>
      <c r="J77" s="33">
        <f>SUM(J78:J78)</f>
        <v>0</v>
      </c>
      <c r="K77" s="33">
        <f>SUM(K78:K78)</f>
        <v>0</v>
      </c>
      <c r="L77" s="27"/>
      <c r="AI77" s="27"/>
      <c r="AS77" s="33">
        <f>SUM(AJ78:AJ78)</f>
        <v>0</v>
      </c>
      <c r="AT77" s="33">
        <f>SUM(AK78:AK78)</f>
        <v>0</v>
      </c>
      <c r="AU77" s="33">
        <f>SUM(AL78:AL78)</f>
        <v>0</v>
      </c>
    </row>
    <row r="78" spans="1:62" ht="12.75">
      <c r="A78" s="4" t="s">
        <v>30</v>
      </c>
      <c r="B78" s="4" t="s">
        <v>82</v>
      </c>
      <c r="C78" s="93" t="s">
        <v>168</v>
      </c>
      <c r="D78" s="94"/>
      <c r="E78" s="94"/>
      <c r="F78" s="4" t="s">
        <v>201</v>
      </c>
      <c r="G78" s="15">
        <v>30</v>
      </c>
      <c r="H78" s="15">
        <v>0</v>
      </c>
      <c r="I78" s="15">
        <f>G78*AO78</f>
        <v>0</v>
      </c>
      <c r="J78" s="15">
        <f>G78*AP78</f>
        <v>0</v>
      </c>
      <c r="K78" s="15">
        <f>G78*H78</f>
        <v>0</v>
      </c>
      <c r="L78" s="26" t="s">
        <v>224</v>
      </c>
      <c r="Z78" s="30">
        <f>IF(AQ78="5",BJ78,0)</f>
        <v>0</v>
      </c>
      <c r="AB78" s="30">
        <f>IF(AQ78="1",BH78,0)</f>
        <v>0</v>
      </c>
      <c r="AC78" s="30">
        <f>IF(AQ78="1",BI78,0)</f>
        <v>0</v>
      </c>
      <c r="AD78" s="30">
        <f>IF(AQ78="7",BH78,0)</f>
        <v>0</v>
      </c>
      <c r="AE78" s="30">
        <f>IF(AQ78="7",BI78,0)</f>
        <v>0</v>
      </c>
      <c r="AF78" s="30">
        <f>IF(AQ78="2",BH78,0)</f>
        <v>0</v>
      </c>
      <c r="AG78" s="30">
        <f>IF(AQ78="2",BI78,0)</f>
        <v>0</v>
      </c>
      <c r="AH78" s="30">
        <f>IF(AQ78="0",BJ78,0)</f>
        <v>0</v>
      </c>
      <c r="AI78" s="27"/>
      <c r="AJ78" s="15">
        <f>IF(AN78=0,K78,0)</f>
        <v>0</v>
      </c>
      <c r="AK78" s="15">
        <f>IF(AN78=15,K78,0)</f>
        <v>0</v>
      </c>
      <c r="AL78" s="15">
        <f>IF(AN78=21,K78,0)</f>
        <v>0</v>
      </c>
      <c r="AN78" s="30">
        <v>21</v>
      </c>
      <c r="AO78" s="30">
        <f>H78*0.433960113960114</f>
        <v>0</v>
      </c>
      <c r="AP78" s="30">
        <f>H78*(1-0.433960113960114)</f>
        <v>0</v>
      </c>
      <c r="AQ78" s="26" t="s">
        <v>7</v>
      </c>
      <c r="AV78" s="30">
        <f>AW78+AX78</f>
        <v>0</v>
      </c>
      <c r="AW78" s="30">
        <f>G78*AO78</f>
        <v>0</v>
      </c>
      <c r="AX78" s="30">
        <f>G78*AP78</f>
        <v>0</v>
      </c>
      <c r="AY78" s="31" t="s">
        <v>252</v>
      </c>
      <c r="AZ78" s="31" t="s">
        <v>269</v>
      </c>
      <c r="BA78" s="27" t="s">
        <v>270</v>
      </c>
      <c r="BC78" s="30">
        <f>AW78+AX78</f>
        <v>0</v>
      </c>
      <c r="BD78" s="30">
        <f>H78/(100-BE78)*100</f>
        <v>0</v>
      </c>
      <c r="BE78" s="30">
        <v>0</v>
      </c>
      <c r="BF78" s="30">
        <f>78</f>
        <v>78</v>
      </c>
      <c r="BH78" s="15">
        <f>G78*AO78</f>
        <v>0</v>
      </c>
      <c r="BI78" s="15">
        <f>G78*AP78</f>
        <v>0</v>
      </c>
      <c r="BJ78" s="15">
        <f>G78*H78</f>
        <v>0</v>
      </c>
    </row>
    <row r="79" spans="3:7" ht="12.75">
      <c r="C79" s="95" t="s">
        <v>169</v>
      </c>
      <c r="D79" s="96"/>
      <c r="E79" s="96"/>
      <c r="G79" s="16">
        <v>30</v>
      </c>
    </row>
    <row r="80" spans="1:47" ht="12.75">
      <c r="A80" s="5"/>
      <c r="B80" s="12" t="s">
        <v>83</v>
      </c>
      <c r="C80" s="97" t="s">
        <v>170</v>
      </c>
      <c r="D80" s="98"/>
      <c r="E80" s="98"/>
      <c r="F80" s="5" t="s">
        <v>6</v>
      </c>
      <c r="G80" s="5" t="s">
        <v>6</v>
      </c>
      <c r="H80" s="5" t="s">
        <v>6</v>
      </c>
      <c r="I80" s="33">
        <f>SUM(I81:I81)</f>
        <v>0</v>
      </c>
      <c r="J80" s="33">
        <f>SUM(J81:J81)</f>
        <v>0</v>
      </c>
      <c r="K80" s="33">
        <f>SUM(K81:K81)</f>
        <v>0</v>
      </c>
      <c r="L80" s="27"/>
      <c r="AI80" s="27"/>
      <c r="AS80" s="33">
        <f>SUM(AJ81:AJ81)</f>
        <v>0</v>
      </c>
      <c r="AT80" s="33">
        <f>SUM(AK81:AK81)</f>
        <v>0</v>
      </c>
      <c r="AU80" s="33">
        <f>SUM(AL81:AL81)</f>
        <v>0</v>
      </c>
    </row>
    <row r="81" spans="1:62" ht="12.75">
      <c r="A81" s="4" t="s">
        <v>31</v>
      </c>
      <c r="B81" s="4" t="s">
        <v>84</v>
      </c>
      <c r="C81" s="93" t="s">
        <v>171</v>
      </c>
      <c r="D81" s="94"/>
      <c r="E81" s="94"/>
      <c r="F81" s="4" t="s">
        <v>201</v>
      </c>
      <c r="G81" s="15">
        <v>86.42</v>
      </c>
      <c r="H81" s="15">
        <v>0</v>
      </c>
      <c r="I81" s="15">
        <f>G81*AO81</f>
        <v>0</v>
      </c>
      <c r="J81" s="15">
        <f>G81*AP81</f>
        <v>0</v>
      </c>
      <c r="K81" s="15">
        <f>G81*H81</f>
        <v>0</v>
      </c>
      <c r="L81" s="26" t="s">
        <v>224</v>
      </c>
      <c r="Z81" s="30">
        <f>IF(AQ81="5",BJ81,0)</f>
        <v>0</v>
      </c>
      <c r="AB81" s="30">
        <f>IF(AQ81="1",BH81,0)</f>
        <v>0</v>
      </c>
      <c r="AC81" s="30">
        <f>IF(AQ81="1",BI81,0)</f>
        <v>0</v>
      </c>
      <c r="AD81" s="30">
        <f>IF(AQ81="7",BH81,0)</f>
        <v>0</v>
      </c>
      <c r="AE81" s="30">
        <f>IF(AQ81="7",BI81,0)</f>
        <v>0</v>
      </c>
      <c r="AF81" s="30">
        <f>IF(AQ81="2",BH81,0)</f>
        <v>0</v>
      </c>
      <c r="AG81" s="30">
        <f>IF(AQ81="2",BI81,0)</f>
        <v>0</v>
      </c>
      <c r="AH81" s="30">
        <f>IF(AQ81="0",BJ81,0)</f>
        <v>0</v>
      </c>
      <c r="AI81" s="27"/>
      <c r="AJ81" s="15">
        <f>IF(AN81=0,K81,0)</f>
        <v>0</v>
      </c>
      <c r="AK81" s="15">
        <f>IF(AN81=15,K81,0)</f>
        <v>0</v>
      </c>
      <c r="AL81" s="15">
        <f>IF(AN81=21,K81,0)</f>
        <v>0</v>
      </c>
      <c r="AN81" s="30">
        <v>21</v>
      </c>
      <c r="AO81" s="30">
        <f>H81*0.0130002735114664</f>
        <v>0</v>
      </c>
      <c r="AP81" s="30">
        <f>H81*(1-0.0130002735114664)</f>
        <v>0</v>
      </c>
      <c r="AQ81" s="26" t="s">
        <v>7</v>
      </c>
      <c r="AV81" s="30">
        <f>AW81+AX81</f>
        <v>0</v>
      </c>
      <c r="AW81" s="30">
        <f>G81*AO81</f>
        <v>0</v>
      </c>
      <c r="AX81" s="30">
        <f>G81*AP81</f>
        <v>0</v>
      </c>
      <c r="AY81" s="31" t="s">
        <v>253</v>
      </c>
      <c r="AZ81" s="31" t="s">
        <v>269</v>
      </c>
      <c r="BA81" s="27" t="s">
        <v>270</v>
      </c>
      <c r="BC81" s="30">
        <f>AW81+AX81</f>
        <v>0</v>
      </c>
      <c r="BD81" s="30">
        <f>H81/(100-BE81)*100</f>
        <v>0</v>
      </c>
      <c r="BE81" s="30">
        <v>0</v>
      </c>
      <c r="BF81" s="30">
        <f>81</f>
        <v>81</v>
      </c>
      <c r="BH81" s="15">
        <f>G81*AO81</f>
        <v>0</v>
      </c>
      <c r="BI81" s="15">
        <f>G81*AP81</f>
        <v>0</v>
      </c>
      <c r="BJ81" s="15">
        <f>G81*H81</f>
        <v>0</v>
      </c>
    </row>
    <row r="82" spans="3:7" ht="12.75">
      <c r="C82" s="95" t="s">
        <v>172</v>
      </c>
      <c r="D82" s="96"/>
      <c r="E82" s="96"/>
      <c r="G82" s="16">
        <v>86.42</v>
      </c>
    </row>
    <row r="83" spans="1:47" ht="12.75">
      <c r="A83" s="5"/>
      <c r="B83" s="12" t="s">
        <v>85</v>
      </c>
      <c r="C83" s="97" t="s">
        <v>173</v>
      </c>
      <c r="D83" s="98"/>
      <c r="E83" s="98"/>
      <c r="F83" s="5" t="s">
        <v>6</v>
      </c>
      <c r="G83" s="5" t="s">
        <v>6</v>
      </c>
      <c r="H83" s="5" t="s">
        <v>6</v>
      </c>
      <c r="I83" s="33">
        <f>SUM(I84:I90)</f>
        <v>0</v>
      </c>
      <c r="J83" s="33">
        <f>SUM(J84:J90)</f>
        <v>0</v>
      </c>
      <c r="K83" s="33">
        <f>SUM(K84:K90)</f>
        <v>0</v>
      </c>
      <c r="L83" s="27"/>
      <c r="AI83" s="27"/>
      <c r="AS83" s="33">
        <f>SUM(AJ84:AJ90)</f>
        <v>0</v>
      </c>
      <c r="AT83" s="33">
        <f>SUM(AK84:AK90)</f>
        <v>0</v>
      </c>
      <c r="AU83" s="33">
        <f>SUM(AL84:AL90)</f>
        <v>0</v>
      </c>
    </row>
    <row r="84" spans="1:62" ht="12.75">
      <c r="A84" s="4" t="s">
        <v>32</v>
      </c>
      <c r="B84" s="4" t="s">
        <v>86</v>
      </c>
      <c r="C84" s="93" t="s">
        <v>174</v>
      </c>
      <c r="D84" s="94"/>
      <c r="E84" s="94"/>
      <c r="F84" s="4" t="s">
        <v>200</v>
      </c>
      <c r="G84" s="15">
        <v>5.94</v>
      </c>
      <c r="H84" s="15">
        <v>0</v>
      </c>
      <c r="I84" s="15">
        <f>G84*AO84</f>
        <v>0</v>
      </c>
      <c r="J84" s="15">
        <f>G84*AP84</f>
        <v>0</v>
      </c>
      <c r="K84" s="15">
        <f>G84*H84</f>
        <v>0</v>
      </c>
      <c r="L84" s="26" t="s">
        <v>224</v>
      </c>
      <c r="Z84" s="30">
        <f>IF(AQ84="5",BJ84,0)</f>
        <v>0</v>
      </c>
      <c r="AB84" s="30">
        <f>IF(AQ84="1",BH84,0)</f>
        <v>0</v>
      </c>
      <c r="AC84" s="30">
        <f>IF(AQ84="1",BI84,0)</f>
        <v>0</v>
      </c>
      <c r="AD84" s="30">
        <f>IF(AQ84="7",BH84,0)</f>
        <v>0</v>
      </c>
      <c r="AE84" s="30">
        <f>IF(AQ84="7",BI84,0)</f>
        <v>0</v>
      </c>
      <c r="AF84" s="30">
        <f>IF(AQ84="2",BH84,0)</f>
        <v>0</v>
      </c>
      <c r="AG84" s="30">
        <f>IF(AQ84="2",BI84,0)</f>
        <v>0</v>
      </c>
      <c r="AH84" s="30">
        <f>IF(AQ84="0",BJ84,0)</f>
        <v>0</v>
      </c>
      <c r="AI84" s="27"/>
      <c r="AJ84" s="15">
        <f>IF(AN84=0,K84,0)</f>
        <v>0</v>
      </c>
      <c r="AK84" s="15">
        <f>IF(AN84=15,K84,0)</f>
        <v>0</v>
      </c>
      <c r="AL84" s="15">
        <f>IF(AN84=21,K84,0)</f>
        <v>0</v>
      </c>
      <c r="AN84" s="30">
        <v>21</v>
      </c>
      <c r="AO84" s="30">
        <f>H84*0.0402216432865731</f>
        <v>0</v>
      </c>
      <c r="AP84" s="30">
        <f>H84*(1-0.0402216432865731)</f>
        <v>0</v>
      </c>
      <c r="AQ84" s="26" t="s">
        <v>7</v>
      </c>
      <c r="AV84" s="30">
        <f>AW84+AX84</f>
        <v>0</v>
      </c>
      <c r="AW84" s="30">
        <f>G84*AO84</f>
        <v>0</v>
      </c>
      <c r="AX84" s="30">
        <f>G84*AP84</f>
        <v>0</v>
      </c>
      <c r="AY84" s="31" t="s">
        <v>254</v>
      </c>
      <c r="AZ84" s="31" t="s">
        <v>269</v>
      </c>
      <c r="BA84" s="27" t="s">
        <v>270</v>
      </c>
      <c r="BC84" s="30">
        <f>AW84+AX84</f>
        <v>0</v>
      </c>
      <c r="BD84" s="30">
        <f>H84/(100-BE84)*100</f>
        <v>0</v>
      </c>
      <c r="BE84" s="30">
        <v>0</v>
      </c>
      <c r="BF84" s="30">
        <f>84</f>
        <v>84</v>
      </c>
      <c r="BH84" s="15">
        <f>G84*AO84</f>
        <v>0</v>
      </c>
      <c r="BI84" s="15">
        <f>G84*AP84</f>
        <v>0</v>
      </c>
      <c r="BJ84" s="15">
        <f>G84*H84</f>
        <v>0</v>
      </c>
    </row>
    <row r="85" spans="3:7" ht="12.75">
      <c r="C85" s="95" t="s">
        <v>175</v>
      </c>
      <c r="D85" s="96"/>
      <c r="E85" s="96"/>
      <c r="G85" s="16">
        <v>5.94</v>
      </c>
    </row>
    <row r="86" spans="1:62" ht="12.75">
      <c r="A86" s="4" t="s">
        <v>33</v>
      </c>
      <c r="B86" s="4" t="s">
        <v>87</v>
      </c>
      <c r="C86" s="93" t="s">
        <v>176</v>
      </c>
      <c r="D86" s="94"/>
      <c r="E86" s="94"/>
      <c r="F86" s="4" t="s">
        <v>201</v>
      </c>
      <c r="G86" s="15">
        <v>15</v>
      </c>
      <c r="H86" s="15">
        <v>0</v>
      </c>
      <c r="I86" s="15">
        <f>G86*AO86</f>
        <v>0</v>
      </c>
      <c r="J86" s="15">
        <f>G86*AP86</f>
        <v>0</v>
      </c>
      <c r="K86" s="15">
        <f>G86*H86</f>
        <v>0</v>
      </c>
      <c r="L86" s="26" t="s">
        <v>224</v>
      </c>
      <c r="Z86" s="30">
        <f>IF(AQ86="5",BJ86,0)</f>
        <v>0</v>
      </c>
      <c r="AB86" s="30">
        <f>IF(AQ86="1",BH86,0)</f>
        <v>0</v>
      </c>
      <c r="AC86" s="30">
        <f>IF(AQ86="1",BI86,0)</f>
        <v>0</v>
      </c>
      <c r="AD86" s="30">
        <f>IF(AQ86="7",BH86,0)</f>
        <v>0</v>
      </c>
      <c r="AE86" s="30">
        <f>IF(AQ86="7",BI86,0)</f>
        <v>0</v>
      </c>
      <c r="AF86" s="30">
        <f>IF(AQ86="2",BH86,0)</f>
        <v>0</v>
      </c>
      <c r="AG86" s="30">
        <f>IF(AQ86="2",BI86,0)</f>
        <v>0</v>
      </c>
      <c r="AH86" s="30">
        <f>IF(AQ86="0",BJ86,0)</f>
        <v>0</v>
      </c>
      <c r="AI86" s="27"/>
      <c r="AJ86" s="15">
        <f>IF(AN86=0,K86,0)</f>
        <v>0</v>
      </c>
      <c r="AK86" s="15">
        <f>IF(AN86=15,K86,0)</f>
        <v>0</v>
      </c>
      <c r="AL86" s="15">
        <f>IF(AN86=21,K86,0)</f>
        <v>0</v>
      </c>
      <c r="AN86" s="30">
        <v>21</v>
      </c>
      <c r="AO86" s="30">
        <f>H86*0</f>
        <v>0</v>
      </c>
      <c r="AP86" s="30">
        <f>H86*(1-0)</f>
        <v>0</v>
      </c>
      <c r="AQ86" s="26" t="s">
        <v>7</v>
      </c>
      <c r="AV86" s="30">
        <f>AW86+AX86</f>
        <v>0</v>
      </c>
      <c r="AW86" s="30">
        <f>G86*AO86</f>
        <v>0</v>
      </c>
      <c r="AX86" s="30">
        <f>G86*AP86</f>
        <v>0</v>
      </c>
      <c r="AY86" s="31" t="s">
        <v>254</v>
      </c>
      <c r="AZ86" s="31" t="s">
        <v>269</v>
      </c>
      <c r="BA86" s="27" t="s">
        <v>270</v>
      </c>
      <c r="BC86" s="30">
        <f>AW86+AX86</f>
        <v>0</v>
      </c>
      <c r="BD86" s="30">
        <f>H86/(100-BE86)*100</f>
        <v>0</v>
      </c>
      <c r="BE86" s="30">
        <v>0</v>
      </c>
      <c r="BF86" s="30">
        <f>86</f>
        <v>86</v>
      </c>
      <c r="BH86" s="15">
        <f>G86*AO86</f>
        <v>0</v>
      </c>
      <c r="BI86" s="15">
        <f>G86*AP86</f>
        <v>0</v>
      </c>
      <c r="BJ86" s="15">
        <f>G86*H86</f>
        <v>0</v>
      </c>
    </row>
    <row r="87" spans="3:7" ht="12.75">
      <c r="C87" s="95" t="s">
        <v>154</v>
      </c>
      <c r="D87" s="96"/>
      <c r="E87" s="96"/>
      <c r="G87" s="16">
        <v>15</v>
      </c>
    </row>
    <row r="88" spans="1:62" ht="12.75">
      <c r="A88" s="4" t="s">
        <v>34</v>
      </c>
      <c r="B88" s="4" t="s">
        <v>88</v>
      </c>
      <c r="C88" s="93" t="s">
        <v>177</v>
      </c>
      <c r="D88" s="94"/>
      <c r="E88" s="94"/>
      <c r="F88" s="4" t="s">
        <v>201</v>
      </c>
      <c r="G88" s="15">
        <v>19.8</v>
      </c>
      <c r="H88" s="15">
        <v>0</v>
      </c>
      <c r="I88" s="15">
        <f>G88*AO88</f>
        <v>0</v>
      </c>
      <c r="J88" s="15">
        <f>G88*AP88</f>
        <v>0</v>
      </c>
      <c r="K88" s="15">
        <f>G88*H88</f>
        <v>0</v>
      </c>
      <c r="L88" s="26" t="s">
        <v>224</v>
      </c>
      <c r="Z88" s="30">
        <f>IF(AQ88="5",BJ88,0)</f>
        <v>0</v>
      </c>
      <c r="AB88" s="30">
        <f>IF(AQ88="1",BH88,0)</f>
        <v>0</v>
      </c>
      <c r="AC88" s="30">
        <f>IF(AQ88="1",BI88,0)</f>
        <v>0</v>
      </c>
      <c r="AD88" s="30">
        <f>IF(AQ88="7",BH88,0)</f>
        <v>0</v>
      </c>
      <c r="AE88" s="30">
        <f>IF(AQ88="7",BI88,0)</f>
        <v>0</v>
      </c>
      <c r="AF88" s="30">
        <f>IF(AQ88="2",BH88,0)</f>
        <v>0</v>
      </c>
      <c r="AG88" s="30">
        <f>IF(AQ88="2",BI88,0)</f>
        <v>0</v>
      </c>
      <c r="AH88" s="30">
        <f>IF(AQ88="0",BJ88,0)</f>
        <v>0</v>
      </c>
      <c r="AI88" s="27"/>
      <c r="AJ88" s="15">
        <f>IF(AN88=0,K88,0)</f>
        <v>0</v>
      </c>
      <c r="AK88" s="15">
        <f>IF(AN88=15,K88,0)</f>
        <v>0</v>
      </c>
      <c r="AL88" s="15">
        <f>IF(AN88=21,K88,0)</f>
        <v>0</v>
      </c>
      <c r="AN88" s="30">
        <v>21</v>
      </c>
      <c r="AO88" s="30">
        <f>H88*0.0295853426998291</f>
        <v>0</v>
      </c>
      <c r="AP88" s="30">
        <f>H88*(1-0.0295853426998291)</f>
        <v>0</v>
      </c>
      <c r="AQ88" s="26" t="s">
        <v>7</v>
      </c>
      <c r="AV88" s="30">
        <f>AW88+AX88</f>
        <v>0</v>
      </c>
      <c r="AW88" s="30">
        <f>G88*AO88</f>
        <v>0</v>
      </c>
      <c r="AX88" s="30">
        <f>G88*AP88</f>
        <v>0</v>
      </c>
      <c r="AY88" s="31" t="s">
        <v>254</v>
      </c>
      <c r="AZ88" s="31" t="s">
        <v>269</v>
      </c>
      <c r="BA88" s="27" t="s">
        <v>270</v>
      </c>
      <c r="BC88" s="30">
        <f>AW88+AX88</f>
        <v>0</v>
      </c>
      <c r="BD88" s="30">
        <f>H88/(100-BE88)*100</f>
        <v>0</v>
      </c>
      <c r="BE88" s="30">
        <v>0</v>
      </c>
      <c r="BF88" s="30">
        <f>88</f>
        <v>88</v>
      </c>
      <c r="BH88" s="15">
        <f>G88*AO88</f>
        <v>0</v>
      </c>
      <c r="BI88" s="15">
        <f>G88*AP88</f>
        <v>0</v>
      </c>
      <c r="BJ88" s="15">
        <f>G88*H88</f>
        <v>0</v>
      </c>
    </row>
    <row r="89" spans="3:7" ht="12.75">
      <c r="C89" s="95" t="s">
        <v>178</v>
      </c>
      <c r="D89" s="96"/>
      <c r="E89" s="96"/>
      <c r="G89" s="16">
        <v>19.8</v>
      </c>
    </row>
    <row r="90" spans="1:62" ht="12.75">
      <c r="A90" s="4" t="s">
        <v>35</v>
      </c>
      <c r="B90" s="4" t="s">
        <v>89</v>
      </c>
      <c r="C90" s="93" t="s">
        <v>179</v>
      </c>
      <c r="D90" s="94"/>
      <c r="E90" s="94"/>
      <c r="F90" s="4" t="s">
        <v>200</v>
      </c>
      <c r="G90" s="15">
        <v>1.5525</v>
      </c>
      <c r="H90" s="15">
        <v>0</v>
      </c>
      <c r="I90" s="15">
        <f>G90*AO90</f>
        <v>0</v>
      </c>
      <c r="J90" s="15">
        <f>G90*AP90</f>
        <v>0</v>
      </c>
      <c r="K90" s="15">
        <f>G90*H90</f>
        <v>0</v>
      </c>
      <c r="L90" s="26" t="s">
        <v>224</v>
      </c>
      <c r="Z90" s="30">
        <f>IF(AQ90="5",BJ90,0)</f>
        <v>0</v>
      </c>
      <c r="AB90" s="30">
        <f>IF(AQ90="1",BH90,0)</f>
        <v>0</v>
      </c>
      <c r="AC90" s="30">
        <f>IF(AQ90="1",BI90,0)</f>
        <v>0</v>
      </c>
      <c r="AD90" s="30">
        <f>IF(AQ90="7",BH90,0)</f>
        <v>0</v>
      </c>
      <c r="AE90" s="30">
        <f>IF(AQ90="7",BI90,0)</f>
        <v>0</v>
      </c>
      <c r="AF90" s="30">
        <f>IF(AQ90="2",BH90,0)</f>
        <v>0</v>
      </c>
      <c r="AG90" s="30">
        <f>IF(AQ90="2",BI90,0)</f>
        <v>0</v>
      </c>
      <c r="AH90" s="30">
        <f>IF(AQ90="0",BJ90,0)</f>
        <v>0</v>
      </c>
      <c r="AI90" s="27"/>
      <c r="AJ90" s="15">
        <f>IF(AN90=0,K90,0)</f>
        <v>0</v>
      </c>
      <c r="AK90" s="15">
        <f>IF(AN90=15,K90,0)</f>
        <v>0</v>
      </c>
      <c r="AL90" s="15">
        <f>IF(AN90=21,K90,0)</f>
        <v>0</v>
      </c>
      <c r="AN90" s="30">
        <v>21</v>
      </c>
      <c r="AO90" s="30">
        <f>H90*0</f>
        <v>0</v>
      </c>
      <c r="AP90" s="30">
        <f>H90*(1-0)</f>
        <v>0</v>
      </c>
      <c r="AQ90" s="26" t="s">
        <v>7</v>
      </c>
      <c r="AV90" s="30">
        <f>AW90+AX90</f>
        <v>0</v>
      </c>
      <c r="AW90" s="30">
        <f>G90*AO90</f>
        <v>0</v>
      </c>
      <c r="AX90" s="30">
        <f>G90*AP90</f>
        <v>0</v>
      </c>
      <c r="AY90" s="31" t="s">
        <v>254</v>
      </c>
      <c r="AZ90" s="31" t="s">
        <v>269</v>
      </c>
      <c r="BA90" s="27" t="s">
        <v>270</v>
      </c>
      <c r="BC90" s="30">
        <f>AW90+AX90</f>
        <v>0</v>
      </c>
      <c r="BD90" s="30">
        <f>H90/(100-BE90)*100</f>
        <v>0</v>
      </c>
      <c r="BE90" s="30">
        <v>0</v>
      </c>
      <c r="BF90" s="30">
        <f>90</f>
        <v>90</v>
      </c>
      <c r="BH90" s="15">
        <f>G90*AO90</f>
        <v>0</v>
      </c>
      <c r="BI90" s="15">
        <f>G90*AP90</f>
        <v>0</v>
      </c>
      <c r="BJ90" s="15">
        <f>G90*H90</f>
        <v>0</v>
      </c>
    </row>
    <row r="91" spans="3:7" ht="12.75">
      <c r="C91" s="95" t="s">
        <v>180</v>
      </c>
      <c r="D91" s="96"/>
      <c r="E91" s="96"/>
      <c r="G91" s="16">
        <v>1.5525</v>
      </c>
    </row>
    <row r="92" spans="1:47" ht="12.75">
      <c r="A92" s="5"/>
      <c r="B92" s="12" t="s">
        <v>90</v>
      </c>
      <c r="C92" s="97" t="s">
        <v>181</v>
      </c>
      <c r="D92" s="98"/>
      <c r="E92" s="98"/>
      <c r="F92" s="5" t="s">
        <v>6</v>
      </c>
      <c r="G92" s="5" t="s">
        <v>6</v>
      </c>
      <c r="H92" s="5" t="s">
        <v>6</v>
      </c>
      <c r="I92" s="33">
        <f>SUM(I93:I95)</f>
        <v>0</v>
      </c>
      <c r="J92" s="33">
        <f>SUM(J93:J95)</f>
        <v>0</v>
      </c>
      <c r="K92" s="33">
        <f>SUM(K93:K95)</f>
        <v>0</v>
      </c>
      <c r="L92" s="27"/>
      <c r="AI92" s="27"/>
      <c r="AS92" s="33">
        <f>SUM(AJ93:AJ95)</f>
        <v>0</v>
      </c>
      <c r="AT92" s="33">
        <f>SUM(AK93:AK95)</f>
        <v>0</v>
      </c>
      <c r="AU92" s="33">
        <f>SUM(AL93:AL95)</f>
        <v>0</v>
      </c>
    </row>
    <row r="93" spans="1:62" ht="12.75">
      <c r="A93" s="4" t="s">
        <v>36</v>
      </c>
      <c r="B93" s="4" t="s">
        <v>91</v>
      </c>
      <c r="C93" s="93" t="s">
        <v>182</v>
      </c>
      <c r="D93" s="94"/>
      <c r="E93" s="94"/>
      <c r="F93" s="4" t="s">
        <v>202</v>
      </c>
      <c r="G93" s="15">
        <v>114.9</v>
      </c>
      <c r="H93" s="15">
        <v>0</v>
      </c>
      <c r="I93" s="15">
        <f>G93*AO93</f>
        <v>0</v>
      </c>
      <c r="J93" s="15">
        <f>G93*AP93</f>
        <v>0</v>
      </c>
      <c r="K93" s="15">
        <f>G93*H93</f>
        <v>0</v>
      </c>
      <c r="L93" s="26" t="s">
        <v>224</v>
      </c>
      <c r="Z93" s="30">
        <f>IF(AQ93="5",BJ93,0)</f>
        <v>0</v>
      </c>
      <c r="AB93" s="30">
        <f>IF(AQ93="1",BH93,0)</f>
        <v>0</v>
      </c>
      <c r="AC93" s="30">
        <f>IF(AQ93="1",BI93,0)</f>
        <v>0</v>
      </c>
      <c r="AD93" s="30">
        <f>IF(AQ93="7",BH93,0)</f>
        <v>0</v>
      </c>
      <c r="AE93" s="30">
        <f>IF(AQ93="7",BI93,0)</f>
        <v>0</v>
      </c>
      <c r="AF93" s="30">
        <f>IF(AQ93="2",BH93,0)</f>
        <v>0</v>
      </c>
      <c r="AG93" s="30">
        <f>IF(AQ93="2",BI93,0)</f>
        <v>0</v>
      </c>
      <c r="AH93" s="30">
        <f>IF(AQ93="0",BJ93,0)</f>
        <v>0</v>
      </c>
      <c r="AI93" s="27"/>
      <c r="AJ93" s="15">
        <f>IF(AN93=0,K93,0)</f>
        <v>0</v>
      </c>
      <c r="AK93" s="15">
        <f>IF(AN93=15,K93,0)</f>
        <v>0</v>
      </c>
      <c r="AL93" s="15">
        <f>IF(AN93=21,K93,0)</f>
        <v>0</v>
      </c>
      <c r="AN93" s="30">
        <v>21</v>
      </c>
      <c r="AO93" s="30">
        <f>H93*0</f>
        <v>0</v>
      </c>
      <c r="AP93" s="30">
        <f>H93*(1-0)</f>
        <v>0</v>
      </c>
      <c r="AQ93" s="26" t="s">
        <v>11</v>
      </c>
      <c r="AV93" s="30">
        <f>AW93+AX93</f>
        <v>0</v>
      </c>
      <c r="AW93" s="30">
        <f>G93*AO93</f>
        <v>0</v>
      </c>
      <c r="AX93" s="30">
        <f>G93*AP93</f>
        <v>0</v>
      </c>
      <c r="AY93" s="31" t="s">
        <v>255</v>
      </c>
      <c r="AZ93" s="31" t="s">
        <v>269</v>
      </c>
      <c r="BA93" s="27" t="s">
        <v>270</v>
      </c>
      <c r="BC93" s="30">
        <f>AW93+AX93</f>
        <v>0</v>
      </c>
      <c r="BD93" s="30">
        <f>H93/(100-BE93)*100</f>
        <v>0</v>
      </c>
      <c r="BE93" s="30">
        <v>0</v>
      </c>
      <c r="BF93" s="30">
        <f>93</f>
        <v>93</v>
      </c>
      <c r="BH93" s="15">
        <f>G93*AO93</f>
        <v>0</v>
      </c>
      <c r="BI93" s="15">
        <f>G93*AP93</f>
        <v>0</v>
      </c>
      <c r="BJ93" s="15">
        <f>G93*H93</f>
        <v>0</v>
      </c>
    </row>
    <row r="94" spans="3:7" ht="12.75">
      <c r="C94" s="95" t="s">
        <v>183</v>
      </c>
      <c r="D94" s="96"/>
      <c r="E94" s="96"/>
      <c r="G94" s="16">
        <v>114.9</v>
      </c>
    </row>
    <row r="95" spans="1:62" ht="12.75">
      <c r="A95" s="4" t="s">
        <v>37</v>
      </c>
      <c r="B95" s="4" t="s">
        <v>92</v>
      </c>
      <c r="C95" s="93" t="s">
        <v>184</v>
      </c>
      <c r="D95" s="94"/>
      <c r="E95" s="94"/>
      <c r="F95" s="4" t="s">
        <v>204</v>
      </c>
      <c r="G95" s="15">
        <v>1</v>
      </c>
      <c r="H95" s="15">
        <v>0</v>
      </c>
      <c r="I95" s="15">
        <f>G95*AO95</f>
        <v>0</v>
      </c>
      <c r="J95" s="15">
        <f>G95*AP95</f>
        <v>0</v>
      </c>
      <c r="K95" s="15">
        <f>G95*H95</f>
        <v>0</v>
      </c>
      <c r="L95" s="26"/>
      <c r="Z95" s="30">
        <f>IF(AQ95="5",BJ95,0)</f>
        <v>0</v>
      </c>
      <c r="AB95" s="30">
        <f>IF(AQ95="1",BH95,0)</f>
        <v>0</v>
      </c>
      <c r="AC95" s="30">
        <f>IF(AQ95="1",BI95,0)</f>
        <v>0</v>
      </c>
      <c r="AD95" s="30">
        <f>IF(AQ95="7",BH95,0)</f>
        <v>0</v>
      </c>
      <c r="AE95" s="30">
        <f>IF(AQ95="7",BI95,0)</f>
        <v>0</v>
      </c>
      <c r="AF95" s="30">
        <f>IF(AQ95="2",BH95,0)</f>
        <v>0</v>
      </c>
      <c r="AG95" s="30">
        <f>IF(AQ95="2",BI95,0)</f>
        <v>0</v>
      </c>
      <c r="AH95" s="30">
        <f>IF(AQ95="0",BJ95,0)</f>
        <v>0</v>
      </c>
      <c r="AI95" s="27"/>
      <c r="AJ95" s="15">
        <f>IF(AN95=0,K95,0)</f>
        <v>0</v>
      </c>
      <c r="AK95" s="15">
        <f>IF(AN95=15,K95,0)</f>
        <v>0</v>
      </c>
      <c r="AL95" s="15">
        <f>IF(AN95=21,K95,0)</f>
        <v>0</v>
      </c>
      <c r="AN95" s="30">
        <v>21</v>
      </c>
      <c r="AO95" s="30">
        <f>H95*0</f>
        <v>0</v>
      </c>
      <c r="AP95" s="30">
        <f>H95*(1-0)</f>
        <v>0</v>
      </c>
      <c r="AQ95" s="26" t="s">
        <v>7</v>
      </c>
      <c r="AV95" s="30">
        <f>AW95+AX95</f>
        <v>0</v>
      </c>
      <c r="AW95" s="30">
        <f>G95*AO95</f>
        <v>0</v>
      </c>
      <c r="AX95" s="30">
        <f>G95*AP95</f>
        <v>0</v>
      </c>
      <c r="AY95" s="31" t="s">
        <v>255</v>
      </c>
      <c r="AZ95" s="31" t="s">
        <v>269</v>
      </c>
      <c r="BA95" s="27" t="s">
        <v>270</v>
      </c>
      <c r="BC95" s="30">
        <f>AW95+AX95</f>
        <v>0</v>
      </c>
      <c r="BD95" s="30">
        <f>H95/(100-BE95)*100</f>
        <v>0</v>
      </c>
      <c r="BE95" s="30">
        <v>0</v>
      </c>
      <c r="BF95" s="30">
        <f>95</f>
        <v>95</v>
      </c>
      <c r="BH95" s="15">
        <f>G95*AO95</f>
        <v>0</v>
      </c>
      <c r="BI95" s="15">
        <f>G95*AP95</f>
        <v>0</v>
      </c>
      <c r="BJ95" s="15">
        <f>G95*H95</f>
        <v>0</v>
      </c>
    </row>
    <row r="96" spans="3:7" ht="12.75">
      <c r="C96" s="95" t="s">
        <v>149</v>
      </c>
      <c r="D96" s="96"/>
      <c r="E96" s="96"/>
      <c r="G96" s="16">
        <v>1</v>
      </c>
    </row>
    <row r="97" spans="1:47" ht="12.75">
      <c r="A97" s="5"/>
      <c r="B97" s="12" t="s">
        <v>93</v>
      </c>
      <c r="C97" s="97" t="s">
        <v>185</v>
      </c>
      <c r="D97" s="98"/>
      <c r="E97" s="98"/>
      <c r="F97" s="5" t="s">
        <v>6</v>
      </c>
      <c r="G97" s="5" t="s">
        <v>6</v>
      </c>
      <c r="H97" s="5" t="s">
        <v>6</v>
      </c>
      <c r="I97" s="33">
        <f>SUM(I98:I98)</f>
        <v>0</v>
      </c>
      <c r="J97" s="33">
        <f>SUM(J98:J98)</f>
        <v>0</v>
      </c>
      <c r="K97" s="33">
        <f>SUM(K98:K98)</f>
        <v>0</v>
      </c>
      <c r="L97" s="27"/>
      <c r="AI97" s="27"/>
      <c r="AS97" s="33">
        <f>SUM(AJ98:AJ98)</f>
        <v>0</v>
      </c>
      <c r="AT97" s="33">
        <f>SUM(AK98:AK98)</f>
        <v>0</v>
      </c>
      <c r="AU97" s="33">
        <f>SUM(AL98:AL98)</f>
        <v>0</v>
      </c>
    </row>
    <row r="98" spans="1:62" ht="12.75">
      <c r="A98" s="4" t="s">
        <v>38</v>
      </c>
      <c r="B98" s="4" t="s">
        <v>94</v>
      </c>
      <c r="C98" s="93" t="s">
        <v>186</v>
      </c>
      <c r="D98" s="94"/>
      <c r="E98" s="94"/>
      <c r="F98" s="4" t="s">
        <v>204</v>
      </c>
      <c r="G98" s="15">
        <v>1</v>
      </c>
      <c r="H98" s="15">
        <v>0</v>
      </c>
      <c r="I98" s="15">
        <f>G98*AO98</f>
        <v>0</v>
      </c>
      <c r="J98" s="15">
        <f>G98*AP98</f>
        <v>0</v>
      </c>
      <c r="K98" s="15">
        <f>G98*H98</f>
        <v>0</v>
      </c>
      <c r="L98" s="26"/>
      <c r="Z98" s="30">
        <f>IF(AQ98="5",BJ98,0)</f>
        <v>0</v>
      </c>
      <c r="AB98" s="30">
        <f>IF(AQ98="1",BH98,0)</f>
        <v>0</v>
      </c>
      <c r="AC98" s="30">
        <f>IF(AQ98="1",BI98,0)</f>
        <v>0</v>
      </c>
      <c r="AD98" s="30">
        <f>IF(AQ98="7",BH98,0)</f>
        <v>0</v>
      </c>
      <c r="AE98" s="30">
        <f>IF(AQ98="7",BI98,0)</f>
        <v>0</v>
      </c>
      <c r="AF98" s="30">
        <f>IF(AQ98="2",BH98,0)</f>
        <v>0</v>
      </c>
      <c r="AG98" s="30">
        <f>IF(AQ98="2",BI98,0)</f>
        <v>0</v>
      </c>
      <c r="AH98" s="30">
        <f>IF(AQ98="0",BJ98,0)</f>
        <v>0</v>
      </c>
      <c r="AI98" s="27"/>
      <c r="AJ98" s="15">
        <f>IF(AN98=0,K98,0)</f>
        <v>0</v>
      </c>
      <c r="AK98" s="15">
        <f>IF(AN98=15,K98,0)</f>
        <v>0</v>
      </c>
      <c r="AL98" s="15">
        <f>IF(AN98=21,K98,0)</f>
        <v>0</v>
      </c>
      <c r="AN98" s="30">
        <v>21</v>
      </c>
      <c r="AO98" s="30">
        <f>H98*0</f>
        <v>0</v>
      </c>
      <c r="AP98" s="30">
        <f>H98*(1-0)</f>
        <v>0</v>
      </c>
      <c r="AQ98" s="26" t="s">
        <v>8</v>
      </c>
      <c r="AV98" s="30">
        <f>AW98+AX98</f>
        <v>0</v>
      </c>
      <c r="AW98" s="30">
        <f>G98*AO98</f>
        <v>0</v>
      </c>
      <c r="AX98" s="30">
        <f>G98*AP98</f>
        <v>0</v>
      </c>
      <c r="AY98" s="31" t="s">
        <v>256</v>
      </c>
      <c r="AZ98" s="31" t="s">
        <v>269</v>
      </c>
      <c r="BA98" s="27" t="s">
        <v>270</v>
      </c>
      <c r="BC98" s="30">
        <f>AW98+AX98</f>
        <v>0</v>
      </c>
      <c r="BD98" s="30">
        <f>H98/(100-BE98)*100</f>
        <v>0</v>
      </c>
      <c r="BE98" s="30">
        <v>0</v>
      </c>
      <c r="BF98" s="30">
        <f>98</f>
        <v>98</v>
      </c>
      <c r="BH98" s="15">
        <f>G98*AO98</f>
        <v>0</v>
      </c>
      <c r="BI98" s="15">
        <f>G98*AP98</f>
        <v>0</v>
      </c>
      <c r="BJ98" s="15">
        <f>G98*H98</f>
        <v>0</v>
      </c>
    </row>
    <row r="99" spans="3:7" ht="12.75">
      <c r="C99" s="95" t="s">
        <v>149</v>
      </c>
      <c r="D99" s="96"/>
      <c r="E99" s="96"/>
      <c r="G99" s="16">
        <v>1</v>
      </c>
    </row>
    <row r="100" spans="1:47" ht="12.75">
      <c r="A100" s="5"/>
      <c r="B100" s="12" t="s">
        <v>95</v>
      </c>
      <c r="C100" s="97" t="s">
        <v>187</v>
      </c>
      <c r="D100" s="98"/>
      <c r="E100" s="98"/>
      <c r="F100" s="5" t="s">
        <v>6</v>
      </c>
      <c r="G100" s="5" t="s">
        <v>6</v>
      </c>
      <c r="H100" s="5" t="s">
        <v>6</v>
      </c>
      <c r="I100" s="33">
        <f>SUM(I101:I105)</f>
        <v>0</v>
      </c>
      <c r="J100" s="33">
        <f>SUM(J101:J105)</f>
        <v>0</v>
      </c>
      <c r="K100" s="33">
        <f>SUM(K101:K105)</f>
        <v>0</v>
      </c>
      <c r="L100" s="27"/>
      <c r="AI100" s="27"/>
      <c r="AS100" s="33">
        <f>SUM(AJ101:AJ105)</f>
        <v>0</v>
      </c>
      <c r="AT100" s="33">
        <f>SUM(AK101:AK105)</f>
        <v>0</v>
      </c>
      <c r="AU100" s="33">
        <f>SUM(AL101:AL105)</f>
        <v>0</v>
      </c>
    </row>
    <row r="101" spans="1:62" ht="12.75">
      <c r="A101" s="4" t="s">
        <v>39</v>
      </c>
      <c r="B101" s="4" t="s">
        <v>96</v>
      </c>
      <c r="C101" s="93" t="s">
        <v>188</v>
      </c>
      <c r="D101" s="94"/>
      <c r="E101" s="94"/>
      <c r="F101" s="4" t="s">
        <v>202</v>
      </c>
      <c r="G101" s="15">
        <v>14.621</v>
      </c>
      <c r="H101" s="15">
        <v>0</v>
      </c>
      <c r="I101" s="15">
        <f>G101*AO101</f>
        <v>0</v>
      </c>
      <c r="J101" s="15">
        <f>G101*AP101</f>
        <v>0</v>
      </c>
      <c r="K101" s="15">
        <f>G101*H101</f>
        <v>0</v>
      </c>
      <c r="L101" s="26" t="s">
        <v>224</v>
      </c>
      <c r="Z101" s="30">
        <f>IF(AQ101="5",BJ101,0)</f>
        <v>0</v>
      </c>
      <c r="AB101" s="30">
        <f>IF(AQ101="1",BH101,0)</f>
        <v>0</v>
      </c>
      <c r="AC101" s="30">
        <f>IF(AQ101="1",BI101,0)</f>
        <v>0</v>
      </c>
      <c r="AD101" s="30">
        <f>IF(AQ101="7",BH101,0)</f>
        <v>0</v>
      </c>
      <c r="AE101" s="30">
        <f>IF(AQ101="7",BI101,0)</f>
        <v>0</v>
      </c>
      <c r="AF101" s="30">
        <f>IF(AQ101="2",BH101,0)</f>
        <v>0</v>
      </c>
      <c r="AG101" s="30">
        <f>IF(AQ101="2",BI101,0)</f>
        <v>0</v>
      </c>
      <c r="AH101" s="30">
        <f>IF(AQ101="0",BJ101,0)</f>
        <v>0</v>
      </c>
      <c r="AI101" s="27"/>
      <c r="AJ101" s="15">
        <f>IF(AN101=0,K101,0)</f>
        <v>0</v>
      </c>
      <c r="AK101" s="15">
        <f>IF(AN101=15,K101,0)</f>
        <v>0</v>
      </c>
      <c r="AL101" s="15">
        <f>IF(AN101=21,K101,0)</f>
        <v>0</v>
      </c>
      <c r="AN101" s="30">
        <v>21</v>
      </c>
      <c r="AO101" s="30">
        <f>H101*0</f>
        <v>0</v>
      </c>
      <c r="AP101" s="30">
        <f>H101*(1-0)</f>
        <v>0</v>
      </c>
      <c r="AQ101" s="26" t="s">
        <v>11</v>
      </c>
      <c r="AV101" s="30">
        <f>AW101+AX101</f>
        <v>0</v>
      </c>
      <c r="AW101" s="30">
        <f>G101*AO101</f>
        <v>0</v>
      </c>
      <c r="AX101" s="30">
        <f>G101*AP101</f>
        <v>0</v>
      </c>
      <c r="AY101" s="31" t="s">
        <v>257</v>
      </c>
      <c r="AZ101" s="31" t="s">
        <v>269</v>
      </c>
      <c r="BA101" s="27" t="s">
        <v>270</v>
      </c>
      <c r="BC101" s="30">
        <f>AW101+AX101</f>
        <v>0</v>
      </c>
      <c r="BD101" s="30">
        <f>H101/(100-BE101)*100</f>
        <v>0</v>
      </c>
      <c r="BE101" s="30">
        <v>0</v>
      </c>
      <c r="BF101" s="30">
        <f>101</f>
        <v>101</v>
      </c>
      <c r="BH101" s="15">
        <f>G101*AO101</f>
        <v>0</v>
      </c>
      <c r="BI101" s="15">
        <f>G101*AP101</f>
        <v>0</v>
      </c>
      <c r="BJ101" s="15">
        <f>G101*H101</f>
        <v>0</v>
      </c>
    </row>
    <row r="102" spans="3:7" ht="12.75">
      <c r="C102" s="95" t="s">
        <v>189</v>
      </c>
      <c r="D102" s="96"/>
      <c r="E102" s="96"/>
      <c r="G102" s="16">
        <v>14.621</v>
      </c>
    </row>
    <row r="103" spans="1:62" ht="12.75">
      <c r="A103" s="4" t="s">
        <v>40</v>
      </c>
      <c r="B103" s="4" t="s">
        <v>97</v>
      </c>
      <c r="C103" s="93" t="s">
        <v>190</v>
      </c>
      <c r="D103" s="94"/>
      <c r="E103" s="94"/>
      <c r="F103" s="4" t="s">
        <v>202</v>
      </c>
      <c r="G103" s="15">
        <v>10.699</v>
      </c>
      <c r="H103" s="15">
        <v>0</v>
      </c>
      <c r="I103" s="15">
        <f>G103*AO103</f>
        <v>0</v>
      </c>
      <c r="J103" s="15">
        <f>G103*AP103</f>
        <v>0</v>
      </c>
      <c r="K103" s="15">
        <f>G103*H103</f>
        <v>0</v>
      </c>
      <c r="L103" s="26" t="s">
        <v>224</v>
      </c>
      <c r="Z103" s="30">
        <f>IF(AQ103="5",BJ103,0)</f>
        <v>0</v>
      </c>
      <c r="AB103" s="30">
        <f>IF(AQ103="1",BH103,0)</f>
        <v>0</v>
      </c>
      <c r="AC103" s="30">
        <f>IF(AQ103="1",BI103,0)</f>
        <v>0</v>
      </c>
      <c r="AD103" s="30">
        <f>IF(AQ103="7",BH103,0)</f>
        <v>0</v>
      </c>
      <c r="AE103" s="30">
        <f>IF(AQ103="7",BI103,0)</f>
        <v>0</v>
      </c>
      <c r="AF103" s="30">
        <f>IF(AQ103="2",BH103,0)</f>
        <v>0</v>
      </c>
      <c r="AG103" s="30">
        <f>IF(AQ103="2",BI103,0)</f>
        <v>0</v>
      </c>
      <c r="AH103" s="30">
        <f>IF(AQ103="0",BJ103,0)</f>
        <v>0</v>
      </c>
      <c r="AI103" s="27"/>
      <c r="AJ103" s="15">
        <f>IF(AN103=0,K103,0)</f>
        <v>0</v>
      </c>
      <c r="AK103" s="15">
        <f>IF(AN103=15,K103,0)</f>
        <v>0</v>
      </c>
      <c r="AL103" s="15">
        <f>IF(AN103=21,K103,0)</f>
        <v>0</v>
      </c>
      <c r="AN103" s="30">
        <v>21</v>
      </c>
      <c r="AO103" s="30">
        <f>H103*0</f>
        <v>0</v>
      </c>
      <c r="AP103" s="30">
        <f>H103*(1-0)</f>
        <v>0</v>
      </c>
      <c r="AQ103" s="26" t="s">
        <v>11</v>
      </c>
      <c r="AV103" s="30">
        <f>AW103+AX103</f>
        <v>0</v>
      </c>
      <c r="AW103" s="30">
        <f>G103*AO103</f>
        <v>0</v>
      </c>
      <c r="AX103" s="30">
        <f>G103*AP103</f>
        <v>0</v>
      </c>
      <c r="AY103" s="31" t="s">
        <v>257</v>
      </c>
      <c r="AZ103" s="31" t="s">
        <v>269</v>
      </c>
      <c r="BA103" s="27" t="s">
        <v>270</v>
      </c>
      <c r="BC103" s="30">
        <f>AW103+AX103</f>
        <v>0</v>
      </c>
      <c r="BD103" s="30">
        <f>H103/(100-BE103)*100</f>
        <v>0</v>
      </c>
      <c r="BE103" s="30">
        <v>0</v>
      </c>
      <c r="BF103" s="30">
        <f>103</f>
        <v>103</v>
      </c>
      <c r="BH103" s="15">
        <f>G103*AO103</f>
        <v>0</v>
      </c>
      <c r="BI103" s="15">
        <f>G103*AP103</f>
        <v>0</v>
      </c>
      <c r="BJ103" s="15">
        <f>G103*H103</f>
        <v>0</v>
      </c>
    </row>
    <row r="104" spans="3:7" ht="12.75">
      <c r="C104" s="95" t="s">
        <v>191</v>
      </c>
      <c r="D104" s="96"/>
      <c r="E104" s="96"/>
      <c r="G104" s="16">
        <v>10.699</v>
      </c>
    </row>
    <row r="105" spans="1:62" ht="12.75">
      <c r="A105" s="4" t="s">
        <v>41</v>
      </c>
      <c r="B105" s="4" t="s">
        <v>98</v>
      </c>
      <c r="C105" s="93" t="s">
        <v>192</v>
      </c>
      <c r="D105" s="94"/>
      <c r="E105" s="94"/>
      <c r="F105" s="4" t="s">
        <v>202</v>
      </c>
      <c r="G105" s="15">
        <v>3.41</v>
      </c>
      <c r="H105" s="15">
        <v>0</v>
      </c>
      <c r="I105" s="15">
        <f>G105*AO105</f>
        <v>0</v>
      </c>
      <c r="J105" s="15">
        <f>G105*AP105</f>
        <v>0</v>
      </c>
      <c r="K105" s="15">
        <f>G105*H105</f>
        <v>0</v>
      </c>
      <c r="L105" s="26" t="s">
        <v>224</v>
      </c>
      <c r="Z105" s="30">
        <f>IF(AQ105="5",BJ105,0)</f>
        <v>0</v>
      </c>
      <c r="AB105" s="30">
        <f>IF(AQ105="1",BH105,0)</f>
        <v>0</v>
      </c>
      <c r="AC105" s="30">
        <f>IF(AQ105="1",BI105,0)</f>
        <v>0</v>
      </c>
      <c r="AD105" s="30">
        <f>IF(AQ105="7",BH105,0)</f>
        <v>0</v>
      </c>
      <c r="AE105" s="30">
        <f>IF(AQ105="7",BI105,0)</f>
        <v>0</v>
      </c>
      <c r="AF105" s="30">
        <f>IF(AQ105="2",BH105,0)</f>
        <v>0</v>
      </c>
      <c r="AG105" s="30">
        <f>IF(AQ105="2",BI105,0)</f>
        <v>0</v>
      </c>
      <c r="AH105" s="30">
        <f>IF(AQ105="0",BJ105,0)</f>
        <v>0</v>
      </c>
      <c r="AI105" s="27"/>
      <c r="AJ105" s="15">
        <f>IF(AN105=0,K105,0)</f>
        <v>0</v>
      </c>
      <c r="AK105" s="15">
        <f>IF(AN105=15,K105,0)</f>
        <v>0</v>
      </c>
      <c r="AL105" s="15">
        <f>IF(AN105=21,K105,0)</f>
        <v>0</v>
      </c>
      <c r="AN105" s="30">
        <v>21</v>
      </c>
      <c r="AO105" s="30">
        <f>H105*0</f>
        <v>0</v>
      </c>
      <c r="AP105" s="30">
        <f>H105*(1-0)</f>
        <v>0</v>
      </c>
      <c r="AQ105" s="26" t="s">
        <v>11</v>
      </c>
      <c r="AV105" s="30">
        <f>AW105+AX105</f>
        <v>0</v>
      </c>
      <c r="AW105" s="30">
        <f>G105*AO105</f>
        <v>0</v>
      </c>
      <c r="AX105" s="30">
        <f>G105*AP105</f>
        <v>0</v>
      </c>
      <c r="AY105" s="31" t="s">
        <v>257</v>
      </c>
      <c r="AZ105" s="31" t="s">
        <v>269</v>
      </c>
      <c r="BA105" s="27" t="s">
        <v>270</v>
      </c>
      <c r="BC105" s="30">
        <f>AW105+AX105</f>
        <v>0</v>
      </c>
      <c r="BD105" s="30">
        <f>H105/(100-BE105)*100</f>
        <v>0</v>
      </c>
      <c r="BE105" s="30">
        <v>0</v>
      </c>
      <c r="BF105" s="30">
        <f>105</f>
        <v>105</v>
      </c>
      <c r="BH105" s="15">
        <f>G105*AO105</f>
        <v>0</v>
      </c>
      <c r="BI105" s="15">
        <f>G105*AP105</f>
        <v>0</v>
      </c>
      <c r="BJ105" s="15">
        <f>G105*H105</f>
        <v>0</v>
      </c>
    </row>
    <row r="106" spans="1:12" ht="12.75">
      <c r="A106" s="6"/>
      <c r="B106" s="6"/>
      <c r="C106" s="99" t="s">
        <v>193</v>
      </c>
      <c r="D106" s="100"/>
      <c r="E106" s="100"/>
      <c r="F106" s="6"/>
      <c r="G106" s="17">
        <v>3.41</v>
      </c>
      <c r="H106" s="6"/>
      <c r="I106" s="6"/>
      <c r="J106" s="6"/>
      <c r="K106" s="6"/>
      <c r="L106" s="6"/>
    </row>
    <row r="107" spans="1:12" ht="12.75">
      <c r="A107" s="7"/>
      <c r="B107" s="7"/>
      <c r="C107" s="7"/>
      <c r="D107" s="7"/>
      <c r="E107" s="7"/>
      <c r="F107" s="7"/>
      <c r="G107" s="7"/>
      <c r="H107" s="7"/>
      <c r="I107" s="101" t="s">
        <v>219</v>
      </c>
      <c r="J107" s="102"/>
      <c r="K107" s="34">
        <f>ROUND(K12+K17+K20+K23+K33+K36+K39+K42+K45+K50+K53+K56+K59+K62+K65+K68+K71+K74+K77+K80+K83+K92+K97+K100,0)</f>
        <v>0</v>
      </c>
      <c r="L107" s="7"/>
    </row>
    <row r="108" ht="11.25" customHeight="1">
      <c r="A108" s="8" t="s">
        <v>42</v>
      </c>
    </row>
    <row r="109" spans="1:12" ht="25.5" customHeight="1">
      <c r="A109" s="77" t="s">
        <v>43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</sheetData>
  <sheetProtection/>
  <mergeCells count="125">
    <mergeCell ref="C105:E105"/>
    <mergeCell ref="C106:E106"/>
    <mergeCell ref="I107:J107"/>
    <mergeCell ref="A109:L109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64" t="s">
        <v>274</v>
      </c>
      <c r="B1" s="65"/>
      <c r="C1" s="65"/>
      <c r="D1" s="65"/>
      <c r="E1" s="65"/>
      <c r="F1" s="65"/>
      <c r="G1" s="65"/>
    </row>
    <row r="2" spans="1:8" ht="12.75">
      <c r="A2" s="66" t="s">
        <v>1</v>
      </c>
      <c r="B2" s="70" t="str">
        <f>'Stavební rozpočet'!C2</f>
        <v>Jihlava OK Hydraulik,Polenská 5012/12</v>
      </c>
      <c r="C2" s="102"/>
      <c r="D2" s="73" t="s">
        <v>207</v>
      </c>
      <c r="E2" s="73" t="str">
        <f>'Stavební rozpočet'!I2</f>
        <v>OK Hydraulik s.r.o.,Polenská 5012/12,Jihlava</v>
      </c>
      <c r="F2" s="67"/>
      <c r="G2" s="74"/>
      <c r="H2" s="28"/>
    </row>
    <row r="3" spans="1:8" ht="12.75">
      <c r="A3" s="68"/>
      <c r="B3" s="71"/>
      <c r="C3" s="71"/>
      <c r="D3" s="69"/>
      <c r="E3" s="69"/>
      <c r="F3" s="69"/>
      <c r="G3" s="75"/>
      <c r="H3" s="28"/>
    </row>
    <row r="4" spans="1:8" ht="12.75">
      <c r="A4" s="76" t="s">
        <v>2</v>
      </c>
      <c r="B4" s="77" t="str">
        <f>'Stavební rozpočet'!C4</f>
        <v>SO-01 Úprava stáv.objektu haly na p.č.474/2</v>
      </c>
      <c r="C4" s="69"/>
      <c r="D4" s="77" t="s">
        <v>208</v>
      </c>
      <c r="E4" s="77" t="str">
        <f>'Stavební rozpočet'!I4</f>
        <v>Kaktus Projekce s.r.o.,Purkyňova 14,Jihlava</v>
      </c>
      <c r="F4" s="69"/>
      <c r="G4" s="75"/>
      <c r="H4" s="28"/>
    </row>
    <row r="5" spans="1:8" ht="12.75">
      <c r="A5" s="68"/>
      <c r="B5" s="69"/>
      <c r="C5" s="69"/>
      <c r="D5" s="69"/>
      <c r="E5" s="69"/>
      <c r="F5" s="69"/>
      <c r="G5" s="75"/>
      <c r="H5" s="28"/>
    </row>
    <row r="6" spans="1:8" ht="12.75">
      <c r="A6" s="76" t="s">
        <v>3</v>
      </c>
      <c r="B6" s="77" t="str">
        <f>'Stavební rozpočet'!C6</f>
        <v>k.ú.Jihlava</v>
      </c>
      <c r="C6" s="69"/>
      <c r="D6" s="77" t="s">
        <v>209</v>
      </c>
      <c r="E6" s="77" t="str">
        <f>'Stavební rozpočet'!I6</f>
        <v>Vzejde z výběr.řízení</v>
      </c>
      <c r="F6" s="69"/>
      <c r="G6" s="75"/>
      <c r="H6" s="28"/>
    </row>
    <row r="7" spans="1:8" ht="12.75">
      <c r="A7" s="68"/>
      <c r="B7" s="69"/>
      <c r="C7" s="69"/>
      <c r="D7" s="69"/>
      <c r="E7" s="69"/>
      <c r="F7" s="69"/>
      <c r="G7" s="75"/>
      <c r="H7" s="28"/>
    </row>
    <row r="8" spans="1:8" ht="12.75">
      <c r="A8" s="76" t="s">
        <v>210</v>
      </c>
      <c r="B8" s="77" t="str">
        <f>'Stavební rozpočet'!I8</f>
        <v>František Nykodým</v>
      </c>
      <c r="C8" s="69"/>
      <c r="D8" s="78" t="s">
        <v>197</v>
      </c>
      <c r="E8" s="77" t="str">
        <f>'Stavební rozpočet'!F8</f>
        <v>30.10.2018</v>
      </c>
      <c r="F8" s="69"/>
      <c r="G8" s="75"/>
      <c r="H8" s="28"/>
    </row>
    <row r="9" spans="1:8" ht="12.75">
      <c r="A9" s="79"/>
      <c r="B9" s="80"/>
      <c r="C9" s="80"/>
      <c r="D9" s="80"/>
      <c r="E9" s="80"/>
      <c r="F9" s="80"/>
      <c r="G9" s="81"/>
      <c r="H9" s="28"/>
    </row>
    <row r="10" spans="1:8" ht="12.75">
      <c r="A10" s="35" t="s">
        <v>275</v>
      </c>
      <c r="B10" s="37" t="s">
        <v>44</v>
      </c>
      <c r="C10" s="103" t="s">
        <v>102</v>
      </c>
      <c r="D10" s="104"/>
      <c r="E10" s="38" t="s">
        <v>276</v>
      </c>
      <c r="F10" s="38" t="s">
        <v>277</v>
      </c>
      <c r="G10" s="38" t="s">
        <v>278</v>
      </c>
      <c r="H10" s="28"/>
    </row>
    <row r="11" spans="1:9" ht="12.75">
      <c r="A11" s="36"/>
      <c r="B11" s="36" t="s">
        <v>19</v>
      </c>
      <c r="C11" s="105" t="s">
        <v>104</v>
      </c>
      <c r="D11" s="106"/>
      <c r="E11" s="40">
        <f>'Stavební rozpočet'!I12</f>
        <v>0</v>
      </c>
      <c r="F11" s="40">
        <f>'Stavební rozpočet'!J12</f>
        <v>0</v>
      </c>
      <c r="G11" s="40">
        <f>'Stavební rozpočet'!K12</f>
        <v>0</v>
      </c>
      <c r="H11" s="30" t="s">
        <v>279</v>
      </c>
      <c r="I11" s="30">
        <f aca="true" t="shared" si="0" ref="I11:I34">IF(H11="F",0,G11)</f>
        <v>0</v>
      </c>
    </row>
    <row r="12" spans="1:9" ht="12.75">
      <c r="A12" s="13"/>
      <c r="B12" s="13" t="s">
        <v>22</v>
      </c>
      <c r="C12" s="78" t="s">
        <v>109</v>
      </c>
      <c r="D12" s="69"/>
      <c r="E12" s="30">
        <f>'Stavební rozpočet'!I17</f>
        <v>0</v>
      </c>
      <c r="F12" s="30">
        <f>'Stavební rozpočet'!J17</f>
        <v>0</v>
      </c>
      <c r="G12" s="30">
        <f>'Stavební rozpočet'!K17</f>
        <v>0</v>
      </c>
      <c r="H12" s="30" t="s">
        <v>279</v>
      </c>
      <c r="I12" s="30">
        <f t="shared" si="0"/>
        <v>0</v>
      </c>
    </row>
    <row r="13" spans="1:9" ht="12.75">
      <c r="A13" s="13"/>
      <c r="B13" s="13" t="s">
        <v>25</v>
      </c>
      <c r="C13" s="78" t="s">
        <v>112</v>
      </c>
      <c r="D13" s="69"/>
      <c r="E13" s="30">
        <f>'Stavební rozpočet'!I20</f>
        <v>0</v>
      </c>
      <c r="F13" s="30">
        <f>'Stavební rozpočet'!J20</f>
        <v>0</v>
      </c>
      <c r="G13" s="30">
        <f>'Stavební rozpočet'!K20</f>
        <v>0</v>
      </c>
      <c r="H13" s="30" t="s">
        <v>279</v>
      </c>
      <c r="I13" s="30">
        <f t="shared" si="0"/>
        <v>0</v>
      </c>
    </row>
    <row r="14" spans="1:9" ht="12.75">
      <c r="A14" s="13"/>
      <c r="B14" s="13" t="s">
        <v>33</v>
      </c>
      <c r="C14" s="78" t="s">
        <v>114</v>
      </c>
      <c r="D14" s="69"/>
      <c r="E14" s="30">
        <f>'Stavební rozpočet'!I23</f>
        <v>0</v>
      </c>
      <c r="F14" s="30">
        <f>'Stavební rozpočet'!J23</f>
        <v>0</v>
      </c>
      <c r="G14" s="30">
        <f>'Stavební rozpočet'!K23</f>
        <v>0</v>
      </c>
      <c r="H14" s="30" t="s">
        <v>279</v>
      </c>
      <c r="I14" s="30">
        <f t="shared" si="0"/>
        <v>0</v>
      </c>
    </row>
    <row r="15" spans="1:9" ht="12.75">
      <c r="A15" s="13"/>
      <c r="B15" s="13" t="s">
        <v>40</v>
      </c>
      <c r="C15" s="78" t="s">
        <v>124</v>
      </c>
      <c r="D15" s="69"/>
      <c r="E15" s="30">
        <f>'Stavební rozpočet'!I33</f>
        <v>0</v>
      </c>
      <c r="F15" s="30">
        <f>'Stavební rozpočet'!J33</f>
        <v>0</v>
      </c>
      <c r="G15" s="30">
        <f>'Stavební rozpočet'!K33</f>
        <v>0</v>
      </c>
      <c r="H15" s="30" t="s">
        <v>279</v>
      </c>
      <c r="I15" s="30">
        <f t="shared" si="0"/>
        <v>0</v>
      </c>
    </row>
    <row r="16" spans="1:9" ht="12.75">
      <c r="A16" s="13"/>
      <c r="B16" s="13" t="s">
        <v>54</v>
      </c>
      <c r="C16" s="78" t="s">
        <v>127</v>
      </c>
      <c r="D16" s="69"/>
      <c r="E16" s="30">
        <f>'Stavební rozpočet'!I36</f>
        <v>0</v>
      </c>
      <c r="F16" s="30">
        <f>'Stavební rozpočet'!J36</f>
        <v>0</v>
      </c>
      <c r="G16" s="30">
        <f>'Stavební rozpočet'!K36</f>
        <v>0</v>
      </c>
      <c r="H16" s="30" t="s">
        <v>279</v>
      </c>
      <c r="I16" s="30">
        <f t="shared" si="0"/>
        <v>0</v>
      </c>
    </row>
    <row r="17" spans="1:9" ht="12.75">
      <c r="A17" s="13"/>
      <c r="B17" s="13" t="s">
        <v>56</v>
      </c>
      <c r="C17" s="78" t="s">
        <v>130</v>
      </c>
      <c r="D17" s="69"/>
      <c r="E17" s="30">
        <f>'Stavební rozpočet'!I39</f>
        <v>0</v>
      </c>
      <c r="F17" s="30">
        <f>'Stavební rozpočet'!J39</f>
        <v>0</v>
      </c>
      <c r="G17" s="30">
        <f>'Stavební rozpočet'!K39</f>
        <v>0</v>
      </c>
      <c r="H17" s="30" t="s">
        <v>279</v>
      </c>
      <c r="I17" s="30">
        <f t="shared" si="0"/>
        <v>0</v>
      </c>
    </row>
    <row r="18" spans="1:9" ht="12.75">
      <c r="A18" s="13"/>
      <c r="B18" s="13" t="s">
        <v>58</v>
      </c>
      <c r="C18" s="78" t="s">
        <v>133</v>
      </c>
      <c r="D18" s="69"/>
      <c r="E18" s="30">
        <f>'Stavební rozpočet'!I42</f>
        <v>0</v>
      </c>
      <c r="F18" s="30">
        <f>'Stavební rozpočet'!J42</f>
        <v>0</v>
      </c>
      <c r="G18" s="30">
        <f>'Stavební rozpočet'!K42</f>
        <v>0</v>
      </c>
      <c r="H18" s="30" t="s">
        <v>279</v>
      </c>
      <c r="I18" s="30">
        <f t="shared" si="0"/>
        <v>0</v>
      </c>
    </row>
    <row r="19" spans="1:9" ht="12.75">
      <c r="A19" s="13"/>
      <c r="B19" s="13" t="s">
        <v>60</v>
      </c>
      <c r="C19" s="78" t="s">
        <v>136</v>
      </c>
      <c r="D19" s="69"/>
      <c r="E19" s="30">
        <f>'Stavební rozpočet'!I45</f>
        <v>0</v>
      </c>
      <c r="F19" s="30">
        <f>'Stavební rozpočet'!J45</f>
        <v>0</v>
      </c>
      <c r="G19" s="30">
        <f>'Stavební rozpočet'!K45</f>
        <v>0</v>
      </c>
      <c r="H19" s="30" t="s">
        <v>279</v>
      </c>
      <c r="I19" s="30">
        <f t="shared" si="0"/>
        <v>0</v>
      </c>
    </row>
    <row r="20" spans="1:9" ht="12.75">
      <c r="A20" s="13"/>
      <c r="B20" s="13" t="s">
        <v>63</v>
      </c>
      <c r="C20" s="78" t="s">
        <v>141</v>
      </c>
      <c r="D20" s="69"/>
      <c r="E20" s="30">
        <f>'Stavební rozpočet'!I50</f>
        <v>0</v>
      </c>
      <c r="F20" s="30">
        <f>'Stavební rozpočet'!J50</f>
        <v>0</v>
      </c>
      <c r="G20" s="30">
        <f>'Stavební rozpočet'!K50</f>
        <v>0</v>
      </c>
      <c r="H20" s="30" t="s">
        <v>279</v>
      </c>
      <c r="I20" s="30">
        <f t="shared" si="0"/>
        <v>0</v>
      </c>
    </row>
    <row r="21" spans="1:9" ht="12.75">
      <c r="A21" s="13"/>
      <c r="B21" s="13" t="s">
        <v>65</v>
      </c>
      <c r="C21" s="78" t="s">
        <v>144</v>
      </c>
      <c r="D21" s="69"/>
      <c r="E21" s="30">
        <f>'Stavební rozpočet'!I53</f>
        <v>0</v>
      </c>
      <c r="F21" s="30">
        <f>'Stavební rozpočet'!J53</f>
        <v>0</v>
      </c>
      <c r="G21" s="30">
        <f>'Stavební rozpočet'!K53</f>
        <v>0</v>
      </c>
      <c r="H21" s="30" t="s">
        <v>279</v>
      </c>
      <c r="I21" s="30">
        <f t="shared" si="0"/>
        <v>0</v>
      </c>
    </row>
    <row r="22" spans="1:9" ht="12.75">
      <c r="A22" s="13"/>
      <c r="B22" s="13" t="s">
        <v>67</v>
      </c>
      <c r="C22" s="78" t="s">
        <v>147</v>
      </c>
      <c r="D22" s="69"/>
      <c r="E22" s="30">
        <f>'Stavební rozpočet'!I56</f>
        <v>0</v>
      </c>
      <c r="F22" s="30">
        <f>'Stavební rozpočet'!J56</f>
        <v>0</v>
      </c>
      <c r="G22" s="30">
        <f>'Stavební rozpočet'!K56</f>
        <v>0</v>
      </c>
      <c r="H22" s="30" t="s">
        <v>279</v>
      </c>
      <c r="I22" s="30">
        <f t="shared" si="0"/>
        <v>0</v>
      </c>
    </row>
    <row r="23" spans="1:9" ht="12.75">
      <c r="A23" s="13"/>
      <c r="B23" s="13" t="s">
        <v>69</v>
      </c>
      <c r="C23" s="78" t="s">
        <v>150</v>
      </c>
      <c r="D23" s="69"/>
      <c r="E23" s="30">
        <f>'Stavební rozpočet'!I59</f>
        <v>0</v>
      </c>
      <c r="F23" s="30">
        <f>'Stavební rozpočet'!J59</f>
        <v>0</v>
      </c>
      <c r="G23" s="30">
        <f>'Stavební rozpočet'!K59</f>
        <v>0</v>
      </c>
      <c r="H23" s="30" t="s">
        <v>279</v>
      </c>
      <c r="I23" s="30">
        <f t="shared" si="0"/>
        <v>0</v>
      </c>
    </row>
    <row r="24" spans="1:9" ht="12.75">
      <c r="A24" s="13"/>
      <c r="B24" s="13" t="s">
        <v>71</v>
      </c>
      <c r="C24" s="78" t="s">
        <v>152</v>
      </c>
      <c r="D24" s="69"/>
      <c r="E24" s="30">
        <f>'Stavební rozpočet'!I62</f>
        <v>0</v>
      </c>
      <c r="F24" s="30">
        <f>'Stavební rozpočet'!J62</f>
        <v>0</v>
      </c>
      <c r="G24" s="30">
        <f>'Stavební rozpočet'!K62</f>
        <v>0</v>
      </c>
      <c r="H24" s="30" t="s">
        <v>279</v>
      </c>
      <c r="I24" s="30">
        <f t="shared" si="0"/>
        <v>0</v>
      </c>
    </row>
    <row r="25" spans="1:9" ht="12.75">
      <c r="A25" s="13"/>
      <c r="B25" s="13" t="s">
        <v>73</v>
      </c>
      <c r="C25" s="78" t="s">
        <v>155</v>
      </c>
      <c r="D25" s="69"/>
      <c r="E25" s="30">
        <f>'Stavební rozpočet'!I65</f>
        <v>0</v>
      </c>
      <c r="F25" s="30">
        <f>'Stavební rozpočet'!J65</f>
        <v>0</v>
      </c>
      <c r="G25" s="30">
        <f>'Stavební rozpočet'!K65</f>
        <v>0</v>
      </c>
      <c r="H25" s="30" t="s">
        <v>279</v>
      </c>
      <c r="I25" s="30">
        <f t="shared" si="0"/>
        <v>0</v>
      </c>
    </row>
    <row r="26" spans="1:9" ht="12.75">
      <c r="A26" s="13"/>
      <c r="B26" s="13" t="s">
        <v>75</v>
      </c>
      <c r="C26" s="78" t="s">
        <v>158</v>
      </c>
      <c r="D26" s="69"/>
      <c r="E26" s="30">
        <f>'Stavební rozpočet'!I68</f>
        <v>0</v>
      </c>
      <c r="F26" s="30">
        <f>'Stavební rozpočet'!J68</f>
        <v>0</v>
      </c>
      <c r="G26" s="30">
        <f>'Stavební rozpočet'!K68</f>
        <v>0</v>
      </c>
      <c r="H26" s="30" t="s">
        <v>279</v>
      </c>
      <c r="I26" s="30">
        <f t="shared" si="0"/>
        <v>0</v>
      </c>
    </row>
    <row r="27" spans="1:9" ht="12.75">
      <c r="A27" s="13"/>
      <c r="B27" s="13" t="s">
        <v>77</v>
      </c>
      <c r="C27" s="78" t="s">
        <v>161</v>
      </c>
      <c r="D27" s="69"/>
      <c r="E27" s="30">
        <f>'Stavební rozpočet'!I71</f>
        <v>0</v>
      </c>
      <c r="F27" s="30">
        <f>'Stavební rozpočet'!J71</f>
        <v>0</v>
      </c>
      <c r="G27" s="30">
        <f>'Stavební rozpočet'!K71</f>
        <v>0</v>
      </c>
      <c r="H27" s="30" t="s">
        <v>279</v>
      </c>
      <c r="I27" s="30">
        <f t="shared" si="0"/>
        <v>0</v>
      </c>
    </row>
    <row r="28" spans="1:9" ht="12.75">
      <c r="A28" s="13"/>
      <c r="B28" s="13" t="s">
        <v>79</v>
      </c>
      <c r="C28" s="78" t="s">
        <v>164</v>
      </c>
      <c r="D28" s="69"/>
      <c r="E28" s="30">
        <f>'Stavební rozpočet'!I74</f>
        <v>0</v>
      </c>
      <c r="F28" s="30">
        <f>'Stavební rozpočet'!J74</f>
        <v>0</v>
      </c>
      <c r="G28" s="30">
        <f>'Stavební rozpočet'!K74</f>
        <v>0</v>
      </c>
      <c r="H28" s="30" t="s">
        <v>279</v>
      </c>
      <c r="I28" s="30">
        <f t="shared" si="0"/>
        <v>0</v>
      </c>
    </row>
    <row r="29" spans="1:9" ht="12.75">
      <c r="A29" s="13"/>
      <c r="B29" s="13" t="s">
        <v>81</v>
      </c>
      <c r="C29" s="78" t="s">
        <v>167</v>
      </c>
      <c r="D29" s="69"/>
      <c r="E29" s="30">
        <f>'Stavební rozpočet'!I77</f>
        <v>0</v>
      </c>
      <c r="F29" s="30">
        <f>'Stavební rozpočet'!J77</f>
        <v>0</v>
      </c>
      <c r="G29" s="30">
        <f>'Stavební rozpočet'!K77</f>
        <v>0</v>
      </c>
      <c r="H29" s="30" t="s">
        <v>279</v>
      </c>
      <c r="I29" s="30">
        <f t="shared" si="0"/>
        <v>0</v>
      </c>
    </row>
    <row r="30" spans="1:9" ht="12.75">
      <c r="A30" s="13"/>
      <c r="B30" s="13" t="s">
        <v>83</v>
      </c>
      <c r="C30" s="78" t="s">
        <v>170</v>
      </c>
      <c r="D30" s="69"/>
      <c r="E30" s="30">
        <f>'Stavební rozpočet'!I80</f>
        <v>0</v>
      </c>
      <c r="F30" s="30">
        <f>'Stavební rozpočet'!J80</f>
        <v>0</v>
      </c>
      <c r="G30" s="30">
        <f>'Stavební rozpočet'!K80</f>
        <v>0</v>
      </c>
      <c r="H30" s="30" t="s">
        <v>279</v>
      </c>
      <c r="I30" s="30">
        <f t="shared" si="0"/>
        <v>0</v>
      </c>
    </row>
    <row r="31" spans="1:9" ht="12.75">
      <c r="A31" s="13"/>
      <c r="B31" s="13" t="s">
        <v>85</v>
      </c>
      <c r="C31" s="78" t="s">
        <v>173</v>
      </c>
      <c r="D31" s="69"/>
      <c r="E31" s="30">
        <f>'Stavební rozpočet'!I83</f>
        <v>0</v>
      </c>
      <c r="F31" s="30">
        <f>'Stavební rozpočet'!J83</f>
        <v>0</v>
      </c>
      <c r="G31" s="30">
        <f>'Stavební rozpočet'!K83</f>
        <v>0</v>
      </c>
      <c r="H31" s="30" t="s">
        <v>279</v>
      </c>
      <c r="I31" s="30">
        <f t="shared" si="0"/>
        <v>0</v>
      </c>
    </row>
    <row r="32" spans="1:9" ht="12.75">
      <c r="A32" s="13"/>
      <c r="B32" s="13" t="s">
        <v>90</v>
      </c>
      <c r="C32" s="78" t="s">
        <v>181</v>
      </c>
      <c r="D32" s="69"/>
      <c r="E32" s="30">
        <f>'Stavební rozpočet'!I92</f>
        <v>0</v>
      </c>
      <c r="F32" s="30">
        <f>'Stavební rozpočet'!J92</f>
        <v>0</v>
      </c>
      <c r="G32" s="30">
        <f>'Stavební rozpočet'!K92</f>
        <v>0</v>
      </c>
      <c r="H32" s="30" t="s">
        <v>279</v>
      </c>
      <c r="I32" s="30">
        <f t="shared" si="0"/>
        <v>0</v>
      </c>
    </row>
    <row r="33" spans="1:9" ht="12.75">
      <c r="A33" s="13"/>
      <c r="B33" s="13" t="s">
        <v>93</v>
      </c>
      <c r="C33" s="78" t="s">
        <v>185</v>
      </c>
      <c r="D33" s="69"/>
      <c r="E33" s="30">
        <f>'Stavební rozpočet'!I97</f>
        <v>0</v>
      </c>
      <c r="F33" s="30">
        <f>'Stavební rozpočet'!J97</f>
        <v>0</v>
      </c>
      <c r="G33" s="30">
        <f>'Stavební rozpočet'!K97</f>
        <v>0</v>
      </c>
      <c r="H33" s="30" t="s">
        <v>279</v>
      </c>
      <c r="I33" s="30">
        <f t="shared" si="0"/>
        <v>0</v>
      </c>
    </row>
    <row r="34" spans="1:9" ht="12.75">
      <c r="A34" s="13"/>
      <c r="B34" s="13" t="s">
        <v>95</v>
      </c>
      <c r="C34" s="78" t="s">
        <v>187</v>
      </c>
      <c r="D34" s="69"/>
      <c r="E34" s="30">
        <f>'Stavební rozpočet'!I100</f>
        <v>0</v>
      </c>
      <c r="F34" s="30">
        <f>'Stavební rozpočet'!J100</f>
        <v>0</v>
      </c>
      <c r="G34" s="30">
        <f>'Stavební rozpočet'!K100</f>
        <v>0</v>
      </c>
      <c r="H34" s="30" t="s">
        <v>279</v>
      </c>
      <c r="I34" s="30">
        <f t="shared" si="0"/>
        <v>0</v>
      </c>
    </row>
    <row r="36" spans="6:7" ht="12.75">
      <c r="F36" s="39" t="s">
        <v>219</v>
      </c>
      <c r="G36" s="41">
        <f>ROUND(SUM(I11:I34),0)</f>
        <v>0</v>
      </c>
    </row>
  </sheetData>
  <sheetProtection/>
  <mergeCells count="42">
    <mergeCell ref="C34:D34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4.00390625" style="0" customWidth="1"/>
    <col min="5" max="5" width="14.5742187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64" t="s">
        <v>280</v>
      </c>
      <c r="B1" s="65"/>
      <c r="C1" s="65"/>
      <c r="D1" s="65"/>
      <c r="E1" s="65"/>
      <c r="F1" s="65"/>
      <c r="G1" s="65"/>
      <c r="H1" s="65"/>
    </row>
    <row r="2" spans="1:9" ht="12.75">
      <c r="A2" s="66" t="s">
        <v>1</v>
      </c>
      <c r="B2" s="67"/>
      <c r="C2" s="70" t="str">
        <f>'Stavební rozpočet'!C2</f>
        <v>Jihlava OK Hydraulik,Polenská 5012/12</v>
      </c>
      <c r="D2" s="102"/>
      <c r="E2" s="73" t="s">
        <v>207</v>
      </c>
      <c r="F2" s="73" t="str">
        <f>'Stavební rozpočet'!I2</f>
        <v>OK Hydraulik s.r.o.,Polenská 5012/12,Jihlava</v>
      </c>
      <c r="G2" s="67"/>
      <c r="H2" s="74"/>
      <c r="I2" s="28"/>
    </row>
    <row r="3" spans="1:9" ht="12.75">
      <c r="A3" s="68"/>
      <c r="B3" s="69"/>
      <c r="C3" s="71"/>
      <c r="D3" s="71"/>
      <c r="E3" s="69"/>
      <c r="F3" s="69"/>
      <c r="G3" s="69"/>
      <c r="H3" s="75"/>
      <c r="I3" s="28"/>
    </row>
    <row r="4" spans="1:9" ht="12.75">
      <c r="A4" s="76" t="s">
        <v>2</v>
      </c>
      <c r="B4" s="69"/>
      <c r="C4" s="77" t="str">
        <f>'Stavební rozpočet'!C4</f>
        <v>SO-01 Úprava stáv.objektu haly na p.č.474/2</v>
      </c>
      <c r="D4" s="69"/>
      <c r="E4" s="77" t="s">
        <v>208</v>
      </c>
      <c r="F4" s="77" t="str">
        <f>'Stavební rozpočet'!I4</f>
        <v>Kaktus Projekce s.r.o.,Purkyňova 14,Jihlava</v>
      </c>
      <c r="G4" s="69"/>
      <c r="H4" s="75"/>
      <c r="I4" s="28"/>
    </row>
    <row r="5" spans="1:9" ht="12.75">
      <c r="A5" s="68"/>
      <c r="B5" s="69"/>
      <c r="C5" s="69"/>
      <c r="D5" s="69"/>
      <c r="E5" s="69"/>
      <c r="F5" s="69"/>
      <c r="G5" s="69"/>
      <c r="H5" s="75"/>
      <c r="I5" s="28"/>
    </row>
    <row r="6" spans="1:9" ht="12.75">
      <c r="A6" s="76" t="s">
        <v>3</v>
      </c>
      <c r="B6" s="69"/>
      <c r="C6" s="77" t="str">
        <f>'Stavební rozpočet'!C6</f>
        <v>k.ú.Jihlava</v>
      </c>
      <c r="D6" s="69"/>
      <c r="E6" s="77" t="s">
        <v>209</v>
      </c>
      <c r="F6" s="77" t="str">
        <f>'Stavební rozpočet'!I6</f>
        <v>Vzejde z výběr.řízení</v>
      </c>
      <c r="G6" s="69"/>
      <c r="H6" s="75"/>
      <c r="I6" s="28"/>
    </row>
    <row r="7" spans="1:9" ht="12.75">
      <c r="A7" s="68"/>
      <c r="B7" s="69"/>
      <c r="C7" s="69"/>
      <c r="D7" s="69"/>
      <c r="E7" s="69"/>
      <c r="F7" s="69"/>
      <c r="G7" s="69"/>
      <c r="H7" s="75"/>
      <c r="I7" s="28"/>
    </row>
    <row r="8" spans="1:9" ht="12.75">
      <c r="A8" s="76" t="s">
        <v>210</v>
      </c>
      <c r="B8" s="69"/>
      <c r="C8" s="77" t="str">
        <f>'Stavební rozpočet'!I8</f>
        <v>František Nykodým</v>
      </c>
      <c r="D8" s="69"/>
      <c r="E8" s="77" t="s">
        <v>197</v>
      </c>
      <c r="F8" s="77" t="str">
        <f>'Stavební rozpočet'!F8</f>
        <v>30.10.2018</v>
      </c>
      <c r="G8" s="69"/>
      <c r="H8" s="75"/>
      <c r="I8" s="28"/>
    </row>
    <row r="9" spans="1:9" ht="12.75">
      <c r="A9" s="79"/>
      <c r="B9" s="80"/>
      <c r="C9" s="80"/>
      <c r="D9" s="80"/>
      <c r="E9" s="80"/>
      <c r="F9" s="80"/>
      <c r="G9" s="80"/>
      <c r="H9" s="81"/>
      <c r="I9" s="28"/>
    </row>
    <row r="10" spans="1:9" ht="12.75">
      <c r="A10" s="37" t="s">
        <v>5</v>
      </c>
      <c r="B10" s="43" t="s">
        <v>275</v>
      </c>
      <c r="C10" s="43" t="s">
        <v>44</v>
      </c>
      <c r="D10" s="103" t="s">
        <v>102</v>
      </c>
      <c r="E10" s="104"/>
      <c r="F10" s="43" t="s">
        <v>199</v>
      </c>
      <c r="G10" s="44" t="s">
        <v>206</v>
      </c>
      <c r="H10" s="35" t="s">
        <v>281</v>
      </c>
      <c r="I10" s="29"/>
    </row>
    <row r="11" spans="1:8" ht="12.75">
      <c r="A11" s="42" t="s">
        <v>7</v>
      </c>
      <c r="B11" s="42"/>
      <c r="C11" s="42" t="s">
        <v>45</v>
      </c>
      <c r="D11" s="107" t="s">
        <v>105</v>
      </c>
      <c r="E11" s="108"/>
      <c r="F11" s="42" t="s">
        <v>200</v>
      </c>
      <c r="G11" s="45">
        <v>35.25</v>
      </c>
      <c r="H11" s="45">
        <v>0</v>
      </c>
    </row>
    <row r="12" spans="4:7" ht="12" customHeight="1">
      <c r="D12" s="109" t="s">
        <v>106</v>
      </c>
      <c r="E12" s="110"/>
      <c r="F12" s="110"/>
      <c r="G12" s="46">
        <v>35.25</v>
      </c>
    </row>
    <row r="13" spans="1:8" ht="12.75">
      <c r="A13" s="4" t="s">
        <v>8</v>
      </c>
      <c r="B13" s="4"/>
      <c r="C13" s="4" t="s">
        <v>46</v>
      </c>
      <c r="D13" s="93" t="s">
        <v>107</v>
      </c>
      <c r="E13" s="94"/>
      <c r="F13" s="4" t="s">
        <v>200</v>
      </c>
      <c r="G13" s="15">
        <v>17.625</v>
      </c>
      <c r="H13" s="15">
        <v>0</v>
      </c>
    </row>
    <row r="14" spans="4:7" ht="12" customHeight="1">
      <c r="D14" s="109" t="s">
        <v>108</v>
      </c>
      <c r="E14" s="110"/>
      <c r="F14" s="110"/>
      <c r="G14" s="46">
        <v>17.625</v>
      </c>
    </row>
    <row r="15" spans="1:8" ht="12.75">
      <c r="A15" s="4" t="s">
        <v>9</v>
      </c>
      <c r="B15" s="4"/>
      <c r="C15" s="4" t="s">
        <v>47</v>
      </c>
      <c r="D15" s="93" t="s">
        <v>110</v>
      </c>
      <c r="E15" s="94"/>
      <c r="F15" s="4" t="s">
        <v>200</v>
      </c>
      <c r="G15" s="15">
        <v>17.62</v>
      </c>
      <c r="H15" s="15">
        <v>0</v>
      </c>
    </row>
    <row r="16" spans="4:7" ht="12" customHeight="1">
      <c r="D16" s="109" t="s">
        <v>111</v>
      </c>
      <c r="E16" s="110"/>
      <c r="F16" s="110"/>
      <c r="G16" s="46">
        <v>17.62</v>
      </c>
    </row>
    <row r="17" spans="1:8" ht="12.75">
      <c r="A17" s="4" t="s">
        <v>10</v>
      </c>
      <c r="B17" s="4"/>
      <c r="C17" s="4" t="s">
        <v>48</v>
      </c>
      <c r="D17" s="93" t="s">
        <v>113</v>
      </c>
      <c r="E17" s="94"/>
      <c r="F17" s="4" t="s">
        <v>200</v>
      </c>
      <c r="G17" s="15">
        <v>17.62</v>
      </c>
      <c r="H17" s="15">
        <v>0</v>
      </c>
    </row>
    <row r="18" spans="4:7" ht="12" customHeight="1">
      <c r="D18" s="109" t="s">
        <v>111</v>
      </c>
      <c r="E18" s="110"/>
      <c r="F18" s="110"/>
      <c r="G18" s="46">
        <v>17.62</v>
      </c>
    </row>
    <row r="19" spans="1:8" ht="12.75">
      <c r="A19" s="4" t="s">
        <v>11</v>
      </c>
      <c r="B19" s="4"/>
      <c r="C19" s="4" t="s">
        <v>49</v>
      </c>
      <c r="D19" s="93" t="s">
        <v>115</v>
      </c>
      <c r="E19" s="94"/>
      <c r="F19" s="4" t="s">
        <v>201</v>
      </c>
      <c r="G19" s="15">
        <v>6.18</v>
      </c>
      <c r="H19" s="15">
        <v>0</v>
      </c>
    </row>
    <row r="20" spans="4:7" ht="12" customHeight="1">
      <c r="D20" s="109" t="s">
        <v>116</v>
      </c>
      <c r="E20" s="110"/>
      <c r="F20" s="110"/>
      <c r="G20" s="46">
        <v>6.18</v>
      </c>
    </row>
    <row r="21" spans="1:8" ht="12.75">
      <c r="A21" s="4" t="s">
        <v>12</v>
      </c>
      <c r="B21" s="4"/>
      <c r="C21" s="4" t="s">
        <v>50</v>
      </c>
      <c r="D21" s="93" t="s">
        <v>117</v>
      </c>
      <c r="E21" s="94"/>
      <c r="F21" s="4" t="s">
        <v>200</v>
      </c>
      <c r="G21" s="15">
        <v>28.7664</v>
      </c>
      <c r="H21" s="15">
        <v>0</v>
      </c>
    </row>
    <row r="22" spans="4:7" ht="12" customHeight="1">
      <c r="D22" s="109" t="s">
        <v>118</v>
      </c>
      <c r="E22" s="110"/>
      <c r="F22" s="110"/>
      <c r="G22" s="46">
        <v>24</v>
      </c>
    </row>
    <row r="23" spans="1:8" ht="12" customHeight="1">
      <c r="A23" s="4"/>
      <c r="B23" s="4"/>
      <c r="C23" s="4"/>
      <c r="D23" s="109" t="s">
        <v>119</v>
      </c>
      <c r="E23" s="110"/>
      <c r="F23" s="109"/>
      <c r="G23" s="46">
        <v>4.7664</v>
      </c>
      <c r="H23" s="26"/>
    </row>
    <row r="24" spans="1:8" ht="12.75">
      <c r="A24" s="4" t="s">
        <v>13</v>
      </c>
      <c r="B24" s="4"/>
      <c r="C24" s="4" t="s">
        <v>51</v>
      </c>
      <c r="D24" s="93" t="s">
        <v>120</v>
      </c>
      <c r="E24" s="94"/>
      <c r="F24" s="4" t="s">
        <v>201</v>
      </c>
      <c r="G24" s="15">
        <v>48.4</v>
      </c>
      <c r="H24" s="15">
        <v>0</v>
      </c>
    </row>
    <row r="25" spans="4:7" ht="12" customHeight="1">
      <c r="D25" s="109" t="s">
        <v>121</v>
      </c>
      <c r="E25" s="110"/>
      <c r="F25" s="110"/>
      <c r="G25" s="46">
        <v>48.4</v>
      </c>
    </row>
    <row r="26" spans="1:8" ht="12.75">
      <c r="A26" s="4" t="s">
        <v>14</v>
      </c>
      <c r="B26" s="4"/>
      <c r="C26" s="4" t="s">
        <v>52</v>
      </c>
      <c r="D26" s="93" t="s">
        <v>122</v>
      </c>
      <c r="E26" s="94"/>
      <c r="F26" s="4" t="s">
        <v>201</v>
      </c>
      <c r="G26" s="15">
        <v>48.4</v>
      </c>
      <c r="H26" s="15">
        <v>0</v>
      </c>
    </row>
    <row r="27" spans="4:7" ht="12" customHeight="1">
      <c r="D27" s="109" t="s">
        <v>123</v>
      </c>
      <c r="E27" s="110"/>
      <c r="F27" s="110"/>
      <c r="G27" s="46">
        <v>48.4</v>
      </c>
    </row>
    <row r="28" spans="1:8" ht="12.75">
      <c r="A28" s="4" t="s">
        <v>15</v>
      </c>
      <c r="B28" s="4"/>
      <c r="C28" s="4" t="s">
        <v>53</v>
      </c>
      <c r="D28" s="93" t="s">
        <v>125</v>
      </c>
      <c r="E28" s="94"/>
      <c r="F28" s="4" t="s">
        <v>201</v>
      </c>
      <c r="G28" s="15">
        <v>55</v>
      </c>
      <c r="H28" s="15">
        <v>0</v>
      </c>
    </row>
    <row r="29" spans="4:7" ht="12" customHeight="1">
      <c r="D29" s="109" t="s">
        <v>126</v>
      </c>
      <c r="E29" s="110"/>
      <c r="F29" s="110"/>
      <c r="G29" s="46">
        <v>55</v>
      </c>
    </row>
    <row r="30" spans="1:8" ht="12.75">
      <c r="A30" s="4" t="s">
        <v>16</v>
      </c>
      <c r="B30" s="4"/>
      <c r="C30" s="4" t="s">
        <v>59</v>
      </c>
      <c r="D30" s="93" t="s">
        <v>134</v>
      </c>
      <c r="E30" s="94"/>
      <c r="F30" s="4" t="s">
        <v>201</v>
      </c>
      <c r="G30" s="15">
        <v>179.1</v>
      </c>
      <c r="H30" s="15">
        <v>0</v>
      </c>
    </row>
    <row r="31" spans="4:7" ht="12" customHeight="1">
      <c r="D31" s="109" t="s">
        <v>135</v>
      </c>
      <c r="E31" s="110"/>
      <c r="F31" s="110"/>
      <c r="G31" s="46">
        <v>179.1</v>
      </c>
    </row>
    <row r="32" spans="1:8" ht="12.75">
      <c r="A32" s="4" t="s">
        <v>17</v>
      </c>
      <c r="B32" s="4"/>
      <c r="C32" s="4" t="s">
        <v>61</v>
      </c>
      <c r="D32" s="93" t="s">
        <v>137</v>
      </c>
      <c r="E32" s="94"/>
      <c r="F32" s="4" t="s">
        <v>200</v>
      </c>
      <c r="G32" s="15">
        <v>5.5</v>
      </c>
      <c r="H32" s="15">
        <v>0</v>
      </c>
    </row>
    <row r="33" spans="4:7" ht="12" customHeight="1">
      <c r="D33" s="109" t="s">
        <v>138</v>
      </c>
      <c r="E33" s="110"/>
      <c r="F33" s="110"/>
      <c r="G33" s="46">
        <v>5.5</v>
      </c>
    </row>
    <row r="34" spans="1:8" ht="12.75">
      <c r="A34" s="4" t="s">
        <v>18</v>
      </c>
      <c r="B34" s="4"/>
      <c r="C34" s="4" t="s">
        <v>62</v>
      </c>
      <c r="D34" s="93" t="s">
        <v>139</v>
      </c>
      <c r="E34" s="94"/>
      <c r="F34" s="4" t="s">
        <v>202</v>
      </c>
      <c r="G34" s="15">
        <v>0.2079</v>
      </c>
      <c r="H34" s="15">
        <v>0</v>
      </c>
    </row>
    <row r="35" spans="4:7" ht="12" customHeight="1">
      <c r="D35" s="109" t="s">
        <v>140</v>
      </c>
      <c r="E35" s="110"/>
      <c r="F35" s="110"/>
      <c r="G35" s="46">
        <v>0.2079</v>
      </c>
    </row>
    <row r="36" spans="1:8" ht="12.75">
      <c r="A36" s="4" t="s">
        <v>19</v>
      </c>
      <c r="B36" s="4"/>
      <c r="C36" s="4" t="s">
        <v>64</v>
      </c>
      <c r="D36" s="93" t="s">
        <v>142</v>
      </c>
      <c r="E36" s="94"/>
      <c r="F36" s="4" t="s">
        <v>203</v>
      </c>
      <c r="G36" s="15">
        <v>2</v>
      </c>
      <c r="H36" s="15">
        <v>0</v>
      </c>
    </row>
    <row r="37" spans="4:7" ht="12" customHeight="1">
      <c r="D37" s="109" t="s">
        <v>143</v>
      </c>
      <c r="E37" s="110"/>
      <c r="F37" s="110"/>
      <c r="G37" s="46">
        <v>2</v>
      </c>
    </row>
    <row r="38" spans="1:8" ht="12.75">
      <c r="A38" s="4" t="s">
        <v>20</v>
      </c>
      <c r="B38" s="4"/>
      <c r="C38" s="4" t="s">
        <v>66</v>
      </c>
      <c r="D38" s="93" t="s">
        <v>145</v>
      </c>
      <c r="E38" s="94"/>
      <c r="F38" s="4" t="s">
        <v>201</v>
      </c>
      <c r="G38" s="15">
        <v>8.5</v>
      </c>
      <c r="H38" s="15">
        <v>0</v>
      </c>
    </row>
    <row r="39" spans="4:7" ht="12" customHeight="1">
      <c r="D39" s="109" t="s">
        <v>146</v>
      </c>
      <c r="E39" s="110"/>
      <c r="F39" s="110"/>
      <c r="G39" s="46">
        <v>8.5</v>
      </c>
    </row>
    <row r="40" spans="1:8" ht="12.75">
      <c r="A40" s="4" t="s">
        <v>21</v>
      </c>
      <c r="B40" s="4"/>
      <c r="C40" s="4" t="s">
        <v>68</v>
      </c>
      <c r="D40" s="93" t="s">
        <v>148</v>
      </c>
      <c r="E40" s="94"/>
      <c r="F40" s="4" t="s">
        <v>204</v>
      </c>
      <c r="G40" s="15">
        <v>1</v>
      </c>
      <c r="H40" s="15">
        <v>0</v>
      </c>
    </row>
    <row r="41" spans="4:7" ht="12" customHeight="1">
      <c r="D41" s="109" t="s">
        <v>149</v>
      </c>
      <c r="E41" s="110"/>
      <c r="F41" s="110"/>
      <c r="G41" s="46">
        <v>1</v>
      </c>
    </row>
    <row r="42" spans="1:8" ht="12.75">
      <c r="A42" s="4" t="s">
        <v>22</v>
      </c>
      <c r="B42" s="4"/>
      <c r="C42" s="4" t="s">
        <v>70</v>
      </c>
      <c r="D42" s="93" t="s">
        <v>151</v>
      </c>
      <c r="E42" s="94"/>
      <c r="F42" s="4" t="s">
        <v>204</v>
      </c>
      <c r="G42" s="15">
        <v>1</v>
      </c>
      <c r="H42" s="15">
        <v>0</v>
      </c>
    </row>
    <row r="43" spans="4:7" ht="12" customHeight="1">
      <c r="D43" s="109" t="s">
        <v>149</v>
      </c>
      <c r="E43" s="110"/>
      <c r="F43" s="110"/>
      <c r="G43" s="46">
        <v>1</v>
      </c>
    </row>
    <row r="44" spans="1:8" ht="12.75">
      <c r="A44" s="4" t="s">
        <v>23</v>
      </c>
      <c r="B44" s="4"/>
      <c r="C44" s="4" t="s">
        <v>72</v>
      </c>
      <c r="D44" s="93" t="s">
        <v>153</v>
      </c>
      <c r="E44" s="94"/>
      <c r="F44" s="4" t="s">
        <v>201</v>
      </c>
      <c r="G44" s="15">
        <v>15</v>
      </c>
      <c r="H44" s="15">
        <v>0</v>
      </c>
    </row>
    <row r="45" spans="4:7" ht="12" customHeight="1">
      <c r="D45" s="109" t="s">
        <v>154</v>
      </c>
      <c r="E45" s="110"/>
      <c r="F45" s="110"/>
      <c r="G45" s="46">
        <v>15</v>
      </c>
    </row>
    <row r="46" spans="1:8" ht="12.75">
      <c r="A46" s="4" t="s">
        <v>24</v>
      </c>
      <c r="B46" s="4"/>
      <c r="C46" s="4" t="s">
        <v>74</v>
      </c>
      <c r="D46" s="93" t="s">
        <v>156</v>
      </c>
      <c r="E46" s="94"/>
      <c r="F46" s="4" t="s">
        <v>201</v>
      </c>
      <c r="G46" s="15">
        <v>10.35</v>
      </c>
      <c r="H46" s="15">
        <v>0</v>
      </c>
    </row>
    <row r="47" spans="4:7" ht="12" customHeight="1">
      <c r="D47" s="109" t="s">
        <v>157</v>
      </c>
      <c r="E47" s="110"/>
      <c r="F47" s="110"/>
      <c r="G47" s="46">
        <v>10.35</v>
      </c>
    </row>
    <row r="48" spans="1:8" ht="12.75">
      <c r="A48" s="4" t="s">
        <v>25</v>
      </c>
      <c r="B48" s="4"/>
      <c r="C48" s="4" t="s">
        <v>76</v>
      </c>
      <c r="D48" s="93" t="s">
        <v>159</v>
      </c>
      <c r="E48" s="94"/>
      <c r="F48" s="4" t="s">
        <v>201</v>
      </c>
      <c r="G48" s="15">
        <v>61</v>
      </c>
      <c r="H48" s="15">
        <v>0</v>
      </c>
    </row>
    <row r="49" spans="4:7" ht="12" customHeight="1">
      <c r="D49" s="109" t="s">
        <v>160</v>
      </c>
      <c r="E49" s="110"/>
      <c r="F49" s="110"/>
      <c r="G49" s="46">
        <v>61</v>
      </c>
    </row>
    <row r="50" spans="1:8" ht="12.75">
      <c r="A50" s="4" t="s">
        <v>26</v>
      </c>
      <c r="B50" s="4"/>
      <c r="C50" s="4" t="s">
        <v>78</v>
      </c>
      <c r="D50" s="93" t="s">
        <v>162</v>
      </c>
      <c r="E50" s="94"/>
      <c r="F50" s="4" t="s">
        <v>201</v>
      </c>
      <c r="G50" s="15">
        <v>60</v>
      </c>
      <c r="H50" s="15">
        <v>0</v>
      </c>
    </row>
    <row r="51" spans="4:7" ht="12" customHeight="1">
      <c r="D51" s="109" t="s">
        <v>163</v>
      </c>
      <c r="E51" s="110"/>
      <c r="F51" s="110"/>
      <c r="G51" s="46">
        <v>60</v>
      </c>
    </row>
    <row r="52" spans="1:8" ht="12.75">
      <c r="A52" s="4" t="s">
        <v>27</v>
      </c>
      <c r="B52" s="4"/>
      <c r="C52" s="4" t="s">
        <v>80</v>
      </c>
      <c r="D52" s="93" t="s">
        <v>165</v>
      </c>
      <c r="E52" s="94"/>
      <c r="F52" s="4" t="s">
        <v>205</v>
      </c>
      <c r="G52" s="15">
        <v>15</v>
      </c>
      <c r="H52" s="15">
        <v>0</v>
      </c>
    </row>
    <row r="53" spans="4:7" ht="12" customHeight="1">
      <c r="D53" s="109" t="s">
        <v>166</v>
      </c>
      <c r="E53" s="110"/>
      <c r="F53" s="110"/>
      <c r="G53" s="46">
        <v>15</v>
      </c>
    </row>
    <row r="54" spans="1:8" ht="12.75">
      <c r="A54" s="4" t="s">
        <v>28</v>
      </c>
      <c r="B54" s="4"/>
      <c r="C54" s="4" t="s">
        <v>82</v>
      </c>
      <c r="D54" s="93" t="s">
        <v>168</v>
      </c>
      <c r="E54" s="94"/>
      <c r="F54" s="4" t="s">
        <v>201</v>
      </c>
      <c r="G54" s="15">
        <v>30</v>
      </c>
      <c r="H54" s="15">
        <v>0</v>
      </c>
    </row>
    <row r="55" spans="4:7" ht="12" customHeight="1">
      <c r="D55" s="109" t="s">
        <v>169</v>
      </c>
      <c r="E55" s="110"/>
      <c r="F55" s="110"/>
      <c r="G55" s="46">
        <v>30</v>
      </c>
    </row>
    <row r="56" spans="1:8" ht="12.75">
      <c r="A56" s="4" t="s">
        <v>29</v>
      </c>
      <c r="B56" s="4"/>
      <c r="C56" s="4" t="s">
        <v>84</v>
      </c>
      <c r="D56" s="93" t="s">
        <v>171</v>
      </c>
      <c r="E56" s="94"/>
      <c r="F56" s="4" t="s">
        <v>201</v>
      </c>
      <c r="G56" s="15">
        <v>86.42</v>
      </c>
      <c r="H56" s="15">
        <v>0</v>
      </c>
    </row>
    <row r="57" spans="4:7" ht="12" customHeight="1">
      <c r="D57" s="109" t="s">
        <v>172</v>
      </c>
      <c r="E57" s="110"/>
      <c r="F57" s="110"/>
      <c r="G57" s="46">
        <v>86.42</v>
      </c>
    </row>
    <row r="58" spans="1:8" ht="12.75">
      <c r="A58" s="4" t="s">
        <v>30</v>
      </c>
      <c r="B58" s="4"/>
      <c r="C58" s="4" t="s">
        <v>86</v>
      </c>
      <c r="D58" s="93" t="s">
        <v>174</v>
      </c>
      <c r="E58" s="94"/>
      <c r="F58" s="4" t="s">
        <v>200</v>
      </c>
      <c r="G58" s="15">
        <v>5.94</v>
      </c>
      <c r="H58" s="15">
        <v>0</v>
      </c>
    </row>
    <row r="59" spans="4:7" ht="12" customHeight="1">
      <c r="D59" s="109" t="s">
        <v>175</v>
      </c>
      <c r="E59" s="110"/>
      <c r="F59" s="110"/>
      <c r="G59" s="46">
        <v>5.94</v>
      </c>
    </row>
    <row r="60" spans="1:8" ht="12.75">
      <c r="A60" s="4" t="s">
        <v>31</v>
      </c>
      <c r="B60" s="4"/>
      <c r="C60" s="4" t="s">
        <v>87</v>
      </c>
      <c r="D60" s="93" t="s">
        <v>176</v>
      </c>
      <c r="E60" s="94"/>
      <c r="F60" s="4" t="s">
        <v>201</v>
      </c>
      <c r="G60" s="15">
        <v>15</v>
      </c>
      <c r="H60" s="15">
        <v>0</v>
      </c>
    </row>
    <row r="61" spans="4:7" ht="12" customHeight="1">
      <c r="D61" s="109" t="s">
        <v>154</v>
      </c>
      <c r="E61" s="110"/>
      <c r="F61" s="110"/>
      <c r="G61" s="46">
        <v>15</v>
      </c>
    </row>
    <row r="62" spans="1:8" ht="12.75">
      <c r="A62" s="4" t="s">
        <v>32</v>
      </c>
      <c r="B62" s="4"/>
      <c r="C62" s="4" t="s">
        <v>88</v>
      </c>
      <c r="D62" s="93" t="s">
        <v>177</v>
      </c>
      <c r="E62" s="94"/>
      <c r="F62" s="4" t="s">
        <v>201</v>
      </c>
      <c r="G62" s="15">
        <v>19.8</v>
      </c>
      <c r="H62" s="15">
        <v>0</v>
      </c>
    </row>
    <row r="63" spans="4:7" ht="12" customHeight="1">
      <c r="D63" s="109" t="s">
        <v>178</v>
      </c>
      <c r="E63" s="110"/>
      <c r="F63" s="110"/>
      <c r="G63" s="46">
        <v>19.8</v>
      </c>
    </row>
    <row r="64" spans="1:8" ht="12.75">
      <c r="A64" s="4" t="s">
        <v>33</v>
      </c>
      <c r="B64" s="4"/>
      <c r="C64" s="4" t="s">
        <v>89</v>
      </c>
      <c r="D64" s="93" t="s">
        <v>179</v>
      </c>
      <c r="E64" s="94"/>
      <c r="F64" s="4" t="s">
        <v>200</v>
      </c>
      <c r="G64" s="15">
        <v>1.5525</v>
      </c>
      <c r="H64" s="15">
        <v>0</v>
      </c>
    </row>
    <row r="65" spans="4:7" ht="12" customHeight="1">
      <c r="D65" s="109" t="s">
        <v>180</v>
      </c>
      <c r="E65" s="110"/>
      <c r="F65" s="110"/>
      <c r="G65" s="46">
        <v>1.5525</v>
      </c>
    </row>
    <row r="66" spans="1:8" ht="12.75">
      <c r="A66" s="4" t="s">
        <v>34</v>
      </c>
      <c r="B66" s="4"/>
      <c r="C66" s="4" t="s">
        <v>91</v>
      </c>
      <c r="D66" s="93" t="s">
        <v>182</v>
      </c>
      <c r="E66" s="94"/>
      <c r="F66" s="4" t="s">
        <v>202</v>
      </c>
      <c r="G66" s="15">
        <v>114.9</v>
      </c>
      <c r="H66" s="15">
        <v>0</v>
      </c>
    </row>
    <row r="67" spans="4:7" ht="12" customHeight="1">
      <c r="D67" s="109" t="s">
        <v>183</v>
      </c>
      <c r="E67" s="110"/>
      <c r="F67" s="110"/>
      <c r="G67" s="46">
        <v>114.9</v>
      </c>
    </row>
    <row r="68" spans="1:8" ht="12.75">
      <c r="A68" s="4" t="s">
        <v>35</v>
      </c>
      <c r="B68" s="4"/>
      <c r="C68" s="4" t="s">
        <v>92</v>
      </c>
      <c r="D68" s="93" t="s">
        <v>184</v>
      </c>
      <c r="E68" s="94"/>
      <c r="F68" s="4" t="s">
        <v>204</v>
      </c>
      <c r="G68" s="15">
        <v>1</v>
      </c>
      <c r="H68" s="15">
        <v>0</v>
      </c>
    </row>
    <row r="69" spans="4:7" ht="12" customHeight="1">
      <c r="D69" s="109" t="s">
        <v>149</v>
      </c>
      <c r="E69" s="110"/>
      <c r="F69" s="110"/>
      <c r="G69" s="46">
        <v>1</v>
      </c>
    </row>
    <row r="70" spans="1:8" ht="12.75">
      <c r="A70" s="4" t="s">
        <v>36</v>
      </c>
      <c r="B70" s="4"/>
      <c r="C70" s="4" t="s">
        <v>94</v>
      </c>
      <c r="D70" s="93" t="s">
        <v>186</v>
      </c>
      <c r="E70" s="94"/>
      <c r="F70" s="4" t="s">
        <v>204</v>
      </c>
      <c r="G70" s="15">
        <v>1</v>
      </c>
      <c r="H70" s="15">
        <v>0</v>
      </c>
    </row>
    <row r="71" spans="4:7" ht="12" customHeight="1">
      <c r="D71" s="109" t="s">
        <v>149</v>
      </c>
      <c r="E71" s="110"/>
      <c r="F71" s="110"/>
      <c r="G71" s="46">
        <v>1</v>
      </c>
    </row>
    <row r="72" spans="1:8" ht="12.75">
      <c r="A72" s="4" t="s">
        <v>37</v>
      </c>
      <c r="B72" s="4"/>
      <c r="C72" s="4" t="s">
        <v>96</v>
      </c>
      <c r="D72" s="93" t="s">
        <v>188</v>
      </c>
      <c r="E72" s="94"/>
      <c r="F72" s="4" t="s">
        <v>202</v>
      </c>
      <c r="G72" s="15">
        <v>14.621</v>
      </c>
      <c r="H72" s="15">
        <v>0</v>
      </c>
    </row>
    <row r="73" spans="4:7" ht="12" customHeight="1">
      <c r="D73" s="109" t="s">
        <v>189</v>
      </c>
      <c r="E73" s="110"/>
      <c r="F73" s="110"/>
      <c r="G73" s="46">
        <v>14.621</v>
      </c>
    </row>
    <row r="74" spans="1:8" ht="12.75">
      <c r="A74" s="4" t="s">
        <v>38</v>
      </c>
      <c r="B74" s="4"/>
      <c r="C74" s="4" t="s">
        <v>97</v>
      </c>
      <c r="D74" s="93" t="s">
        <v>190</v>
      </c>
      <c r="E74" s="94"/>
      <c r="F74" s="4" t="s">
        <v>202</v>
      </c>
      <c r="G74" s="15">
        <v>10.699</v>
      </c>
      <c r="H74" s="15">
        <v>0</v>
      </c>
    </row>
    <row r="75" spans="4:7" ht="12" customHeight="1">
      <c r="D75" s="109" t="s">
        <v>191</v>
      </c>
      <c r="E75" s="110"/>
      <c r="F75" s="110"/>
      <c r="G75" s="46">
        <v>10.699</v>
      </c>
    </row>
    <row r="76" spans="1:8" ht="12.75">
      <c r="A76" s="4" t="s">
        <v>39</v>
      </c>
      <c r="B76" s="4"/>
      <c r="C76" s="4" t="s">
        <v>98</v>
      </c>
      <c r="D76" s="93" t="s">
        <v>192</v>
      </c>
      <c r="E76" s="94"/>
      <c r="F76" s="4" t="s">
        <v>202</v>
      </c>
      <c r="G76" s="15">
        <v>3.41</v>
      </c>
      <c r="H76" s="15">
        <v>0</v>
      </c>
    </row>
    <row r="77" spans="4:7" ht="12" customHeight="1">
      <c r="D77" s="109" t="s">
        <v>193</v>
      </c>
      <c r="E77" s="110"/>
      <c r="F77" s="110"/>
      <c r="G77" s="46">
        <v>3.41</v>
      </c>
    </row>
    <row r="79" ht="11.25" customHeight="1">
      <c r="A79" s="8" t="s">
        <v>42</v>
      </c>
    </row>
    <row r="80" spans="1:7" ht="25.5" customHeight="1">
      <c r="A80" s="77" t="s">
        <v>43</v>
      </c>
      <c r="B80" s="69"/>
      <c r="C80" s="69"/>
      <c r="D80" s="69"/>
      <c r="E80" s="69"/>
      <c r="F80" s="69"/>
      <c r="G80" s="69"/>
    </row>
  </sheetData>
  <sheetProtection/>
  <mergeCells count="86">
    <mergeCell ref="D76:E76"/>
    <mergeCell ref="D77:F77"/>
    <mergeCell ref="A80:G80"/>
    <mergeCell ref="D70:E70"/>
    <mergeCell ref="D71:F71"/>
    <mergeCell ref="D72:E72"/>
    <mergeCell ref="D73:F73"/>
    <mergeCell ref="D74:E74"/>
    <mergeCell ref="D75:F75"/>
    <mergeCell ref="D64:E64"/>
    <mergeCell ref="D65:F65"/>
    <mergeCell ref="D66:E66"/>
    <mergeCell ref="D67:F67"/>
    <mergeCell ref="D68:E68"/>
    <mergeCell ref="D69:F69"/>
    <mergeCell ref="D58:E58"/>
    <mergeCell ref="D59:F59"/>
    <mergeCell ref="D60:E60"/>
    <mergeCell ref="D61:F61"/>
    <mergeCell ref="D62:E62"/>
    <mergeCell ref="D63:F63"/>
    <mergeCell ref="D52:E52"/>
    <mergeCell ref="D53:F53"/>
    <mergeCell ref="D54:E54"/>
    <mergeCell ref="D55:F55"/>
    <mergeCell ref="D56:E56"/>
    <mergeCell ref="D57:F57"/>
    <mergeCell ref="D46:E46"/>
    <mergeCell ref="D47:F47"/>
    <mergeCell ref="D48:E48"/>
    <mergeCell ref="D49:F49"/>
    <mergeCell ref="D50:E50"/>
    <mergeCell ref="D51:F51"/>
    <mergeCell ref="D40:E40"/>
    <mergeCell ref="D41:F41"/>
    <mergeCell ref="D42:E42"/>
    <mergeCell ref="D43:F43"/>
    <mergeCell ref="D44:E44"/>
    <mergeCell ref="D45:F45"/>
    <mergeCell ref="D34:E34"/>
    <mergeCell ref="D35:F35"/>
    <mergeCell ref="D36:E36"/>
    <mergeCell ref="D37:F37"/>
    <mergeCell ref="D38:E38"/>
    <mergeCell ref="D39:F39"/>
    <mergeCell ref="D28:E28"/>
    <mergeCell ref="D29:F29"/>
    <mergeCell ref="D30:E30"/>
    <mergeCell ref="D31:F31"/>
    <mergeCell ref="D32:E32"/>
    <mergeCell ref="D33:F33"/>
    <mergeCell ref="D22:F22"/>
    <mergeCell ref="D23:F23"/>
    <mergeCell ref="D24:E24"/>
    <mergeCell ref="D25:F25"/>
    <mergeCell ref="D26:E26"/>
    <mergeCell ref="D27:F27"/>
    <mergeCell ref="D16:F16"/>
    <mergeCell ref="D17:E17"/>
    <mergeCell ref="D18:F18"/>
    <mergeCell ref="D19:E19"/>
    <mergeCell ref="D20:F20"/>
    <mergeCell ref="D21:E21"/>
    <mergeCell ref="D10:E10"/>
    <mergeCell ref="D11:E11"/>
    <mergeCell ref="D12:F12"/>
    <mergeCell ref="D13:E13"/>
    <mergeCell ref="D14:F14"/>
    <mergeCell ref="D15:E1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3"/>
      <c r="B1" s="6"/>
      <c r="C1" s="111" t="s">
        <v>297</v>
      </c>
      <c r="D1" s="65"/>
      <c r="E1" s="65"/>
      <c r="F1" s="65"/>
      <c r="G1" s="65"/>
      <c r="H1" s="65"/>
      <c r="I1" s="65"/>
    </row>
    <row r="2" spans="1:10" ht="12.75">
      <c r="A2" s="66" t="s">
        <v>1</v>
      </c>
      <c r="B2" s="67"/>
      <c r="C2" s="70" t="str">
        <f>'Stavební rozpočet'!C2</f>
        <v>Jihlava OK Hydraulik,Polenská 5012/12</v>
      </c>
      <c r="D2" s="102"/>
      <c r="E2" s="73" t="s">
        <v>207</v>
      </c>
      <c r="F2" s="73" t="str">
        <f>'Stavební rozpočet'!I2</f>
        <v>OK Hydraulik s.r.o.,Polenská 5012/12,Jihlava</v>
      </c>
      <c r="G2" s="67"/>
      <c r="H2" s="73" t="s">
        <v>322</v>
      </c>
      <c r="I2" s="112"/>
      <c r="J2" s="28"/>
    </row>
    <row r="3" spans="1:10" ht="12.75">
      <c r="A3" s="68"/>
      <c r="B3" s="69"/>
      <c r="C3" s="71"/>
      <c r="D3" s="71"/>
      <c r="E3" s="69"/>
      <c r="F3" s="69"/>
      <c r="G3" s="69"/>
      <c r="H3" s="69"/>
      <c r="I3" s="75"/>
      <c r="J3" s="28"/>
    </row>
    <row r="4" spans="1:10" ht="12.75">
      <c r="A4" s="76" t="s">
        <v>2</v>
      </c>
      <c r="B4" s="69"/>
      <c r="C4" s="77" t="str">
        <f>'Stavební rozpočet'!C4</f>
        <v>SO-01 Úprava stáv.objektu haly na p.č.474/2</v>
      </c>
      <c r="D4" s="69"/>
      <c r="E4" s="77" t="s">
        <v>208</v>
      </c>
      <c r="F4" s="77" t="str">
        <f>'Stavební rozpočet'!I4</f>
        <v>Kaktus Projekce s.r.o.,Purkyňova 14,Jihlava</v>
      </c>
      <c r="G4" s="69"/>
      <c r="H4" s="77" t="s">
        <v>322</v>
      </c>
      <c r="I4" s="113"/>
      <c r="J4" s="28"/>
    </row>
    <row r="5" spans="1:10" ht="12.75">
      <c r="A5" s="68"/>
      <c r="B5" s="69"/>
      <c r="C5" s="69"/>
      <c r="D5" s="69"/>
      <c r="E5" s="69"/>
      <c r="F5" s="69"/>
      <c r="G5" s="69"/>
      <c r="H5" s="69"/>
      <c r="I5" s="75"/>
      <c r="J5" s="28"/>
    </row>
    <row r="6" spans="1:10" ht="12.75">
      <c r="A6" s="76" t="s">
        <v>3</v>
      </c>
      <c r="B6" s="69"/>
      <c r="C6" s="77" t="str">
        <f>'Stavební rozpočet'!C6</f>
        <v>k.ú.Jihlava</v>
      </c>
      <c r="D6" s="69"/>
      <c r="E6" s="77" t="s">
        <v>209</v>
      </c>
      <c r="F6" s="77" t="str">
        <f>'Stavební rozpočet'!I6</f>
        <v>Vzejde z výběr.řízení</v>
      </c>
      <c r="G6" s="69"/>
      <c r="H6" s="77" t="s">
        <v>322</v>
      </c>
      <c r="I6" s="113"/>
      <c r="J6" s="28"/>
    </row>
    <row r="7" spans="1:10" ht="12.75">
      <c r="A7" s="68"/>
      <c r="B7" s="69"/>
      <c r="C7" s="69"/>
      <c r="D7" s="69"/>
      <c r="E7" s="69"/>
      <c r="F7" s="69"/>
      <c r="G7" s="69"/>
      <c r="H7" s="69"/>
      <c r="I7" s="75"/>
      <c r="J7" s="28"/>
    </row>
    <row r="8" spans="1:10" ht="12.75">
      <c r="A8" s="76" t="s">
        <v>195</v>
      </c>
      <c r="B8" s="69"/>
      <c r="C8" s="77" t="str">
        <f>'Stavební rozpočet'!F4</f>
        <v> </v>
      </c>
      <c r="D8" s="69"/>
      <c r="E8" s="77" t="s">
        <v>196</v>
      </c>
      <c r="F8" s="77" t="str">
        <f>'Stavební rozpočet'!F6</f>
        <v> </v>
      </c>
      <c r="G8" s="69"/>
      <c r="H8" s="78" t="s">
        <v>323</v>
      </c>
      <c r="I8" s="113" t="s">
        <v>41</v>
      </c>
      <c r="J8" s="28"/>
    </row>
    <row r="9" spans="1:10" ht="12.75">
      <c r="A9" s="68"/>
      <c r="B9" s="69"/>
      <c r="C9" s="69"/>
      <c r="D9" s="69"/>
      <c r="E9" s="69"/>
      <c r="F9" s="69"/>
      <c r="G9" s="69"/>
      <c r="H9" s="69"/>
      <c r="I9" s="75"/>
      <c r="J9" s="28"/>
    </row>
    <row r="10" spans="1:10" ht="12.75">
      <c r="A10" s="76" t="s">
        <v>4</v>
      </c>
      <c r="B10" s="69"/>
      <c r="C10" s="77">
        <f>'Stavební rozpočet'!C8</f>
        <v>8112112</v>
      </c>
      <c r="D10" s="69"/>
      <c r="E10" s="77" t="s">
        <v>210</v>
      </c>
      <c r="F10" s="77" t="str">
        <f>'Stavební rozpočet'!I8</f>
        <v>František Nykodým</v>
      </c>
      <c r="G10" s="69"/>
      <c r="H10" s="78" t="s">
        <v>324</v>
      </c>
      <c r="I10" s="116" t="str">
        <f>'Stavební rozpočet'!F8</f>
        <v>30.10.2018</v>
      </c>
      <c r="J10" s="28"/>
    </row>
    <row r="11" spans="1:10" ht="12.75">
      <c r="A11" s="114"/>
      <c r="B11" s="115"/>
      <c r="C11" s="115"/>
      <c r="D11" s="115"/>
      <c r="E11" s="115"/>
      <c r="F11" s="115"/>
      <c r="G11" s="115"/>
      <c r="H11" s="115"/>
      <c r="I11" s="117"/>
      <c r="J11" s="28"/>
    </row>
    <row r="12" spans="1:9" ht="23.25" customHeight="1">
      <c r="A12" s="118" t="s">
        <v>282</v>
      </c>
      <c r="B12" s="119"/>
      <c r="C12" s="119"/>
      <c r="D12" s="119"/>
      <c r="E12" s="119"/>
      <c r="F12" s="119"/>
      <c r="G12" s="119"/>
      <c r="H12" s="119"/>
      <c r="I12" s="119"/>
    </row>
    <row r="13" spans="1:10" ht="26.25" customHeight="1">
      <c r="A13" s="47" t="s">
        <v>283</v>
      </c>
      <c r="B13" s="120" t="s">
        <v>295</v>
      </c>
      <c r="C13" s="121"/>
      <c r="D13" s="47" t="s">
        <v>298</v>
      </c>
      <c r="E13" s="120" t="s">
        <v>307</v>
      </c>
      <c r="F13" s="121"/>
      <c r="G13" s="47" t="s">
        <v>308</v>
      </c>
      <c r="H13" s="120" t="s">
        <v>325</v>
      </c>
      <c r="I13" s="121"/>
      <c r="J13" s="28"/>
    </row>
    <row r="14" spans="1:10" ht="15" customHeight="1">
      <c r="A14" s="48" t="s">
        <v>284</v>
      </c>
      <c r="B14" s="52" t="s">
        <v>296</v>
      </c>
      <c r="C14" s="56">
        <f>SUM('Stavební rozpočet'!AB12:AB106)</f>
        <v>0</v>
      </c>
      <c r="D14" s="122" t="s">
        <v>299</v>
      </c>
      <c r="E14" s="123"/>
      <c r="F14" s="56">
        <v>0</v>
      </c>
      <c r="G14" s="122" t="s">
        <v>309</v>
      </c>
      <c r="H14" s="123"/>
      <c r="I14" s="56">
        <v>0</v>
      </c>
      <c r="J14" s="28"/>
    </row>
    <row r="15" spans="1:10" ht="15" customHeight="1">
      <c r="A15" s="49"/>
      <c r="B15" s="52" t="s">
        <v>220</v>
      </c>
      <c r="C15" s="56">
        <f>SUM('Stavební rozpočet'!AC12:AC106)</f>
        <v>0</v>
      </c>
      <c r="D15" s="122" t="s">
        <v>300</v>
      </c>
      <c r="E15" s="123"/>
      <c r="F15" s="56">
        <v>0</v>
      </c>
      <c r="G15" s="122" t="s">
        <v>310</v>
      </c>
      <c r="H15" s="123"/>
      <c r="I15" s="56">
        <v>0</v>
      </c>
      <c r="J15" s="28"/>
    </row>
    <row r="16" spans="1:10" ht="15" customHeight="1">
      <c r="A16" s="48" t="s">
        <v>285</v>
      </c>
      <c r="B16" s="52" t="s">
        <v>296</v>
      </c>
      <c r="C16" s="56">
        <f>SUM('Stavební rozpočet'!AD12:AD106)</f>
        <v>0</v>
      </c>
      <c r="D16" s="122" t="s">
        <v>301</v>
      </c>
      <c r="E16" s="123"/>
      <c r="F16" s="56">
        <v>0</v>
      </c>
      <c r="G16" s="122" t="s">
        <v>311</v>
      </c>
      <c r="H16" s="123"/>
      <c r="I16" s="56">
        <v>0</v>
      </c>
      <c r="J16" s="28"/>
    </row>
    <row r="17" spans="1:10" ht="15" customHeight="1">
      <c r="A17" s="49"/>
      <c r="B17" s="52" t="s">
        <v>220</v>
      </c>
      <c r="C17" s="56">
        <f>SUM('Stavební rozpočet'!AE12:AE106)</f>
        <v>0</v>
      </c>
      <c r="D17" s="122"/>
      <c r="E17" s="123"/>
      <c r="F17" s="57"/>
      <c r="G17" s="122" t="s">
        <v>312</v>
      </c>
      <c r="H17" s="123"/>
      <c r="I17" s="56">
        <v>0</v>
      </c>
      <c r="J17" s="28"/>
    </row>
    <row r="18" spans="1:10" ht="15" customHeight="1">
      <c r="A18" s="48" t="s">
        <v>286</v>
      </c>
      <c r="B18" s="52" t="s">
        <v>296</v>
      </c>
      <c r="C18" s="56">
        <f>SUM('Stavební rozpočet'!AF12:AF106)</f>
        <v>0</v>
      </c>
      <c r="D18" s="122"/>
      <c r="E18" s="123"/>
      <c r="F18" s="57"/>
      <c r="G18" s="122" t="s">
        <v>313</v>
      </c>
      <c r="H18" s="123"/>
      <c r="I18" s="56">
        <v>0</v>
      </c>
      <c r="J18" s="28"/>
    </row>
    <row r="19" spans="1:10" ht="15" customHeight="1">
      <c r="A19" s="49"/>
      <c r="B19" s="52" t="s">
        <v>220</v>
      </c>
      <c r="C19" s="56">
        <f>SUM('Stavební rozpočet'!AG12:AG106)</f>
        <v>0</v>
      </c>
      <c r="D19" s="122"/>
      <c r="E19" s="123"/>
      <c r="F19" s="57"/>
      <c r="G19" s="122" t="s">
        <v>314</v>
      </c>
      <c r="H19" s="123"/>
      <c r="I19" s="56">
        <v>0</v>
      </c>
      <c r="J19" s="28"/>
    </row>
    <row r="20" spans="1:10" ht="15" customHeight="1">
      <c r="A20" s="124" t="s">
        <v>287</v>
      </c>
      <c r="B20" s="125"/>
      <c r="C20" s="56">
        <f>SUM('Stavební rozpočet'!AH12:AH106)</f>
        <v>0</v>
      </c>
      <c r="D20" s="122"/>
      <c r="E20" s="123"/>
      <c r="F20" s="57"/>
      <c r="G20" s="122"/>
      <c r="H20" s="123"/>
      <c r="I20" s="57"/>
      <c r="J20" s="28"/>
    </row>
    <row r="21" spans="1:10" ht="15" customHeight="1">
      <c r="A21" s="124" t="s">
        <v>288</v>
      </c>
      <c r="B21" s="125"/>
      <c r="C21" s="56">
        <f>SUM('Stavební rozpočet'!Z12:Z106)</f>
        <v>0</v>
      </c>
      <c r="D21" s="122"/>
      <c r="E21" s="123"/>
      <c r="F21" s="57"/>
      <c r="G21" s="122"/>
      <c r="H21" s="123"/>
      <c r="I21" s="57"/>
      <c r="J21" s="28"/>
    </row>
    <row r="22" spans="1:10" ht="16.5" customHeight="1">
      <c r="A22" s="124" t="s">
        <v>289</v>
      </c>
      <c r="B22" s="125"/>
      <c r="C22" s="56">
        <f>ROUND(SUM(C14:C21),0)</f>
        <v>0</v>
      </c>
      <c r="D22" s="124" t="s">
        <v>302</v>
      </c>
      <c r="E22" s="125"/>
      <c r="F22" s="56">
        <f>SUM(F14:F21)</f>
        <v>0</v>
      </c>
      <c r="G22" s="124" t="s">
        <v>315</v>
      </c>
      <c r="H22" s="125"/>
      <c r="I22" s="56">
        <f>SUM(I14:I21)</f>
        <v>0</v>
      </c>
      <c r="J22" s="28"/>
    </row>
    <row r="23" spans="1:10" ht="15" customHeight="1">
      <c r="A23" s="7"/>
      <c r="B23" s="7"/>
      <c r="C23" s="54"/>
      <c r="D23" s="124" t="s">
        <v>303</v>
      </c>
      <c r="E23" s="125"/>
      <c r="F23" s="58">
        <v>0</v>
      </c>
      <c r="G23" s="124" t="s">
        <v>316</v>
      </c>
      <c r="H23" s="125"/>
      <c r="I23" s="56">
        <v>0</v>
      </c>
      <c r="J23" s="28"/>
    </row>
    <row r="24" spans="4:9" ht="15" customHeight="1">
      <c r="D24" s="7"/>
      <c r="E24" s="7"/>
      <c r="F24" s="59"/>
      <c r="G24" s="124" t="s">
        <v>317</v>
      </c>
      <c r="H24" s="125"/>
      <c r="I24" s="61"/>
    </row>
    <row r="25" spans="6:10" ht="15" customHeight="1">
      <c r="F25" s="60"/>
      <c r="G25" s="124" t="s">
        <v>318</v>
      </c>
      <c r="H25" s="125"/>
      <c r="I25" s="56">
        <v>0</v>
      </c>
      <c r="J25" s="28"/>
    </row>
    <row r="26" spans="1:9" ht="12.75">
      <c r="A26" s="6"/>
      <c r="B26" s="6"/>
      <c r="C26" s="6"/>
      <c r="G26" s="7"/>
      <c r="H26" s="7"/>
      <c r="I26" s="7"/>
    </row>
    <row r="27" spans="1:9" ht="15" customHeight="1">
      <c r="A27" s="126" t="s">
        <v>290</v>
      </c>
      <c r="B27" s="127"/>
      <c r="C27" s="62">
        <f>ROUND(SUM('Stavební rozpočet'!AJ12:AJ106),0)</f>
        <v>0</v>
      </c>
      <c r="D27" s="55"/>
      <c r="E27" s="6"/>
      <c r="F27" s="6"/>
      <c r="G27" s="6"/>
      <c r="H27" s="6"/>
      <c r="I27" s="6"/>
    </row>
    <row r="28" spans="1:10" ht="15" customHeight="1">
      <c r="A28" s="126" t="s">
        <v>291</v>
      </c>
      <c r="B28" s="127"/>
      <c r="C28" s="62">
        <f>ROUND(SUM('Stavební rozpočet'!AK12:AK106),0)</f>
        <v>0</v>
      </c>
      <c r="D28" s="126" t="s">
        <v>304</v>
      </c>
      <c r="E28" s="127"/>
      <c r="F28" s="62">
        <f>ROUND(C28*(15/100),2)</f>
        <v>0</v>
      </c>
      <c r="G28" s="126" t="s">
        <v>319</v>
      </c>
      <c r="H28" s="127"/>
      <c r="I28" s="62">
        <f>ROUND(SUM(C27:C29),0)</f>
        <v>0</v>
      </c>
      <c r="J28" s="28"/>
    </row>
    <row r="29" spans="1:10" ht="15" customHeight="1">
      <c r="A29" s="126" t="s">
        <v>292</v>
      </c>
      <c r="B29" s="127"/>
      <c r="C29" s="62">
        <f>ROUND(SUM('Stavební rozpočet'!AL12:AL106)+(F22+I22+F23+I23+I24+I25),0)</f>
        <v>0</v>
      </c>
      <c r="D29" s="126" t="s">
        <v>305</v>
      </c>
      <c r="E29" s="127"/>
      <c r="F29" s="62">
        <f>ROUND(C29*(21/100),2)</f>
        <v>0</v>
      </c>
      <c r="G29" s="126" t="s">
        <v>320</v>
      </c>
      <c r="H29" s="127"/>
      <c r="I29" s="62">
        <f>ROUND(SUM(F28:F29)+I28,0)</f>
        <v>0</v>
      </c>
      <c r="J29" s="28"/>
    </row>
    <row r="30" spans="1:9" ht="12.75">
      <c r="A30" s="50"/>
      <c r="B30" s="50"/>
      <c r="C30" s="50"/>
      <c r="D30" s="50"/>
      <c r="E30" s="50"/>
      <c r="F30" s="50"/>
      <c r="G30" s="50"/>
      <c r="H30" s="50"/>
      <c r="I30" s="50"/>
    </row>
    <row r="31" spans="1:10" ht="14.25" customHeight="1">
      <c r="A31" s="128" t="s">
        <v>293</v>
      </c>
      <c r="B31" s="129"/>
      <c r="C31" s="130"/>
      <c r="D31" s="128" t="s">
        <v>306</v>
      </c>
      <c r="E31" s="129"/>
      <c r="F31" s="130"/>
      <c r="G31" s="128" t="s">
        <v>321</v>
      </c>
      <c r="H31" s="129"/>
      <c r="I31" s="130"/>
      <c r="J31" s="29"/>
    </row>
    <row r="32" spans="1:10" ht="14.25" customHeight="1">
      <c r="A32" s="131"/>
      <c r="B32" s="132"/>
      <c r="C32" s="133"/>
      <c r="D32" s="131"/>
      <c r="E32" s="132"/>
      <c r="F32" s="133"/>
      <c r="G32" s="131"/>
      <c r="H32" s="132"/>
      <c r="I32" s="133"/>
      <c r="J32" s="29"/>
    </row>
    <row r="33" spans="1:10" ht="14.25" customHeight="1">
      <c r="A33" s="131"/>
      <c r="B33" s="132"/>
      <c r="C33" s="133"/>
      <c r="D33" s="131"/>
      <c r="E33" s="132"/>
      <c r="F33" s="133"/>
      <c r="G33" s="131"/>
      <c r="H33" s="132"/>
      <c r="I33" s="133"/>
      <c r="J33" s="29"/>
    </row>
    <row r="34" spans="1:10" ht="14.25" customHeight="1">
      <c r="A34" s="131"/>
      <c r="B34" s="132"/>
      <c r="C34" s="133"/>
      <c r="D34" s="131"/>
      <c r="E34" s="132"/>
      <c r="F34" s="133"/>
      <c r="G34" s="131"/>
      <c r="H34" s="132"/>
      <c r="I34" s="133"/>
      <c r="J34" s="29"/>
    </row>
    <row r="35" spans="1:10" ht="14.25" customHeight="1">
      <c r="A35" s="134" t="s">
        <v>294</v>
      </c>
      <c r="B35" s="135"/>
      <c r="C35" s="136"/>
      <c r="D35" s="134" t="s">
        <v>294</v>
      </c>
      <c r="E35" s="135"/>
      <c r="F35" s="136"/>
      <c r="G35" s="134" t="s">
        <v>294</v>
      </c>
      <c r="H35" s="135"/>
      <c r="I35" s="136"/>
      <c r="J35" s="29"/>
    </row>
    <row r="36" spans="1:9" ht="11.25" customHeight="1">
      <c r="A36" s="51" t="s">
        <v>42</v>
      </c>
      <c r="B36" s="53"/>
      <c r="C36" s="53"/>
      <c r="D36" s="53"/>
      <c r="E36" s="53"/>
      <c r="F36" s="53"/>
      <c r="G36" s="53"/>
      <c r="H36" s="53"/>
      <c r="I36" s="53"/>
    </row>
    <row r="37" spans="1:9" ht="25.5" customHeight="1">
      <c r="A37" s="77" t="s">
        <v>43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Nykodým</dc:creator>
  <cp:keywords/>
  <dc:description/>
  <cp:lastModifiedBy>František Nykodým</cp:lastModifiedBy>
  <dcterms:created xsi:type="dcterms:W3CDTF">2019-11-04T18:26:35Z</dcterms:created>
  <dcterms:modified xsi:type="dcterms:W3CDTF">2019-11-04T18:26:35Z</dcterms:modified>
  <cp:category/>
  <cp:version/>
  <cp:contentType/>
  <cp:contentStatus/>
</cp:coreProperties>
</file>