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4"/>
  </bookViews>
  <sheets>
    <sheet name="Krycí list rozpočtu" sheetId="1" r:id="rId1"/>
    <sheet name="Stavební rozpočet" sheetId="2" r:id="rId2"/>
    <sheet name="Stavební rozpočet - součet" sheetId="3" r:id="rId3"/>
    <sheet name="Výkaz výměr" sheetId="4" r:id="rId4"/>
    <sheet name="Harmonogram" sheetId="5" r:id="rId5"/>
  </sheets>
  <definedNames/>
  <calcPr fullCalcOnLoad="1"/>
</workbook>
</file>

<file path=xl/sharedStrings.xml><?xml version="1.0" encoding="utf-8"?>
<sst xmlns="http://schemas.openxmlformats.org/spreadsheetml/2006/main" count="505" uniqueCount="278">
  <si>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</si>
  <si>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</si>
  <si>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</si>
  <si>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</si>
  <si>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</si>
  <si>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</si>
  <si>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</si>
  <si>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</si>
  <si>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</si>
  <si>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</si>
  <si>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</si>
  <si>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</si>
  <si>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</si>
  <si>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</si>
  <si>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</si>
  <si>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</si>
  <si>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</si>
  <si>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</si>
  <si>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</si>
  <si>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</si>
  <si>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</si>
  <si>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</si>
  <si>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</si>
  <si>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</si>
  <si>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</si>
  <si>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</si>
  <si>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</si>
  <si>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</si>
  <si>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</si>
  <si>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</si>
  <si>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</si>
  <si>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</si>
  <si>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</si>
  <si>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</si>
  <si>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</si>
  <si>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</si>
  <si>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</si>
  <si>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</si>
  <si>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</si>
  <si>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</si>
  <si>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</si>
  <si>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</si>
  <si>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</si>
  <si>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</si>
  <si>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</si>
  <si>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</si>
  <si>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</si>
  <si>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</si>
  <si>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</si>
  <si>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</si>
  <si>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</si>
  <si>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Objekt</t>
  </si>
  <si>
    <t>Kód</t>
  </si>
  <si>
    <t>210VD</t>
  </si>
  <si>
    <t>210001VD</t>
  </si>
  <si>
    <t>340238211RT2</t>
  </si>
  <si>
    <t>342256252R00</t>
  </si>
  <si>
    <t>346244351RT3</t>
  </si>
  <si>
    <t>61</t>
  </si>
  <si>
    <t>612100032RAA</t>
  </si>
  <si>
    <t>633VD</t>
  </si>
  <si>
    <t>633001VD</t>
  </si>
  <si>
    <t>64</t>
  </si>
  <si>
    <t>642942111RT2</t>
  </si>
  <si>
    <t>713</t>
  </si>
  <si>
    <t>713111130R00</t>
  </si>
  <si>
    <t>721</t>
  </si>
  <si>
    <t>721211506R00</t>
  </si>
  <si>
    <t>721211502R00</t>
  </si>
  <si>
    <t>725</t>
  </si>
  <si>
    <t>725290010RA0</t>
  </si>
  <si>
    <t>725290020RA0</t>
  </si>
  <si>
    <t>725017161R00</t>
  </si>
  <si>
    <t>725034111R00</t>
  </si>
  <si>
    <t>725035211R00</t>
  </si>
  <si>
    <t>725122111R00</t>
  </si>
  <si>
    <t>725334301R00</t>
  </si>
  <si>
    <t>725823633RT1</t>
  </si>
  <si>
    <t>725005VD</t>
  </si>
  <si>
    <t>735</t>
  </si>
  <si>
    <t>735VD</t>
  </si>
  <si>
    <t>766</t>
  </si>
  <si>
    <t>766662112R00</t>
  </si>
  <si>
    <t>767</t>
  </si>
  <si>
    <t>767586203RV2</t>
  </si>
  <si>
    <t>781</t>
  </si>
  <si>
    <t>781900010RA0</t>
  </si>
  <si>
    <t>781491001RT1</t>
  </si>
  <si>
    <t>781475115R00</t>
  </si>
  <si>
    <t>783</t>
  </si>
  <si>
    <t>783220010RAC</t>
  </si>
  <si>
    <t>784</t>
  </si>
  <si>
    <t>784450020RA0</t>
  </si>
  <si>
    <t>94</t>
  </si>
  <si>
    <t>941955002R00</t>
  </si>
  <si>
    <t>96</t>
  </si>
  <si>
    <t>962031132R00</t>
  </si>
  <si>
    <t>968061125R00</t>
  </si>
  <si>
    <t>968072455R00</t>
  </si>
  <si>
    <t>965043441RT4</t>
  </si>
  <si>
    <t>965081713RT2</t>
  </si>
  <si>
    <t>969021121R00</t>
  </si>
  <si>
    <t>97</t>
  </si>
  <si>
    <t>973031843R00</t>
  </si>
  <si>
    <t>978013141R00</t>
  </si>
  <si>
    <t>H</t>
  </si>
  <si>
    <t>979082111R00</t>
  </si>
  <si>
    <t>979011211R00</t>
  </si>
  <si>
    <t>979011219R00</t>
  </si>
  <si>
    <t>979087311R00</t>
  </si>
  <si>
    <t>998011002R00</t>
  </si>
  <si>
    <t>979981104R00</t>
  </si>
  <si>
    <t>H72</t>
  </si>
  <si>
    <t>720000VD</t>
  </si>
  <si>
    <t>61162101</t>
  </si>
  <si>
    <t>Stavební opravy hygienického zařízení GMK</t>
  </si>
  <si>
    <t>Zkrácený popis</t>
  </si>
  <si>
    <t>Elektromontáže</t>
  </si>
  <si>
    <t>Elektroinstalace vč. pomocných zednických prací</t>
  </si>
  <si>
    <t>Stěny a příčky</t>
  </si>
  <si>
    <t>Zazdívka otvorů, cihlami tl.zdi 10 cm</t>
  </si>
  <si>
    <t>Obezdívka předsazené instalace</t>
  </si>
  <si>
    <t>Úprava povrchů vnitřní</t>
  </si>
  <si>
    <t>Oprava omítek stěn vnitřních vápenocem. štukových</t>
  </si>
  <si>
    <t>Úprava povrchů podlahy</t>
  </si>
  <si>
    <t>Výplně otvorů</t>
  </si>
  <si>
    <t>Osazení zárubní dveřních ocelových, pl. do 2,5 m2, š. 60cm</t>
  </si>
  <si>
    <t>Izolace tepelné</t>
  </si>
  <si>
    <t>Vnitřní kanalizace</t>
  </si>
  <si>
    <t>Závěsný modul pro pisoár</t>
  </si>
  <si>
    <t>Zařizovací předměty</t>
  </si>
  <si>
    <t>Demontáž klozetu včetně splachovací nádrže</t>
  </si>
  <si>
    <t>Demontáž umyvadla včetně baterie a konzol</t>
  </si>
  <si>
    <t>Pisoár závěsný</t>
  </si>
  <si>
    <t>Výlevka závěsná</t>
  </si>
  <si>
    <t>Baterie umyvadlová stojánková</t>
  </si>
  <si>
    <t>Vybavení hygienických zařízení</t>
  </si>
  <si>
    <t>Otopná tělesa</t>
  </si>
  <si>
    <t>Dodávka a montáž ústředního vytápění</t>
  </si>
  <si>
    <t>Konstrukce truhlářské</t>
  </si>
  <si>
    <t>Montáž dveří do zárubně 1kříd. š.do 80 cm</t>
  </si>
  <si>
    <t>Konstrukce doplňkové stavební (zámečnické)</t>
  </si>
  <si>
    <t>Podhled minerální OWA</t>
  </si>
  <si>
    <t>Obklady (keramické)</t>
  </si>
  <si>
    <t>Odsekání obkladů vnitřních</t>
  </si>
  <si>
    <t>Montáž lišt k obkladům</t>
  </si>
  <si>
    <t>Obklad vnitřní stěn keramický, do tmele vč. dodávky obkladů</t>
  </si>
  <si>
    <t>Nátěry</t>
  </si>
  <si>
    <t>Nátěr kovových zárubní</t>
  </si>
  <si>
    <t>Malby</t>
  </si>
  <si>
    <t>Lešení a stavební výtahy</t>
  </si>
  <si>
    <t>Lešení lehké pomocné, výška podlahy do 1,9 m</t>
  </si>
  <si>
    <t>Bourání konstrukcí</t>
  </si>
  <si>
    <t>Bourání příček cihelných tl. 10 cm</t>
  </si>
  <si>
    <t>Vyvěšení dřevěných dveřních křídel pl. do 2 m2</t>
  </si>
  <si>
    <t>Vybourání kovových dveřních zárubní pl. do 2 m2</t>
  </si>
  <si>
    <t>Bourání podkladů bet., potěr tl. 15 cm, nad 4 m2</t>
  </si>
  <si>
    <t>Bourání dlaždic keramických tl. 1 cm, nad 1 m2</t>
  </si>
  <si>
    <t>Vybourání kanalizačního potrubí DN do 200 mm</t>
  </si>
  <si>
    <t>Prorážení otvorů a ostatní bourací práce</t>
  </si>
  <si>
    <t>Vysekání kapes pro zavázání příček tl. 15 cm, MC</t>
  </si>
  <si>
    <t>Otlučení omítek vnitřních stěn v rozsahu do 30 %</t>
  </si>
  <si>
    <t>Přesuny sutí</t>
  </si>
  <si>
    <t>Vnitrostaveništní doprava suti do 10 m</t>
  </si>
  <si>
    <t>Svislá doprava suti a vybour. hmot za 2.NP nošením</t>
  </si>
  <si>
    <t>Přípl.k svislé dopr.suti za každé další NP nošením</t>
  </si>
  <si>
    <t>Vodorovné přemístění suti nošením do 10 m</t>
  </si>
  <si>
    <t>Přesun hmot pro budovy zděné výšky do 12 m</t>
  </si>
  <si>
    <t>Kontejner, suť bez příměsí, odvoz a likvidace, 9 t</t>
  </si>
  <si>
    <t>Zdravotně technické instalace</t>
  </si>
  <si>
    <t>Zdravotechnická instalce</t>
  </si>
  <si>
    <t>Ostatní materiál</t>
  </si>
  <si>
    <t>Dveře vnitřní fóliované plné 1kř.60x197 cm</t>
  </si>
  <si>
    <t>Doba výstavby:</t>
  </si>
  <si>
    <t>Začátek výstavby:</t>
  </si>
  <si>
    <t>Konec výstavby:</t>
  </si>
  <si>
    <t>Zpracováno dne:</t>
  </si>
  <si>
    <t>M.j.</t>
  </si>
  <si>
    <t>kpl</t>
  </si>
  <si>
    <t>m2</t>
  </si>
  <si>
    <t>kus</t>
  </si>
  <si>
    <t>soubor</t>
  </si>
  <si>
    <t>m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</si>
  <si>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</si>
  <si>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</si>
  <si>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</si>
  <si>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</si>
  <si>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</si>
  <si>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</si>
  <si>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</si>
  <si>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</si>
  <si>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</si>
  <si>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</si>
  <si>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</si>
  <si>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</si>
  <si>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</si>
  <si>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</si>
  <si>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</si>
  <si>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</si>
  <si>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</si>
  <si>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</si>
  <si>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</si>
  <si>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</si>
  <si>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</si>
  <si>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</si>
  <si>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</si>
  <si>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</si>
  <si>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</si>
  <si>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</si>
  <si>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</si>
  <si>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</si>
  <si>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</si>
  <si>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</si>
  <si>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</si>
  <si>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</si>
  <si>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</si>
  <si>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</si>
  <si>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</si>
  <si>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</si>
  <si>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</si>
  <si>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Varianta</t>
  </si>
  <si>
    <t>Harmonogram</t>
  </si>
  <si>
    <t>Nh</t>
  </si>
  <si>
    <t>Zdroje</t>
  </si>
  <si>
    <t>Trvání</t>
  </si>
  <si>
    <t>Začátek</t>
  </si>
  <si>
    <t>Konec</t>
  </si>
  <si>
    <t>Rozpočet (Kč)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</si>
  <si>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</si>
  <si>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</si>
  <si>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</si>
  <si>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</si>
  <si>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</si>
  <si>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</si>
  <si>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</si>
  <si>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</si>
  <si>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</si>
  <si>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</si>
  <si>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</si>
  <si>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</si>
  <si>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</si>
  <si>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</si>
  <si>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</si>
  <si>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</si>
  <si>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</si>
  <si>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</si>
  <si>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</si>
  <si>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</si>
  <si>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</si>
  <si>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</si>
  <si>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</si>
  <si>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</si>
  <si>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</si>
  <si>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</si>
  <si>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</si>
  <si>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</si>
  <si>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</si>
  <si>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</si>
  <si>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</si>
  <si>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</si>
  <si>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</si>
  <si>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</si>
  <si>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</si>
  <si>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</si>
  <si>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</si>
  <si>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</si>
  <si>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</si>
  <si>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Gymnáziu Mikuláše Koperníka, Bílovec, příspěvková organizace</t>
  </si>
  <si>
    <t>00601667/CZ00601667</t>
  </si>
  <si>
    <t>Příčka z tvárnic porobetonových tl.  75 mm</t>
  </si>
  <si>
    <t xml:space="preserve">Litá podlaha </t>
  </si>
  <si>
    <t>Izolace tepelné stropů, tl. 50 mm</t>
  </si>
  <si>
    <t xml:space="preserve">Závěsný modul klozetu </t>
  </si>
  <si>
    <t>Umyvadlo na šrouby cca 50 x 41 cm, bílé</t>
  </si>
  <si>
    <t>Klozet závěsný + sedátko, bílý</t>
  </si>
  <si>
    <t>Bidet závěsný, bílý, 1 otvor pro baterii</t>
  </si>
  <si>
    <t>Malba ze směsi, penetrace 1x, bílá 2x</t>
  </si>
  <si>
    <t>Gymnázium Mikuláše Koperníka, Bílovec. příspěvková organizace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</si>
</sst>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0" fillId="0" borderId="28" xfId="0" applyNumberFormat="1" applyFont="1" applyFill="1" applyBorder="1" applyAlignment="1" applyProtection="1">
      <alignment horizontal="right" vertical="center"/>
      <protection/>
    </xf>
    <xf numFmtId="0" fontId="9" fillId="33" borderId="33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45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49" fontId="9" fillId="33" borderId="48" xfId="0" applyNumberFormat="1" applyFont="1" applyFill="1" applyBorder="1" applyAlignment="1" applyProtection="1">
      <alignment horizontal="left" vertical="center"/>
      <protection/>
    </xf>
    <xf numFmtId="0" fontId="9" fillId="33" borderId="31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4" sqref="C4:D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6" t="s">
        <v>228</v>
      </c>
      <c r="B1" s="107"/>
      <c r="C1" s="107"/>
      <c r="D1" s="107"/>
      <c r="E1" s="107"/>
      <c r="F1" s="107"/>
      <c r="G1" s="107"/>
      <c r="H1" s="107"/>
      <c r="I1" s="107"/>
    </row>
    <row r="2" spans="1:10" ht="12.75">
      <c r="A2" s="77" t="s">
        <v>1</v>
      </c>
      <c r="B2" s="70"/>
      <c r="C2" s="112" t="s">
        <v>115</v>
      </c>
      <c r="D2" s="113"/>
      <c r="E2" s="66" t="s">
        <v>191</v>
      </c>
      <c r="F2" s="109" t="s">
        <v>267</v>
      </c>
      <c r="G2" s="110"/>
      <c r="H2" s="66" t="s">
        <v>263</v>
      </c>
      <c r="I2" s="99" t="s">
        <v>268</v>
      </c>
      <c r="J2" s="24"/>
    </row>
    <row r="3" spans="1:10" ht="12.75">
      <c r="A3" s="78"/>
      <c r="B3" s="67"/>
      <c r="C3" s="114"/>
      <c r="D3" s="114"/>
      <c r="E3" s="67"/>
      <c r="F3" s="111"/>
      <c r="G3" s="111"/>
      <c r="H3" s="67"/>
      <c r="I3" s="72"/>
      <c r="J3" s="24"/>
    </row>
    <row r="4" spans="1:10" ht="12.75">
      <c r="A4" s="79" t="s">
        <v>2</v>
      </c>
      <c r="B4" s="67"/>
      <c r="C4" s="68"/>
      <c r="D4" s="67"/>
      <c r="E4" s="68" t="s">
        <v>192</v>
      </c>
      <c r="F4" s="68"/>
      <c r="G4" s="67"/>
      <c r="H4" s="68" t="s">
        <v>263</v>
      </c>
      <c r="I4" s="100"/>
      <c r="J4" s="24"/>
    </row>
    <row r="5" spans="1:10" ht="12.75">
      <c r="A5" s="78"/>
      <c r="B5" s="67"/>
      <c r="C5" s="67"/>
      <c r="D5" s="67"/>
      <c r="E5" s="67"/>
      <c r="F5" s="67"/>
      <c r="G5" s="67"/>
      <c r="H5" s="67"/>
      <c r="I5" s="72"/>
      <c r="J5" s="24"/>
    </row>
    <row r="6" spans="1:10" ht="12.75">
      <c r="A6" s="79" t="s">
        <v>3</v>
      </c>
      <c r="B6" s="67"/>
      <c r="C6" s="68"/>
      <c r="D6" s="67"/>
      <c r="E6" s="68" t="s">
        <v>193</v>
      </c>
      <c r="F6" s="68"/>
      <c r="G6" s="67"/>
      <c r="H6" s="68" t="s">
        <v>263</v>
      </c>
      <c r="I6" s="100"/>
      <c r="J6" s="24"/>
    </row>
    <row r="7" spans="1:10" ht="12.75">
      <c r="A7" s="78"/>
      <c r="B7" s="67"/>
      <c r="C7" s="67"/>
      <c r="D7" s="67"/>
      <c r="E7" s="67"/>
      <c r="F7" s="67"/>
      <c r="G7" s="67"/>
      <c r="H7" s="67"/>
      <c r="I7" s="72"/>
      <c r="J7" s="24"/>
    </row>
    <row r="8" spans="1:10" ht="12.75">
      <c r="A8" s="79" t="s">
        <v>174</v>
      </c>
      <c r="B8" s="67"/>
      <c r="C8" s="74">
        <v>42480</v>
      </c>
      <c r="D8" s="67"/>
      <c r="E8" s="68" t="s">
        <v>175</v>
      </c>
      <c r="F8" s="67"/>
      <c r="G8" s="67"/>
      <c r="H8" s="68" t="s">
        <v>264</v>
      </c>
      <c r="I8" s="100" t="s">
        <v>50</v>
      </c>
      <c r="J8" s="24"/>
    </row>
    <row r="9" spans="1:10" ht="12.75">
      <c r="A9" s="78"/>
      <c r="B9" s="67"/>
      <c r="C9" s="67"/>
      <c r="D9" s="67"/>
      <c r="E9" s="67"/>
      <c r="F9" s="67"/>
      <c r="G9" s="67"/>
      <c r="H9" s="67"/>
      <c r="I9" s="72"/>
      <c r="J9" s="24"/>
    </row>
    <row r="10" spans="1:10" ht="12.75">
      <c r="A10" s="79" t="s">
        <v>4</v>
      </c>
      <c r="B10" s="67"/>
      <c r="C10" s="68"/>
      <c r="D10" s="67"/>
      <c r="E10" s="68" t="s">
        <v>194</v>
      </c>
      <c r="F10" s="68"/>
      <c r="G10" s="67"/>
      <c r="H10" s="68" t="s">
        <v>265</v>
      </c>
      <c r="I10" s="101">
        <v>42480</v>
      </c>
      <c r="J10" s="24"/>
    </row>
    <row r="11" spans="1:10" ht="12.75">
      <c r="A11" s="108"/>
      <c r="B11" s="105"/>
      <c r="C11" s="105"/>
      <c r="D11" s="105"/>
      <c r="E11" s="105"/>
      <c r="F11" s="105"/>
      <c r="G11" s="105"/>
      <c r="H11" s="105"/>
      <c r="I11" s="102"/>
      <c r="J11" s="24"/>
    </row>
    <row r="12" spans="1:9" ht="23.25" customHeight="1">
      <c r="A12" s="103" t="s">
        <v>229</v>
      </c>
      <c r="B12" s="104"/>
      <c r="C12" s="104"/>
      <c r="D12" s="104"/>
      <c r="E12" s="104"/>
      <c r="F12" s="104"/>
      <c r="G12" s="104"/>
      <c r="H12" s="104"/>
      <c r="I12" s="104"/>
    </row>
    <row r="13" spans="1:10" ht="26.25" customHeight="1">
      <c r="A13" s="47" t="s">
        <v>230</v>
      </c>
      <c r="B13" s="97" t="s">
        <v>241</v>
      </c>
      <c r="C13" s="98"/>
      <c r="D13" s="47" t="s">
        <v>243</v>
      </c>
      <c r="E13" s="97" t="s">
        <v>251</v>
      </c>
      <c r="F13" s="98"/>
      <c r="G13" s="47" t="s">
        <v>252</v>
      </c>
      <c r="H13" s="97" t="s">
        <v>266</v>
      </c>
      <c r="I13" s="98"/>
      <c r="J13" s="24"/>
    </row>
    <row r="14" spans="1:10" ht="15" customHeight="1">
      <c r="A14" s="48" t="s">
        <v>231</v>
      </c>
      <c r="B14" s="52" t="s">
        <v>242</v>
      </c>
      <c r="C14" s="53"/>
      <c r="D14" s="93" t="s">
        <v>244</v>
      </c>
      <c r="E14" s="94"/>
      <c r="F14" s="53"/>
      <c r="G14" s="93" t="s">
        <v>253</v>
      </c>
      <c r="H14" s="94"/>
      <c r="I14" s="53"/>
      <c r="J14" s="24"/>
    </row>
    <row r="15" spans="1:10" ht="15" customHeight="1">
      <c r="A15" s="49"/>
      <c r="B15" s="52" t="s">
        <v>195</v>
      </c>
      <c r="C15" s="53"/>
      <c r="D15" s="93" t="s">
        <v>245</v>
      </c>
      <c r="E15" s="94"/>
      <c r="F15" s="53"/>
      <c r="G15" s="93" t="s">
        <v>254</v>
      </c>
      <c r="H15" s="94"/>
      <c r="I15" s="53"/>
      <c r="J15" s="24"/>
    </row>
    <row r="16" spans="1:10" ht="15" customHeight="1">
      <c r="A16" s="48" t="s">
        <v>232</v>
      </c>
      <c r="B16" s="52" t="s">
        <v>242</v>
      </c>
      <c r="C16" s="53"/>
      <c r="D16" s="93" t="s">
        <v>246</v>
      </c>
      <c r="E16" s="94"/>
      <c r="F16" s="53"/>
      <c r="G16" s="93" t="s">
        <v>255</v>
      </c>
      <c r="H16" s="94"/>
      <c r="I16" s="53"/>
      <c r="J16" s="24"/>
    </row>
    <row r="17" spans="1:10" ht="15" customHeight="1">
      <c r="A17" s="49"/>
      <c r="B17" s="52" t="s">
        <v>195</v>
      </c>
      <c r="C17" s="53"/>
      <c r="D17" s="93"/>
      <c r="E17" s="94"/>
      <c r="F17" s="56"/>
      <c r="G17" s="93" t="s">
        <v>256</v>
      </c>
      <c r="H17" s="94"/>
      <c r="I17" s="53"/>
      <c r="J17" s="24"/>
    </row>
    <row r="18" spans="1:10" ht="15" customHeight="1">
      <c r="A18" s="48" t="s">
        <v>233</v>
      </c>
      <c r="B18" s="52" t="s">
        <v>242</v>
      </c>
      <c r="C18" s="53"/>
      <c r="D18" s="93"/>
      <c r="E18" s="94"/>
      <c r="F18" s="56"/>
      <c r="G18" s="93" t="s">
        <v>257</v>
      </c>
      <c r="H18" s="94"/>
      <c r="I18" s="53"/>
      <c r="J18" s="24"/>
    </row>
    <row r="19" spans="1:10" ht="15" customHeight="1">
      <c r="A19" s="49"/>
      <c r="B19" s="52" t="s">
        <v>195</v>
      </c>
      <c r="C19" s="53"/>
      <c r="D19" s="93"/>
      <c r="E19" s="94"/>
      <c r="F19" s="56"/>
      <c r="G19" s="93" t="s">
        <v>258</v>
      </c>
      <c r="H19" s="94"/>
      <c r="I19" s="53"/>
      <c r="J19" s="24"/>
    </row>
    <row r="20" spans="1:10" ht="15" customHeight="1">
      <c r="A20" s="95" t="s">
        <v>171</v>
      </c>
      <c r="B20" s="96"/>
      <c r="C20" s="53"/>
      <c r="D20" s="93"/>
      <c r="E20" s="94"/>
      <c r="F20" s="56"/>
      <c r="G20" s="93"/>
      <c r="H20" s="94"/>
      <c r="I20" s="56"/>
      <c r="J20" s="24"/>
    </row>
    <row r="21" spans="1:10" ht="15" customHeight="1">
      <c r="A21" s="95" t="s">
        <v>234</v>
      </c>
      <c r="B21" s="96"/>
      <c r="C21" s="53"/>
      <c r="D21" s="93"/>
      <c r="E21" s="94"/>
      <c r="F21" s="56"/>
      <c r="G21" s="93"/>
      <c r="H21" s="94"/>
      <c r="I21" s="56"/>
      <c r="J21" s="24"/>
    </row>
    <row r="22" spans="1:10" ht="16.5" customHeight="1">
      <c r="A22" s="95" t="s">
        <v>235</v>
      </c>
      <c r="B22" s="96"/>
      <c r="C22" s="53"/>
      <c r="D22" s="95" t="s">
        <v>247</v>
      </c>
      <c r="E22" s="96"/>
      <c r="F22" s="53"/>
      <c r="G22" s="95" t="s">
        <v>259</v>
      </c>
      <c r="H22" s="96"/>
      <c r="I22" s="53"/>
      <c r="J22" s="24"/>
    </row>
    <row r="23" spans="1:9" ht="12.75">
      <c r="A23" s="50"/>
      <c r="B23" s="50"/>
      <c r="C23" s="50"/>
      <c r="D23" s="7"/>
      <c r="E23" s="7"/>
      <c r="F23" s="7"/>
      <c r="G23" s="7"/>
      <c r="H23" s="7"/>
      <c r="I23" s="7"/>
    </row>
    <row r="24" spans="1:9" ht="15" customHeight="1">
      <c r="A24" s="91" t="s">
        <v>236</v>
      </c>
      <c r="B24" s="92"/>
      <c r="C24" s="54"/>
      <c r="D24" s="55"/>
      <c r="E24" s="18"/>
      <c r="F24" s="18"/>
      <c r="G24" s="18"/>
      <c r="H24" s="18"/>
      <c r="I24" s="18"/>
    </row>
    <row r="25" spans="1:10" ht="15" customHeight="1">
      <c r="A25" s="91" t="s">
        <v>237</v>
      </c>
      <c r="B25" s="92"/>
      <c r="C25" s="54"/>
      <c r="D25" s="91" t="s">
        <v>248</v>
      </c>
      <c r="E25" s="92"/>
      <c r="F25" s="54"/>
      <c r="G25" s="91" t="s">
        <v>260</v>
      </c>
      <c r="H25" s="92"/>
      <c r="I25" s="54"/>
      <c r="J25" s="24"/>
    </row>
    <row r="26" spans="1:10" ht="15" customHeight="1">
      <c r="A26" s="91" t="s">
        <v>238</v>
      </c>
      <c r="B26" s="92"/>
      <c r="C26" s="54"/>
      <c r="D26" s="91" t="s">
        <v>249</v>
      </c>
      <c r="E26" s="92"/>
      <c r="F26" s="54"/>
      <c r="G26" s="91" t="s">
        <v>261</v>
      </c>
      <c r="H26" s="92"/>
      <c r="I26" s="54"/>
      <c r="J26" s="24"/>
    </row>
    <row r="27" spans="1:9" ht="12.75">
      <c r="A27" s="51"/>
      <c r="B27" s="51"/>
      <c r="C27" s="51"/>
      <c r="D27" s="51"/>
      <c r="E27" s="51"/>
      <c r="F27" s="51"/>
      <c r="G27" s="51"/>
      <c r="H27" s="51"/>
      <c r="I27" s="51"/>
    </row>
    <row r="28" spans="1:10" ht="14.25" customHeight="1">
      <c r="A28" s="88" t="s">
        <v>239</v>
      </c>
      <c r="B28" s="89"/>
      <c r="C28" s="90"/>
      <c r="D28" s="88" t="s">
        <v>250</v>
      </c>
      <c r="E28" s="89"/>
      <c r="F28" s="90"/>
      <c r="G28" s="88" t="s">
        <v>262</v>
      </c>
      <c r="H28" s="89"/>
      <c r="I28" s="90"/>
      <c r="J28" s="25"/>
    </row>
    <row r="29" spans="1:10" ht="14.25" customHeight="1">
      <c r="A29" s="82"/>
      <c r="B29" s="83"/>
      <c r="C29" s="84"/>
      <c r="D29" s="82"/>
      <c r="E29" s="83"/>
      <c r="F29" s="84"/>
      <c r="G29" s="82"/>
      <c r="H29" s="83"/>
      <c r="I29" s="84"/>
      <c r="J29" s="25"/>
    </row>
    <row r="30" spans="1:10" ht="14.25" customHeight="1">
      <c r="A30" s="82"/>
      <c r="B30" s="83"/>
      <c r="C30" s="84"/>
      <c r="D30" s="82"/>
      <c r="E30" s="83"/>
      <c r="F30" s="84"/>
      <c r="G30" s="82"/>
      <c r="H30" s="83"/>
      <c r="I30" s="84"/>
      <c r="J30" s="25"/>
    </row>
    <row r="31" spans="1:10" ht="14.25" customHeight="1">
      <c r="A31" s="82"/>
      <c r="B31" s="83"/>
      <c r="C31" s="84"/>
      <c r="D31" s="82"/>
      <c r="E31" s="83"/>
      <c r="F31" s="84"/>
      <c r="G31" s="82"/>
      <c r="H31" s="83"/>
      <c r="I31" s="84"/>
      <c r="J31" s="25"/>
    </row>
    <row r="32" spans="1:10" ht="14.25" customHeight="1">
      <c r="A32" s="85" t="s">
        <v>240</v>
      </c>
      <c r="B32" s="86"/>
      <c r="C32" s="87"/>
      <c r="D32" s="85" t="s">
        <v>240</v>
      </c>
      <c r="E32" s="86"/>
      <c r="F32" s="87"/>
      <c r="G32" s="85" t="s">
        <v>240</v>
      </c>
      <c r="H32" s="86"/>
      <c r="I32" s="87"/>
      <c r="J32" s="25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D25:E25"/>
    <mergeCell ref="D26:E26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A30:C30"/>
    <mergeCell ref="A31:C31"/>
    <mergeCell ref="A32:C3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6"/>
  <sheetViews>
    <sheetView zoomScalePageLayoutView="0" workbookViewId="0" topLeftCell="A7">
      <selection activeCell="D53" sqref="D53:G53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50.71093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>
      <c r="A2" s="77" t="s">
        <v>1</v>
      </c>
      <c r="B2" s="70"/>
      <c r="C2" s="70"/>
      <c r="D2" s="59" t="s">
        <v>115</v>
      </c>
      <c r="E2" s="66" t="s">
        <v>173</v>
      </c>
      <c r="F2" s="70"/>
      <c r="G2" s="66"/>
      <c r="H2" s="70"/>
      <c r="I2" s="66" t="s">
        <v>191</v>
      </c>
      <c r="J2" s="66"/>
      <c r="K2" s="70"/>
      <c r="L2" s="71"/>
      <c r="M2" s="24"/>
    </row>
    <row r="3" spans="1:13" ht="12.75">
      <c r="A3" s="78"/>
      <c r="B3" s="67"/>
      <c r="C3" s="67"/>
      <c r="D3" s="81"/>
      <c r="E3" s="67"/>
      <c r="F3" s="67"/>
      <c r="G3" s="67"/>
      <c r="H3" s="67"/>
      <c r="I3" s="67"/>
      <c r="J3" s="67"/>
      <c r="K3" s="67"/>
      <c r="L3" s="72"/>
      <c r="M3" s="24"/>
    </row>
    <row r="4" spans="1:13" ht="12.75">
      <c r="A4" s="79" t="s">
        <v>2</v>
      </c>
      <c r="B4" s="67"/>
      <c r="C4" s="67"/>
      <c r="D4" s="68"/>
      <c r="E4" s="68" t="s">
        <v>174</v>
      </c>
      <c r="F4" s="67"/>
      <c r="G4" s="74">
        <v>42480</v>
      </c>
      <c r="H4" s="67"/>
      <c r="I4" s="68" t="s">
        <v>192</v>
      </c>
      <c r="J4" s="68"/>
      <c r="K4" s="67"/>
      <c r="L4" s="72"/>
      <c r="M4" s="24"/>
    </row>
    <row r="5" spans="1:13" ht="12.75">
      <c r="A5" s="78"/>
      <c r="B5" s="67"/>
      <c r="C5" s="67"/>
      <c r="D5" s="67"/>
      <c r="E5" s="67"/>
      <c r="F5" s="67"/>
      <c r="G5" s="67"/>
      <c r="H5" s="67"/>
      <c r="I5" s="67"/>
      <c r="J5" s="67"/>
      <c r="K5" s="67"/>
      <c r="L5" s="72"/>
      <c r="M5" s="24"/>
    </row>
    <row r="6" spans="1:13" ht="12.75">
      <c r="A6" s="79" t="s">
        <v>3</v>
      </c>
      <c r="B6" s="67"/>
      <c r="C6" s="67"/>
      <c r="D6" s="68"/>
      <c r="E6" s="68" t="s">
        <v>175</v>
      </c>
      <c r="F6" s="67"/>
      <c r="G6" s="67"/>
      <c r="H6" s="67"/>
      <c r="I6" s="68" t="s">
        <v>193</v>
      </c>
      <c r="J6" s="68"/>
      <c r="K6" s="67"/>
      <c r="L6" s="72"/>
      <c r="M6" s="24"/>
    </row>
    <row r="7" spans="1:13" ht="12.75">
      <c r="A7" s="78"/>
      <c r="B7" s="67"/>
      <c r="C7" s="67"/>
      <c r="D7" s="67"/>
      <c r="E7" s="67"/>
      <c r="F7" s="67"/>
      <c r="G7" s="67"/>
      <c r="H7" s="67"/>
      <c r="I7" s="67"/>
      <c r="J7" s="67"/>
      <c r="K7" s="67"/>
      <c r="L7" s="72"/>
      <c r="M7" s="24"/>
    </row>
    <row r="8" spans="1:13" ht="12.75">
      <c r="A8" s="79" t="s">
        <v>4</v>
      </c>
      <c r="B8" s="67"/>
      <c r="C8" s="67"/>
      <c r="D8" s="68"/>
      <c r="E8" s="68" t="s">
        <v>176</v>
      </c>
      <c r="F8" s="67"/>
      <c r="G8" s="74">
        <v>42480</v>
      </c>
      <c r="H8" s="67"/>
      <c r="I8" s="68" t="s">
        <v>194</v>
      </c>
      <c r="J8" s="68"/>
      <c r="K8" s="67"/>
      <c r="L8" s="72"/>
      <c r="M8" s="24"/>
    </row>
    <row r="9" spans="1:13" ht="12.75">
      <c r="A9" s="80"/>
      <c r="B9" s="69"/>
      <c r="C9" s="69"/>
      <c r="D9" s="69"/>
      <c r="E9" s="69"/>
      <c r="F9" s="69"/>
      <c r="G9" s="69"/>
      <c r="H9" s="69"/>
      <c r="I9" s="69"/>
      <c r="J9" s="69"/>
      <c r="K9" s="69"/>
      <c r="L9" s="73"/>
      <c r="M9" s="24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6" t="s">
        <v>186</v>
      </c>
      <c r="H10" s="61" t="s">
        <v>188</v>
      </c>
      <c r="I10" s="62"/>
      <c r="J10" s="63"/>
      <c r="K10" s="61" t="s">
        <v>197</v>
      </c>
      <c r="L10" s="63"/>
      <c r="M10" s="25"/>
    </row>
    <row r="11" spans="1:24" ht="12.75">
      <c r="A11" s="2" t="s">
        <v>6</v>
      </c>
      <c r="B11" s="9" t="s">
        <v>51</v>
      </c>
      <c r="C11" s="9" t="s">
        <v>52</v>
      </c>
      <c r="D11" s="9" t="s">
        <v>116</v>
      </c>
      <c r="E11" s="9" t="s">
        <v>177</v>
      </c>
      <c r="F11" s="13" t="s">
        <v>185</v>
      </c>
      <c r="G11" s="17" t="s">
        <v>187</v>
      </c>
      <c r="H11" s="19" t="s">
        <v>189</v>
      </c>
      <c r="I11" s="20" t="s">
        <v>195</v>
      </c>
      <c r="J11" s="21" t="s">
        <v>196</v>
      </c>
      <c r="K11" s="19" t="s">
        <v>186</v>
      </c>
      <c r="L11" s="21" t="s">
        <v>196</v>
      </c>
      <c r="M11" s="25"/>
      <c r="P11" s="23" t="s">
        <v>199</v>
      </c>
      <c r="Q11" s="23" t="s">
        <v>200</v>
      </c>
      <c r="R11" s="23" t="s">
        <v>205</v>
      </c>
      <c r="S11" s="23" t="s">
        <v>206</v>
      </c>
      <c r="T11" s="23" t="s">
        <v>207</v>
      </c>
      <c r="U11" s="23" t="s">
        <v>208</v>
      </c>
      <c r="V11" s="23" t="s">
        <v>209</v>
      </c>
      <c r="W11" s="23" t="s">
        <v>210</v>
      </c>
      <c r="X11" s="23" t="s">
        <v>211</v>
      </c>
    </row>
    <row r="12" spans="1:37" ht="12.75">
      <c r="A12" s="3"/>
      <c r="B12" s="3"/>
      <c r="C12" s="10" t="s">
        <v>53</v>
      </c>
      <c r="D12" s="64" t="s">
        <v>117</v>
      </c>
      <c r="E12" s="65"/>
      <c r="F12" s="65"/>
      <c r="G12" s="65"/>
      <c r="H12" s="29">
        <f>SUM(H13:H13)</f>
        <v>0</v>
      </c>
      <c r="I12" s="29">
        <f>SUM(I13:I13)</f>
        <v>0</v>
      </c>
      <c r="J12" s="29">
        <f>H12+I12</f>
        <v>0</v>
      </c>
      <c r="K12" s="22"/>
      <c r="L12" s="29">
        <f>SUM(L13:L13)</f>
        <v>0</v>
      </c>
      <c r="P12" s="30">
        <f>IF(Q12="PR",J12,SUM(O13:O13))</f>
        <v>0</v>
      </c>
      <c r="Q12" s="23" t="s">
        <v>201</v>
      </c>
      <c r="R12" s="30">
        <f>IF(Q12="HS",H12,0)</f>
        <v>0</v>
      </c>
      <c r="S12" s="30">
        <f>IF(Q12="HS",I12-P12,0)</f>
        <v>0</v>
      </c>
      <c r="T12" s="30">
        <f>IF(Q12="PS",H12,0)</f>
        <v>0</v>
      </c>
      <c r="U12" s="30">
        <f>IF(Q12="PS",I12-P12,0)</f>
        <v>0</v>
      </c>
      <c r="V12" s="30">
        <f>IF(Q12="MP",H12,0)</f>
        <v>0</v>
      </c>
      <c r="W12" s="30">
        <f>IF(Q12="MP",I12-P12,0)</f>
        <v>0</v>
      </c>
      <c r="X12" s="30">
        <f>IF(Q12="OM",H12,0)</f>
        <v>0</v>
      </c>
      <c r="Y12" s="23"/>
      <c r="AI12" s="30">
        <f>SUM(Z13:Z13)</f>
        <v>0</v>
      </c>
      <c r="AJ12" s="30">
        <f>SUM(AA13:AA13)</f>
        <v>0</v>
      </c>
      <c r="AK12" s="30">
        <f>SUM(AB13:AB13)</f>
        <v>0</v>
      </c>
    </row>
    <row r="13" spans="1:32" ht="12.75">
      <c r="A13" s="4" t="s">
        <v>7</v>
      </c>
      <c r="B13" s="4"/>
      <c r="C13" s="4" t="s">
        <v>54</v>
      </c>
      <c r="D13" s="4" t="s">
        <v>118</v>
      </c>
      <c r="E13" s="4" t="s">
        <v>178</v>
      </c>
      <c r="F13" s="14">
        <v>1</v>
      </c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6" t="s">
        <v>7</v>
      </c>
      <c r="O13" s="14">
        <f>IF(N13="5",I13,0)</f>
        <v>0</v>
      </c>
      <c r="Z13" s="14">
        <f>IF(AD13=0,J13,0)</f>
        <v>0</v>
      </c>
      <c r="AA13" s="14">
        <f>IF(AD13=15,J13,0)</f>
        <v>0</v>
      </c>
      <c r="AB13" s="14">
        <f>IF(AD13=21,J13,0)</f>
        <v>0</v>
      </c>
      <c r="AD13" s="28">
        <v>21</v>
      </c>
      <c r="AE13" s="28">
        <f>G13*0.466666666666667</f>
        <v>0</v>
      </c>
      <c r="AF13" s="28">
        <f>G13*(1-0.466666666666667)</f>
        <v>0</v>
      </c>
    </row>
    <row r="14" spans="1:37" ht="12.75">
      <c r="A14" s="5"/>
      <c r="B14" s="5"/>
      <c r="C14" s="11" t="s">
        <v>40</v>
      </c>
      <c r="D14" s="57" t="s">
        <v>119</v>
      </c>
      <c r="E14" s="58"/>
      <c r="F14" s="58"/>
      <c r="G14" s="58"/>
      <c r="H14" s="30">
        <f>SUM(H15:H17)</f>
        <v>0</v>
      </c>
      <c r="I14" s="30">
        <f>SUM(I15:I17)</f>
        <v>0</v>
      </c>
      <c r="J14" s="30">
        <f>H14+I14</f>
        <v>0</v>
      </c>
      <c r="K14" s="23"/>
      <c r="L14" s="30">
        <f>SUM(L15:L17)</f>
        <v>2.908676</v>
      </c>
      <c r="P14" s="30">
        <f>IF(Q14="PR",J14,SUM(O15:O17))</f>
        <v>0</v>
      </c>
      <c r="Q14" s="23" t="s">
        <v>201</v>
      </c>
      <c r="R14" s="30">
        <f>IF(Q14="HS",H14,0)</f>
        <v>0</v>
      </c>
      <c r="S14" s="30">
        <f>IF(Q14="HS",I14-P14,0)</f>
        <v>0</v>
      </c>
      <c r="T14" s="30">
        <f>IF(Q14="PS",H14,0)</f>
        <v>0</v>
      </c>
      <c r="U14" s="30">
        <f>IF(Q14="PS",I14-P14,0)</f>
        <v>0</v>
      </c>
      <c r="V14" s="30">
        <f>IF(Q14="MP",H14,0)</f>
        <v>0</v>
      </c>
      <c r="W14" s="30">
        <f>IF(Q14="MP",I14-P14,0)</f>
        <v>0</v>
      </c>
      <c r="X14" s="30">
        <f>IF(Q14="OM",H14,0)</f>
        <v>0</v>
      </c>
      <c r="Y14" s="23"/>
      <c r="AI14" s="30">
        <f>SUM(Z15:Z17)</f>
        <v>0</v>
      </c>
      <c r="AJ14" s="30">
        <f>SUM(AA15:AA17)</f>
        <v>0</v>
      </c>
      <c r="AK14" s="30">
        <f>SUM(AB15:AB17)</f>
        <v>0</v>
      </c>
    </row>
    <row r="15" spans="1:32" ht="12.75">
      <c r="A15" s="4" t="s">
        <v>8</v>
      </c>
      <c r="B15" s="4"/>
      <c r="C15" s="4" t="s">
        <v>55</v>
      </c>
      <c r="D15" s="4" t="s">
        <v>120</v>
      </c>
      <c r="E15" s="4" t="s">
        <v>179</v>
      </c>
      <c r="F15" s="14">
        <v>2.4</v>
      </c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0.12645</v>
      </c>
      <c r="L15" s="14">
        <f>F15*K15</f>
        <v>0.30348</v>
      </c>
      <c r="N15" s="26" t="s">
        <v>7</v>
      </c>
      <c r="O15" s="14">
        <f>IF(N15="5",I15,0)</f>
        <v>0</v>
      </c>
      <c r="Z15" s="14">
        <f>IF(AD15=0,J15,0)</f>
        <v>0</v>
      </c>
      <c r="AA15" s="14">
        <f>IF(AD15=15,J15,0)</f>
        <v>0</v>
      </c>
      <c r="AB15" s="14">
        <f>IF(AD15=21,J15,0)</f>
        <v>0</v>
      </c>
      <c r="AD15" s="28">
        <v>21</v>
      </c>
      <c r="AE15" s="28">
        <f>G15*0.496577746577747</f>
        <v>0</v>
      </c>
      <c r="AF15" s="28">
        <f>G15*(1-0.496577746577747)</f>
        <v>0</v>
      </c>
    </row>
    <row r="16" spans="1:32" ht="12.75">
      <c r="A16" s="4" t="s">
        <v>9</v>
      </c>
      <c r="B16" s="4"/>
      <c r="C16" s="4" t="s">
        <v>56</v>
      </c>
      <c r="D16" s="4" t="s">
        <v>269</v>
      </c>
      <c r="E16" s="4" t="s">
        <v>179</v>
      </c>
      <c r="F16" s="14">
        <v>32</v>
      </c>
      <c r="H16" s="14">
        <f>ROUND(F16*AE16,2)</f>
        <v>0</v>
      </c>
      <c r="I16" s="14">
        <f>J16-H16</f>
        <v>0</v>
      </c>
      <c r="J16" s="14">
        <f>ROUND(F16*G16,2)</f>
        <v>0</v>
      </c>
      <c r="K16" s="14">
        <v>0.05773</v>
      </c>
      <c r="L16" s="14">
        <f>F16*K16</f>
        <v>1.84736</v>
      </c>
      <c r="N16" s="26" t="s">
        <v>7</v>
      </c>
      <c r="O16" s="14">
        <f>IF(N16="5",I16,0)</f>
        <v>0</v>
      </c>
      <c r="Z16" s="14">
        <f>IF(AD16=0,J16,0)</f>
        <v>0</v>
      </c>
      <c r="AA16" s="14">
        <f>IF(AD16=15,J16,0)</f>
        <v>0</v>
      </c>
      <c r="AB16" s="14">
        <f>IF(AD16=21,J16,0)</f>
        <v>0</v>
      </c>
      <c r="AD16" s="28">
        <v>21</v>
      </c>
      <c r="AE16" s="28">
        <f>G16*0.587555555555555</f>
        <v>0</v>
      </c>
      <c r="AF16" s="28">
        <f>G16*(1-0.587555555555555)</f>
        <v>0</v>
      </c>
    </row>
    <row r="17" spans="1:32" ht="12.75">
      <c r="A17" s="4" t="s">
        <v>10</v>
      </c>
      <c r="B17" s="4"/>
      <c r="C17" s="4" t="s">
        <v>57</v>
      </c>
      <c r="D17" s="4" t="s">
        <v>121</v>
      </c>
      <c r="E17" s="4" t="s">
        <v>179</v>
      </c>
      <c r="F17" s="14">
        <v>16.2</v>
      </c>
      <c r="H17" s="14">
        <f>ROUND(F17*AE17,2)</f>
        <v>0</v>
      </c>
      <c r="I17" s="14">
        <f>J17-H17</f>
        <v>0</v>
      </c>
      <c r="J17" s="14">
        <f>ROUND(F17*G17,2)</f>
        <v>0</v>
      </c>
      <c r="K17" s="14">
        <v>0.04678</v>
      </c>
      <c r="L17" s="14">
        <f>F17*K17</f>
        <v>0.757836</v>
      </c>
      <c r="N17" s="26" t="s">
        <v>7</v>
      </c>
      <c r="O17" s="14">
        <f>IF(N17="5",I17,0)</f>
        <v>0</v>
      </c>
      <c r="Z17" s="14">
        <f>IF(AD17=0,J17,0)</f>
        <v>0</v>
      </c>
      <c r="AA17" s="14">
        <f>IF(AD17=15,J17,0)</f>
        <v>0</v>
      </c>
      <c r="AB17" s="14">
        <f>IF(AD17=21,J17,0)</f>
        <v>0</v>
      </c>
      <c r="AD17" s="28">
        <v>21</v>
      </c>
      <c r="AE17" s="28">
        <f>G17*0.408125325897209</f>
        <v>0</v>
      </c>
      <c r="AF17" s="28">
        <f>G17*(1-0.408125325897209)</f>
        <v>0</v>
      </c>
    </row>
    <row r="18" spans="1:37" ht="12.75">
      <c r="A18" s="5"/>
      <c r="B18" s="5"/>
      <c r="C18" s="11" t="s">
        <v>58</v>
      </c>
      <c r="D18" s="57" t="s">
        <v>122</v>
      </c>
      <c r="E18" s="58"/>
      <c r="F18" s="58"/>
      <c r="G18" s="58"/>
      <c r="H18" s="30">
        <f>SUM(H19:H19)</f>
        <v>0</v>
      </c>
      <c r="I18" s="30">
        <f>SUM(I19:I19)</f>
        <v>0</v>
      </c>
      <c r="J18" s="30">
        <f>H18+I18</f>
        <v>0</v>
      </c>
      <c r="K18" s="23"/>
      <c r="L18" s="30">
        <f>SUM(L19:L19)</f>
        <v>0.72</v>
      </c>
      <c r="P18" s="30">
        <f>IF(Q18="PR",J18,SUM(O19:O19))</f>
        <v>0</v>
      </c>
      <c r="Q18" s="23" t="s">
        <v>201</v>
      </c>
      <c r="R18" s="30">
        <f>IF(Q18="HS",H18,0)</f>
        <v>0</v>
      </c>
      <c r="S18" s="30">
        <f>IF(Q18="HS",I18-P18,0)</f>
        <v>0</v>
      </c>
      <c r="T18" s="30">
        <f>IF(Q18="PS",H18,0)</f>
        <v>0</v>
      </c>
      <c r="U18" s="30">
        <f>IF(Q18="PS",I18-P18,0)</f>
        <v>0</v>
      </c>
      <c r="V18" s="30">
        <f>IF(Q18="MP",H18,0)</f>
        <v>0</v>
      </c>
      <c r="W18" s="30">
        <f>IF(Q18="MP",I18-P18,0)</f>
        <v>0</v>
      </c>
      <c r="X18" s="30">
        <f>IF(Q18="OM",H18,0)</f>
        <v>0</v>
      </c>
      <c r="Y18" s="23"/>
      <c r="AI18" s="30">
        <f>SUM(Z19:Z19)</f>
        <v>0</v>
      </c>
      <c r="AJ18" s="30">
        <f>SUM(AA19:AA19)</f>
        <v>0</v>
      </c>
      <c r="AK18" s="30">
        <f>SUM(AB19:AB19)</f>
        <v>0</v>
      </c>
    </row>
    <row r="19" spans="1:32" ht="12.75">
      <c r="A19" s="4" t="s">
        <v>11</v>
      </c>
      <c r="B19" s="4"/>
      <c r="C19" s="4" t="s">
        <v>59</v>
      </c>
      <c r="D19" s="4" t="s">
        <v>123</v>
      </c>
      <c r="E19" s="4" t="s">
        <v>179</v>
      </c>
      <c r="F19" s="14">
        <v>72</v>
      </c>
      <c r="H19" s="14">
        <f>ROUND(F19*AE19,2)</f>
        <v>0</v>
      </c>
      <c r="I19" s="14">
        <f>J19-H19</f>
        <v>0</v>
      </c>
      <c r="J19" s="14">
        <f>ROUND(F19*G19,2)</f>
        <v>0</v>
      </c>
      <c r="K19" s="14">
        <v>0.01</v>
      </c>
      <c r="L19" s="14">
        <f>F19*K19</f>
        <v>0.72</v>
      </c>
      <c r="N19" s="26" t="s">
        <v>9</v>
      </c>
      <c r="O19" s="14">
        <f>IF(N19="5",I19,0)</f>
        <v>0</v>
      </c>
      <c r="Z19" s="14">
        <f>IF(AD19=0,J19,0)</f>
        <v>0</v>
      </c>
      <c r="AA19" s="14">
        <f>IF(AD19=15,J19,0)</f>
        <v>0</v>
      </c>
      <c r="AB19" s="14">
        <f>IF(AD19=21,J19,0)</f>
        <v>0</v>
      </c>
      <c r="AD19" s="28">
        <v>21</v>
      </c>
      <c r="AE19" s="28">
        <f>G19*0.15148591277499</f>
        <v>0</v>
      </c>
      <c r="AF19" s="28">
        <f>G19*(1-0.15148591277499)</f>
        <v>0</v>
      </c>
    </row>
    <row r="20" spans="1:37" ht="12.75">
      <c r="A20" s="5"/>
      <c r="B20" s="5"/>
      <c r="C20" s="11" t="s">
        <v>60</v>
      </c>
      <c r="D20" s="57" t="s">
        <v>124</v>
      </c>
      <c r="E20" s="58"/>
      <c r="F20" s="58"/>
      <c r="G20" s="58"/>
      <c r="H20" s="30">
        <f>SUM(H21:H21)</f>
        <v>0</v>
      </c>
      <c r="I20" s="30">
        <f>SUM(I21:I21)</f>
        <v>0</v>
      </c>
      <c r="J20" s="30">
        <f>H20+I20</f>
        <v>0</v>
      </c>
      <c r="K20" s="23"/>
      <c r="L20" s="30">
        <f>SUM(L21:L21)</f>
        <v>0</v>
      </c>
      <c r="P20" s="30">
        <f>IF(Q20="PR",J20,SUM(O21:O21))</f>
        <v>0</v>
      </c>
      <c r="Q20" s="23" t="s">
        <v>201</v>
      </c>
      <c r="R20" s="30">
        <f>IF(Q20="HS",H20,0)</f>
        <v>0</v>
      </c>
      <c r="S20" s="30">
        <f>IF(Q20="HS",I20-P20,0)</f>
        <v>0</v>
      </c>
      <c r="T20" s="30">
        <f>IF(Q20="PS",H20,0)</f>
        <v>0</v>
      </c>
      <c r="U20" s="30">
        <f>IF(Q20="PS",I20-P20,0)</f>
        <v>0</v>
      </c>
      <c r="V20" s="30">
        <f>IF(Q20="MP",H20,0)</f>
        <v>0</v>
      </c>
      <c r="W20" s="30">
        <f>IF(Q20="MP",I20-P20,0)</f>
        <v>0</v>
      </c>
      <c r="X20" s="30">
        <f>IF(Q20="OM",H20,0)</f>
        <v>0</v>
      </c>
      <c r="Y20" s="23"/>
      <c r="AI20" s="30">
        <f>SUM(Z21:Z21)</f>
        <v>0</v>
      </c>
      <c r="AJ20" s="30">
        <f>SUM(AA21:AA21)</f>
        <v>0</v>
      </c>
      <c r="AK20" s="30">
        <f>SUM(AB21:AB21)</f>
        <v>0</v>
      </c>
    </row>
    <row r="21" spans="1:32" ht="12.75">
      <c r="A21" s="4" t="s">
        <v>12</v>
      </c>
      <c r="B21" s="4"/>
      <c r="C21" s="4" t="s">
        <v>61</v>
      </c>
      <c r="D21" s="4" t="s">
        <v>270</v>
      </c>
      <c r="E21" s="4" t="s">
        <v>179</v>
      </c>
      <c r="F21" s="14">
        <v>49.8</v>
      </c>
      <c r="H21" s="14">
        <f>ROUND(F21*AE21,2)</f>
        <v>0</v>
      </c>
      <c r="I21" s="14">
        <f>J21-H21</f>
        <v>0</v>
      </c>
      <c r="J21" s="14">
        <f>ROUND(F21*G21,2)</f>
        <v>0</v>
      </c>
      <c r="K21" s="14">
        <v>0</v>
      </c>
      <c r="L21" s="14">
        <f>F21*K21</f>
        <v>0</v>
      </c>
      <c r="N21" s="26" t="s">
        <v>7</v>
      </c>
      <c r="O21" s="14">
        <f>IF(N21="5",I21,0)</f>
        <v>0</v>
      </c>
      <c r="Z21" s="14">
        <f>IF(AD21=0,J21,0)</f>
        <v>0</v>
      </c>
      <c r="AA21" s="14">
        <f>IF(AD21=15,J21,0)</f>
        <v>0</v>
      </c>
      <c r="AB21" s="14">
        <f>IF(AD21=21,J21,0)</f>
        <v>0</v>
      </c>
      <c r="AD21" s="28">
        <v>21</v>
      </c>
      <c r="AE21" s="28">
        <f>G21*0.663265306122449</f>
        <v>0</v>
      </c>
      <c r="AF21" s="28">
        <f>G21*(1-0.663265306122449)</f>
        <v>0</v>
      </c>
    </row>
    <row r="22" spans="1:37" ht="12.75">
      <c r="A22" s="5"/>
      <c r="B22" s="5"/>
      <c r="C22" s="11" t="s">
        <v>62</v>
      </c>
      <c r="D22" s="57" t="s">
        <v>125</v>
      </c>
      <c r="E22" s="58"/>
      <c r="F22" s="58"/>
      <c r="G22" s="58"/>
      <c r="H22" s="30">
        <f>SUM(H23:H23)</f>
        <v>0</v>
      </c>
      <c r="I22" s="30">
        <f>SUM(I23:I23)</f>
        <v>0</v>
      </c>
      <c r="J22" s="30">
        <f>H22+I22</f>
        <v>0</v>
      </c>
      <c r="K22" s="23"/>
      <c r="L22" s="30">
        <f>SUM(L23:L23)</f>
        <v>0.33231</v>
      </c>
      <c r="P22" s="30">
        <f>IF(Q22="PR",J22,SUM(O23:O23))</f>
        <v>0</v>
      </c>
      <c r="Q22" s="23" t="s">
        <v>201</v>
      </c>
      <c r="R22" s="30">
        <f>IF(Q22="HS",H22,0)</f>
        <v>0</v>
      </c>
      <c r="S22" s="30">
        <f>IF(Q22="HS",I22-P22,0)</f>
        <v>0</v>
      </c>
      <c r="T22" s="30">
        <f>IF(Q22="PS",H22,0)</f>
        <v>0</v>
      </c>
      <c r="U22" s="30">
        <f>IF(Q22="PS",I22-P22,0)</f>
        <v>0</v>
      </c>
      <c r="V22" s="30">
        <f>IF(Q22="MP",H22,0)</f>
        <v>0</v>
      </c>
      <c r="W22" s="30">
        <f>IF(Q22="MP",I22-P22,0)</f>
        <v>0</v>
      </c>
      <c r="X22" s="30">
        <f>IF(Q22="OM",H22,0)</f>
        <v>0</v>
      </c>
      <c r="Y22" s="23"/>
      <c r="AI22" s="30">
        <f>SUM(Z23:Z23)</f>
        <v>0</v>
      </c>
      <c r="AJ22" s="30">
        <f>SUM(AA23:AA23)</f>
        <v>0</v>
      </c>
      <c r="AK22" s="30">
        <f>SUM(AB23:AB23)</f>
        <v>0</v>
      </c>
    </row>
    <row r="23" spans="1:32" ht="12.75">
      <c r="A23" s="4" t="s">
        <v>13</v>
      </c>
      <c r="B23" s="4"/>
      <c r="C23" s="4" t="s">
        <v>63</v>
      </c>
      <c r="D23" s="4" t="s">
        <v>126</v>
      </c>
      <c r="E23" s="4" t="s">
        <v>180</v>
      </c>
      <c r="F23" s="14">
        <v>11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0.03021</v>
      </c>
      <c r="L23" s="14">
        <f>F23*K23</f>
        <v>0.33231</v>
      </c>
      <c r="N23" s="26" t="s">
        <v>7</v>
      </c>
      <c r="O23" s="14">
        <f>IF(N23="5",I23,0)</f>
        <v>0</v>
      </c>
      <c r="Z23" s="14">
        <f>IF(AD23=0,J23,0)</f>
        <v>0</v>
      </c>
      <c r="AA23" s="14">
        <f>IF(AD23=15,J23,0)</f>
        <v>0</v>
      </c>
      <c r="AB23" s="14">
        <f>IF(AD23=21,J23,0)</f>
        <v>0</v>
      </c>
      <c r="AD23" s="28">
        <v>21</v>
      </c>
      <c r="AE23" s="28">
        <f>G23*0.535179177668804</f>
        <v>0</v>
      </c>
      <c r="AF23" s="28">
        <f>G23*(1-0.535179177668804)</f>
        <v>0</v>
      </c>
    </row>
    <row r="24" spans="1:37" ht="12.75">
      <c r="A24" s="5"/>
      <c r="B24" s="5"/>
      <c r="C24" s="11" t="s">
        <v>64</v>
      </c>
      <c r="D24" s="57" t="s">
        <v>127</v>
      </c>
      <c r="E24" s="58"/>
      <c r="F24" s="58"/>
      <c r="G24" s="58"/>
      <c r="H24" s="30">
        <f>SUM(H25:H25)</f>
        <v>0</v>
      </c>
      <c r="I24" s="30">
        <f>SUM(I25:I25)</f>
        <v>0</v>
      </c>
      <c r="J24" s="30">
        <f>H24+I24</f>
        <v>0</v>
      </c>
      <c r="K24" s="23"/>
      <c r="L24" s="30">
        <f>SUM(L25:L25)</f>
        <v>0.015238000000000002</v>
      </c>
      <c r="P24" s="30">
        <f>IF(Q24="PR",J24,SUM(O25:O25))</f>
        <v>0</v>
      </c>
      <c r="Q24" s="23" t="s">
        <v>202</v>
      </c>
      <c r="R24" s="30">
        <f>IF(Q24="HS",H24,0)</f>
        <v>0</v>
      </c>
      <c r="S24" s="30">
        <f>IF(Q24="HS",I24-P24,0)</f>
        <v>0</v>
      </c>
      <c r="T24" s="30">
        <f>IF(Q24="PS",H24,0)</f>
        <v>0</v>
      </c>
      <c r="U24" s="30">
        <f>IF(Q24="PS",I24-P24,0)</f>
        <v>0</v>
      </c>
      <c r="V24" s="30">
        <f>IF(Q24="MP",H24,0)</f>
        <v>0</v>
      </c>
      <c r="W24" s="30">
        <f>IF(Q24="MP",I24-P24,0)</f>
        <v>0</v>
      </c>
      <c r="X24" s="30">
        <f>IF(Q24="OM",H24,0)</f>
        <v>0</v>
      </c>
      <c r="Y24" s="23"/>
      <c r="AI24" s="30">
        <f>SUM(Z25:Z25)</f>
        <v>0</v>
      </c>
      <c r="AJ24" s="30">
        <f>SUM(AA25:AA25)</f>
        <v>0</v>
      </c>
      <c r="AK24" s="30">
        <f>SUM(AB25:AB25)</f>
        <v>0</v>
      </c>
    </row>
    <row r="25" spans="1:32" ht="12.75">
      <c r="A25" s="4" t="s">
        <v>14</v>
      </c>
      <c r="B25" s="4"/>
      <c r="C25" s="4" t="s">
        <v>65</v>
      </c>
      <c r="D25" s="4" t="s">
        <v>271</v>
      </c>
      <c r="E25" s="4" t="s">
        <v>179</v>
      </c>
      <c r="F25" s="14">
        <v>40.1</v>
      </c>
      <c r="H25" s="14">
        <f>ROUND(F25*AE25,2)</f>
        <v>0</v>
      </c>
      <c r="I25" s="14">
        <f>J25-H25</f>
        <v>0</v>
      </c>
      <c r="J25" s="14">
        <f>ROUND(F25*G25,2)</f>
        <v>0</v>
      </c>
      <c r="K25" s="14">
        <v>0.00038</v>
      </c>
      <c r="L25" s="14">
        <f>F25*K25</f>
        <v>0.015238000000000002</v>
      </c>
      <c r="N25" s="26" t="s">
        <v>7</v>
      </c>
      <c r="O25" s="14">
        <f>IF(N25="5",I25,0)</f>
        <v>0</v>
      </c>
      <c r="Z25" s="14">
        <f>IF(AD25=0,J25,0)</f>
        <v>0</v>
      </c>
      <c r="AA25" s="14">
        <f>IF(AD25=15,J25,0)</f>
        <v>0</v>
      </c>
      <c r="AB25" s="14">
        <f>IF(AD25=21,J25,0)</f>
        <v>0</v>
      </c>
      <c r="AD25" s="28">
        <v>21</v>
      </c>
      <c r="AE25" s="28">
        <f>G25*0.499848530748258</f>
        <v>0</v>
      </c>
      <c r="AF25" s="28">
        <f>G25*(1-0.499848530748258)</f>
        <v>0</v>
      </c>
    </row>
    <row r="26" spans="1:37" ht="12.75">
      <c r="A26" s="5"/>
      <c r="B26" s="5"/>
      <c r="C26" s="11" t="s">
        <v>66</v>
      </c>
      <c r="D26" s="57" t="s">
        <v>128</v>
      </c>
      <c r="E26" s="58"/>
      <c r="F26" s="58"/>
      <c r="G26" s="58"/>
      <c r="H26" s="30">
        <f>SUM(H27:H28)</f>
        <v>0</v>
      </c>
      <c r="I26" s="30">
        <f>SUM(I27:I28)</f>
        <v>0</v>
      </c>
      <c r="J26" s="30">
        <f>H26+I26</f>
        <v>0</v>
      </c>
      <c r="K26" s="23"/>
      <c r="L26" s="30">
        <f>SUM(L27:L28)</f>
        <v>0.10132</v>
      </c>
      <c r="P26" s="30">
        <f>IF(Q26="PR",J26,SUM(O27:O28))</f>
        <v>0</v>
      </c>
      <c r="Q26" s="23" t="s">
        <v>202</v>
      </c>
      <c r="R26" s="30">
        <f>IF(Q26="HS",H26,0)</f>
        <v>0</v>
      </c>
      <c r="S26" s="30">
        <f>IF(Q26="HS",I26-P26,0)</f>
        <v>0</v>
      </c>
      <c r="T26" s="30">
        <f>IF(Q26="PS",H26,0)</f>
        <v>0</v>
      </c>
      <c r="U26" s="30">
        <f>IF(Q26="PS",I26-P26,0)</f>
        <v>0</v>
      </c>
      <c r="V26" s="30">
        <f>IF(Q26="MP",H26,0)</f>
        <v>0</v>
      </c>
      <c r="W26" s="30">
        <f>IF(Q26="MP",I26-P26,0)</f>
        <v>0</v>
      </c>
      <c r="X26" s="30">
        <f>IF(Q26="OM",H26,0)</f>
        <v>0</v>
      </c>
      <c r="Y26" s="23"/>
      <c r="AI26" s="30">
        <f>SUM(Z27:Z28)</f>
        <v>0</v>
      </c>
      <c r="AJ26" s="30">
        <f>SUM(AA27:AA28)</f>
        <v>0</v>
      </c>
      <c r="AK26" s="30">
        <f>SUM(AB27:AB28)</f>
        <v>0</v>
      </c>
    </row>
    <row r="27" spans="1:32" ht="12.75">
      <c r="A27" s="4" t="s">
        <v>15</v>
      </c>
      <c r="B27" s="4"/>
      <c r="C27" s="4" t="s">
        <v>67</v>
      </c>
      <c r="D27" s="4" t="s">
        <v>272</v>
      </c>
      <c r="E27" s="4" t="s">
        <v>180</v>
      </c>
      <c r="F27" s="14">
        <v>10</v>
      </c>
      <c r="H27" s="14">
        <f>ROUND(F27*AE27,2)</f>
        <v>0</v>
      </c>
      <c r="I27" s="14">
        <f>J27-H27</f>
        <v>0</v>
      </c>
      <c r="J27" s="14">
        <f>ROUND(F27*G27,2)</f>
        <v>0</v>
      </c>
      <c r="K27" s="14">
        <v>0.00562</v>
      </c>
      <c r="L27" s="14">
        <f>F27*K27</f>
        <v>0.0562</v>
      </c>
      <c r="N27" s="26" t="s">
        <v>7</v>
      </c>
      <c r="O27" s="14">
        <f>IF(N27="5",I27,0)</f>
        <v>0</v>
      </c>
      <c r="Z27" s="14">
        <f>IF(AD27=0,J27,0)</f>
        <v>0</v>
      </c>
      <c r="AA27" s="14">
        <f>IF(AD27=15,J27,0)</f>
        <v>0</v>
      </c>
      <c r="AB27" s="14">
        <f>IF(AD27=21,J27,0)</f>
        <v>0</v>
      </c>
      <c r="AD27" s="28">
        <v>21</v>
      </c>
      <c r="AE27" s="28">
        <f>G27*0.980332742757123</f>
        <v>0</v>
      </c>
      <c r="AF27" s="28">
        <f>G27*(1-0.980332742757123)</f>
        <v>0</v>
      </c>
    </row>
    <row r="28" spans="1:32" ht="12.75">
      <c r="A28" s="4" t="s">
        <v>16</v>
      </c>
      <c r="B28" s="4"/>
      <c r="C28" s="4" t="s">
        <v>68</v>
      </c>
      <c r="D28" s="4" t="s">
        <v>129</v>
      </c>
      <c r="E28" s="4" t="s">
        <v>180</v>
      </c>
      <c r="F28" s="14">
        <v>6</v>
      </c>
      <c r="H28" s="14">
        <f>ROUND(F28*AE28,2)</f>
        <v>0</v>
      </c>
      <c r="I28" s="14">
        <f>J28-H28</f>
        <v>0</v>
      </c>
      <c r="J28" s="14">
        <f>ROUND(F28*G28,2)</f>
        <v>0</v>
      </c>
      <c r="K28" s="14">
        <v>0.00752</v>
      </c>
      <c r="L28" s="14">
        <f>F28*K28</f>
        <v>0.04512</v>
      </c>
      <c r="N28" s="26" t="s">
        <v>7</v>
      </c>
      <c r="O28" s="14">
        <f>IF(N28="5",I28,0)</f>
        <v>0</v>
      </c>
      <c r="Z28" s="14">
        <f>IF(AD28=0,J28,0)</f>
        <v>0</v>
      </c>
      <c r="AA28" s="14">
        <f>IF(AD28=15,J28,0)</f>
        <v>0</v>
      </c>
      <c r="AB28" s="14">
        <f>IF(AD28=21,J28,0)</f>
        <v>0</v>
      </c>
      <c r="AD28" s="28">
        <v>21</v>
      </c>
      <c r="AE28" s="28">
        <f>G28*0.976491413089601</f>
        <v>0</v>
      </c>
      <c r="AF28" s="28">
        <f>G28*(1-0.976491413089601)</f>
        <v>0</v>
      </c>
    </row>
    <row r="29" spans="1:37" ht="12.75">
      <c r="A29" s="5"/>
      <c r="B29" s="5"/>
      <c r="C29" s="11" t="s">
        <v>69</v>
      </c>
      <c r="D29" s="57" t="s">
        <v>130</v>
      </c>
      <c r="E29" s="58"/>
      <c r="F29" s="58"/>
      <c r="G29" s="58"/>
      <c r="H29" s="30">
        <f>SUM(H30:H38)</f>
        <v>0</v>
      </c>
      <c r="I29" s="30">
        <f>SUM(I30:I38)</f>
        <v>0</v>
      </c>
      <c r="J29" s="30">
        <f>H29+I29</f>
        <v>0</v>
      </c>
      <c r="K29" s="23"/>
      <c r="L29" s="30">
        <f>SUM(L30:L38)</f>
        <v>0.6601299999999999</v>
      </c>
      <c r="P29" s="30">
        <f>IF(Q29="PR",J29,SUM(O30:O38))</f>
        <v>0</v>
      </c>
      <c r="Q29" s="23" t="s">
        <v>202</v>
      </c>
      <c r="R29" s="30">
        <f>IF(Q29="HS",H29,0)</f>
        <v>0</v>
      </c>
      <c r="S29" s="30">
        <f>IF(Q29="HS",I29-P29,0)</f>
        <v>0</v>
      </c>
      <c r="T29" s="30">
        <f>IF(Q29="PS",H29,0)</f>
        <v>0</v>
      </c>
      <c r="U29" s="30">
        <f>IF(Q29="PS",I29-P29,0)</f>
        <v>0</v>
      </c>
      <c r="V29" s="30">
        <f>IF(Q29="MP",H29,0)</f>
        <v>0</v>
      </c>
      <c r="W29" s="30">
        <f>IF(Q29="MP",I29-P29,0)</f>
        <v>0</v>
      </c>
      <c r="X29" s="30">
        <f>IF(Q29="OM",H29,0)</f>
        <v>0</v>
      </c>
      <c r="Y29" s="23"/>
      <c r="AI29" s="30">
        <f>SUM(Z30:Z38)</f>
        <v>0</v>
      </c>
      <c r="AJ29" s="30">
        <f>SUM(AA30:AA38)</f>
        <v>0</v>
      </c>
      <c r="AK29" s="30">
        <f>SUM(AB30:AB38)</f>
        <v>0</v>
      </c>
    </row>
    <row r="30" spans="1:32" ht="12.75">
      <c r="A30" s="4" t="s">
        <v>17</v>
      </c>
      <c r="B30" s="4"/>
      <c r="C30" s="4" t="s">
        <v>70</v>
      </c>
      <c r="D30" s="4" t="s">
        <v>131</v>
      </c>
      <c r="E30" s="4" t="s">
        <v>180</v>
      </c>
      <c r="F30" s="14">
        <v>12</v>
      </c>
      <c r="H30" s="14">
        <f aca="true" t="shared" si="0" ref="H30:H38">ROUND(F30*AE30,2)</f>
        <v>0</v>
      </c>
      <c r="I30" s="14">
        <f aca="true" t="shared" si="1" ref="I30:I38">J30-H30</f>
        <v>0</v>
      </c>
      <c r="J30" s="14">
        <f aca="true" t="shared" si="2" ref="J30:J38">ROUND(F30*G30,2)</f>
        <v>0</v>
      </c>
      <c r="K30" s="14">
        <v>0.019</v>
      </c>
      <c r="L30" s="14">
        <f aca="true" t="shared" si="3" ref="L30:L38">F30*K30</f>
        <v>0.22799999999999998</v>
      </c>
      <c r="N30" s="26" t="s">
        <v>9</v>
      </c>
      <c r="O30" s="14">
        <f aca="true" t="shared" si="4" ref="O30:O38">IF(N30="5",I30,0)</f>
        <v>0</v>
      </c>
      <c r="Z30" s="14">
        <f aca="true" t="shared" si="5" ref="Z30:Z38">IF(AD30=0,J30,0)</f>
        <v>0</v>
      </c>
      <c r="AA30" s="14">
        <f aca="true" t="shared" si="6" ref="AA30:AA38">IF(AD30=15,J30,0)</f>
        <v>0</v>
      </c>
      <c r="AB30" s="14">
        <f aca="true" t="shared" si="7" ref="AB30:AB38">IF(AD30=21,J30,0)</f>
        <v>0</v>
      </c>
      <c r="AD30" s="28">
        <v>21</v>
      </c>
      <c r="AE30" s="28">
        <f>G30*0</f>
        <v>0</v>
      </c>
      <c r="AF30" s="28">
        <f>G30*(1-0)</f>
        <v>0</v>
      </c>
    </row>
    <row r="31" spans="1:32" ht="12.75">
      <c r="A31" s="4" t="s">
        <v>18</v>
      </c>
      <c r="B31" s="4"/>
      <c r="C31" s="4" t="s">
        <v>71</v>
      </c>
      <c r="D31" s="4" t="s">
        <v>132</v>
      </c>
      <c r="E31" s="4" t="s">
        <v>180</v>
      </c>
      <c r="F31" s="14">
        <v>2</v>
      </c>
      <c r="H31" s="14">
        <f t="shared" si="0"/>
        <v>0</v>
      </c>
      <c r="I31" s="14">
        <f t="shared" si="1"/>
        <v>0</v>
      </c>
      <c r="J31" s="14">
        <f t="shared" si="2"/>
        <v>0</v>
      </c>
      <c r="K31" s="14">
        <v>0.03141</v>
      </c>
      <c r="L31" s="14">
        <f t="shared" si="3"/>
        <v>0.06282</v>
      </c>
      <c r="N31" s="26" t="s">
        <v>9</v>
      </c>
      <c r="O31" s="14">
        <f t="shared" si="4"/>
        <v>0</v>
      </c>
      <c r="Z31" s="14">
        <f t="shared" si="5"/>
        <v>0</v>
      </c>
      <c r="AA31" s="14">
        <f t="shared" si="6"/>
        <v>0</v>
      </c>
      <c r="AB31" s="14">
        <f t="shared" si="7"/>
        <v>0</v>
      </c>
      <c r="AD31" s="28">
        <v>21</v>
      </c>
      <c r="AE31" s="28">
        <f>G31*0</f>
        <v>0</v>
      </c>
      <c r="AF31" s="28">
        <f>G31*(1-0)</f>
        <v>0</v>
      </c>
    </row>
    <row r="32" spans="1:32" ht="12.75">
      <c r="A32" s="4" t="s">
        <v>19</v>
      </c>
      <c r="B32" s="4"/>
      <c r="C32" s="4" t="s">
        <v>72</v>
      </c>
      <c r="D32" s="4" t="s">
        <v>273</v>
      </c>
      <c r="E32" s="4" t="s">
        <v>181</v>
      </c>
      <c r="F32" s="14">
        <v>7</v>
      </c>
      <c r="H32" s="14">
        <f t="shared" si="0"/>
        <v>0</v>
      </c>
      <c r="I32" s="14">
        <f t="shared" si="1"/>
        <v>0</v>
      </c>
      <c r="J32" s="14">
        <f t="shared" si="2"/>
        <v>0</v>
      </c>
      <c r="K32" s="14">
        <v>0.01201</v>
      </c>
      <c r="L32" s="14">
        <f t="shared" si="3"/>
        <v>0.08407</v>
      </c>
      <c r="N32" s="26" t="s">
        <v>7</v>
      </c>
      <c r="O32" s="14">
        <f t="shared" si="4"/>
        <v>0</v>
      </c>
      <c r="Z32" s="14">
        <f t="shared" si="5"/>
        <v>0</v>
      </c>
      <c r="AA32" s="14">
        <f t="shared" si="6"/>
        <v>0</v>
      </c>
      <c r="AB32" s="14">
        <f t="shared" si="7"/>
        <v>0</v>
      </c>
      <c r="AD32" s="28">
        <v>21</v>
      </c>
      <c r="AE32" s="28">
        <f>G32*0.778508999564035</f>
        <v>0</v>
      </c>
      <c r="AF32" s="28">
        <f>G32*(1-0.778508999564035)</f>
        <v>0</v>
      </c>
    </row>
    <row r="33" spans="1:32" ht="12.75">
      <c r="A33" s="4" t="s">
        <v>20</v>
      </c>
      <c r="B33" s="4"/>
      <c r="C33" s="4" t="s">
        <v>73</v>
      </c>
      <c r="D33" s="4" t="s">
        <v>274</v>
      </c>
      <c r="E33" s="4" t="s">
        <v>181</v>
      </c>
      <c r="F33" s="14">
        <v>10</v>
      </c>
      <c r="H33" s="14">
        <f t="shared" si="0"/>
        <v>0</v>
      </c>
      <c r="I33" s="14">
        <f t="shared" si="1"/>
        <v>0</v>
      </c>
      <c r="J33" s="14">
        <f t="shared" si="2"/>
        <v>0</v>
      </c>
      <c r="K33" s="14">
        <v>0.01639</v>
      </c>
      <c r="L33" s="14">
        <f t="shared" si="3"/>
        <v>0.1639</v>
      </c>
      <c r="N33" s="26" t="s">
        <v>7</v>
      </c>
      <c r="O33" s="14">
        <f t="shared" si="4"/>
        <v>0</v>
      </c>
      <c r="Z33" s="14">
        <f t="shared" si="5"/>
        <v>0</v>
      </c>
      <c r="AA33" s="14">
        <f t="shared" si="6"/>
        <v>0</v>
      </c>
      <c r="AB33" s="14">
        <f t="shared" si="7"/>
        <v>0</v>
      </c>
      <c r="AD33" s="28">
        <v>21</v>
      </c>
      <c r="AE33" s="28">
        <f>G33*0.829579890983443</f>
        <v>0</v>
      </c>
      <c r="AF33" s="28">
        <f>G33*(1-0.829579890983443)</f>
        <v>0</v>
      </c>
    </row>
    <row r="34" spans="1:32" ht="12.75">
      <c r="A34" s="4" t="s">
        <v>21</v>
      </c>
      <c r="B34" s="4"/>
      <c r="C34" s="4" t="s">
        <v>74</v>
      </c>
      <c r="D34" s="4" t="s">
        <v>275</v>
      </c>
      <c r="E34" s="4" t="s">
        <v>181</v>
      </c>
      <c r="F34" s="14">
        <v>1</v>
      </c>
      <c r="H34" s="14">
        <f t="shared" si="0"/>
        <v>0</v>
      </c>
      <c r="I34" s="14">
        <f t="shared" si="1"/>
        <v>0</v>
      </c>
      <c r="J34" s="14">
        <f t="shared" si="2"/>
        <v>0</v>
      </c>
      <c r="K34" s="14">
        <v>0.0161</v>
      </c>
      <c r="L34" s="14">
        <f t="shared" si="3"/>
        <v>0.0161</v>
      </c>
      <c r="N34" s="26" t="s">
        <v>7</v>
      </c>
      <c r="O34" s="14">
        <f t="shared" si="4"/>
        <v>0</v>
      </c>
      <c r="Z34" s="14">
        <f t="shared" si="5"/>
        <v>0</v>
      </c>
      <c r="AA34" s="14">
        <f t="shared" si="6"/>
        <v>0</v>
      </c>
      <c r="AB34" s="14">
        <f t="shared" si="7"/>
        <v>0</v>
      </c>
      <c r="AD34" s="28">
        <v>21</v>
      </c>
      <c r="AE34" s="28">
        <f>G34*0.829579890983443</f>
        <v>0</v>
      </c>
      <c r="AF34" s="28">
        <f>G34*(1-0.829579890983443)</f>
        <v>0</v>
      </c>
    </row>
    <row r="35" spans="1:32" ht="12.75">
      <c r="A35" s="4" t="s">
        <v>22</v>
      </c>
      <c r="B35" s="4"/>
      <c r="C35" s="4" t="s">
        <v>75</v>
      </c>
      <c r="D35" s="4" t="s">
        <v>133</v>
      </c>
      <c r="E35" s="4" t="s">
        <v>181</v>
      </c>
      <c r="F35" s="14">
        <v>6</v>
      </c>
      <c r="H35" s="14">
        <f t="shared" si="0"/>
        <v>0</v>
      </c>
      <c r="I35" s="14">
        <f t="shared" si="1"/>
        <v>0</v>
      </c>
      <c r="J35" s="14">
        <f t="shared" si="2"/>
        <v>0</v>
      </c>
      <c r="K35" s="14">
        <v>0.01316</v>
      </c>
      <c r="L35" s="14">
        <f t="shared" si="3"/>
        <v>0.07896</v>
      </c>
      <c r="N35" s="26" t="s">
        <v>7</v>
      </c>
      <c r="O35" s="14">
        <f t="shared" si="4"/>
        <v>0</v>
      </c>
      <c r="Z35" s="14">
        <f t="shared" si="5"/>
        <v>0</v>
      </c>
      <c r="AA35" s="14">
        <f t="shared" si="6"/>
        <v>0</v>
      </c>
      <c r="AB35" s="14">
        <f t="shared" si="7"/>
        <v>0</v>
      </c>
      <c r="AD35" s="28">
        <v>21</v>
      </c>
      <c r="AE35" s="28">
        <f>G35*0.903239444062781</f>
        <v>0</v>
      </c>
      <c r="AF35" s="28">
        <f>G35*(1-0.903239444062781)</f>
        <v>0</v>
      </c>
    </row>
    <row r="36" spans="1:32" ht="12.75">
      <c r="A36" s="4" t="s">
        <v>23</v>
      </c>
      <c r="B36" s="4"/>
      <c r="C36" s="4" t="s">
        <v>76</v>
      </c>
      <c r="D36" s="4" t="s">
        <v>134</v>
      </c>
      <c r="E36" s="4" t="s">
        <v>180</v>
      </c>
      <c r="F36" s="14">
        <v>2</v>
      </c>
      <c r="H36" s="14">
        <f t="shared" si="0"/>
        <v>0</v>
      </c>
      <c r="I36" s="14">
        <f t="shared" si="1"/>
        <v>0</v>
      </c>
      <c r="J36" s="14">
        <f t="shared" si="2"/>
        <v>0</v>
      </c>
      <c r="K36" s="14">
        <v>9E-05</v>
      </c>
      <c r="L36" s="14">
        <f t="shared" si="3"/>
        <v>0.00018</v>
      </c>
      <c r="N36" s="26" t="s">
        <v>7</v>
      </c>
      <c r="O36" s="14">
        <f t="shared" si="4"/>
        <v>0</v>
      </c>
      <c r="Z36" s="14">
        <f t="shared" si="5"/>
        <v>0</v>
      </c>
      <c r="AA36" s="14">
        <f t="shared" si="6"/>
        <v>0</v>
      </c>
      <c r="AB36" s="14">
        <f t="shared" si="7"/>
        <v>0</v>
      </c>
      <c r="AD36" s="28">
        <v>21</v>
      </c>
      <c r="AE36" s="28">
        <f>G36*0.984336350906383</f>
        <v>0</v>
      </c>
      <c r="AF36" s="28">
        <f>G36*(1-0.984336350906383)</f>
        <v>0</v>
      </c>
    </row>
    <row r="37" spans="1:32" ht="12.75">
      <c r="A37" s="4" t="s">
        <v>24</v>
      </c>
      <c r="B37" s="4"/>
      <c r="C37" s="4" t="s">
        <v>77</v>
      </c>
      <c r="D37" s="4" t="s">
        <v>135</v>
      </c>
      <c r="E37" s="4" t="s">
        <v>180</v>
      </c>
      <c r="F37" s="14">
        <v>9</v>
      </c>
      <c r="H37" s="14">
        <f t="shared" si="0"/>
        <v>0</v>
      </c>
      <c r="I37" s="14">
        <f t="shared" si="1"/>
        <v>0</v>
      </c>
      <c r="J37" s="14">
        <f t="shared" si="2"/>
        <v>0</v>
      </c>
      <c r="K37" s="14">
        <v>0.0029</v>
      </c>
      <c r="L37" s="14">
        <f t="shared" si="3"/>
        <v>0.026099999999999998</v>
      </c>
      <c r="N37" s="26" t="s">
        <v>7</v>
      </c>
      <c r="O37" s="14">
        <f t="shared" si="4"/>
        <v>0</v>
      </c>
      <c r="Z37" s="14">
        <f t="shared" si="5"/>
        <v>0</v>
      </c>
      <c r="AA37" s="14">
        <f t="shared" si="6"/>
        <v>0</v>
      </c>
      <c r="AB37" s="14">
        <f t="shared" si="7"/>
        <v>0</v>
      </c>
      <c r="AD37" s="28">
        <v>21</v>
      </c>
      <c r="AE37" s="28">
        <f>G37*0.898919498762487</f>
        <v>0</v>
      </c>
      <c r="AF37" s="28">
        <f>G37*(1-0.898919498762487)</f>
        <v>0</v>
      </c>
    </row>
    <row r="38" spans="1:32" ht="12.75">
      <c r="A38" s="4" t="s">
        <v>25</v>
      </c>
      <c r="B38" s="4"/>
      <c r="C38" s="4" t="s">
        <v>78</v>
      </c>
      <c r="D38" s="4" t="s">
        <v>136</v>
      </c>
      <c r="E38" s="4" t="s">
        <v>178</v>
      </c>
      <c r="F38" s="14">
        <v>1</v>
      </c>
      <c r="H38" s="14">
        <f t="shared" si="0"/>
        <v>0</v>
      </c>
      <c r="I38" s="14">
        <f t="shared" si="1"/>
        <v>0</v>
      </c>
      <c r="J38" s="14">
        <f t="shared" si="2"/>
        <v>0</v>
      </c>
      <c r="K38" s="14">
        <v>0</v>
      </c>
      <c r="L38" s="14">
        <f t="shared" si="3"/>
        <v>0</v>
      </c>
      <c r="N38" s="26" t="s">
        <v>7</v>
      </c>
      <c r="O38" s="14">
        <f t="shared" si="4"/>
        <v>0</v>
      </c>
      <c r="Z38" s="14">
        <f t="shared" si="5"/>
        <v>0</v>
      </c>
      <c r="AA38" s="14">
        <f t="shared" si="6"/>
        <v>0</v>
      </c>
      <c r="AB38" s="14">
        <f t="shared" si="7"/>
        <v>0</v>
      </c>
      <c r="AD38" s="28">
        <v>21</v>
      </c>
      <c r="AE38" s="28">
        <f>G38*0.723589001447178</f>
        <v>0</v>
      </c>
      <c r="AF38" s="28">
        <f>G38*(1-0.723589001447178)</f>
        <v>0</v>
      </c>
    </row>
    <row r="39" spans="1:37" ht="12.75">
      <c r="A39" s="5"/>
      <c r="B39" s="5"/>
      <c r="C39" s="11" t="s">
        <v>79</v>
      </c>
      <c r="D39" s="57" t="s">
        <v>137</v>
      </c>
      <c r="E39" s="58"/>
      <c r="F39" s="58"/>
      <c r="G39" s="58"/>
      <c r="H39" s="30">
        <f>SUM(H40:H40)</f>
        <v>0</v>
      </c>
      <c r="I39" s="30">
        <f>SUM(I40:I40)</f>
        <v>0</v>
      </c>
      <c r="J39" s="30">
        <f>H39+I39</f>
        <v>0</v>
      </c>
      <c r="K39" s="23"/>
      <c r="L39" s="30">
        <f>SUM(L40:L40)</f>
        <v>0</v>
      </c>
      <c r="P39" s="30">
        <f>IF(Q39="PR",J39,SUM(O40:O40))</f>
        <v>0</v>
      </c>
      <c r="Q39" s="23" t="s">
        <v>202</v>
      </c>
      <c r="R39" s="30">
        <f>IF(Q39="HS",H39,0)</f>
        <v>0</v>
      </c>
      <c r="S39" s="30">
        <f>IF(Q39="HS",I39-P39,0)</f>
        <v>0</v>
      </c>
      <c r="T39" s="30">
        <f>IF(Q39="PS",H39,0)</f>
        <v>0</v>
      </c>
      <c r="U39" s="30">
        <f>IF(Q39="PS",I39-P39,0)</f>
        <v>0</v>
      </c>
      <c r="V39" s="30">
        <f>IF(Q39="MP",H39,0)</f>
        <v>0</v>
      </c>
      <c r="W39" s="30">
        <f>IF(Q39="MP",I39-P39,0)</f>
        <v>0</v>
      </c>
      <c r="X39" s="30">
        <f>IF(Q39="OM",H39,0)</f>
        <v>0</v>
      </c>
      <c r="Y39" s="23"/>
      <c r="AI39" s="30">
        <f>SUM(Z40:Z40)</f>
        <v>0</v>
      </c>
      <c r="AJ39" s="30">
        <f>SUM(AA40:AA40)</f>
        <v>0</v>
      </c>
      <c r="AK39" s="30">
        <f>SUM(AB40:AB40)</f>
        <v>0</v>
      </c>
    </row>
    <row r="40" spans="1:32" ht="12.75">
      <c r="A40" s="4" t="s">
        <v>26</v>
      </c>
      <c r="B40" s="4"/>
      <c r="C40" s="4" t="s">
        <v>80</v>
      </c>
      <c r="D40" s="4" t="s">
        <v>138</v>
      </c>
      <c r="E40" s="4" t="s">
        <v>178</v>
      </c>
      <c r="F40" s="14">
        <v>1</v>
      </c>
      <c r="H40" s="14">
        <f>ROUND(F40*AE40,2)</f>
        <v>0</v>
      </c>
      <c r="I40" s="14">
        <f>J40-H40</f>
        <v>0</v>
      </c>
      <c r="J40" s="14">
        <f>ROUND(F40*G40,2)</f>
        <v>0</v>
      </c>
      <c r="K40" s="14">
        <v>0</v>
      </c>
      <c r="L40" s="14">
        <f>F40*K40</f>
        <v>0</v>
      </c>
      <c r="N40" s="26" t="s">
        <v>7</v>
      </c>
      <c r="O40" s="14">
        <f>IF(N40="5",I40,0)</f>
        <v>0</v>
      </c>
      <c r="Z40" s="14">
        <f>IF(AD40=0,J40,0)</f>
        <v>0</v>
      </c>
      <c r="AA40" s="14">
        <f>IF(AD40=15,J40,0)</f>
        <v>0</v>
      </c>
      <c r="AB40" s="14">
        <f>IF(AD40=21,J40,0)</f>
        <v>0</v>
      </c>
      <c r="AD40" s="28">
        <v>21</v>
      </c>
      <c r="AE40" s="28">
        <f>G40*0.47887323943662</f>
        <v>0</v>
      </c>
      <c r="AF40" s="28">
        <f>G40*(1-0.47887323943662)</f>
        <v>0</v>
      </c>
    </row>
    <row r="41" spans="1:37" ht="12.75">
      <c r="A41" s="5"/>
      <c r="B41" s="5"/>
      <c r="C41" s="11" t="s">
        <v>81</v>
      </c>
      <c r="D41" s="57" t="s">
        <v>139</v>
      </c>
      <c r="E41" s="58"/>
      <c r="F41" s="58"/>
      <c r="G41" s="58"/>
      <c r="H41" s="30">
        <f>SUM(H42:H42)</f>
        <v>0</v>
      </c>
      <c r="I41" s="30">
        <f>SUM(I42:I42)</f>
        <v>0</v>
      </c>
      <c r="J41" s="30">
        <f>H41+I41</f>
        <v>0</v>
      </c>
      <c r="K41" s="23"/>
      <c r="L41" s="30">
        <f>SUM(L42:L42)</f>
        <v>0</v>
      </c>
      <c r="P41" s="30">
        <f>IF(Q41="PR",J41,SUM(O42:O42))</f>
        <v>0</v>
      </c>
      <c r="Q41" s="23" t="s">
        <v>202</v>
      </c>
      <c r="R41" s="30">
        <f>IF(Q41="HS",H41,0)</f>
        <v>0</v>
      </c>
      <c r="S41" s="30">
        <f>IF(Q41="HS",I41-P41,0)</f>
        <v>0</v>
      </c>
      <c r="T41" s="30">
        <f>IF(Q41="PS",H41,0)</f>
        <v>0</v>
      </c>
      <c r="U41" s="30">
        <f>IF(Q41="PS",I41-P41,0)</f>
        <v>0</v>
      </c>
      <c r="V41" s="30">
        <f>IF(Q41="MP",H41,0)</f>
        <v>0</v>
      </c>
      <c r="W41" s="30">
        <f>IF(Q41="MP",I41-P41,0)</f>
        <v>0</v>
      </c>
      <c r="X41" s="30">
        <f>IF(Q41="OM",H41,0)</f>
        <v>0</v>
      </c>
      <c r="Y41" s="23"/>
      <c r="AI41" s="30">
        <f>SUM(Z42:Z42)</f>
        <v>0</v>
      </c>
      <c r="AJ41" s="30">
        <f>SUM(AA42:AA42)</f>
        <v>0</v>
      </c>
      <c r="AK41" s="30">
        <f>SUM(AB42:AB42)</f>
        <v>0</v>
      </c>
    </row>
    <row r="42" spans="1:32" ht="12.75">
      <c r="A42" s="4" t="s">
        <v>27</v>
      </c>
      <c r="B42" s="4"/>
      <c r="C42" s="4" t="s">
        <v>82</v>
      </c>
      <c r="D42" s="4" t="s">
        <v>140</v>
      </c>
      <c r="E42" s="4" t="s">
        <v>180</v>
      </c>
      <c r="F42" s="14">
        <v>12</v>
      </c>
      <c r="H42" s="14">
        <f>ROUND(F42*AE42,2)</f>
        <v>0</v>
      </c>
      <c r="I42" s="14">
        <f>J42-H42</f>
        <v>0</v>
      </c>
      <c r="J42" s="14">
        <f>ROUND(F42*G42,2)</f>
        <v>0</v>
      </c>
      <c r="K42" s="14">
        <v>0</v>
      </c>
      <c r="L42" s="14">
        <f>F42*K42</f>
        <v>0</v>
      </c>
      <c r="N42" s="26" t="s">
        <v>7</v>
      </c>
      <c r="O42" s="14">
        <f>IF(N42="5",I42,0)</f>
        <v>0</v>
      </c>
      <c r="Z42" s="14">
        <f>IF(AD42=0,J42,0)</f>
        <v>0</v>
      </c>
      <c r="AA42" s="14">
        <f>IF(AD42=15,J42,0)</f>
        <v>0</v>
      </c>
      <c r="AB42" s="14">
        <f>IF(AD42=21,J42,0)</f>
        <v>0</v>
      </c>
      <c r="AD42" s="28">
        <v>21</v>
      </c>
      <c r="AE42" s="28">
        <f>G42*0</f>
        <v>0</v>
      </c>
      <c r="AF42" s="28">
        <f>G42*(1-0)</f>
        <v>0</v>
      </c>
    </row>
    <row r="43" spans="1:37" ht="12.75">
      <c r="A43" s="5"/>
      <c r="B43" s="5"/>
      <c r="C43" s="11" t="s">
        <v>83</v>
      </c>
      <c r="D43" s="57" t="s">
        <v>141</v>
      </c>
      <c r="E43" s="58"/>
      <c r="F43" s="58"/>
      <c r="G43" s="58"/>
      <c r="H43" s="30">
        <f>SUM(H44:H44)</f>
        <v>0</v>
      </c>
      <c r="I43" s="30">
        <f>SUM(I44:I44)</f>
        <v>0</v>
      </c>
      <c r="J43" s="30">
        <f>H43+I43</f>
        <v>0</v>
      </c>
      <c r="K43" s="23"/>
      <c r="L43" s="30">
        <f>SUM(L44:L44)</f>
        <v>0.155989</v>
      </c>
      <c r="P43" s="30">
        <f>IF(Q43="PR",J43,SUM(O44:O44))</f>
        <v>0</v>
      </c>
      <c r="Q43" s="23" t="s">
        <v>202</v>
      </c>
      <c r="R43" s="30">
        <f>IF(Q43="HS",H43,0)</f>
        <v>0</v>
      </c>
      <c r="S43" s="30">
        <f>IF(Q43="HS",I43-P43,0)</f>
        <v>0</v>
      </c>
      <c r="T43" s="30">
        <f>IF(Q43="PS",H43,0)</f>
        <v>0</v>
      </c>
      <c r="U43" s="30">
        <f>IF(Q43="PS",I43-P43,0)</f>
        <v>0</v>
      </c>
      <c r="V43" s="30">
        <f>IF(Q43="MP",H43,0)</f>
        <v>0</v>
      </c>
      <c r="W43" s="30">
        <f>IF(Q43="MP",I43-P43,0)</f>
        <v>0</v>
      </c>
      <c r="X43" s="30">
        <f>IF(Q43="OM",H43,0)</f>
        <v>0</v>
      </c>
      <c r="Y43" s="23"/>
      <c r="AI43" s="30">
        <f>SUM(Z44:Z44)</f>
        <v>0</v>
      </c>
      <c r="AJ43" s="30">
        <f>SUM(AA44:AA44)</f>
        <v>0</v>
      </c>
      <c r="AK43" s="30">
        <f>SUM(AB44:AB44)</f>
        <v>0</v>
      </c>
    </row>
    <row r="44" spans="1:32" ht="12.75">
      <c r="A44" s="4" t="s">
        <v>28</v>
      </c>
      <c r="B44" s="4"/>
      <c r="C44" s="4" t="s">
        <v>84</v>
      </c>
      <c r="D44" s="4" t="s">
        <v>142</v>
      </c>
      <c r="E44" s="4" t="s">
        <v>179</v>
      </c>
      <c r="F44" s="14">
        <v>40.1</v>
      </c>
      <c r="H44" s="14">
        <f>ROUND(F44*AE44,2)</f>
        <v>0</v>
      </c>
      <c r="I44" s="14">
        <f>J44-H44</f>
        <v>0</v>
      </c>
      <c r="J44" s="14">
        <f>ROUND(F44*G44,2)</f>
        <v>0</v>
      </c>
      <c r="K44" s="14">
        <v>0.00389</v>
      </c>
      <c r="L44" s="14">
        <f>F44*K44</f>
        <v>0.155989</v>
      </c>
      <c r="N44" s="26" t="s">
        <v>7</v>
      </c>
      <c r="O44" s="14">
        <f>IF(N44="5",I44,0)</f>
        <v>0</v>
      </c>
      <c r="Z44" s="14">
        <f>IF(AD44=0,J44,0)</f>
        <v>0</v>
      </c>
      <c r="AA44" s="14">
        <f>IF(AD44=15,J44,0)</f>
        <v>0</v>
      </c>
      <c r="AB44" s="14">
        <f>IF(AD44=21,J44,0)</f>
        <v>0</v>
      </c>
      <c r="AD44" s="28">
        <v>21</v>
      </c>
      <c r="AE44" s="28">
        <f>G44*0.707386666666667</f>
        <v>0</v>
      </c>
      <c r="AF44" s="28">
        <f>G44*(1-0.707386666666667)</f>
        <v>0</v>
      </c>
    </row>
    <row r="45" spans="1:37" ht="12.75">
      <c r="A45" s="5"/>
      <c r="B45" s="5"/>
      <c r="C45" s="11" t="s">
        <v>85</v>
      </c>
      <c r="D45" s="57" t="s">
        <v>143</v>
      </c>
      <c r="E45" s="58"/>
      <c r="F45" s="58"/>
      <c r="G45" s="58"/>
      <c r="H45" s="30">
        <f>SUM(H46:H48)</f>
        <v>0</v>
      </c>
      <c r="I45" s="30">
        <f>SUM(I46:I48)</f>
        <v>0</v>
      </c>
      <c r="J45" s="30">
        <f>H45+I45</f>
        <v>0</v>
      </c>
      <c r="K45" s="23"/>
      <c r="L45" s="30">
        <f>SUM(L46:L48)</f>
        <v>9.851130000000001</v>
      </c>
      <c r="P45" s="30">
        <f>IF(Q45="PR",J45,SUM(O46:O48))</f>
        <v>0</v>
      </c>
      <c r="Q45" s="23" t="s">
        <v>202</v>
      </c>
      <c r="R45" s="30">
        <f>IF(Q45="HS",H45,0)</f>
        <v>0</v>
      </c>
      <c r="S45" s="30">
        <f>IF(Q45="HS",I45-P45,0)</f>
        <v>0</v>
      </c>
      <c r="T45" s="30">
        <f>IF(Q45="PS",H45,0)</f>
        <v>0</v>
      </c>
      <c r="U45" s="30">
        <f>IF(Q45="PS",I45-P45,0)</f>
        <v>0</v>
      </c>
      <c r="V45" s="30">
        <f>IF(Q45="MP",H45,0)</f>
        <v>0</v>
      </c>
      <c r="W45" s="30">
        <f>IF(Q45="MP",I45-P45,0)</f>
        <v>0</v>
      </c>
      <c r="X45" s="30">
        <f>IF(Q45="OM",H45,0)</f>
        <v>0</v>
      </c>
      <c r="Y45" s="23"/>
      <c r="AI45" s="30">
        <f>SUM(Z46:Z48)</f>
        <v>0</v>
      </c>
      <c r="AJ45" s="30">
        <f>SUM(AA46:AA48)</f>
        <v>0</v>
      </c>
      <c r="AK45" s="30">
        <f>SUM(AB46:AB48)</f>
        <v>0</v>
      </c>
    </row>
    <row r="46" spans="1:32" ht="12.75">
      <c r="A46" s="4" t="s">
        <v>29</v>
      </c>
      <c r="B46" s="4"/>
      <c r="C46" s="4" t="s">
        <v>86</v>
      </c>
      <c r="D46" s="4" t="s">
        <v>144</v>
      </c>
      <c r="E46" s="4" t="s">
        <v>179</v>
      </c>
      <c r="F46" s="14">
        <v>132</v>
      </c>
      <c r="H46" s="14">
        <f>ROUND(F46*AE46,2)</f>
        <v>0</v>
      </c>
      <c r="I46" s="14">
        <f>J46-H46</f>
        <v>0</v>
      </c>
      <c r="J46" s="14">
        <f>ROUND(F46*G46,2)</f>
        <v>0</v>
      </c>
      <c r="K46" s="14">
        <v>0.068</v>
      </c>
      <c r="L46" s="14">
        <f>F46*K46</f>
        <v>8.976</v>
      </c>
      <c r="N46" s="26" t="s">
        <v>9</v>
      </c>
      <c r="O46" s="14">
        <f>IF(N46="5",I46,0)</f>
        <v>0</v>
      </c>
      <c r="Z46" s="14">
        <f>IF(AD46=0,J46,0)</f>
        <v>0</v>
      </c>
      <c r="AA46" s="14">
        <f>IF(AD46=15,J46,0)</f>
        <v>0</v>
      </c>
      <c r="AB46" s="14">
        <f>IF(AD46=21,J46,0)</f>
        <v>0</v>
      </c>
      <c r="AD46" s="28">
        <v>21</v>
      </c>
      <c r="AE46" s="28">
        <f>G46*0</f>
        <v>0</v>
      </c>
      <c r="AF46" s="28">
        <f>G46*(1-0)</f>
        <v>0</v>
      </c>
    </row>
    <row r="47" spans="1:32" ht="12.75">
      <c r="A47" s="4" t="s">
        <v>30</v>
      </c>
      <c r="B47" s="4"/>
      <c r="C47" s="4" t="s">
        <v>87</v>
      </c>
      <c r="D47" s="4" t="s">
        <v>145</v>
      </c>
      <c r="E47" s="4" t="s">
        <v>182</v>
      </c>
      <c r="F47" s="14">
        <v>140</v>
      </c>
      <c r="H47" s="14">
        <f>ROUND(F47*AE47,2)</f>
        <v>0</v>
      </c>
      <c r="I47" s="14">
        <f>J47-H47</f>
        <v>0</v>
      </c>
      <c r="J47" s="14">
        <f>ROUND(F47*G47,2)</f>
        <v>0</v>
      </c>
      <c r="K47" s="14">
        <v>0</v>
      </c>
      <c r="L47" s="14">
        <f>F47*K47</f>
        <v>0</v>
      </c>
      <c r="N47" s="26" t="s">
        <v>7</v>
      </c>
      <c r="O47" s="14">
        <f>IF(N47="5",I47,0)</f>
        <v>0</v>
      </c>
      <c r="Z47" s="14">
        <f>IF(AD47=0,J47,0)</f>
        <v>0</v>
      </c>
      <c r="AA47" s="14">
        <f>IF(AD47=15,J47,0)</f>
        <v>0</v>
      </c>
      <c r="AB47" s="14">
        <f>IF(AD47=21,J47,0)</f>
        <v>0</v>
      </c>
      <c r="AD47" s="28">
        <v>21</v>
      </c>
      <c r="AE47" s="28">
        <f>G47*0.592672413793103</f>
        <v>0</v>
      </c>
      <c r="AF47" s="28">
        <f>G47*(1-0.592672413793103)</f>
        <v>0</v>
      </c>
    </row>
    <row r="48" spans="1:32" ht="12.75">
      <c r="A48" s="4" t="s">
        <v>31</v>
      </c>
      <c r="B48" s="4"/>
      <c r="C48" s="4" t="s">
        <v>88</v>
      </c>
      <c r="D48" s="4" t="s">
        <v>146</v>
      </c>
      <c r="E48" s="4" t="s">
        <v>179</v>
      </c>
      <c r="F48" s="14">
        <v>188.2</v>
      </c>
      <c r="H48" s="14">
        <f>ROUND(F48*AE48,2)</f>
        <v>0</v>
      </c>
      <c r="I48" s="14">
        <f>J48-H48</f>
        <v>0</v>
      </c>
      <c r="J48" s="14">
        <f>ROUND(F48*G48,2)</f>
        <v>0</v>
      </c>
      <c r="K48" s="14">
        <v>0.00465</v>
      </c>
      <c r="L48" s="14">
        <f>F48*K48</f>
        <v>0.8751299999999999</v>
      </c>
      <c r="N48" s="26" t="s">
        <v>7</v>
      </c>
      <c r="O48" s="14">
        <f>IF(N48="5",I48,0)</f>
        <v>0</v>
      </c>
      <c r="Z48" s="14">
        <f>IF(AD48=0,J48,0)</f>
        <v>0</v>
      </c>
      <c r="AA48" s="14">
        <f>IF(AD48=15,J48,0)</f>
        <v>0</v>
      </c>
      <c r="AB48" s="14">
        <f>IF(AD48=21,J48,0)</f>
        <v>0</v>
      </c>
      <c r="AD48" s="28">
        <v>21</v>
      </c>
      <c r="AE48" s="28">
        <f>G48*0.157404999277561</f>
        <v>0</v>
      </c>
      <c r="AF48" s="28">
        <f>G48*(1-0.157404999277561)</f>
        <v>0</v>
      </c>
    </row>
    <row r="49" spans="1:37" ht="12.75">
      <c r="A49" s="5"/>
      <c r="B49" s="5"/>
      <c r="C49" s="11" t="s">
        <v>89</v>
      </c>
      <c r="D49" s="57" t="s">
        <v>147</v>
      </c>
      <c r="E49" s="58"/>
      <c r="F49" s="58"/>
      <c r="G49" s="58"/>
      <c r="H49" s="30">
        <f>SUM(H50:H50)</f>
        <v>0</v>
      </c>
      <c r="I49" s="30">
        <f>SUM(I50:I50)</f>
        <v>0</v>
      </c>
      <c r="J49" s="30">
        <f>H49+I49</f>
        <v>0</v>
      </c>
      <c r="K49" s="23"/>
      <c r="L49" s="30">
        <f>SUM(L50:L50)</f>
        <v>0.0026656</v>
      </c>
      <c r="P49" s="30">
        <f>IF(Q49="PR",J49,SUM(O50:O50))</f>
        <v>0</v>
      </c>
      <c r="Q49" s="23" t="s">
        <v>202</v>
      </c>
      <c r="R49" s="30">
        <f>IF(Q49="HS",H49,0)</f>
        <v>0</v>
      </c>
      <c r="S49" s="30">
        <f>IF(Q49="HS",I49-P49,0)</f>
        <v>0</v>
      </c>
      <c r="T49" s="30">
        <f>IF(Q49="PS",H49,0)</f>
        <v>0</v>
      </c>
      <c r="U49" s="30">
        <f>IF(Q49="PS",I49-P49,0)</f>
        <v>0</v>
      </c>
      <c r="V49" s="30">
        <f>IF(Q49="MP",H49,0)</f>
        <v>0</v>
      </c>
      <c r="W49" s="30">
        <f>IF(Q49="MP",I49-P49,0)</f>
        <v>0</v>
      </c>
      <c r="X49" s="30">
        <f>IF(Q49="OM",H49,0)</f>
        <v>0</v>
      </c>
      <c r="Y49" s="23"/>
      <c r="AI49" s="30">
        <f>SUM(Z50:Z50)</f>
        <v>0</v>
      </c>
      <c r="AJ49" s="30">
        <f>SUM(AA50:AA50)</f>
        <v>0</v>
      </c>
      <c r="AK49" s="30">
        <f>SUM(AB50:AB50)</f>
        <v>0</v>
      </c>
    </row>
    <row r="50" spans="1:32" ht="12.75">
      <c r="A50" s="4" t="s">
        <v>32</v>
      </c>
      <c r="B50" s="4"/>
      <c r="C50" s="4" t="s">
        <v>90</v>
      </c>
      <c r="D50" s="4" t="s">
        <v>148</v>
      </c>
      <c r="E50" s="4" t="s">
        <v>179</v>
      </c>
      <c r="F50" s="14">
        <v>8.33</v>
      </c>
      <c r="H50" s="14">
        <f>ROUND(F50*AE50,2)</f>
        <v>0</v>
      </c>
      <c r="I50" s="14">
        <f>J50-H50</f>
        <v>0</v>
      </c>
      <c r="J50" s="14">
        <f>ROUND(F50*G50,2)</f>
        <v>0</v>
      </c>
      <c r="K50" s="14">
        <v>0.00032</v>
      </c>
      <c r="L50" s="14">
        <f>F50*K50</f>
        <v>0.0026656</v>
      </c>
      <c r="N50" s="26" t="s">
        <v>9</v>
      </c>
      <c r="O50" s="14">
        <f>IF(N50="5",I50,0)</f>
        <v>0</v>
      </c>
      <c r="Z50" s="14">
        <f>IF(AD50=0,J50,0)</f>
        <v>0</v>
      </c>
      <c r="AA50" s="14">
        <f>IF(AD50=15,J50,0)</f>
        <v>0</v>
      </c>
      <c r="AB50" s="14">
        <f>IF(AD50=21,J50,0)</f>
        <v>0</v>
      </c>
      <c r="AD50" s="28">
        <v>21</v>
      </c>
      <c r="AE50" s="28">
        <f>G50*0.189731746313732</f>
        <v>0</v>
      </c>
      <c r="AF50" s="28">
        <f>G50*(1-0.189731746313732)</f>
        <v>0</v>
      </c>
    </row>
    <row r="51" spans="1:37" ht="12.75">
      <c r="A51" s="5"/>
      <c r="B51" s="5"/>
      <c r="C51" s="11" t="s">
        <v>91</v>
      </c>
      <c r="D51" s="57" t="s">
        <v>149</v>
      </c>
      <c r="E51" s="58"/>
      <c r="F51" s="58"/>
      <c r="G51" s="58"/>
      <c r="H51" s="30">
        <f>SUM(H52:H52)</f>
        <v>0</v>
      </c>
      <c r="I51" s="30">
        <f>SUM(I52:I52)</f>
        <v>0</v>
      </c>
      <c r="J51" s="30">
        <f>H51+I51</f>
        <v>0</v>
      </c>
      <c r="K51" s="23"/>
      <c r="L51" s="30">
        <f>SUM(L52:L52)</f>
        <v>0.034272000000000004</v>
      </c>
      <c r="P51" s="30">
        <f>IF(Q51="PR",J51,SUM(O52:O52))</f>
        <v>0</v>
      </c>
      <c r="Q51" s="23" t="s">
        <v>202</v>
      </c>
      <c r="R51" s="30">
        <f>IF(Q51="HS",H51,0)</f>
        <v>0</v>
      </c>
      <c r="S51" s="30">
        <f>IF(Q51="HS",I51-P51,0)</f>
        <v>0</v>
      </c>
      <c r="T51" s="30">
        <f>IF(Q51="PS",H51,0)</f>
        <v>0</v>
      </c>
      <c r="U51" s="30">
        <f>IF(Q51="PS",I51-P51,0)</f>
        <v>0</v>
      </c>
      <c r="V51" s="30">
        <f>IF(Q51="MP",H51,0)</f>
        <v>0</v>
      </c>
      <c r="W51" s="30">
        <f>IF(Q51="MP",I51-P51,0)</f>
        <v>0</v>
      </c>
      <c r="X51" s="30">
        <f>IF(Q51="OM",H51,0)</f>
        <v>0</v>
      </c>
      <c r="Y51" s="23"/>
      <c r="AI51" s="30">
        <f>SUM(Z52:Z52)</f>
        <v>0</v>
      </c>
      <c r="AJ51" s="30">
        <f>SUM(AA52:AA52)</f>
        <v>0</v>
      </c>
      <c r="AK51" s="30">
        <f>SUM(AB52:AB52)</f>
        <v>0</v>
      </c>
    </row>
    <row r="52" spans="1:32" ht="12.75">
      <c r="A52" s="4" t="s">
        <v>33</v>
      </c>
      <c r="B52" s="4"/>
      <c r="C52" s="4" t="s">
        <v>92</v>
      </c>
      <c r="D52" s="4" t="s">
        <v>276</v>
      </c>
      <c r="E52" s="4" t="s">
        <v>179</v>
      </c>
      <c r="F52" s="14">
        <v>107.1</v>
      </c>
      <c r="H52" s="14">
        <f>ROUND(F52*AE52,2)</f>
        <v>0</v>
      </c>
      <c r="I52" s="14">
        <f>J52-H52</f>
        <v>0</v>
      </c>
      <c r="J52" s="14">
        <f>ROUND(F52*G52,2)</f>
        <v>0</v>
      </c>
      <c r="K52" s="14">
        <v>0.00032</v>
      </c>
      <c r="L52" s="14">
        <f>F52*K52</f>
        <v>0.034272000000000004</v>
      </c>
      <c r="N52" s="26" t="s">
        <v>9</v>
      </c>
      <c r="O52" s="14">
        <f>IF(N52="5",I52,0)</f>
        <v>0</v>
      </c>
      <c r="Z52" s="14">
        <f>IF(AD52=0,J52,0)</f>
        <v>0</v>
      </c>
      <c r="AA52" s="14">
        <f>IF(AD52=15,J52,0)</f>
        <v>0</v>
      </c>
      <c r="AB52" s="14">
        <f>IF(AD52=21,J52,0)</f>
        <v>0</v>
      </c>
      <c r="AD52" s="28">
        <v>21</v>
      </c>
      <c r="AE52" s="28">
        <f>G52*0.19476861167002</f>
        <v>0</v>
      </c>
      <c r="AF52" s="28">
        <f>G52*(1-0.19476861167002)</f>
        <v>0</v>
      </c>
    </row>
    <row r="53" spans="1:37" ht="12.75">
      <c r="A53" s="5"/>
      <c r="B53" s="5"/>
      <c r="C53" s="11" t="s">
        <v>93</v>
      </c>
      <c r="D53" s="57" t="s">
        <v>150</v>
      </c>
      <c r="E53" s="58"/>
      <c r="F53" s="58"/>
      <c r="G53" s="58"/>
      <c r="H53" s="30">
        <f>SUM(H54:H54)</f>
        <v>0</v>
      </c>
      <c r="I53" s="30">
        <f>SUM(I54:I54)</f>
        <v>0</v>
      </c>
      <c r="J53" s="30">
        <f>H53+I53</f>
        <v>0</v>
      </c>
      <c r="K53" s="23"/>
      <c r="L53" s="30">
        <f>SUM(L54:L54)</f>
        <v>0.118816</v>
      </c>
      <c r="P53" s="30">
        <f>IF(Q53="PR",J53,SUM(O54:O54))</f>
        <v>0</v>
      </c>
      <c r="Q53" s="23" t="s">
        <v>201</v>
      </c>
      <c r="R53" s="30">
        <f>IF(Q53="HS",H53,0)</f>
        <v>0</v>
      </c>
      <c r="S53" s="30">
        <f>IF(Q53="HS",I53-P53,0)</f>
        <v>0</v>
      </c>
      <c r="T53" s="30">
        <f>IF(Q53="PS",H53,0)</f>
        <v>0</v>
      </c>
      <c r="U53" s="30">
        <f>IF(Q53="PS",I53-P53,0)</f>
        <v>0</v>
      </c>
      <c r="V53" s="30">
        <f>IF(Q53="MP",H53,0)</f>
        <v>0</v>
      </c>
      <c r="W53" s="30">
        <f>IF(Q53="MP",I53-P53,0)</f>
        <v>0</v>
      </c>
      <c r="X53" s="30">
        <f>IF(Q53="OM",H53,0)</f>
        <v>0</v>
      </c>
      <c r="Y53" s="23"/>
      <c r="AI53" s="30">
        <f>SUM(Z54:Z54)</f>
        <v>0</v>
      </c>
      <c r="AJ53" s="30">
        <f>SUM(AA54:AA54)</f>
        <v>0</v>
      </c>
      <c r="AK53" s="30">
        <f>SUM(AB54:AB54)</f>
        <v>0</v>
      </c>
    </row>
    <row r="54" spans="1:32" ht="12.75">
      <c r="A54" s="4" t="s">
        <v>34</v>
      </c>
      <c r="B54" s="4"/>
      <c r="C54" s="4" t="s">
        <v>94</v>
      </c>
      <c r="D54" s="4" t="s">
        <v>151</v>
      </c>
      <c r="E54" s="4" t="s">
        <v>179</v>
      </c>
      <c r="F54" s="14">
        <v>75.2</v>
      </c>
      <c r="H54" s="14">
        <f>ROUND(F54*AE54,2)</f>
        <v>0</v>
      </c>
      <c r="I54" s="14">
        <f>J54-H54</f>
        <v>0</v>
      </c>
      <c r="J54" s="14">
        <f>ROUND(F54*G54,2)</f>
        <v>0</v>
      </c>
      <c r="K54" s="14">
        <v>0.00158</v>
      </c>
      <c r="L54" s="14">
        <f>F54*K54</f>
        <v>0.118816</v>
      </c>
      <c r="N54" s="26" t="s">
        <v>7</v>
      </c>
      <c r="O54" s="14">
        <f>IF(N54="5",I54,0)</f>
        <v>0</v>
      </c>
      <c r="Z54" s="14">
        <f>IF(AD54=0,J54,0)</f>
        <v>0</v>
      </c>
      <c r="AA54" s="14">
        <f>IF(AD54=15,J54,0)</f>
        <v>0</v>
      </c>
      <c r="AB54" s="14">
        <f>IF(AD54=21,J54,0)</f>
        <v>0</v>
      </c>
      <c r="AD54" s="28">
        <v>21</v>
      </c>
      <c r="AE54" s="28">
        <f>G54*0.462057790980286</f>
        <v>0</v>
      </c>
      <c r="AF54" s="28">
        <f>G54*(1-0.462057790980286)</f>
        <v>0</v>
      </c>
    </row>
    <row r="55" spans="1:37" ht="12.75">
      <c r="A55" s="5"/>
      <c r="B55" s="5"/>
      <c r="C55" s="11" t="s">
        <v>95</v>
      </c>
      <c r="D55" s="57" t="s">
        <v>152</v>
      </c>
      <c r="E55" s="58"/>
      <c r="F55" s="58"/>
      <c r="G55" s="58"/>
      <c r="H55" s="30">
        <f>SUM(H56:H61)</f>
        <v>0</v>
      </c>
      <c r="I55" s="30">
        <f>SUM(I56:I61)</f>
        <v>0</v>
      </c>
      <c r="J55" s="30">
        <f>H55+I55</f>
        <v>0</v>
      </c>
      <c r="K55" s="23"/>
      <c r="L55" s="30">
        <f>SUM(L56:L61)</f>
        <v>9.8737</v>
      </c>
      <c r="P55" s="30">
        <f>IF(Q55="PR",J55,SUM(O56:O61))</f>
        <v>0</v>
      </c>
      <c r="Q55" s="23" t="s">
        <v>201</v>
      </c>
      <c r="R55" s="30">
        <f>IF(Q55="HS",H55,0)</f>
        <v>0</v>
      </c>
      <c r="S55" s="30">
        <f>IF(Q55="HS",I55-P55,0)</f>
        <v>0</v>
      </c>
      <c r="T55" s="30">
        <f>IF(Q55="PS",H55,0)</f>
        <v>0</v>
      </c>
      <c r="U55" s="30">
        <f>IF(Q55="PS",I55-P55,0)</f>
        <v>0</v>
      </c>
      <c r="V55" s="30">
        <f>IF(Q55="MP",H55,0)</f>
        <v>0</v>
      </c>
      <c r="W55" s="30">
        <f>IF(Q55="MP",I55-P55,0)</f>
        <v>0</v>
      </c>
      <c r="X55" s="30">
        <f>IF(Q55="OM",H55,0)</f>
        <v>0</v>
      </c>
      <c r="Y55" s="23"/>
      <c r="AI55" s="30">
        <f>SUM(Z56:Z61)</f>
        <v>0</v>
      </c>
      <c r="AJ55" s="30">
        <f>SUM(AA56:AA61)</f>
        <v>0</v>
      </c>
      <c r="AK55" s="30">
        <f>SUM(AB56:AB61)</f>
        <v>0</v>
      </c>
    </row>
    <row r="56" spans="1:32" ht="12.75">
      <c r="A56" s="4" t="s">
        <v>35</v>
      </c>
      <c r="B56" s="4"/>
      <c r="C56" s="4" t="s">
        <v>96</v>
      </c>
      <c r="D56" s="4" t="s">
        <v>153</v>
      </c>
      <c r="E56" s="4" t="s">
        <v>179</v>
      </c>
      <c r="F56" s="14">
        <v>30.3</v>
      </c>
      <c r="H56" s="14">
        <f aca="true" t="shared" si="8" ref="H56:H61">ROUND(F56*AE56,2)</f>
        <v>0</v>
      </c>
      <c r="I56" s="14">
        <f aca="true" t="shared" si="9" ref="I56:I61">J56-H56</f>
        <v>0</v>
      </c>
      <c r="J56" s="14">
        <f aca="true" t="shared" si="10" ref="J56:J61">ROUND(F56*G56,2)</f>
        <v>0</v>
      </c>
      <c r="K56" s="14">
        <v>0.131</v>
      </c>
      <c r="L56" s="14">
        <f aca="true" t="shared" si="11" ref="L56:L61">F56*K56</f>
        <v>3.9693</v>
      </c>
      <c r="N56" s="26" t="s">
        <v>7</v>
      </c>
      <c r="O56" s="14">
        <f aca="true" t="shared" si="12" ref="O56:O61">IF(N56="5",I56,0)</f>
        <v>0</v>
      </c>
      <c r="Z56" s="14">
        <f aca="true" t="shared" si="13" ref="Z56:Z61">IF(AD56=0,J56,0)</f>
        <v>0</v>
      </c>
      <c r="AA56" s="14">
        <f aca="true" t="shared" si="14" ref="AA56:AA61">IF(AD56=15,J56,0)</f>
        <v>0</v>
      </c>
      <c r="AB56" s="14">
        <f aca="true" t="shared" si="15" ref="AB56:AB61">IF(AD56=21,J56,0)</f>
        <v>0</v>
      </c>
      <c r="AD56" s="28">
        <v>21</v>
      </c>
      <c r="AE56" s="28">
        <f>G56*0.185843676618584</f>
        <v>0</v>
      </c>
      <c r="AF56" s="28">
        <f>G56*(1-0.185843676618584)</f>
        <v>0</v>
      </c>
    </row>
    <row r="57" spans="1:32" ht="12.75">
      <c r="A57" s="4" t="s">
        <v>36</v>
      </c>
      <c r="B57" s="4"/>
      <c r="C57" s="4" t="s">
        <v>97</v>
      </c>
      <c r="D57" s="4" t="s">
        <v>154</v>
      </c>
      <c r="E57" s="4" t="s">
        <v>180</v>
      </c>
      <c r="F57" s="14">
        <v>14</v>
      </c>
      <c r="H57" s="14">
        <f t="shared" si="8"/>
        <v>0</v>
      </c>
      <c r="I57" s="14">
        <f t="shared" si="9"/>
        <v>0</v>
      </c>
      <c r="J57" s="14">
        <f t="shared" si="10"/>
        <v>0</v>
      </c>
      <c r="K57" s="14">
        <v>0</v>
      </c>
      <c r="L57" s="14">
        <f t="shared" si="11"/>
        <v>0</v>
      </c>
      <c r="N57" s="26" t="s">
        <v>7</v>
      </c>
      <c r="O57" s="14">
        <f t="shared" si="12"/>
        <v>0</v>
      </c>
      <c r="Z57" s="14">
        <f t="shared" si="13"/>
        <v>0</v>
      </c>
      <c r="AA57" s="14">
        <f t="shared" si="14"/>
        <v>0</v>
      </c>
      <c r="AB57" s="14">
        <f t="shared" si="15"/>
        <v>0</v>
      </c>
      <c r="AD57" s="28">
        <v>21</v>
      </c>
      <c r="AE57" s="28">
        <f>G57*0</f>
        <v>0</v>
      </c>
      <c r="AF57" s="28">
        <f>G57*(1-0)</f>
        <v>0</v>
      </c>
    </row>
    <row r="58" spans="1:32" ht="12.75">
      <c r="A58" s="4" t="s">
        <v>37</v>
      </c>
      <c r="B58" s="4"/>
      <c r="C58" s="4" t="s">
        <v>98</v>
      </c>
      <c r="D58" s="4" t="s">
        <v>155</v>
      </c>
      <c r="E58" s="4" t="s">
        <v>179</v>
      </c>
      <c r="F58" s="14">
        <v>16.4</v>
      </c>
      <c r="H58" s="14">
        <f t="shared" si="8"/>
        <v>0</v>
      </c>
      <c r="I58" s="14">
        <f t="shared" si="9"/>
        <v>0</v>
      </c>
      <c r="J58" s="14">
        <f t="shared" si="10"/>
        <v>0</v>
      </c>
      <c r="K58" s="14">
        <v>0.076</v>
      </c>
      <c r="L58" s="14">
        <f t="shared" si="11"/>
        <v>1.2464</v>
      </c>
      <c r="N58" s="26" t="s">
        <v>7</v>
      </c>
      <c r="O58" s="14">
        <f t="shared" si="12"/>
        <v>0</v>
      </c>
      <c r="Z58" s="14">
        <f t="shared" si="13"/>
        <v>0</v>
      </c>
      <c r="AA58" s="14">
        <f t="shared" si="14"/>
        <v>0</v>
      </c>
      <c r="AB58" s="14">
        <f t="shared" si="15"/>
        <v>0</v>
      </c>
      <c r="AD58" s="28">
        <v>21</v>
      </c>
      <c r="AE58" s="28">
        <f>G58*0.107107510721748</f>
        <v>0</v>
      </c>
      <c r="AF58" s="28">
        <f>G58*(1-0.107107510721748)</f>
        <v>0</v>
      </c>
    </row>
    <row r="59" spans="1:32" ht="12.75">
      <c r="A59" s="4" t="s">
        <v>38</v>
      </c>
      <c r="B59" s="4"/>
      <c r="C59" s="4" t="s">
        <v>99</v>
      </c>
      <c r="D59" s="4" t="s">
        <v>156</v>
      </c>
      <c r="E59" s="4" t="s">
        <v>183</v>
      </c>
      <c r="F59" s="14">
        <v>0.8</v>
      </c>
      <c r="H59" s="14">
        <f t="shared" si="8"/>
        <v>0</v>
      </c>
      <c r="I59" s="14">
        <f t="shared" si="9"/>
        <v>0</v>
      </c>
      <c r="J59" s="14">
        <f t="shared" si="10"/>
        <v>0</v>
      </c>
      <c r="K59" s="14">
        <v>2.2</v>
      </c>
      <c r="L59" s="14">
        <f t="shared" si="11"/>
        <v>1.7600000000000002</v>
      </c>
      <c r="N59" s="26" t="s">
        <v>7</v>
      </c>
      <c r="O59" s="14">
        <f t="shared" si="12"/>
        <v>0</v>
      </c>
      <c r="Z59" s="14">
        <f t="shared" si="13"/>
        <v>0</v>
      </c>
      <c r="AA59" s="14">
        <f t="shared" si="14"/>
        <v>0</v>
      </c>
      <c r="AB59" s="14">
        <f t="shared" si="15"/>
        <v>0</v>
      </c>
      <c r="AD59" s="28">
        <v>21</v>
      </c>
      <c r="AE59" s="28">
        <f>G59*0</f>
        <v>0</v>
      </c>
      <c r="AF59" s="28">
        <f>G59*(1-0)</f>
        <v>0</v>
      </c>
    </row>
    <row r="60" spans="1:32" ht="12.75">
      <c r="A60" s="4" t="s">
        <v>39</v>
      </c>
      <c r="B60" s="4"/>
      <c r="C60" s="4" t="s">
        <v>100</v>
      </c>
      <c r="D60" s="4" t="s">
        <v>157</v>
      </c>
      <c r="E60" s="4" t="s">
        <v>179</v>
      </c>
      <c r="F60" s="14">
        <v>50.4</v>
      </c>
      <c r="H60" s="14">
        <f t="shared" si="8"/>
        <v>0</v>
      </c>
      <c r="I60" s="14">
        <f t="shared" si="9"/>
        <v>0</v>
      </c>
      <c r="J60" s="14">
        <f t="shared" si="10"/>
        <v>0</v>
      </c>
      <c r="K60" s="14">
        <v>0.02</v>
      </c>
      <c r="L60" s="14">
        <f t="shared" si="11"/>
        <v>1.008</v>
      </c>
      <c r="N60" s="26" t="s">
        <v>7</v>
      </c>
      <c r="O60" s="14">
        <f t="shared" si="12"/>
        <v>0</v>
      </c>
      <c r="Z60" s="14">
        <f t="shared" si="13"/>
        <v>0</v>
      </c>
      <c r="AA60" s="14">
        <f t="shared" si="14"/>
        <v>0</v>
      </c>
      <c r="AB60" s="14">
        <f t="shared" si="15"/>
        <v>0</v>
      </c>
      <c r="AD60" s="28">
        <v>21</v>
      </c>
      <c r="AE60" s="28">
        <f>G60*0</f>
        <v>0</v>
      </c>
      <c r="AF60" s="28">
        <f>G60*(1-0)</f>
        <v>0</v>
      </c>
    </row>
    <row r="61" spans="1:32" ht="12.75">
      <c r="A61" s="4" t="s">
        <v>40</v>
      </c>
      <c r="B61" s="4"/>
      <c r="C61" s="4" t="s">
        <v>101</v>
      </c>
      <c r="D61" s="4" t="s">
        <v>158</v>
      </c>
      <c r="E61" s="4" t="s">
        <v>182</v>
      </c>
      <c r="F61" s="14">
        <v>30</v>
      </c>
      <c r="H61" s="14">
        <f t="shared" si="8"/>
        <v>0</v>
      </c>
      <c r="I61" s="14">
        <f t="shared" si="9"/>
        <v>0</v>
      </c>
      <c r="J61" s="14">
        <f t="shared" si="10"/>
        <v>0</v>
      </c>
      <c r="K61" s="14">
        <v>0.063</v>
      </c>
      <c r="L61" s="14">
        <f t="shared" si="11"/>
        <v>1.8900000000000001</v>
      </c>
      <c r="N61" s="26" t="s">
        <v>7</v>
      </c>
      <c r="O61" s="14">
        <f t="shared" si="12"/>
        <v>0</v>
      </c>
      <c r="Z61" s="14">
        <f t="shared" si="13"/>
        <v>0</v>
      </c>
      <c r="AA61" s="14">
        <f t="shared" si="14"/>
        <v>0</v>
      </c>
      <c r="AB61" s="14">
        <f t="shared" si="15"/>
        <v>0</v>
      </c>
      <c r="AD61" s="28">
        <v>21</v>
      </c>
      <c r="AE61" s="28">
        <f>G61*0.102562302562303</f>
        <v>0</v>
      </c>
      <c r="AF61" s="28">
        <f>G61*(1-0.102562302562303)</f>
        <v>0</v>
      </c>
    </row>
    <row r="62" spans="1:37" ht="12.75">
      <c r="A62" s="5"/>
      <c r="B62" s="5"/>
      <c r="C62" s="11" t="s">
        <v>102</v>
      </c>
      <c r="D62" s="57" t="s">
        <v>159</v>
      </c>
      <c r="E62" s="58"/>
      <c r="F62" s="58"/>
      <c r="G62" s="58"/>
      <c r="H62" s="30">
        <f>SUM(H63:H64)</f>
        <v>0</v>
      </c>
      <c r="I62" s="30">
        <f>SUM(I63:I64)</f>
        <v>0</v>
      </c>
      <c r="J62" s="30">
        <f>H62+I62</f>
        <v>0</v>
      </c>
      <c r="K62" s="23"/>
      <c r="L62" s="30">
        <f>SUM(L63:L64)</f>
        <v>0.5656000000000001</v>
      </c>
      <c r="P62" s="30">
        <f>IF(Q62="PR",J62,SUM(O63:O64))</f>
        <v>0</v>
      </c>
      <c r="Q62" s="23" t="s">
        <v>201</v>
      </c>
      <c r="R62" s="30">
        <f>IF(Q62="HS",H62,0)</f>
        <v>0</v>
      </c>
      <c r="S62" s="30">
        <f>IF(Q62="HS",I62-P62,0)</f>
        <v>0</v>
      </c>
      <c r="T62" s="30">
        <f>IF(Q62="PS",H62,0)</f>
        <v>0</v>
      </c>
      <c r="U62" s="30">
        <f>IF(Q62="PS",I62-P62,0)</f>
        <v>0</v>
      </c>
      <c r="V62" s="30">
        <f>IF(Q62="MP",H62,0)</f>
        <v>0</v>
      </c>
      <c r="W62" s="30">
        <f>IF(Q62="MP",I62-P62,0)</f>
        <v>0</v>
      </c>
      <c r="X62" s="30">
        <f>IF(Q62="OM",H62,0)</f>
        <v>0</v>
      </c>
      <c r="Y62" s="23"/>
      <c r="AI62" s="30">
        <f>SUM(Z63:Z64)</f>
        <v>0</v>
      </c>
      <c r="AJ62" s="30">
        <f>SUM(AA63:AA64)</f>
        <v>0</v>
      </c>
      <c r="AK62" s="30">
        <f>SUM(AB63:AB64)</f>
        <v>0</v>
      </c>
    </row>
    <row r="63" spans="1:32" ht="12.75">
      <c r="A63" s="4" t="s">
        <v>41</v>
      </c>
      <c r="B63" s="4"/>
      <c r="C63" s="4" t="s">
        <v>103</v>
      </c>
      <c r="D63" s="4" t="s">
        <v>160</v>
      </c>
      <c r="E63" s="4" t="s">
        <v>182</v>
      </c>
      <c r="F63" s="14">
        <v>25.8</v>
      </c>
      <c r="H63" s="14">
        <f>ROUND(F63*AE63,2)</f>
        <v>0</v>
      </c>
      <c r="I63" s="14">
        <f>J63-H63</f>
        <v>0</v>
      </c>
      <c r="J63" s="14">
        <f>ROUND(F63*G63,2)</f>
        <v>0</v>
      </c>
      <c r="K63" s="14">
        <v>0.012</v>
      </c>
      <c r="L63" s="14">
        <f>F63*K63</f>
        <v>0.30960000000000004</v>
      </c>
      <c r="N63" s="26" t="s">
        <v>7</v>
      </c>
      <c r="O63" s="14">
        <f>IF(N63="5",I63,0)</f>
        <v>0</v>
      </c>
      <c r="Z63" s="14">
        <f>IF(AD63=0,J63,0)</f>
        <v>0</v>
      </c>
      <c r="AA63" s="14">
        <f>IF(AD63=15,J63,0)</f>
        <v>0</v>
      </c>
      <c r="AB63" s="14">
        <f>IF(AD63=21,J63,0)</f>
        <v>0</v>
      </c>
      <c r="AD63" s="28">
        <v>21</v>
      </c>
      <c r="AE63" s="28">
        <f>G63*0</f>
        <v>0</v>
      </c>
      <c r="AF63" s="28">
        <f>G63*(1-0)</f>
        <v>0</v>
      </c>
    </row>
    <row r="64" spans="1:32" ht="12.75">
      <c r="A64" s="4" t="s">
        <v>42</v>
      </c>
      <c r="B64" s="4"/>
      <c r="C64" s="4" t="s">
        <v>104</v>
      </c>
      <c r="D64" s="4" t="s">
        <v>161</v>
      </c>
      <c r="E64" s="4" t="s">
        <v>179</v>
      </c>
      <c r="F64" s="14">
        <v>25.6</v>
      </c>
      <c r="H64" s="14">
        <f>ROUND(F64*AE64,2)</f>
        <v>0</v>
      </c>
      <c r="I64" s="14">
        <f>J64-H64</f>
        <v>0</v>
      </c>
      <c r="J64" s="14">
        <f>ROUND(F64*G64,2)</f>
        <v>0</v>
      </c>
      <c r="K64" s="14">
        <v>0.01</v>
      </c>
      <c r="L64" s="14">
        <f>F64*K64</f>
        <v>0.256</v>
      </c>
      <c r="N64" s="26" t="s">
        <v>7</v>
      </c>
      <c r="O64" s="14">
        <f>IF(N64="5",I64,0)</f>
        <v>0</v>
      </c>
      <c r="Z64" s="14">
        <f>IF(AD64=0,J64,0)</f>
        <v>0</v>
      </c>
      <c r="AA64" s="14">
        <f>IF(AD64=15,J64,0)</f>
        <v>0</v>
      </c>
      <c r="AB64" s="14">
        <f>IF(AD64=21,J64,0)</f>
        <v>0</v>
      </c>
      <c r="AD64" s="28">
        <v>21</v>
      </c>
      <c r="AE64" s="28">
        <f>G64*0</f>
        <v>0</v>
      </c>
      <c r="AF64" s="28">
        <f>G64*(1-0)</f>
        <v>0</v>
      </c>
    </row>
    <row r="65" spans="1:37" ht="12.75">
      <c r="A65" s="5"/>
      <c r="B65" s="5"/>
      <c r="C65" s="11" t="s">
        <v>105</v>
      </c>
      <c r="D65" s="57" t="s">
        <v>162</v>
      </c>
      <c r="E65" s="58"/>
      <c r="F65" s="58"/>
      <c r="G65" s="58"/>
      <c r="H65" s="30">
        <f>SUM(H66:H71)</f>
        <v>0</v>
      </c>
      <c r="I65" s="30">
        <f>SUM(I66:I71)</f>
        <v>0</v>
      </c>
      <c r="J65" s="30">
        <f>H65+I65</f>
        <v>0</v>
      </c>
      <c r="K65" s="23"/>
      <c r="L65" s="30">
        <f>SUM(L66:L71)</f>
        <v>0</v>
      </c>
      <c r="P65" s="30">
        <f>IF(Q65="PR",J65,SUM(O66:O71))</f>
        <v>0</v>
      </c>
      <c r="Q65" s="23" t="s">
        <v>203</v>
      </c>
      <c r="R65" s="30">
        <f>IF(Q65="HS",H65,0)</f>
        <v>0</v>
      </c>
      <c r="S65" s="30">
        <f>IF(Q65="HS",I65-P65,0)</f>
        <v>0</v>
      </c>
      <c r="T65" s="30">
        <f>IF(Q65="PS",H65,0)</f>
        <v>0</v>
      </c>
      <c r="U65" s="30">
        <f>IF(Q65="PS",I65-P65,0)</f>
        <v>0</v>
      </c>
      <c r="V65" s="30">
        <f>IF(Q65="MP",H65,0)</f>
        <v>0</v>
      </c>
      <c r="W65" s="30">
        <f>IF(Q65="MP",I65-P65,0)</f>
        <v>0</v>
      </c>
      <c r="X65" s="30">
        <f>IF(Q65="OM",H65,0)</f>
        <v>0</v>
      </c>
      <c r="Y65" s="23"/>
      <c r="AI65" s="30">
        <f>SUM(Z66:Z71)</f>
        <v>0</v>
      </c>
      <c r="AJ65" s="30">
        <f>SUM(AA66:AA71)</f>
        <v>0</v>
      </c>
      <c r="AK65" s="30">
        <f>SUM(AB66:AB71)</f>
        <v>0</v>
      </c>
    </row>
    <row r="66" spans="1:32" ht="12.75">
      <c r="A66" s="4" t="s">
        <v>43</v>
      </c>
      <c r="B66" s="4"/>
      <c r="C66" s="4" t="s">
        <v>106</v>
      </c>
      <c r="D66" s="4" t="s">
        <v>163</v>
      </c>
      <c r="E66" s="4" t="s">
        <v>184</v>
      </c>
      <c r="F66" s="14">
        <v>19.69</v>
      </c>
      <c r="H66" s="14">
        <f aca="true" t="shared" si="16" ref="H66:H71">ROUND(F66*AE66,2)</f>
        <v>0</v>
      </c>
      <c r="I66" s="14">
        <f aca="true" t="shared" si="17" ref="I66:I71">J66-H66</f>
        <v>0</v>
      </c>
      <c r="J66" s="14">
        <f aca="true" t="shared" si="18" ref="J66:J71">ROUND(F66*G66,2)</f>
        <v>0</v>
      </c>
      <c r="K66" s="14">
        <v>0</v>
      </c>
      <c r="L66" s="14">
        <f aca="true" t="shared" si="19" ref="L66:L71">F66*K66</f>
        <v>0</v>
      </c>
      <c r="N66" s="26" t="s">
        <v>11</v>
      </c>
      <c r="O66" s="14">
        <f aca="true" t="shared" si="20" ref="O66:O71">IF(N66="5",I66,0)</f>
        <v>0</v>
      </c>
      <c r="Z66" s="14">
        <f aca="true" t="shared" si="21" ref="Z66:Z71">IF(AD66=0,J66,0)</f>
        <v>0</v>
      </c>
      <c r="AA66" s="14">
        <f aca="true" t="shared" si="22" ref="AA66:AA71">IF(AD66=15,J66,0)</f>
        <v>0</v>
      </c>
      <c r="AB66" s="14">
        <f aca="true" t="shared" si="23" ref="AB66:AB71">IF(AD66=21,J66,0)</f>
        <v>0</v>
      </c>
      <c r="AD66" s="28">
        <v>21</v>
      </c>
      <c r="AE66" s="28">
        <f aca="true" t="shared" si="24" ref="AE66:AE71">G66*0</f>
        <v>0</v>
      </c>
      <c r="AF66" s="28">
        <f aca="true" t="shared" si="25" ref="AF66:AF71">G66*(1-0)</f>
        <v>0</v>
      </c>
    </row>
    <row r="67" spans="1:32" ht="12.75">
      <c r="A67" s="4" t="s">
        <v>44</v>
      </c>
      <c r="B67" s="4"/>
      <c r="C67" s="4" t="s">
        <v>107</v>
      </c>
      <c r="D67" s="4" t="s">
        <v>164</v>
      </c>
      <c r="E67" s="4" t="s">
        <v>184</v>
      </c>
      <c r="F67" s="14">
        <v>19.69</v>
      </c>
      <c r="H67" s="14">
        <f t="shared" si="16"/>
        <v>0</v>
      </c>
      <c r="I67" s="14">
        <f t="shared" si="17"/>
        <v>0</v>
      </c>
      <c r="J67" s="14">
        <f t="shared" si="18"/>
        <v>0</v>
      </c>
      <c r="K67" s="14">
        <v>0</v>
      </c>
      <c r="L67" s="14">
        <f t="shared" si="19"/>
        <v>0</v>
      </c>
      <c r="N67" s="26" t="s">
        <v>11</v>
      </c>
      <c r="O67" s="14">
        <f t="shared" si="20"/>
        <v>0</v>
      </c>
      <c r="Z67" s="14">
        <f t="shared" si="21"/>
        <v>0</v>
      </c>
      <c r="AA67" s="14">
        <f t="shared" si="22"/>
        <v>0</v>
      </c>
      <c r="AB67" s="14">
        <f t="shared" si="23"/>
        <v>0</v>
      </c>
      <c r="AD67" s="28">
        <v>21</v>
      </c>
      <c r="AE67" s="28">
        <f t="shared" si="24"/>
        <v>0</v>
      </c>
      <c r="AF67" s="28">
        <f t="shared" si="25"/>
        <v>0</v>
      </c>
    </row>
    <row r="68" spans="1:32" ht="12.75">
      <c r="A68" s="4" t="s">
        <v>45</v>
      </c>
      <c r="B68" s="4"/>
      <c r="C68" s="4" t="s">
        <v>108</v>
      </c>
      <c r="D68" s="4" t="s">
        <v>165</v>
      </c>
      <c r="E68" s="4" t="s">
        <v>184</v>
      </c>
      <c r="F68" s="14">
        <v>9.845</v>
      </c>
      <c r="H68" s="14">
        <f t="shared" si="16"/>
        <v>0</v>
      </c>
      <c r="I68" s="14">
        <f t="shared" si="17"/>
        <v>0</v>
      </c>
      <c r="J68" s="14">
        <f t="shared" si="18"/>
        <v>0</v>
      </c>
      <c r="K68" s="14">
        <v>0</v>
      </c>
      <c r="L68" s="14">
        <f t="shared" si="19"/>
        <v>0</v>
      </c>
      <c r="N68" s="26" t="s">
        <v>11</v>
      </c>
      <c r="O68" s="14">
        <f t="shared" si="20"/>
        <v>0</v>
      </c>
      <c r="Z68" s="14">
        <f t="shared" si="21"/>
        <v>0</v>
      </c>
      <c r="AA68" s="14">
        <f t="shared" si="22"/>
        <v>0</v>
      </c>
      <c r="AB68" s="14">
        <f t="shared" si="23"/>
        <v>0</v>
      </c>
      <c r="AD68" s="28">
        <v>21</v>
      </c>
      <c r="AE68" s="28">
        <f t="shared" si="24"/>
        <v>0</v>
      </c>
      <c r="AF68" s="28">
        <f t="shared" si="25"/>
        <v>0</v>
      </c>
    </row>
    <row r="69" spans="1:32" ht="12.75">
      <c r="A69" s="4" t="s">
        <v>46</v>
      </c>
      <c r="B69" s="4"/>
      <c r="C69" s="4" t="s">
        <v>109</v>
      </c>
      <c r="D69" s="4" t="s">
        <v>166</v>
      </c>
      <c r="E69" s="4" t="s">
        <v>184</v>
      </c>
      <c r="F69" s="14">
        <v>19.69</v>
      </c>
      <c r="H69" s="14">
        <f t="shared" si="16"/>
        <v>0</v>
      </c>
      <c r="I69" s="14">
        <f t="shared" si="17"/>
        <v>0</v>
      </c>
      <c r="J69" s="14">
        <f t="shared" si="18"/>
        <v>0</v>
      </c>
      <c r="K69" s="14">
        <v>0</v>
      </c>
      <c r="L69" s="14">
        <f t="shared" si="19"/>
        <v>0</v>
      </c>
      <c r="N69" s="26" t="s">
        <v>11</v>
      </c>
      <c r="O69" s="14">
        <f t="shared" si="20"/>
        <v>0</v>
      </c>
      <c r="Z69" s="14">
        <f t="shared" si="21"/>
        <v>0</v>
      </c>
      <c r="AA69" s="14">
        <f t="shared" si="22"/>
        <v>0</v>
      </c>
      <c r="AB69" s="14">
        <f t="shared" si="23"/>
        <v>0</v>
      </c>
      <c r="AD69" s="28">
        <v>21</v>
      </c>
      <c r="AE69" s="28">
        <f t="shared" si="24"/>
        <v>0</v>
      </c>
      <c r="AF69" s="28">
        <f t="shared" si="25"/>
        <v>0</v>
      </c>
    </row>
    <row r="70" spans="1:32" ht="12.75">
      <c r="A70" s="4" t="s">
        <v>47</v>
      </c>
      <c r="B70" s="4"/>
      <c r="C70" s="4" t="s">
        <v>110</v>
      </c>
      <c r="D70" s="4" t="s">
        <v>167</v>
      </c>
      <c r="E70" s="4" t="s">
        <v>184</v>
      </c>
      <c r="F70" s="14">
        <v>5.2</v>
      </c>
      <c r="H70" s="14">
        <f t="shared" si="16"/>
        <v>0</v>
      </c>
      <c r="I70" s="14">
        <f t="shared" si="17"/>
        <v>0</v>
      </c>
      <c r="J70" s="14">
        <f t="shared" si="18"/>
        <v>0</v>
      </c>
      <c r="K70" s="14">
        <v>0</v>
      </c>
      <c r="L70" s="14">
        <f t="shared" si="19"/>
        <v>0</v>
      </c>
      <c r="N70" s="26" t="s">
        <v>11</v>
      </c>
      <c r="O70" s="14">
        <f t="shared" si="20"/>
        <v>0</v>
      </c>
      <c r="Z70" s="14">
        <f t="shared" si="21"/>
        <v>0</v>
      </c>
      <c r="AA70" s="14">
        <f t="shared" si="22"/>
        <v>0</v>
      </c>
      <c r="AB70" s="14">
        <f t="shared" si="23"/>
        <v>0</v>
      </c>
      <c r="AD70" s="28">
        <v>21</v>
      </c>
      <c r="AE70" s="28">
        <f t="shared" si="24"/>
        <v>0</v>
      </c>
      <c r="AF70" s="28">
        <f t="shared" si="25"/>
        <v>0</v>
      </c>
    </row>
    <row r="71" spans="1:32" ht="12.75">
      <c r="A71" s="4" t="s">
        <v>48</v>
      </c>
      <c r="B71" s="4"/>
      <c r="C71" s="4" t="s">
        <v>111</v>
      </c>
      <c r="D71" s="4" t="s">
        <v>168</v>
      </c>
      <c r="E71" s="4" t="s">
        <v>184</v>
      </c>
      <c r="F71" s="14">
        <v>19.69</v>
      </c>
      <c r="H71" s="14">
        <f t="shared" si="16"/>
        <v>0</v>
      </c>
      <c r="I71" s="14">
        <f t="shared" si="17"/>
        <v>0</v>
      </c>
      <c r="J71" s="14">
        <f t="shared" si="18"/>
        <v>0</v>
      </c>
      <c r="K71" s="14">
        <v>0</v>
      </c>
      <c r="L71" s="14">
        <f t="shared" si="19"/>
        <v>0</v>
      </c>
      <c r="N71" s="26" t="s">
        <v>11</v>
      </c>
      <c r="O71" s="14">
        <f t="shared" si="20"/>
        <v>0</v>
      </c>
      <c r="Z71" s="14">
        <f t="shared" si="21"/>
        <v>0</v>
      </c>
      <c r="AA71" s="14">
        <f t="shared" si="22"/>
        <v>0</v>
      </c>
      <c r="AB71" s="14">
        <f t="shared" si="23"/>
        <v>0</v>
      </c>
      <c r="AD71" s="28">
        <v>21</v>
      </c>
      <c r="AE71" s="28">
        <f t="shared" si="24"/>
        <v>0</v>
      </c>
      <c r="AF71" s="28">
        <f t="shared" si="25"/>
        <v>0</v>
      </c>
    </row>
    <row r="72" spans="1:37" ht="12.75">
      <c r="A72" s="5"/>
      <c r="B72" s="5"/>
      <c r="C72" s="11" t="s">
        <v>112</v>
      </c>
      <c r="D72" s="57" t="s">
        <v>169</v>
      </c>
      <c r="E72" s="58"/>
      <c r="F72" s="58"/>
      <c r="G72" s="58"/>
      <c r="H72" s="30">
        <f>SUM(H73:H73)</f>
        <v>0</v>
      </c>
      <c r="I72" s="30">
        <f>SUM(I73:I73)</f>
        <v>0</v>
      </c>
      <c r="J72" s="30">
        <f>H72+I72</f>
        <v>0</v>
      </c>
      <c r="K72" s="23"/>
      <c r="L72" s="30">
        <f>SUM(L73:L73)</f>
        <v>0</v>
      </c>
      <c r="P72" s="30">
        <f>IF(Q72="PR",J72,SUM(O73:O73))</f>
        <v>0</v>
      </c>
      <c r="Q72" s="23" t="s">
        <v>203</v>
      </c>
      <c r="R72" s="30">
        <f>IF(Q72="HS",H72,0)</f>
        <v>0</v>
      </c>
      <c r="S72" s="30">
        <f>IF(Q72="HS",I72-P72,0)</f>
        <v>0</v>
      </c>
      <c r="T72" s="30">
        <f>IF(Q72="PS",H72,0)</f>
        <v>0</v>
      </c>
      <c r="U72" s="30">
        <f>IF(Q72="PS",I72-P72,0)</f>
        <v>0</v>
      </c>
      <c r="V72" s="30">
        <f>IF(Q72="MP",H72,0)</f>
        <v>0</v>
      </c>
      <c r="W72" s="30">
        <f>IF(Q72="MP",I72-P72,0)</f>
        <v>0</v>
      </c>
      <c r="X72" s="30">
        <f>IF(Q72="OM",H72,0)</f>
        <v>0</v>
      </c>
      <c r="Y72" s="23"/>
      <c r="AI72" s="30">
        <f>SUM(Z73:Z73)</f>
        <v>0</v>
      </c>
      <c r="AJ72" s="30">
        <f>SUM(AA73:AA73)</f>
        <v>0</v>
      </c>
      <c r="AK72" s="30">
        <f>SUM(AB73:AB73)</f>
        <v>0</v>
      </c>
    </row>
    <row r="73" spans="1:32" ht="12.75">
      <c r="A73" s="4" t="s">
        <v>49</v>
      </c>
      <c r="B73" s="4"/>
      <c r="C73" s="4" t="s">
        <v>113</v>
      </c>
      <c r="D73" s="4" t="s">
        <v>170</v>
      </c>
      <c r="E73" s="4" t="s">
        <v>178</v>
      </c>
      <c r="F73" s="14">
        <v>1</v>
      </c>
      <c r="H73" s="14">
        <f>ROUND(F73*AE73,2)</f>
        <v>0</v>
      </c>
      <c r="I73" s="14">
        <f>J73-H73</f>
        <v>0</v>
      </c>
      <c r="J73" s="14">
        <f>ROUND(F73*G73,2)</f>
        <v>0</v>
      </c>
      <c r="K73" s="14">
        <v>0</v>
      </c>
      <c r="L73" s="14">
        <f>F73*K73</f>
        <v>0</v>
      </c>
      <c r="N73" s="26" t="s">
        <v>11</v>
      </c>
      <c r="O73" s="14">
        <f>IF(N73="5",I73,0)</f>
        <v>0</v>
      </c>
      <c r="Z73" s="14">
        <f>IF(AD73=0,J73,0)</f>
        <v>0</v>
      </c>
      <c r="AA73" s="14">
        <f>IF(AD73=15,J73,0)</f>
        <v>0</v>
      </c>
      <c r="AB73" s="14">
        <f>IF(AD73=21,J73,0)</f>
        <v>0</v>
      </c>
      <c r="AD73" s="28">
        <v>21</v>
      </c>
      <c r="AE73" s="28">
        <f>G73*0.526315789473684</f>
        <v>0</v>
      </c>
      <c r="AF73" s="28">
        <f>G73*(1-0.526315789473684)</f>
        <v>0</v>
      </c>
    </row>
    <row r="74" spans="1:37" ht="12.75">
      <c r="A74" s="5"/>
      <c r="B74" s="5"/>
      <c r="C74" s="11"/>
      <c r="D74" s="57" t="s">
        <v>171</v>
      </c>
      <c r="E74" s="58"/>
      <c r="F74" s="58"/>
      <c r="G74" s="58"/>
      <c r="H74" s="30">
        <f>SUM(H75:H75)</f>
        <v>0</v>
      </c>
      <c r="I74" s="30">
        <f>SUM(I75:I75)</f>
        <v>0</v>
      </c>
      <c r="J74" s="30">
        <f>H74+I74</f>
        <v>0</v>
      </c>
      <c r="K74" s="23"/>
      <c r="L74" s="30">
        <f>SUM(L75:L75)</f>
        <v>0.20400000000000001</v>
      </c>
      <c r="P74" s="30">
        <f>IF(Q74="PR",J74,SUM(O75:O75))</f>
        <v>0</v>
      </c>
      <c r="Q74" s="23" t="s">
        <v>204</v>
      </c>
      <c r="R74" s="30">
        <f>IF(Q74="HS",H74,0)</f>
        <v>0</v>
      </c>
      <c r="S74" s="30">
        <f>IF(Q74="HS",I74-P74,0)</f>
        <v>0</v>
      </c>
      <c r="T74" s="30">
        <f>IF(Q74="PS",H74,0)</f>
        <v>0</v>
      </c>
      <c r="U74" s="30">
        <f>IF(Q74="PS",I74-P74,0)</f>
        <v>0</v>
      </c>
      <c r="V74" s="30">
        <f>IF(Q74="MP",H74,0)</f>
        <v>0</v>
      </c>
      <c r="W74" s="30">
        <f>IF(Q74="MP",I74-P74,0)</f>
        <v>0</v>
      </c>
      <c r="X74" s="30">
        <f>IF(Q74="OM",H74,0)</f>
        <v>0</v>
      </c>
      <c r="Y74" s="23"/>
      <c r="AI74" s="30">
        <f>SUM(Z75:Z75)</f>
        <v>0</v>
      </c>
      <c r="AJ74" s="30">
        <f>SUM(AA75:AA75)</f>
        <v>0</v>
      </c>
      <c r="AK74" s="30">
        <f>SUM(AB75:AB75)</f>
        <v>0</v>
      </c>
    </row>
    <row r="75" spans="1:32" ht="12.75">
      <c r="A75" s="6" t="s">
        <v>50</v>
      </c>
      <c r="B75" s="6"/>
      <c r="C75" s="6" t="s">
        <v>114</v>
      </c>
      <c r="D75" s="6" t="s">
        <v>172</v>
      </c>
      <c r="E75" s="6" t="s">
        <v>180</v>
      </c>
      <c r="F75" s="15">
        <v>12</v>
      </c>
      <c r="G75" s="18"/>
      <c r="H75" s="15">
        <f>ROUND(F75*AE75,2)</f>
        <v>0</v>
      </c>
      <c r="I75" s="15">
        <f>J75-H75</f>
        <v>0</v>
      </c>
      <c r="J75" s="15">
        <f>ROUND(F75*G75,2)</f>
        <v>0</v>
      </c>
      <c r="K75" s="15">
        <v>0.017</v>
      </c>
      <c r="L75" s="15">
        <f>F75*K75</f>
        <v>0.20400000000000001</v>
      </c>
      <c r="N75" s="27" t="s">
        <v>198</v>
      </c>
      <c r="O75" s="32">
        <f>IF(N75="5",I75,0)</f>
        <v>0</v>
      </c>
      <c r="Z75" s="32">
        <f>IF(AD75=0,J75,0)</f>
        <v>0</v>
      </c>
      <c r="AA75" s="32">
        <f>IF(AD75=15,J75,0)</f>
        <v>0</v>
      </c>
      <c r="AB75" s="32">
        <f>IF(AD75=21,J75,0)</f>
        <v>0</v>
      </c>
      <c r="AD75" s="28">
        <v>21</v>
      </c>
      <c r="AE75" s="28">
        <f>G75*1</f>
        <v>0</v>
      </c>
      <c r="AF75" s="28">
        <f>G75*(1-1)</f>
        <v>0</v>
      </c>
    </row>
    <row r="76" spans="1:28" ht="12.75">
      <c r="A76" s="7"/>
      <c r="B76" s="7"/>
      <c r="C76" s="7"/>
      <c r="D76" s="7"/>
      <c r="E76" s="7"/>
      <c r="F76" s="7"/>
      <c r="G76" s="7"/>
      <c r="H76" s="59" t="s">
        <v>190</v>
      </c>
      <c r="I76" s="60"/>
      <c r="J76" s="31">
        <f>J12+J14+J18+J20+J22+J24+J26+J29+J39+J41+J43+J45+J49+J51+J53+J55+J62+J65+J72+J74</f>
        <v>0</v>
      </c>
      <c r="K76" s="7"/>
      <c r="L76" s="7"/>
      <c r="Z76" s="33">
        <f>SUM(Z13:Z75)</f>
        <v>0</v>
      </c>
      <c r="AA76" s="33">
        <f>SUM(AA13:AA75)</f>
        <v>0</v>
      </c>
      <c r="AB76" s="33">
        <f>SUM(AB13:AB75)</f>
        <v>0</v>
      </c>
    </row>
  </sheetData>
  <sheetProtection/>
  <mergeCells count="48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4:G14"/>
    <mergeCell ref="D18:G18"/>
    <mergeCell ref="D20:G20"/>
    <mergeCell ref="D55:G55"/>
    <mergeCell ref="D22:G22"/>
    <mergeCell ref="D24:G24"/>
    <mergeCell ref="D26:G26"/>
    <mergeCell ref="D29:G29"/>
    <mergeCell ref="D39:G39"/>
    <mergeCell ref="D41:G41"/>
    <mergeCell ref="D62:G62"/>
    <mergeCell ref="D65:G65"/>
    <mergeCell ref="D72:G72"/>
    <mergeCell ref="D74:G74"/>
    <mergeCell ref="H76:I76"/>
    <mergeCell ref="D43:G43"/>
    <mergeCell ref="D45:G45"/>
    <mergeCell ref="D49:G49"/>
    <mergeCell ref="D51:G51"/>
    <mergeCell ref="D53:G5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75" t="s">
        <v>212</v>
      </c>
      <c r="B1" s="76"/>
      <c r="C1" s="76"/>
      <c r="D1" s="76"/>
      <c r="E1" s="76"/>
      <c r="F1" s="76"/>
      <c r="G1" s="18"/>
    </row>
    <row r="2" spans="1:8" ht="12.75">
      <c r="A2" s="77" t="s">
        <v>1</v>
      </c>
      <c r="B2" s="59" t="s">
        <v>115</v>
      </c>
      <c r="C2" s="60"/>
      <c r="D2" s="66" t="s">
        <v>191</v>
      </c>
      <c r="E2" s="66"/>
      <c r="F2" s="70"/>
      <c r="G2" s="71"/>
      <c r="H2" s="24"/>
    </row>
    <row r="3" spans="1:8" ht="12.75">
      <c r="A3" s="78"/>
      <c r="B3" s="81"/>
      <c r="C3" s="81"/>
      <c r="D3" s="67"/>
      <c r="E3" s="67"/>
      <c r="F3" s="67"/>
      <c r="G3" s="72"/>
      <c r="H3" s="24"/>
    </row>
    <row r="4" spans="1:8" ht="12.75">
      <c r="A4" s="79" t="s">
        <v>2</v>
      </c>
      <c r="B4" s="68"/>
      <c r="C4" s="67"/>
      <c r="D4" s="68" t="s">
        <v>192</v>
      </c>
      <c r="E4" s="68"/>
      <c r="F4" s="67"/>
      <c r="G4" s="72"/>
      <c r="H4" s="24"/>
    </row>
    <row r="5" spans="1:8" ht="12.75">
      <c r="A5" s="78"/>
      <c r="B5" s="67"/>
      <c r="C5" s="67"/>
      <c r="D5" s="67"/>
      <c r="E5" s="67"/>
      <c r="F5" s="67"/>
      <c r="G5" s="72"/>
      <c r="H5" s="24"/>
    </row>
    <row r="6" spans="1:8" ht="12.75">
      <c r="A6" s="79" t="s">
        <v>3</v>
      </c>
      <c r="B6" s="68"/>
      <c r="C6" s="67"/>
      <c r="D6" s="68" t="s">
        <v>193</v>
      </c>
      <c r="E6" s="68"/>
      <c r="F6" s="67"/>
      <c r="G6" s="72"/>
      <c r="H6" s="24"/>
    </row>
    <row r="7" spans="1:8" ht="12.75">
      <c r="A7" s="78"/>
      <c r="B7" s="67"/>
      <c r="C7" s="67"/>
      <c r="D7" s="67"/>
      <c r="E7" s="67"/>
      <c r="F7" s="67"/>
      <c r="G7" s="72"/>
      <c r="H7" s="24"/>
    </row>
    <row r="8" spans="1:8" ht="12.75">
      <c r="A8" s="79" t="s">
        <v>194</v>
      </c>
      <c r="B8" s="68"/>
      <c r="C8" s="67"/>
      <c r="D8" s="68" t="s">
        <v>176</v>
      </c>
      <c r="E8" s="74">
        <v>42480</v>
      </c>
      <c r="F8" s="67"/>
      <c r="G8" s="72"/>
      <c r="H8" s="24"/>
    </row>
    <row r="9" spans="1:8" ht="12.75">
      <c r="A9" s="80"/>
      <c r="B9" s="69"/>
      <c r="C9" s="69"/>
      <c r="D9" s="69"/>
      <c r="E9" s="69"/>
      <c r="F9" s="69"/>
      <c r="G9" s="73"/>
      <c r="H9" s="24"/>
    </row>
    <row r="10" spans="1:8" ht="12.75">
      <c r="A10" s="34" t="s">
        <v>51</v>
      </c>
      <c r="B10" s="36" t="s">
        <v>52</v>
      </c>
      <c r="C10" s="37" t="s">
        <v>116</v>
      </c>
      <c r="D10" s="38" t="s">
        <v>213</v>
      </c>
      <c r="E10" s="38" t="s">
        <v>214</v>
      </c>
      <c r="F10" s="38" t="s">
        <v>215</v>
      </c>
      <c r="G10" s="41" t="s">
        <v>216</v>
      </c>
      <c r="H10" s="25"/>
    </row>
    <row r="11" spans="1:9" ht="12.75">
      <c r="A11" s="35"/>
      <c r="B11" s="35" t="s">
        <v>53</v>
      </c>
      <c r="C11" s="35" t="s">
        <v>117</v>
      </c>
      <c r="D11" s="39"/>
      <c r="E11" s="39"/>
      <c r="F11" s="42">
        <f aca="true" t="shared" si="0" ref="F11:F30">D11+E11</f>
        <v>0</v>
      </c>
      <c r="G11" s="42">
        <v>0</v>
      </c>
      <c r="H11" s="28" t="s">
        <v>217</v>
      </c>
      <c r="I11" s="28">
        <f aca="true" t="shared" si="1" ref="I11:I30">IF(H11="T",0,F11)</f>
        <v>0</v>
      </c>
    </row>
    <row r="12" spans="1:9" ht="12.75">
      <c r="A12" s="12"/>
      <c r="B12" s="12" t="s">
        <v>40</v>
      </c>
      <c r="C12" s="12" t="s">
        <v>119</v>
      </c>
      <c r="F12" s="28">
        <f t="shared" si="0"/>
        <v>0</v>
      </c>
      <c r="G12" s="28">
        <v>2.90868</v>
      </c>
      <c r="H12" s="28" t="s">
        <v>217</v>
      </c>
      <c r="I12" s="28">
        <f t="shared" si="1"/>
        <v>0</v>
      </c>
    </row>
    <row r="13" spans="1:9" ht="12.75">
      <c r="A13" s="12"/>
      <c r="B13" s="12" t="s">
        <v>58</v>
      </c>
      <c r="C13" s="12" t="s">
        <v>122</v>
      </c>
      <c r="F13" s="28">
        <f t="shared" si="0"/>
        <v>0</v>
      </c>
      <c r="G13" s="28">
        <v>0.72</v>
      </c>
      <c r="H13" s="28" t="s">
        <v>217</v>
      </c>
      <c r="I13" s="28">
        <f t="shared" si="1"/>
        <v>0</v>
      </c>
    </row>
    <row r="14" spans="1:9" ht="12.75">
      <c r="A14" s="12"/>
      <c r="B14" s="12" t="s">
        <v>60</v>
      </c>
      <c r="C14" s="12" t="s">
        <v>124</v>
      </c>
      <c r="F14" s="28">
        <f t="shared" si="0"/>
        <v>0</v>
      </c>
      <c r="G14" s="28">
        <v>0</v>
      </c>
      <c r="H14" s="28" t="s">
        <v>217</v>
      </c>
      <c r="I14" s="28">
        <f t="shared" si="1"/>
        <v>0</v>
      </c>
    </row>
    <row r="15" spans="1:9" ht="12.75">
      <c r="A15" s="12"/>
      <c r="B15" s="12" t="s">
        <v>62</v>
      </c>
      <c r="C15" s="12" t="s">
        <v>125</v>
      </c>
      <c r="F15" s="28">
        <f t="shared" si="0"/>
        <v>0</v>
      </c>
      <c r="G15" s="28">
        <v>0.33231</v>
      </c>
      <c r="H15" s="28" t="s">
        <v>217</v>
      </c>
      <c r="I15" s="28">
        <f t="shared" si="1"/>
        <v>0</v>
      </c>
    </row>
    <row r="16" spans="1:9" ht="12.75">
      <c r="A16" s="12"/>
      <c r="B16" s="12" t="s">
        <v>64</v>
      </c>
      <c r="C16" s="12" t="s">
        <v>127</v>
      </c>
      <c r="F16" s="28">
        <f t="shared" si="0"/>
        <v>0</v>
      </c>
      <c r="G16" s="28">
        <v>0.01524</v>
      </c>
      <c r="H16" s="28" t="s">
        <v>217</v>
      </c>
      <c r="I16" s="28">
        <f t="shared" si="1"/>
        <v>0</v>
      </c>
    </row>
    <row r="17" spans="1:9" ht="12.75">
      <c r="A17" s="12"/>
      <c r="B17" s="12" t="s">
        <v>66</v>
      </c>
      <c r="C17" s="12" t="s">
        <v>128</v>
      </c>
      <c r="F17" s="28">
        <f t="shared" si="0"/>
        <v>0</v>
      </c>
      <c r="G17" s="28">
        <v>0.10132</v>
      </c>
      <c r="H17" s="28" t="s">
        <v>217</v>
      </c>
      <c r="I17" s="28">
        <f t="shared" si="1"/>
        <v>0</v>
      </c>
    </row>
    <row r="18" spans="1:9" ht="12.75">
      <c r="A18" s="12"/>
      <c r="B18" s="12" t="s">
        <v>69</v>
      </c>
      <c r="C18" s="12" t="s">
        <v>130</v>
      </c>
      <c r="F18" s="28">
        <f t="shared" si="0"/>
        <v>0</v>
      </c>
      <c r="G18" s="28">
        <v>0.66013</v>
      </c>
      <c r="H18" s="28" t="s">
        <v>217</v>
      </c>
      <c r="I18" s="28">
        <f t="shared" si="1"/>
        <v>0</v>
      </c>
    </row>
    <row r="19" spans="1:9" ht="12.75">
      <c r="A19" s="12"/>
      <c r="B19" s="12" t="s">
        <v>79</v>
      </c>
      <c r="C19" s="12" t="s">
        <v>137</v>
      </c>
      <c r="F19" s="28">
        <f t="shared" si="0"/>
        <v>0</v>
      </c>
      <c r="G19" s="28">
        <v>0</v>
      </c>
      <c r="H19" s="28" t="s">
        <v>217</v>
      </c>
      <c r="I19" s="28">
        <f t="shared" si="1"/>
        <v>0</v>
      </c>
    </row>
    <row r="20" spans="1:9" ht="12.75">
      <c r="A20" s="12"/>
      <c r="B20" s="12" t="s">
        <v>81</v>
      </c>
      <c r="C20" s="12" t="s">
        <v>139</v>
      </c>
      <c r="F20" s="28">
        <f t="shared" si="0"/>
        <v>0</v>
      </c>
      <c r="G20" s="28">
        <v>0</v>
      </c>
      <c r="H20" s="28" t="s">
        <v>217</v>
      </c>
      <c r="I20" s="28">
        <f t="shared" si="1"/>
        <v>0</v>
      </c>
    </row>
    <row r="21" spans="1:9" ht="12.75">
      <c r="A21" s="12"/>
      <c r="B21" s="12" t="s">
        <v>83</v>
      </c>
      <c r="C21" s="12" t="s">
        <v>141</v>
      </c>
      <c r="F21" s="28">
        <f t="shared" si="0"/>
        <v>0</v>
      </c>
      <c r="G21" s="28">
        <v>0.15599</v>
      </c>
      <c r="H21" s="28" t="s">
        <v>217</v>
      </c>
      <c r="I21" s="28">
        <f t="shared" si="1"/>
        <v>0</v>
      </c>
    </row>
    <row r="22" spans="1:9" ht="12.75">
      <c r="A22" s="12"/>
      <c r="B22" s="12" t="s">
        <v>85</v>
      </c>
      <c r="C22" s="12" t="s">
        <v>143</v>
      </c>
      <c r="F22" s="28">
        <f t="shared" si="0"/>
        <v>0</v>
      </c>
      <c r="G22" s="28">
        <v>9.85113</v>
      </c>
      <c r="H22" s="28" t="s">
        <v>217</v>
      </c>
      <c r="I22" s="28">
        <f t="shared" si="1"/>
        <v>0</v>
      </c>
    </row>
    <row r="23" spans="1:9" ht="12.75">
      <c r="A23" s="12"/>
      <c r="B23" s="12" t="s">
        <v>89</v>
      </c>
      <c r="C23" s="12" t="s">
        <v>147</v>
      </c>
      <c r="F23" s="28">
        <f t="shared" si="0"/>
        <v>0</v>
      </c>
      <c r="G23" s="28">
        <v>0.00267</v>
      </c>
      <c r="H23" s="28" t="s">
        <v>217</v>
      </c>
      <c r="I23" s="28">
        <f t="shared" si="1"/>
        <v>0</v>
      </c>
    </row>
    <row r="24" spans="1:9" ht="12.75">
      <c r="A24" s="12"/>
      <c r="B24" s="12" t="s">
        <v>91</v>
      </c>
      <c r="C24" s="12" t="s">
        <v>149</v>
      </c>
      <c r="F24" s="28">
        <f t="shared" si="0"/>
        <v>0</v>
      </c>
      <c r="G24" s="28">
        <v>0.03427</v>
      </c>
      <c r="H24" s="28" t="s">
        <v>217</v>
      </c>
      <c r="I24" s="28">
        <f t="shared" si="1"/>
        <v>0</v>
      </c>
    </row>
    <row r="25" spans="1:9" ht="12.75">
      <c r="A25" s="12"/>
      <c r="B25" s="12" t="s">
        <v>93</v>
      </c>
      <c r="C25" s="12" t="s">
        <v>150</v>
      </c>
      <c r="F25" s="28">
        <f t="shared" si="0"/>
        <v>0</v>
      </c>
      <c r="G25" s="28">
        <v>0.11882</v>
      </c>
      <c r="H25" s="28" t="s">
        <v>217</v>
      </c>
      <c r="I25" s="28">
        <f t="shared" si="1"/>
        <v>0</v>
      </c>
    </row>
    <row r="26" spans="1:9" ht="12.75">
      <c r="A26" s="12"/>
      <c r="B26" s="12" t="s">
        <v>95</v>
      </c>
      <c r="C26" s="12" t="s">
        <v>152</v>
      </c>
      <c r="F26" s="28">
        <f t="shared" si="0"/>
        <v>0</v>
      </c>
      <c r="G26" s="28">
        <v>9.8737</v>
      </c>
      <c r="H26" s="28" t="s">
        <v>217</v>
      </c>
      <c r="I26" s="28">
        <f t="shared" si="1"/>
        <v>0</v>
      </c>
    </row>
    <row r="27" spans="1:9" ht="12.75">
      <c r="A27" s="12"/>
      <c r="B27" s="12" t="s">
        <v>102</v>
      </c>
      <c r="C27" s="12" t="s">
        <v>159</v>
      </c>
      <c r="F27" s="28">
        <f t="shared" si="0"/>
        <v>0</v>
      </c>
      <c r="G27" s="28">
        <v>0.5656</v>
      </c>
      <c r="H27" s="28" t="s">
        <v>217</v>
      </c>
      <c r="I27" s="28">
        <f t="shared" si="1"/>
        <v>0</v>
      </c>
    </row>
    <row r="28" spans="1:9" ht="12.75">
      <c r="A28" s="12"/>
      <c r="B28" s="12" t="s">
        <v>105</v>
      </c>
      <c r="C28" s="12" t="s">
        <v>162</v>
      </c>
      <c r="F28" s="28">
        <f t="shared" si="0"/>
        <v>0</v>
      </c>
      <c r="G28" s="28">
        <v>0</v>
      </c>
      <c r="H28" s="28" t="s">
        <v>217</v>
      </c>
      <c r="I28" s="28">
        <f t="shared" si="1"/>
        <v>0</v>
      </c>
    </row>
    <row r="29" spans="1:9" ht="12.75">
      <c r="A29" s="12"/>
      <c r="B29" s="12" t="s">
        <v>112</v>
      </c>
      <c r="C29" s="12" t="s">
        <v>169</v>
      </c>
      <c r="F29" s="28">
        <f t="shared" si="0"/>
        <v>0</v>
      </c>
      <c r="G29" s="28">
        <v>0</v>
      </c>
      <c r="H29" s="28" t="s">
        <v>217</v>
      </c>
      <c r="I29" s="28">
        <f t="shared" si="1"/>
        <v>0</v>
      </c>
    </row>
    <row r="30" spans="1:9" ht="12.75">
      <c r="A30" s="12"/>
      <c r="B30" s="12"/>
      <c r="C30" s="12" t="s">
        <v>171</v>
      </c>
      <c r="F30" s="28">
        <f t="shared" si="0"/>
        <v>0</v>
      </c>
      <c r="G30" s="28">
        <v>0.204</v>
      </c>
      <c r="H30" s="28" t="s">
        <v>217</v>
      </c>
      <c r="I30" s="28">
        <f t="shared" si="1"/>
        <v>0</v>
      </c>
    </row>
    <row r="32" spans="5:6" ht="12.75">
      <c r="E32" s="40" t="s">
        <v>190</v>
      </c>
      <c r="F32" s="33">
        <f>SUM(I11:I30)</f>
        <v>0</v>
      </c>
    </row>
  </sheetData>
  <sheetProtection/>
  <mergeCells count="17"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  <mergeCell ref="D4:D5"/>
    <mergeCell ref="D6:D7"/>
    <mergeCell ref="D8:D9"/>
    <mergeCell ref="E2:G3"/>
    <mergeCell ref="E4:G5"/>
    <mergeCell ref="E6:G7"/>
    <mergeCell ref="E8:G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</cols>
  <sheetData>
    <row r="1" spans="1:7" ht="21.75" customHeight="1">
      <c r="A1" s="75" t="s">
        <v>218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0"/>
      <c r="C2" s="59" t="s">
        <v>115</v>
      </c>
      <c r="D2" s="60"/>
      <c r="E2" s="66" t="s">
        <v>191</v>
      </c>
      <c r="F2" s="66"/>
      <c r="G2" s="71"/>
      <c r="H2" s="24"/>
    </row>
    <row r="3" spans="1:8" ht="12.75">
      <c r="A3" s="78"/>
      <c r="B3" s="67"/>
      <c r="C3" s="81"/>
      <c r="D3" s="81"/>
      <c r="E3" s="67"/>
      <c r="F3" s="67"/>
      <c r="G3" s="72"/>
      <c r="H3" s="24"/>
    </row>
    <row r="4" spans="1:8" ht="12.75">
      <c r="A4" s="79" t="s">
        <v>2</v>
      </c>
      <c r="B4" s="67"/>
      <c r="C4" s="68"/>
      <c r="D4" s="67"/>
      <c r="E4" s="68" t="s">
        <v>192</v>
      </c>
      <c r="F4" s="68"/>
      <c r="G4" s="72"/>
      <c r="H4" s="24"/>
    </row>
    <row r="5" spans="1:8" ht="12.75">
      <c r="A5" s="78"/>
      <c r="B5" s="67"/>
      <c r="C5" s="67"/>
      <c r="D5" s="67"/>
      <c r="E5" s="67"/>
      <c r="F5" s="67"/>
      <c r="G5" s="72"/>
      <c r="H5" s="24"/>
    </row>
    <row r="6" spans="1:8" ht="12.75">
      <c r="A6" s="79" t="s">
        <v>3</v>
      </c>
      <c r="B6" s="67"/>
      <c r="C6" s="68"/>
      <c r="D6" s="67"/>
      <c r="E6" s="68" t="s">
        <v>193</v>
      </c>
      <c r="F6" s="68"/>
      <c r="G6" s="72"/>
      <c r="H6" s="24"/>
    </row>
    <row r="7" spans="1:8" ht="12.75">
      <c r="A7" s="78"/>
      <c r="B7" s="67"/>
      <c r="C7" s="67"/>
      <c r="D7" s="67"/>
      <c r="E7" s="67"/>
      <c r="F7" s="67"/>
      <c r="G7" s="72"/>
      <c r="H7" s="24"/>
    </row>
    <row r="8" spans="1:8" ht="12.75">
      <c r="A8" s="79" t="s">
        <v>194</v>
      </c>
      <c r="B8" s="67"/>
      <c r="C8" s="68"/>
      <c r="D8" s="67"/>
      <c r="E8" s="68" t="s">
        <v>176</v>
      </c>
      <c r="F8" s="74">
        <v>42480</v>
      </c>
      <c r="G8" s="72"/>
      <c r="H8" s="24"/>
    </row>
    <row r="9" spans="1:8" ht="12.75">
      <c r="A9" s="80"/>
      <c r="B9" s="69"/>
      <c r="C9" s="69"/>
      <c r="D9" s="69"/>
      <c r="E9" s="69"/>
      <c r="F9" s="69"/>
      <c r="G9" s="73"/>
      <c r="H9" s="44"/>
    </row>
    <row r="10" spans="1:9" ht="12.75">
      <c r="A10" s="36" t="s">
        <v>6</v>
      </c>
      <c r="B10" s="37" t="s">
        <v>51</v>
      </c>
      <c r="C10" s="37" t="s">
        <v>52</v>
      </c>
      <c r="D10" s="37" t="s">
        <v>116</v>
      </c>
      <c r="E10" s="37" t="s">
        <v>177</v>
      </c>
      <c r="F10" s="37" t="s">
        <v>219</v>
      </c>
      <c r="G10" s="43" t="s">
        <v>185</v>
      </c>
      <c r="H10" s="45" t="s">
        <v>220</v>
      </c>
      <c r="I10" s="25"/>
    </row>
    <row r="11" spans="1:8" ht="12.75">
      <c r="A11" s="39"/>
      <c r="B11" s="39"/>
      <c r="C11" s="39"/>
      <c r="D11" s="39"/>
      <c r="E11" s="39"/>
      <c r="F11" s="39"/>
      <c r="G11" s="39"/>
      <c r="H11" s="39"/>
    </row>
  </sheetData>
  <sheetProtection/>
  <mergeCells count="17"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  <mergeCell ref="E4:E5"/>
    <mergeCell ref="E6:E7"/>
    <mergeCell ref="E8:E9"/>
    <mergeCell ref="F2:G3"/>
    <mergeCell ref="F4:G5"/>
    <mergeCell ref="F6:G7"/>
    <mergeCell ref="F8:G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4" sqref="D4:E5"/>
    </sheetView>
  </sheetViews>
  <sheetFormatPr defaultColWidth="11.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75" t="s">
        <v>221</v>
      </c>
      <c r="B1" s="76"/>
      <c r="C1" s="76"/>
      <c r="D1" s="76"/>
      <c r="E1" s="76"/>
      <c r="F1" s="76"/>
      <c r="G1" s="76"/>
      <c r="H1" s="76"/>
    </row>
    <row r="2" spans="1:9" ht="12.75">
      <c r="A2" s="77" t="s">
        <v>1</v>
      </c>
      <c r="B2" s="59" t="s">
        <v>115</v>
      </c>
      <c r="C2" s="66" t="s">
        <v>173</v>
      </c>
      <c r="D2" s="66"/>
      <c r="E2" s="70"/>
      <c r="F2" s="66" t="s">
        <v>191</v>
      </c>
      <c r="G2" s="109" t="s">
        <v>277</v>
      </c>
      <c r="H2" s="115"/>
      <c r="I2" s="24"/>
    </row>
    <row r="3" spans="1:9" ht="12.75">
      <c r="A3" s="78"/>
      <c r="B3" s="81"/>
      <c r="C3" s="67"/>
      <c r="D3" s="67"/>
      <c r="E3" s="67"/>
      <c r="F3" s="67"/>
      <c r="G3" s="111"/>
      <c r="H3" s="116"/>
      <c r="I3" s="24"/>
    </row>
    <row r="4" spans="1:9" ht="12.75">
      <c r="A4" s="79" t="s">
        <v>2</v>
      </c>
      <c r="B4" s="68"/>
      <c r="C4" s="68" t="s">
        <v>174</v>
      </c>
      <c r="D4" s="74">
        <v>42551</v>
      </c>
      <c r="E4" s="67"/>
      <c r="F4" s="68" t="s">
        <v>192</v>
      </c>
      <c r="G4" s="68"/>
      <c r="H4" s="72"/>
      <c r="I4" s="24"/>
    </row>
    <row r="5" spans="1:9" ht="12.75">
      <c r="A5" s="78"/>
      <c r="B5" s="67"/>
      <c r="C5" s="67"/>
      <c r="D5" s="67"/>
      <c r="E5" s="67"/>
      <c r="F5" s="67"/>
      <c r="G5" s="67"/>
      <c r="H5" s="72"/>
      <c r="I5" s="24"/>
    </row>
    <row r="6" spans="1:9" ht="12.75">
      <c r="A6" s="79" t="s">
        <v>3</v>
      </c>
      <c r="B6" s="68"/>
      <c r="C6" s="68" t="s">
        <v>175</v>
      </c>
      <c r="D6" s="74">
        <v>42613</v>
      </c>
      <c r="E6" s="67"/>
      <c r="F6" s="68" t="s">
        <v>193</v>
      </c>
      <c r="G6" s="68"/>
      <c r="H6" s="72"/>
      <c r="I6" s="24"/>
    </row>
    <row r="7" spans="1:9" ht="12.75">
      <c r="A7" s="78"/>
      <c r="B7" s="67"/>
      <c r="C7" s="67"/>
      <c r="D7" s="67"/>
      <c r="E7" s="67"/>
      <c r="F7" s="67"/>
      <c r="G7" s="67"/>
      <c r="H7" s="72"/>
      <c r="I7" s="24"/>
    </row>
    <row r="8" spans="1:9" ht="12.75">
      <c r="A8" s="79" t="s">
        <v>4</v>
      </c>
      <c r="B8" s="68"/>
      <c r="C8" s="68" t="s">
        <v>176</v>
      </c>
      <c r="D8" s="74">
        <v>42480</v>
      </c>
      <c r="E8" s="67"/>
      <c r="F8" s="68" t="s">
        <v>194</v>
      </c>
      <c r="G8" s="68"/>
      <c r="H8" s="72"/>
      <c r="I8" s="24"/>
    </row>
    <row r="9" spans="1:9" ht="12.75">
      <c r="A9" s="80"/>
      <c r="B9" s="69"/>
      <c r="C9" s="69"/>
      <c r="D9" s="69"/>
      <c r="E9" s="69"/>
      <c r="F9" s="69"/>
      <c r="G9" s="69"/>
      <c r="H9" s="73"/>
      <c r="I9" s="24"/>
    </row>
    <row r="10" spans="1:9" ht="12.75">
      <c r="A10" s="36" t="s">
        <v>52</v>
      </c>
      <c r="B10" s="37" t="s">
        <v>116</v>
      </c>
      <c r="C10" s="43" t="s">
        <v>222</v>
      </c>
      <c r="D10" s="43" t="s">
        <v>223</v>
      </c>
      <c r="E10" s="43" t="s">
        <v>224</v>
      </c>
      <c r="F10" s="43" t="s">
        <v>225</v>
      </c>
      <c r="G10" s="43" t="s">
        <v>226</v>
      </c>
      <c r="H10" s="46" t="s">
        <v>227</v>
      </c>
      <c r="I10" s="25"/>
    </row>
    <row r="11" spans="1:8" ht="12.75">
      <c r="A11" s="39"/>
      <c r="B11" s="39"/>
      <c r="C11" s="39"/>
      <c r="D11" s="39"/>
      <c r="E11" s="39"/>
      <c r="F11" s="39"/>
      <c r="G11" s="39"/>
      <c r="H11" s="39"/>
    </row>
  </sheetData>
  <sheetProtection/>
  <mergeCells count="25">
    <mergeCell ref="A1:H1"/>
    <mergeCell ref="A2:A3"/>
    <mergeCell ref="A4:A5"/>
    <mergeCell ref="A6:A7"/>
    <mergeCell ref="A8:A9"/>
    <mergeCell ref="B2:B3"/>
    <mergeCell ref="B4:B5"/>
    <mergeCell ref="B6:B7"/>
    <mergeCell ref="B8:B9"/>
    <mergeCell ref="C2:C3"/>
    <mergeCell ref="C4:C5"/>
    <mergeCell ref="C6:C7"/>
    <mergeCell ref="C8:C9"/>
    <mergeCell ref="D2:E3"/>
    <mergeCell ref="D4:E5"/>
    <mergeCell ref="D6:E7"/>
    <mergeCell ref="D8:E9"/>
    <mergeCell ref="F2:F3"/>
    <mergeCell ref="F4:F5"/>
    <mergeCell ref="F6:F7"/>
    <mergeCell ref="F8:F9"/>
    <mergeCell ref="G2:H3"/>
    <mergeCell ref="G4:H5"/>
    <mergeCell ref="G6:H7"/>
    <mergeCell ref="G8:H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vschindler</dc:creator>
  <cp:keywords/>
  <dc:description/>
  <cp:lastModifiedBy>vschindler</cp:lastModifiedBy>
  <dcterms:created xsi:type="dcterms:W3CDTF">2016-05-17T15:09:44Z</dcterms:created>
  <dcterms:modified xsi:type="dcterms:W3CDTF">2016-05-17T15:15:33Z</dcterms:modified>
  <cp:category/>
  <cp:version/>
  <cp:contentType/>
  <cp:contentStatus/>
</cp:coreProperties>
</file>