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Override PartName="/xl/ctrlProps/ctrlProp38.xml" ContentType="application/vnd.ms-excel.controlproperties+xml"/>
  <Override PartName="/xl/ctrlProps/ctrlProp29.xml" ContentType="application/vnd.ms-excel.controlproperties+xml"/>
  <Override PartName="/xl/ctrlProps/ctrlProp45.xml" ContentType="application/vnd.ms-excel.controlproperties+xml"/>
  <Override PartName="/xl/ctrlProps/ctrlProp36.xml" ContentType="application/vnd.ms-excel.controlproperties+xml"/>
  <Override PartName="/xl/ctrlProps/ctrlProp27.xml" ContentType="application/vnd.ms-excel.controlproperties+xml"/>
  <Override PartName="/xl/ctrlProps/ctrlProp18.xml" ContentType="application/vnd.ms-excel.controlproperti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ctrlProps/ctrlProp9.xml" ContentType="application/vnd.ms-excel.controlproperties+xml"/>
  <Override PartName="/xl/ctrlProps/ctrlProp25.xml" ContentType="application/vnd.ms-excel.controlproperties+xml"/>
  <Override PartName="/xl/ctrlProps/ctrlProp16.xml" ContentType="application/vnd.ms-excel.controlproperties+xml"/>
  <Override PartName="/xl/ctrlProps/ctrlProp24.xml" ContentType="application/vnd.ms-excel.controlproperties+xml"/>
  <Override PartName="/xl/ctrlProps/ctrlProp15.xml" ContentType="application/vnd.ms-excel.controlproperties+xml"/>
  <Override PartName="/xl/ctrlProps/ctrlProp44.xml" ContentType="application/vnd.ms-excel.controlproperties+xml"/>
  <Override PartName="/xl/ctrlProps/ctrlProp35.xml" ContentType="application/vnd.ms-excel.controlproperties+xml"/>
  <Override PartName="/xl/ctrlProps/ctrlProp43.xml" ContentType="application/vnd.ms-excel.controlproperties+xml"/>
  <Override PartName="/xl/ctrlProps/ctrlProp34.xml" ContentType="application/vnd.ms-excel.controlproperti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ctrlProps/ctrlProp33.xml" ContentType="application/vnd.ms-excel.controlproperties+xml"/>
  <Override PartName="/xl/ctrlProps/ctrlProp41.xml" ContentType="application/vnd.ms-excel.controlproperties+xml"/>
  <Override PartName="/xl/ctrlProps/ctrlProp8.xml" ContentType="application/vnd.ms-excel.controlproperties+xml"/>
  <Override PartName="/xl/ctrlProps/ctrlProp7.xml" ContentType="application/vnd.ms-excel.controlproperties+xml"/>
  <Override PartName="/xl/ctrlProps/ctrlProp32.xml" ContentType="application/vnd.ms-excel.controlproperties+xml"/>
  <Override PartName="/xl/ctrlProps/ctrlProp23.xml" ContentType="application/vnd.ms-excel.controlproperties+xml"/>
  <Override PartName="/xl/ctrlProps/ctrlProp14.xml" ContentType="application/vnd.ms-excel.controlproperties+xml"/>
  <Override PartName="/xl/ctrlProps/ctrlProp22.xml" ContentType="application/vnd.ms-excel.controlproperties+xml"/>
  <Override PartName="/xl/ctrlProps/ctrlProp13.xml" ContentType="application/vnd.ms-excel.controlproperties+xml"/>
  <Override PartName="/xl/ctrlProps/ctrlProp42.xml" ContentType="application/vnd.ms-excel.controlproperties+xml"/>
  <Override PartName="/xl/worksheets/sheet1.xml" ContentType="application/vnd.openxmlformats-officedocument.spreadsheetml.worksheet+xml"/>
  <Default Extension="vml" ContentType="application/vnd.openxmlformats-officedocument.vmlDrawing"/>
  <Override PartName="/xl/calcChain.xml" ContentType="application/vnd.openxmlformats-officedocument.spreadsheetml.calcChain+xml"/>
  <Override PartName="/xl/ctrlProps/ctrlProp30.xml" ContentType="application/vnd.ms-excel.controlproperties+xml"/>
  <Override PartName="/xl/ctrlProps/ctrlProp12.xml" ContentType="application/vnd.ms-excel.controlproperties+xml"/>
  <Override PartName="/xl/ctrlProps/ctrlProp11.xml" ContentType="application/vnd.ms-excel.controlproperties+xml"/>
  <Override PartName="/xl/ctrlProps/ctrlProp20.xml" ContentType="application/vnd.ms-excel.controlproperties+xml"/>
  <Override PartName="/xl/ctrlProps/ctrlProp31.xml" ContentType="application/vnd.ms-excel.controlproperties+xml"/>
  <Override PartName="/xl/ctrlProps/ctrlProp6.xml" ContentType="application/vnd.ms-excel.controlproperties+xml"/>
  <Override PartName="/xl/ctrlProps/ctrlProp40.xml" ContentType="application/vnd.ms-excel.controlproperties+xml"/>
  <Override PartName="/xl/ctrlProps/ctrlProp5.xml" ContentType="application/vnd.ms-excel.controlproperties+xml"/>
  <Override PartName="/xl/ctrlProps/ctrlProp21.xml" ContentType="application/vnd.ms-excel.controlproperties+xml"/>
  <Override PartName="/xl/sharedStrings.xml" ContentType="application/vnd.openxmlformats-officedocument.spreadsheetml.sharedStrings+xml"/>
  <Override PartName="/xl/ctrlProps/ctrlProp4.xml" ContentType="application/vnd.ms-excel.controlproperties+xml"/>
  <Override PartName="/xl/ctrlProps/ctrlProp3.xml" ContentType="application/vnd.ms-excel.controlproperties+xml"/>
  <Override PartName="/xl/ctrlProps/ctrlProp10.xml" ContentType="application/vnd.ms-excel.controlproperties+xml"/>
  <Override PartName="/xl/ctrlProps/ctrlProp2.xml" ContentType="application/vnd.ms-excel.controlproperties+xml"/>
  <Override PartName="/xl/ctrlProps/ctrlProp1.xml" ContentType="application/vnd.ms-excel.controlproperties+xml"/>
  <Override PartName="/docProps/core.xml" ContentType="application/vnd.openxmlformats-package.core-properties+xml"/>
  <Default Extension="bin" ContentType="application/vnd.openxmlformats-officedocument.spreadsheetml.printerSettings"/>
  <Override PartName="/xl/ctrlProps/ctrlProp28.xml" ContentType="application/vnd.ms-excel.controlproperties+xml"/>
  <Override PartName="/xl/ctrlProps/ctrlProp19.xml" ContentType="application/vnd.ms-excel.controlproperties+xml"/>
  <Override PartName="/xl/ctrlProps/ctrlProp39.xml" ContentType="application/vnd.ms-excel.controlproperties+xml"/>
  <Override PartName="/xl/ctrlProps/ctrlProp17.xml" ContentType="application/vnd.ms-excel.controlproperties+xml"/>
  <Override PartName="/xl/ctrlProps/ctrlProp37.xml" ContentType="application/vnd.ms-excel.controlproperties+xml"/>
  <Override PartName="/xl/ctrlProps/ctrlProp26.xml" ContentType="application/vnd.ms-excel.contro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ThisWorkbook"/>
  <bookViews>
    <workbookView xWindow="-15" yWindow="-15" windowWidth="12000" windowHeight="7620"/>
  </bookViews>
  <sheets>
    <sheet name="Specifikace" sheetId="5" r:id="rId1"/>
    <sheet name="Výměry" sheetId="19" r:id="rId2"/>
    <sheet name="Design" sheetId="14" r:id="rId3"/>
    <sheet name="Místnosti" sheetId="20" r:id="rId4"/>
    <sheet name="Koncepty" sheetId="8" r:id="rId5"/>
  </sheets>
  <definedNames>
    <definedName name="_xlnm._FilterDatabase" localSheetId="2" hidden="1">Design!$B$1125:$F$1226</definedName>
    <definedName name="_xlnm._FilterDatabase" localSheetId="0" hidden="1">Specifikace!$A$121:$H$240</definedName>
    <definedName name="Bod_0222">Specifikace!$D$58</definedName>
    <definedName name="Bod_0233">Specifikace!$D$62</definedName>
    <definedName name="Bod_0256">Specifikace!$D$71</definedName>
    <definedName name="Bod_0297">Specifikace!$D$86</definedName>
    <definedName name="časová_rezerva" localSheetId="2">Design!$E$81</definedName>
    <definedName name="časová_rezerva">Design!$E$81</definedName>
    <definedName name="DESIGN">Design!$C$3</definedName>
    <definedName name="DODAVATEL">Design!$E$15</definedName>
    <definedName name="hr_HSV">Design!$E$78</definedName>
    <definedName name="hr_PSV">Design!$F$78</definedName>
    <definedName name="HZS_1">Design!$M$137</definedName>
    <definedName name="HZS_18">Design!$M$138</definedName>
    <definedName name="HZS_21">Design!$M$139</definedName>
    <definedName name="HZS_22">Design!$M$140</definedName>
    <definedName name="HZS_23">Design!$M$141</definedName>
    <definedName name="HZS_24">Design!$M$142</definedName>
    <definedName name="HZS_26">Design!$M$143</definedName>
    <definedName name="HZS_27">Design!$M$144</definedName>
    <definedName name="HZS_28">Design!$M$145</definedName>
    <definedName name="HZS_3">Design!$M$146</definedName>
    <definedName name="HZS_31">Design!$M$147</definedName>
    <definedName name="HZS_330">Design!$M$200</definedName>
    <definedName name="HZS_34">Design!$M$148</definedName>
    <definedName name="HZS_35">Design!$M$149</definedName>
    <definedName name="HZS_36">Design!$M$150</definedName>
    <definedName name="HZS_38">Design!$M$151</definedName>
    <definedName name="HZS_4">Design!$M$152</definedName>
    <definedName name="HZS_41">Design!$M$153</definedName>
    <definedName name="HZS_43">Design!$M$154</definedName>
    <definedName name="HZS_5">Design!$M$155</definedName>
    <definedName name="HZS_61">Design!$M$156</definedName>
    <definedName name="HZS_62">Design!$M$157</definedName>
    <definedName name="HZS_627">Design!$M$158</definedName>
    <definedName name="HZS_629">Design!$M$159</definedName>
    <definedName name="HZS_63">Design!$M$160</definedName>
    <definedName name="HZS_64">Design!$M$161</definedName>
    <definedName name="HZS_700">Design!$M$171</definedName>
    <definedName name="HZS_711">Design!$M$172</definedName>
    <definedName name="HZS_712">Design!$M$173</definedName>
    <definedName name="HZS_713">Design!$M$174</definedName>
    <definedName name="HZS_721">Design!$M$194</definedName>
    <definedName name="HZS_722">Design!$M$195</definedName>
    <definedName name="HZS_723">Design!$M$196</definedName>
    <definedName name="HZS_725">Design!$M$197</definedName>
    <definedName name="HZS_730">Design!$M$198</definedName>
    <definedName name="HZS_748">Design!$M$199</definedName>
    <definedName name="HZS_761">Design!$M$175</definedName>
    <definedName name="HZS_762">Design!$M$176</definedName>
    <definedName name="HZS_763">Design!$M$177</definedName>
    <definedName name="HZS_764">Design!$M$178</definedName>
    <definedName name="HZS_765">Design!$M$179</definedName>
    <definedName name="HZS_766">Design!$M$180</definedName>
    <definedName name="HZS_767">Design!$M$181</definedName>
    <definedName name="HZS_771">Design!$M$182</definedName>
    <definedName name="HZS_772">Design!$M$183</definedName>
    <definedName name="HZS_773">Design!$M$184</definedName>
    <definedName name="HZS_775">Design!$M$185</definedName>
    <definedName name="HZS_776">Design!$M$186</definedName>
    <definedName name="HZS_777">Design!$M$187</definedName>
    <definedName name="HZS_781">Design!$M$188</definedName>
    <definedName name="HZS_782">Design!$M$189</definedName>
    <definedName name="HZS_783">Design!$M$190</definedName>
    <definedName name="HZS_784">Design!$M$191</definedName>
    <definedName name="HZS_787">Design!$M$192</definedName>
    <definedName name="HZS_799">Design!$M$193</definedName>
    <definedName name="HZS_8">Design!$M$162</definedName>
    <definedName name="HZS_800">Design!$M$202</definedName>
    <definedName name="HZS_801">Design!$M$203</definedName>
    <definedName name="HZS_802">Design!$M$204</definedName>
    <definedName name="HZS_803">Design!$M$205</definedName>
    <definedName name="HZS_804">Design!$M$206</definedName>
    <definedName name="HZS_900">Design!$M$170</definedName>
    <definedName name="HZS_94">Design!$M$163</definedName>
    <definedName name="HZS_95">Design!$M$164</definedName>
    <definedName name="HZS_96">Design!$M$165</definedName>
    <definedName name="HZS_97">Design!$M$166</definedName>
    <definedName name="HZS_98">Design!$M$167</definedName>
    <definedName name="HZS_99">Design!$M$168</definedName>
    <definedName name="HZS_999">Design!$M$201</definedName>
    <definedName name="HZS_HSV">Design!$E$79</definedName>
    <definedName name="HZS_PSV">Design!$F$79</definedName>
    <definedName name="koef">Design!$H$72</definedName>
    <definedName name="Manažer_cen">Design!$H$47:$L$57</definedName>
    <definedName name="MATICE_CEN">Design!$B$129:$N$208</definedName>
    <definedName name="mzda_HSV" localSheetId="2">Design!$E$170</definedName>
    <definedName name="mzda_PSV" localSheetId="2">Design!$E$171</definedName>
    <definedName name="mzda_top">Design!$D$202</definedName>
    <definedName name="_xlnm.Print_Titles" localSheetId="0">Specifikace!$A:$A,Specifikace!$121:$123</definedName>
    <definedName name="_xlnm.Print_Area" localSheetId="0">Specifikace!$D$3:$H$43,Specifikace!$D$46:$H$112,Specifikace!$D$123:$H$240</definedName>
    <definedName name="P_101">Specifikace!#REF!</definedName>
    <definedName name="P_102">Specifikace!#REF!</definedName>
    <definedName name="P_103">Specifikace!#REF!</definedName>
    <definedName name="P_104">Specifikace!#REF!</definedName>
    <definedName name="P_105">Specifikace!#REF!</definedName>
    <definedName name="P_106">Specifikace!#REF!</definedName>
    <definedName name="P_107">Specifikace!#REF!</definedName>
    <definedName name="P_108">Specifikace!#REF!</definedName>
    <definedName name="P_109">Specifikace!#REF!</definedName>
    <definedName name="P_110">Specifikace!#REF!</definedName>
    <definedName name="P_111">Specifikace!#REF!</definedName>
    <definedName name="P_112">Specifikace!#REF!</definedName>
    <definedName name="P_113">Specifikace!#REF!</definedName>
    <definedName name="P_114">Specifikace!#REF!</definedName>
    <definedName name="P_115">Specifikace!#REF!</definedName>
    <definedName name="P_116">Specifikace!#REF!</definedName>
    <definedName name="P_117">Specifikace!#REF!</definedName>
    <definedName name="P_118">Specifikace!#REF!</definedName>
    <definedName name="P_119">Specifikace!#REF!</definedName>
    <definedName name="P_120">Specifikace!#REF!</definedName>
    <definedName name="P_121">Specifikace!#REF!</definedName>
    <definedName name="P_122">Specifikace!#REF!</definedName>
    <definedName name="P_123">Specifikace!#REF!</definedName>
    <definedName name="P_124">Specifikace!#REF!</definedName>
    <definedName name="P_125">Koncepty!$B$30</definedName>
    <definedName name="P_126">Koncepty!$B$31</definedName>
    <definedName name="P_127">Koncepty!$B$32</definedName>
    <definedName name="P_128">Koncepty!$B$33</definedName>
    <definedName name="P_129">Koncepty!$B$34</definedName>
    <definedName name="P_130">Koncepty!$B$35</definedName>
    <definedName name="P_131">Koncepty!$B$36</definedName>
    <definedName name="P_132">Koncepty!$B$37</definedName>
    <definedName name="P_133">Koncepty!$B$38</definedName>
    <definedName name="P_134">Koncepty!$B$39</definedName>
    <definedName name="P_135">Koncepty!$B$40</definedName>
    <definedName name="P_136">Koncepty!$B$41</definedName>
    <definedName name="P_137">Koncepty!$B$42</definedName>
    <definedName name="P_138">Koncepty!$B$43</definedName>
    <definedName name="P_139">Koncepty!$B$44</definedName>
    <definedName name="P_140">Koncepty!$B$45</definedName>
    <definedName name="P_141">Koncepty!$B$46</definedName>
    <definedName name="P_142">Koncepty!$B$47</definedName>
    <definedName name="P_143">Koncepty!$B$48</definedName>
    <definedName name="P_144">Koncepty!$B$49</definedName>
    <definedName name="P_145">Koncepty!$B$50</definedName>
    <definedName name="P_146">Koncepty!$B$51</definedName>
    <definedName name="P_147">Koncepty!$B$52</definedName>
    <definedName name="P_148">Koncepty!$B$53</definedName>
    <definedName name="P_149">Koncepty!$B$54</definedName>
    <definedName name="P_150">Koncepty!$B$55</definedName>
    <definedName name="P_151">Koncepty!$B$56</definedName>
    <definedName name="P_152">Koncepty!$B$92</definedName>
    <definedName name="pojistné" localSheetId="2">Design!$E$82</definedName>
    <definedName name="pojistné">Design!$E$82</definedName>
    <definedName name="projekt">Design!$A$320</definedName>
    <definedName name="přesun">Design!$E$60</definedName>
    <definedName name="přesun_PSV">Design!$D$370:$E$370</definedName>
    <definedName name="R_01">Koncepty!$B$164</definedName>
    <definedName name="R_02">Specifikace!#REF!</definedName>
    <definedName name="R_03">Specifikace!$D$30</definedName>
    <definedName name="R_04">Koncepty!$B$134</definedName>
    <definedName name="R_05">Koncepty!$B$133</definedName>
    <definedName name="R_06">Koncepty!$B$132</definedName>
    <definedName name="R_07">Koncepty!$B$137</definedName>
    <definedName name="R_08">Koncepty!$B$136</definedName>
    <definedName name="R_09">Koncepty!$B$138</definedName>
    <definedName name="R_10">Specifikace!$D$29</definedName>
    <definedName name="R_100">Specifikace!#REF!</definedName>
    <definedName name="R_11">Koncepty!$B$139</definedName>
    <definedName name="R_12">Specifikace!$D$34</definedName>
    <definedName name="R_13">Koncepty!$B$150</definedName>
    <definedName name="R_14">Koncepty!$B$151</definedName>
    <definedName name="R_15">Koncepty!$B$67</definedName>
    <definedName name="R_16">Koncepty!$B$69</definedName>
    <definedName name="R_17">Koncepty!$B$72</definedName>
    <definedName name="R_18">Koncepty!$B$73</definedName>
    <definedName name="R_19">Koncepty!$B$60</definedName>
    <definedName name="R_20">Koncepty!$B$61</definedName>
    <definedName name="R_21">Koncepty!$B$75</definedName>
    <definedName name="R_22">Koncepty!$B$76</definedName>
    <definedName name="R_23">Koncepty!$B$77</definedName>
    <definedName name="R_24">Koncepty!$B$78</definedName>
    <definedName name="R_25">Koncepty!$B$79</definedName>
    <definedName name="R_26">Koncepty!$B$80</definedName>
    <definedName name="R_27">Koncepty!$B$81</definedName>
    <definedName name="R_28">Koncepty!$B$82</definedName>
    <definedName name="R_29">Koncepty!$B$83</definedName>
    <definedName name="R_30">Koncepty!$B$62</definedName>
    <definedName name="R_31">Koncepty!$B$84</definedName>
    <definedName name="R_32">Koncepty!$B$63</definedName>
    <definedName name="R_33">Koncepty!$B$85</definedName>
    <definedName name="R_34">Koncepty!$B$86</definedName>
    <definedName name="R_35">Koncepty!$B$87</definedName>
    <definedName name="R_36">Koncepty!$B$88</definedName>
    <definedName name="R_37">Koncepty!$B$89</definedName>
    <definedName name="R_38">Koncepty!$B$59</definedName>
    <definedName name="R_39">Koncepty!$B$74</definedName>
    <definedName name="R_40">Koncepty!$B$95</definedName>
    <definedName name="R_41">Specifikace!$D$28</definedName>
    <definedName name="R_42">Koncepty!$B$140</definedName>
    <definedName name="R_43">Koncepty!$B$142</definedName>
    <definedName name="R_44">Specifikace!#REF!</definedName>
    <definedName name="R_45">Specifikace!$D$32</definedName>
    <definedName name="R_46">Koncepty!$B$124</definedName>
    <definedName name="R_47">Koncepty!$B$168</definedName>
    <definedName name="R_48">Koncepty!$B$162</definedName>
    <definedName name="R_49">Koncepty!$B$163</definedName>
    <definedName name="R_50">Koncepty!$B$125</definedName>
    <definedName name="R_51">Koncepty!$B$126</definedName>
    <definedName name="R_52">Koncepty!$B$128</definedName>
    <definedName name="R_53">Koncepty!$B$129</definedName>
    <definedName name="R_54">Koncepty!$B$130</definedName>
    <definedName name="R_55">Koncepty!$B$141</definedName>
    <definedName name="R_56">Koncepty!$B$156</definedName>
    <definedName name="R_57">Koncepty!$B$68</definedName>
    <definedName name="R_58">Koncepty!$B$70</definedName>
    <definedName name="R_59">Koncepty!$B$155</definedName>
    <definedName name="R_60">Koncepty!$B$90</definedName>
    <definedName name="R_61">Koncepty!$B$91</definedName>
    <definedName name="R_62">Koncepty!$B$57</definedName>
    <definedName name="R_63">Koncepty!$B$93</definedName>
    <definedName name="R_64">Koncepty!$B$94</definedName>
    <definedName name="R_65">Koncepty!$B$96</definedName>
    <definedName name="R_66">Koncepty!$B$97</definedName>
    <definedName name="R_67">Koncepty!$B$98</definedName>
    <definedName name="R_68">Koncepty!$B$71</definedName>
    <definedName name="R_69">Koncepty!$B$99</definedName>
    <definedName name="R_70">Koncepty!$B$100</definedName>
    <definedName name="R_71">Koncepty!$B$101</definedName>
    <definedName name="R_72">Koncepty!$B$102</definedName>
    <definedName name="R_73">Koncepty!$B$103</definedName>
    <definedName name="R_74">Koncepty!$B$104</definedName>
    <definedName name="R_75">Koncepty!$B$105</definedName>
    <definedName name="R_76">Koncepty!$B$106</definedName>
    <definedName name="R_77">Koncepty!$B$107</definedName>
    <definedName name="R_78">Specifikace!#REF!</definedName>
    <definedName name="R_79">Koncepty!$B$65</definedName>
    <definedName name="R_80">Koncepty!$B$66</definedName>
    <definedName name="R_81">Koncepty!$B$127</definedName>
    <definedName name="R_82">Koncepty!$B$145</definedName>
    <definedName name="R_83">Koncepty!$B$147</definedName>
    <definedName name="R_84">Koncepty!$B$149</definedName>
    <definedName name="R_85">Koncepty!$B$135</definedName>
    <definedName name="R_86">Koncepty!$B$110</definedName>
    <definedName name="R_87">Koncepty!$B$152</definedName>
    <definedName name="R_88">Koncepty!$B$153</definedName>
    <definedName name="R_89">Koncepty!$B$154</definedName>
    <definedName name="R_90">Koncepty!$B$167</definedName>
    <definedName name="R_91">Koncepty!$B$157</definedName>
    <definedName name="R_92">Koncepty!$B$146</definedName>
    <definedName name="R_93">Koncepty!$B$148</definedName>
    <definedName name="R_94">Koncepty!$B$166</definedName>
    <definedName name="R_95">Specifikace!$D$31</definedName>
    <definedName name="R_96">Koncepty!$B$158</definedName>
    <definedName name="R_97">Koncepty!$B$159</definedName>
    <definedName name="R_98">Koncepty!$B$160</definedName>
    <definedName name="R_99">Specifikace!#REF!</definedName>
    <definedName name="RTS">Design!$E$5</definedName>
    <definedName name="S_01">Koncepty!$B$2065</definedName>
    <definedName name="S_02">Specifikace!#REF!</definedName>
    <definedName name="S_03">Specifikace!$D$178</definedName>
    <definedName name="S_04">Koncepty!$B$1682</definedName>
    <definedName name="S_05">Koncepty!$B$1668</definedName>
    <definedName name="S_06">Koncepty!$B$1653</definedName>
    <definedName name="S_07">Koncepty!$B$1724</definedName>
    <definedName name="S_08">Koncepty!$B$1709</definedName>
    <definedName name="S_09">Koncepty!$B$1738</definedName>
    <definedName name="S_10">Specifikace!$D$159</definedName>
    <definedName name="S_100">Specifikace!#REF!</definedName>
    <definedName name="S_11">Koncepty!$B$1753</definedName>
    <definedName name="S_12">Specifikace!$D$223</definedName>
    <definedName name="S_13">Koncepty!$B$1884</definedName>
    <definedName name="S_14">Koncepty!$B$1898</definedName>
    <definedName name="S_15">Koncepty!$B$849</definedName>
    <definedName name="S_16">Koncepty!$B$884</definedName>
    <definedName name="S_17">Koncepty!$B$932</definedName>
    <definedName name="S_18">Koncepty!$B$946</definedName>
    <definedName name="S_19">Koncepty!$B$734</definedName>
    <definedName name="S_20">Koncepty!$B$752</definedName>
    <definedName name="S_21">Koncepty!$B$985</definedName>
    <definedName name="S_22">Koncepty!$B$1001</definedName>
    <definedName name="S_23">Koncepty!$B$1022</definedName>
    <definedName name="S_24">Koncepty!$B$1046</definedName>
    <definedName name="S_25">Koncepty!$B$1058</definedName>
    <definedName name="S_26">Koncepty!$B$1071</definedName>
    <definedName name="S_27">Koncepty!$B$1086</definedName>
    <definedName name="S_28">Koncepty!$B$1100</definedName>
    <definedName name="S_29">Koncepty!$B$1126</definedName>
    <definedName name="S_30">Koncepty!$B$771</definedName>
    <definedName name="S_31">Koncepty!$B$1145</definedName>
    <definedName name="S_32">Koncepty!$B$787</definedName>
    <definedName name="S_33">Koncepty!$B$1161</definedName>
    <definedName name="S_34">Koncepty!$B$1175</definedName>
    <definedName name="S_35">Koncepty!$B$1198</definedName>
    <definedName name="S_36">Koncepty!$B$1219</definedName>
    <definedName name="S_37">Koncepty!$B$1240</definedName>
    <definedName name="S_38">Koncepty!$B$713</definedName>
    <definedName name="S_39">Koncepty!$B$968</definedName>
    <definedName name="S_40">Koncepty!$B$1334</definedName>
    <definedName name="S_41">Specifikace!$D$130</definedName>
    <definedName name="S_42">Koncepty!$B$1768</definedName>
    <definedName name="S_43">Koncepty!$B$1796</definedName>
    <definedName name="S_44">Specifikace!#REF!</definedName>
    <definedName name="S_45">Specifikace!$D$212</definedName>
    <definedName name="S_46">Koncepty!$B$1557</definedName>
    <definedName name="S_47">Koncepty!$B$2107</definedName>
    <definedName name="S_48">Koncepty!$B$2035</definedName>
    <definedName name="S_49">Koncepty!$B$2049</definedName>
    <definedName name="S_50">Koncepty!$B$1570</definedName>
    <definedName name="S_51">Koncepty!$B$1583</definedName>
    <definedName name="S_52">Koncepty!$B$1614</definedName>
    <definedName name="S_53">Koncepty!$B$1627</definedName>
    <definedName name="S_54">Koncepty!$B$1641</definedName>
    <definedName name="S_55">Koncepty!$B$1782</definedName>
    <definedName name="S_56">Koncepty!$B$1967</definedName>
    <definedName name="S_57">Koncepty!$B$869</definedName>
    <definedName name="S_58">Koncepty!$B$898</definedName>
    <definedName name="S_59">Koncepty!$B$1952</definedName>
    <definedName name="S_60">Koncepty!$B$1256</definedName>
    <definedName name="S_61">Koncepty!$B$1274</definedName>
    <definedName name="S_62">Koncepty!$B$704</definedName>
    <definedName name="S_63">Koncepty!$B$1306</definedName>
    <definedName name="S_64">Koncepty!$B$1320</definedName>
    <definedName name="S_65">Koncepty!$B$1348</definedName>
    <definedName name="S_66">Koncepty!$B$1366</definedName>
    <definedName name="S_67">Koncepty!$B$1384</definedName>
    <definedName name="S_68">Koncepty!$B$916</definedName>
    <definedName name="S_69">Koncepty!$B$1407</definedName>
    <definedName name="S_70">Koncepty!$B$1424</definedName>
    <definedName name="S_71">Koncepty!$B$1439</definedName>
    <definedName name="S_72">Koncepty!$B$1454</definedName>
    <definedName name="S_73">Koncepty!$B$1469</definedName>
    <definedName name="S_74">Koncepty!$B$1484</definedName>
    <definedName name="S_75">Koncepty!$B$1500</definedName>
    <definedName name="S_76">Koncepty!$B$1516</definedName>
    <definedName name="S_77">Koncepty!$B$1542</definedName>
    <definedName name="S_78">Specifikace!#REF!</definedName>
    <definedName name="S_79">Koncepty!$B$815</definedName>
    <definedName name="S_80">Koncepty!$B$834</definedName>
    <definedName name="S_81">Koncepty!$B$1596</definedName>
    <definedName name="S_82">Koncepty!$B$1812</definedName>
    <definedName name="S_83">Koncepty!$B$1840</definedName>
    <definedName name="S_84">Koncepty!$B$1870</definedName>
    <definedName name="S_85">Koncepty!$B$1696</definedName>
    <definedName name="S_86">Koncepty!$B$112</definedName>
    <definedName name="S_87">Koncepty!$B$1911</definedName>
    <definedName name="S_88">Koncepty!$B$1923</definedName>
    <definedName name="S_89">Koncepty!$B$1938</definedName>
    <definedName name="S_90">Koncepty!$B$2093</definedName>
    <definedName name="S_91">Koncepty!$B$1982</definedName>
    <definedName name="S_92">Koncepty!$B$1826</definedName>
    <definedName name="S_93">Koncepty!$B$1855</definedName>
    <definedName name="S_94">Koncepty!$B$2079</definedName>
    <definedName name="S_95">Specifikace!$D$193</definedName>
    <definedName name="S_96">Koncepty!$B$1995</definedName>
    <definedName name="S_97">Koncepty!$B$2010</definedName>
    <definedName name="S_98">Koncepty!$B$2023</definedName>
    <definedName name="S_99">Specifikace!#REF!</definedName>
    <definedName name="SEZNAM_POUŽITÝCH_MEZD">Design!$B$1122:$F$1228</definedName>
    <definedName name="sleva_ocel">Design!$F$47</definedName>
    <definedName name="SLEVY">Design!$F$12</definedName>
    <definedName name="STD_HR_HSV">Design!$D$103</definedName>
    <definedName name="STD_HR_PSV">Design!$D$104</definedName>
    <definedName name="T_101">Specifikace!#REF!</definedName>
    <definedName name="T_102">Specifikace!#REF!</definedName>
    <definedName name="T_103">Specifikace!#REF!</definedName>
    <definedName name="T_104">Specifikace!#REF!</definedName>
    <definedName name="T_105">Specifikace!#REF!</definedName>
    <definedName name="T_106">Specifikace!#REF!</definedName>
    <definedName name="T_107">Specifikace!#REF!</definedName>
    <definedName name="T_108">Specifikace!#REF!</definedName>
    <definedName name="T_109">Specifikace!#REF!</definedName>
    <definedName name="T_110">Specifikace!#REF!</definedName>
    <definedName name="T_111">Specifikace!#REF!</definedName>
    <definedName name="T_112">Specifikace!#REF!</definedName>
    <definedName name="T_113">Specifikace!#REF!</definedName>
    <definedName name="T_114">Specifikace!#REF!</definedName>
    <definedName name="T_115">Specifikace!#REF!</definedName>
    <definedName name="T_116">Specifikace!#REF!</definedName>
    <definedName name="T_117">Specifikace!#REF!</definedName>
    <definedName name="T_118">Specifikace!#REF!</definedName>
    <definedName name="T_119">Specifikace!#REF!</definedName>
    <definedName name="T_120">Specifikace!#REF!</definedName>
    <definedName name="T_121">Specifikace!#REF!</definedName>
    <definedName name="T_122">Specifikace!#REF!</definedName>
    <definedName name="T_123">Specifikace!#REF!</definedName>
    <definedName name="T_124">Specifikace!#REF!</definedName>
    <definedName name="T_125">Koncepty!$B$433</definedName>
    <definedName name="T_126">Koncepty!$B$443</definedName>
    <definedName name="T_127">Koncepty!$B$453</definedName>
    <definedName name="T_128">Koncepty!$B$463</definedName>
    <definedName name="T_129">Koncepty!$B$473</definedName>
    <definedName name="T_130">Koncepty!$B$483</definedName>
    <definedName name="T_131">Koncepty!$B$493</definedName>
    <definedName name="T_132">Koncepty!$B$503</definedName>
    <definedName name="T_133">Koncepty!$B$513</definedName>
    <definedName name="T_134">Koncepty!$B$523</definedName>
    <definedName name="T_135">Koncepty!$B$533</definedName>
    <definedName name="T_136">Koncepty!$B$543</definedName>
    <definedName name="T_137">Koncepty!$B$553</definedName>
    <definedName name="T_138">Koncepty!$B$563</definedName>
    <definedName name="T_139">Koncepty!$B$573</definedName>
    <definedName name="T_140">Koncepty!$B$583</definedName>
    <definedName name="T_141">Koncepty!$B$593</definedName>
    <definedName name="T_142">Koncepty!$B$603</definedName>
    <definedName name="T_143">Koncepty!$B$613</definedName>
    <definedName name="T_144">Koncepty!$B$623</definedName>
    <definedName name="T_145">Koncepty!$B$633</definedName>
    <definedName name="T_146">Koncepty!$B$643</definedName>
    <definedName name="T_147">Koncepty!$B$653</definedName>
    <definedName name="T_148">Koncepty!$B$663</definedName>
    <definedName name="T_149">Koncepty!$B$673</definedName>
    <definedName name="T_150">Koncepty!$B$683</definedName>
    <definedName name="T_151">Koncepty!$B$693</definedName>
    <definedName name="T_152">Koncepty!$B$1290</definedName>
    <definedName name="UŽITNÁ_PLOCHA">Specifikace!#REF!</definedName>
    <definedName name="volba_přesunu">Design!$B$60</definedName>
    <definedName name="VRN" localSheetId="2">Design!$E$58</definedName>
    <definedName name="VRN">Design!$E$58</definedName>
  </definedNames>
  <calcPr calcId="125725"/>
  <fileRecoveryPr autoRecover="0"/>
</workbook>
</file>

<file path=xl/calcChain.xml><?xml version="1.0" encoding="utf-8"?>
<calcChain xmlns="http://schemas.openxmlformats.org/spreadsheetml/2006/main">
  <c r="F181" i="5"/>
  <c r="F167"/>
  <c r="F165"/>
  <c r="F164"/>
  <c r="F163"/>
  <c r="F162"/>
  <c r="F149"/>
  <c r="F148"/>
  <c r="F146"/>
  <c r="F145"/>
  <c r="F144"/>
  <c r="F142"/>
  <c r="F140"/>
  <c r="F139"/>
  <c r="F135"/>
  <c r="D207" l="1"/>
  <c r="F136" l="1"/>
  <c r="F182" l="1"/>
  <c r="F169"/>
  <c r="F150"/>
  <c r="F137" l="1"/>
  <c r="F138" l="1"/>
  <c r="R28" i="14" l="1"/>
  <c r="R26"/>
  <c r="Q49"/>
  <c r="R49" s="1"/>
  <c r="Q48"/>
  <c r="R48" s="1"/>
  <c r="S48" s="1"/>
  <c r="Q47"/>
  <c r="R47" s="1"/>
  <c r="Q46"/>
  <c r="R46" s="1"/>
  <c r="Q45"/>
  <c r="R45" s="1"/>
  <c r="Q44"/>
  <c r="R44" s="1"/>
  <c r="S44" s="1"/>
  <c r="Q43"/>
  <c r="R43" s="1"/>
  <c r="Q42"/>
  <c r="R42" s="1"/>
  <c r="Q41"/>
  <c r="R41" s="1"/>
  <c r="Q40"/>
  <c r="R40" s="1"/>
  <c r="S40" s="1"/>
  <c r="Q39"/>
  <c r="R39" s="1"/>
  <c r="Q38"/>
  <c r="R38" s="1"/>
  <c r="Q37"/>
  <c r="R37" s="1"/>
  <c r="Q36"/>
  <c r="R36" s="1"/>
  <c r="S36" s="1"/>
  <c r="Q35"/>
  <c r="R35" s="1"/>
  <c r="Q34"/>
  <c r="R34" s="1"/>
  <c r="Q33"/>
  <c r="R33" s="1"/>
  <c r="Q32"/>
  <c r="R32" s="1"/>
  <c r="S32" s="1"/>
  <c r="Q31"/>
  <c r="R31" s="1"/>
  <c r="Q30"/>
  <c r="R30" s="1"/>
  <c r="Q29"/>
  <c r="R29" s="1"/>
  <c r="Q28"/>
  <c r="Q27"/>
  <c r="R27" s="1"/>
  <c r="Q26"/>
  <c r="C21"/>
  <c r="D309"/>
  <c r="D312" s="1"/>
  <c r="D308"/>
  <c r="D311" s="1"/>
  <c r="D307"/>
  <c r="D310" s="1"/>
  <c r="S33" l="1"/>
  <c r="S41"/>
  <c r="S30"/>
  <c r="S34"/>
  <c r="S38"/>
  <c r="S42"/>
  <c r="S46"/>
  <c r="S26"/>
  <c r="S29"/>
  <c r="S37"/>
  <c r="S45"/>
  <c r="S27"/>
  <c r="S31"/>
  <c r="S35"/>
  <c r="S39"/>
  <c r="S43"/>
  <c r="S47"/>
  <c r="S28"/>
  <c r="H72"/>
  <c r="N191" l="1"/>
  <c r="N183"/>
  <c r="N174"/>
  <c r="N188"/>
  <c r="N182"/>
  <c r="N192"/>
  <c r="N184"/>
  <c r="N176"/>
  <c r="N180"/>
  <c r="N189"/>
  <c r="N173"/>
  <c r="N193"/>
  <c r="N185"/>
  <c r="N177"/>
  <c r="N187"/>
  <c r="N171"/>
  <c r="N190"/>
  <c r="N194"/>
  <c r="N186"/>
  <c r="N178"/>
  <c r="N195"/>
  <c r="N179"/>
  <c r="N196"/>
  <c r="N197"/>
  <c r="N181"/>
  <c r="N172"/>
  <c r="N175"/>
  <c r="N198"/>
  <c r="N199"/>
  <c r="N200"/>
  <c r="E58"/>
  <c r="R206"/>
  <c r="R205"/>
  <c r="R204"/>
  <c r="R203"/>
  <c r="L206"/>
  <c r="L205"/>
  <c r="L204"/>
  <c r="L203"/>
  <c r="E206"/>
  <c r="E205"/>
  <c r="E204"/>
  <c r="E203"/>
  <c r="E864" l="1"/>
  <c r="G864" s="1"/>
  <c r="E863"/>
  <c r="G863" s="1"/>
  <c r="F879"/>
  <c r="E721" l="1"/>
  <c r="G721" s="1"/>
  <c r="E720"/>
  <c r="G720" s="1"/>
  <c r="E719"/>
  <c r="G719" s="1"/>
  <c r="E718"/>
  <c r="G718" s="1"/>
  <c r="E717"/>
  <c r="G717" s="1"/>
  <c r="E716"/>
  <c r="G716" s="1"/>
  <c r="E715"/>
  <c r="G715" s="1"/>
  <c r="E714"/>
  <c r="G714" s="1"/>
  <c r="E713"/>
  <c r="G713" s="1"/>
  <c r="F738"/>
  <c r="E710"/>
  <c r="E709"/>
  <c r="E708"/>
  <c r="E707"/>
  <c r="E703"/>
  <c r="E702"/>
  <c r="E705" l="1"/>
  <c r="F105"/>
  <c r="E105"/>
  <c r="F590"/>
  <c r="E588"/>
  <c r="G588" s="1"/>
  <c r="F384"/>
  <c r="E581"/>
  <c r="E582" s="1"/>
  <c r="E515"/>
  <c r="E516" s="1"/>
  <c r="L169"/>
  <c r="G106" l="1"/>
  <c r="G105"/>
  <c r="F106"/>
  <c r="E106"/>
  <c r="E107"/>
  <c r="I41" l="1"/>
  <c r="I40"/>
  <c r="H238" i="5"/>
  <c r="I42" i="14" l="1"/>
  <c r="D41" s="1"/>
  <c r="E34" s="1"/>
  <c r="D1292"/>
  <c r="D1281"/>
  <c r="D1275"/>
  <c r="D1276" s="1"/>
  <c r="D1267"/>
  <c r="D1269" s="1"/>
  <c r="D1294" s="1"/>
  <c r="D1258"/>
  <c r="G1261" s="1"/>
  <c r="D1251"/>
  <c r="I57"/>
  <c r="I56"/>
  <c r="I55"/>
  <c r="I53"/>
  <c r="I51"/>
  <c r="J52"/>
  <c r="I52" s="1"/>
  <c r="J51"/>
  <c r="J50"/>
  <c r="E126"/>
  <c r="D126" s="1"/>
  <c r="E125"/>
  <c r="D125" s="1"/>
  <c r="E123"/>
  <c r="D123" s="1"/>
  <c r="B2093" i="8"/>
  <c r="B2100" s="1"/>
  <c r="F2096"/>
  <c r="F2097"/>
  <c r="B2107"/>
  <c r="B2113" s="1"/>
  <c r="F2110"/>
  <c r="F2111"/>
  <c r="F2113" s="1"/>
  <c r="F168" s="1"/>
  <c r="B2079"/>
  <c r="B2087" s="1"/>
  <c r="F2082"/>
  <c r="F2083"/>
  <c r="F2084"/>
  <c r="F2087" s="1"/>
  <c r="F166" s="1"/>
  <c r="F2085"/>
  <c r="G355" i="14"/>
  <c r="G351"/>
  <c r="G350"/>
  <c r="G348"/>
  <c r="B2035" i="8"/>
  <c r="B2042" s="1"/>
  <c r="F2038"/>
  <c r="F2039"/>
  <c r="F2040"/>
  <c r="B2049"/>
  <c r="B2058" s="1"/>
  <c r="F2052"/>
  <c r="F2053"/>
  <c r="F2054"/>
  <c r="F2055"/>
  <c r="F2056"/>
  <c r="B2065"/>
  <c r="B2073" s="1"/>
  <c r="F2068"/>
  <c r="F2069"/>
  <c r="F2070"/>
  <c r="F2071"/>
  <c r="E342" i="14"/>
  <c r="G342" s="1"/>
  <c r="E343"/>
  <c r="G343" s="1"/>
  <c r="G334"/>
  <c r="G331"/>
  <c r="G330"/>
  <c r="G328"/>
  <c r="G327"/>
  <c r="G326"/>
  <c r="G323"/>
  <c r="G322"/>
  <c r="B1812" i="8"/>
  <c r="B1819" s="1"/>
  <c r="F1815"/>
  <c r="F1819" s="1"/>
  <c r="F145" s="1"/>
  <c r="F1816"/>
  <c r="F1817"/>
  <c r="B1826"/>
  <c r="B1833" s="1"/>
  <c r="F1829"/>
  <c r="F1830"/>
  <c r="F1831"/>
  <c r="B1840"/>
  <c r="B1848" s="1"/>
  <c r="F1843"/>
  <c r="F1844"/>
  <c r="F1845"/>
  <c r="F1846"/>
  <c r="B1855"/>
  <c r="B1863" s="1"/>
  <c r="F1858"/>
  <c r="F1859"/>
  <c r="F1860"/>
  <c r="F1861"/>
  <c r="B1870"/>
  <c r="B1877" s="1"/>
  <c r="F1873"/>
  <c r="F1874"/>
  <c r="F1875"/>
  <c r="B1884"/>
  <c r="B1891" s="1"/>
  <c r="F1887"/>
  <c r="F1888"/>
  <c r="F1891" s="1"/>
  <c r="F150" s="1"/>
  <c r="F1889"/>
  <c r="B1898"/>
  <c r="B1904" s="1"/>
  <c r="F1901"/>
  <c r="F1902"/>
  <c r="B1911"/>
  <c r="B1916" s="1"/>
  <c r="F1914"/>
  <c r="F1916" s="1"/>
  <c r="F152" s="1"/>
  <c r="B1923"/>
  <c r="B1931" s="1"/>
  <c r="F1926"/>
  <c r="F1927"/>
  <c r="F1928"/>
  <c r="F1929"/>
  <c r="B1938"/>
  <c r="B1946" s="1"/>
  <c r="F1941"/>
  <c r="F1942"/>
  <c r="F1943"/>
  <c r="F1946" s="1"/>
  <c r="F154" s="1"/>
  <c r="F1944"/>
  <c r="B1952"/>
  <c r="B1960" s="1"/>
  <c r="F1955"/>
  <c r="F1956"/>
  <c r="F1957"/>
  <c r="F1958"/>
  <c r="B1967"/>
  <c r="B1975" s="1"/>
  <c r="F1970"/>
  <c r="F1971"/>
  <c r="F1972"/>
  <c r="F1973"/>
  <c r="B1982"/>
  <c r="B1988" s="1"/>
  <c r="F1985"/>
  <c r="F1986"/>
  <c r="B1995"/>
  <c r="B2003" s="1"/>
  <c r="F1998"/>
  <c r="F1999"/>
  <c r="F2000"/>
  <c r="F2001"/>
  <c r="B2010"/>
  <c r="B2016" s="1"/>
  <c r="F2013"/>
  <c r="F2014"/>
  <c r="B2023"/>
  <c r="B2030" s="1"/>
  <c r="F2026"/>
  <c r="F2027"/>
  <c r="F2028"/>
  <c r="B1653"/>
  <c r="B1661" s="1"/>
  <c r="F1656"/>
  <c r="F1657"/>
  <c r="F1658"/>
  <c r="F1659"/>
  <c r="B1668"/>
  <c r="B1675" s="1"/>
  <c r="F1671"/>
  <c r="F1672"/>
  <c r="F1675" s="1"/>
  <c r="F1673"/>
  <c r="B1682"/>
  <c r="B875" s="1"/>
  <c r="F1685"/>
  <c r="F1686"/>
  <c r="F1687"/>
  <c r="B1696"/>
  <c r="B1702" s="1"/>
  <c r="F1699"/>
  <c r="F1700"/>
  <c r="F1702" s="1"/>
  <c r="F135" s="1"/>
  <c r="B1709"/>
  <c r="B1717" s="1"/>
  <c r="F1712"/>
  <c r="F1713"/>
  <c r="F1714"/>
  <c r="B1724"/>
  <c r="B1731" s="1"/>
  <c r="F1727"/>
  <c r="F1728"/>
  <c r="F1731" s="1"/>
  <c r="F137" s="1"/>
  <c r="F1729"/>
  <c r="B1738"/>
  <c r="B1746" s="1"/>
  <c r="F1741"/>
  <c r="F1742"/>
  <c r="F1743"/>
  <c r="F1744"/>
  <c r="B1753"/>
  <c r="B1761" s="1"/>
  <c r="F1756"/>
  <c r="F1757"/>
  <c r="F1758"/>
  <c r="F1759"/>
  <c r="B1768"/>
  <c r="B1775" s="1"/>
  <c r="F1771"/>
  <c r="F1772"/>
  <c r="F1775" s="1"/>
  <c r="F140" s="1"/>
  <c r="F1773"/>
  <c r="B1782"/>
  <c r="B1789" s="1"/>
  <c r="F1785"/>
  <c r="F1786"/>
  <c r="F1787"/>
  <c r="B1796"/>
  <c r="B1805" s="1"/>
  <c r="F1799"/>
  <c r="F1800"/>
  <c r="F1801"/>
  <c r="F1802"/>
  <c r="F1803"/>
  <c r="D137" i="14"/>
  <c r="F1562" i="8"/>
  <c r="F1561"/>
  <c r="F1560"/>
  <c r="B1557"/>
  <c r="B1564" s="1"/>
  <c r="Z107" i="14"/>
  <c r="AA99"/>
  <c r="AA105" s="1"/>
  <c r="AA113"/>
  <c r="X113"/>
  <c r="AA110"/>
  <c r="X111"/>
  <c r="AC99"/>
  <c r="AC105" s="1"/>
  <c r="X112"/>
  <c r="X110"/>
  <c r="AB99"/>
  <c r="AB105" s="1"/>
  <c r="Z99"/>
  <c r="Z105" s="1"/>
  <c r="Y99"/>
  <c r="Y105" s="1"/>
  <c r="X99"/>
  <c r="X105" s="1"/>
  <c r="P112"/>
  <c r="R107"/>
  <c r="P99"/>
  <c r="P105" s="1"/>
  <c r="G119"/>
  <c r="S113"/>
  <c r="P113"/>
  <c r="P111"/>
  <c r="S110"/>
  <c r="P110"/>
  <c r="U99"/>
  <c r="U105" s="1"/>
  <c r="S99"/>
  <c r="S105" s="1"/>
  <c r="R99"/>
  <c r="R105" s="1"/>
  <c r="Q99"/>
  <c r="Q105" s="1"/>
  <c r="T99"/>
  <c r="T105" s="1"/>
  <c r="P83"/>
  <c r="P84"/>
  <c r="X120" s="1"/>
  <c r="G98"/>
  <c r="F98"/>
  <c r="E98"/>
  <c r="G97"/>
  <c r="F97"/>
  <c r="E97"/>
  <c r="G96"/>
  <c r="F96"/>
  <c r="G95"/>
  <c r="F95"/>
  <c r="E95"/>
  <c r="D89"/>
  <c r="D92"/>
  <c r="G118"/>
  <c r="F118"/>
  <c r="E118"/>
  <c r="G117"/>
  <c r="F117"/>
  <c r="E117"/>
  <c r="G116"/>
  <c r="F116"/>
  <c r="G115"/>
  <c r="F115"/>
  <c r="G114"/>
  <c r="F114"/>
  <c r="E114"/>
  <c r="G113"/>
  <c r="F113"/>
  <c r="E113"/>
  <c r="G112"/>
  <c r="F112"/>
  <c r="G111"/>
  <c r="F111"/>
  <c r="E111"/>
  <c r="E115"/>
  <c r="G102"/>
  <c r="F102"/>
  <c r="E102"/>
  <c r="G101"/>
  <c r="F101"/>
  <c r="E101"/>
  <c r="G100"/>
  <c r="F100"/>
  <c r="G99"/>
  <c r="F99"/>
  <c r="E99"/>
  <c r="D91"/>
  <c r="F107"/>
  <c r="G110"/>
  <c r="F110"/>
  <c r="E110"/>
  <c r="G109"/>
  <c r="F109"/>
  <c r="E109"/>
  <c r="G108"/>
  <c r="F108"/>
  <c r="G107"/>
  <c r="F1646" i="8"/>
  <c r="F1645"/>
  <c r="F1648" s="1"/>
  <c r="F130" s="1"/>
  <c r="F1644"/>
  <c r="B1641"/>
  <c r="B1648" s="1"/>
  <c r="F1632"/>
  <c r="F1631"/>
  <c r="F1634" s="1"/>
  <c r="F129" s="1"/>
  <c r="F1630"/>
  <c r="B1627"/>
  <c r="B1634" s="1"/>
  <c r="F1618"/>
  <c r="F1617"/>
  <c r="F1620" s="1"/>
  <c r="F128" s="1"/>
  <c r="B1614"/>
  <c r="B1620" s="1"/>
  <c r="F1605"/>
  <c r="F1604"/>
  <c r="F1603"/>
  <c r="F1599"/>
  <c r="B1596"/>
  <c r="B1607" s="1"/>
  <c r="F1589"/>
  <c r="F126" s="1"/>
  <c r="B1583"/>
  <c r="B1589" s="1"/>
  <c r="F1574"/>
  <c r="F1573"/>
  <c r="B1570"/>
  <c r="B1576" s="1"/>
  <c r="F115"/>
  <c r="F117" s="1"/>
  <c r="F110" s="1"/>
  <c r="B112"/>
  <c r="B117" s="1"/>
  <c r="L202" i="14"/>
  <c r="L201"/>
  <c r="L200"/>
  <c r="L199"/>
  <c r="L198"/>
  <c r="L197"/>
  <c r="L196"/>
  <c r="L195"/>
  <c r="L194"/>
  <c r="L193"/>
  <c r="L192"/>
  <c r="L191"/>
  <c r="L190"/>
  <c r="L189"/>
  <c r="L188"/>
  <c r="L187"/>
  <c r="L186"/>
  <c r="L185"/>
  <c r="L184"/>
  <c r="L183"/>
  <c r="L182"/>
  <c r="L181"/>
  <c r="L180"/>
  <c r="L179"/>
  <c r="L178"/>
  <c r="L177"/>
  <c r="L176"/>
  <c r="L175"/>
  <c r="L174"/>
  <c r="L173"/>
  <c r="L172"/>
  <c r="L171"/>
  <c r="L170"/>
  <c r="L168"/>
  <c r="L167"/>
  <c r="L166"/>
  <c r="L165"/>
  <c r="L164"/>
  <c r="L163"/>
  <c r="L162"/>
  <c r="L161"/>
  <c r="L160"/>
  <c r="L159"/>
  <c r="L158"/>
  <c r="L157"/>
  <c r="L156"/>
  <c r="L155"/>
  <c r="L154"/>
  <c r="L153"/>
  <c r="L152"/>
  <c r="L151"/>
  <c r="L150"/>
  <c r="L149"/>
  <c r="L148"/>
  <c r="L147"/>
  <c r="L146"/>
  <c r="L145"/>
  <c r="L144"/>
  <c r="L143"/>
  <c r="L142"/>
  <c r="L141"/>
  <c r="L140"/>
  <c r="L139"/>
  <c r="L138"/>
  <c r="L137"/>
  <c r="J177"/>
  <c r="H177"/>
  <c r="J202"/>
  <c r="H202"/>
  <c r="D202"/>
  <c r="E202" s="1"/>
  <c r="J200"/>
  <c r="H200"/>
  <c r="J199"/>
  <c r="H199"/>
  <c r="J198"/>
  <c r="H198"/>
  <c r="J197"/>
  <c r="H197"/>
  <c r="D197"/>
  <c r="J196"/>
  <c r="H196"/>
  <c r="J195"/>
  <c r="H195"/>
  <c r="J194"/>
  <c r="H194"/>
  <c r="J192"/>
  <c r="H192"/>
  <c r="J191"/>
  <c r="H191"/>
  <c r="J190"/>
  <c r="H190"/>
  <c r="J189"/>
  <c r="H189"/>
  <c r="J188"/>
  <c r="H188"/>
  <c r="J187"/>
  <c r="H187"/>
  <c r="J186"/>
  <c r="H186"/>
  <c r="J185"/>
  <c r="H185"/>
  <c r="J184"/>
  <c r="H184"/>
  <c r="J183"/>
  <c r="H183"/>
  <c r="J182"/>
  <c r="H182"/>
  <c r="J181"/>
  <c r="H181"/>
  <c r="J180"/>
  <c r="H180"/>
  <c r="J179"/>
  <c r="H179"/>
  <c r="J178"/>
  <c r="H178"/>
  <c r="J176"/>
  <c r="H176"/>
  <c r="J175"/>
  <c r="H175"/>
  <c r="J174"/>
  <c r="H174"/>
  <c r="J173"/>
  <c r="H173"/>
  <c r="J172"/>
  <c r="H172"/>
  <c r="K171"/>
  <c r="I171"/>
  <c r="H171"/>
  <c r="K170"/>
  <c r="I170"/>
  <c r="H170"/>
  <c r="J168"/>
  <c r="H168"/>
  <c r="J167"/>
  <c r="H167"/>
  <c r="D167"/>
  <c r="J166"/>
  <c r="H166"/>
  <c r="J165"/>
  <c r="H165"/>
  <c r="D165"/>
  <c r="J164"/>
  <c r="H164"/>
  <c r="J163"/>
  <c r="H163"/>
  <c r="J162"/>
  <c r="H162"/>
  <c r="J161"/>
  <c r="H161"/>
  <c r="J160"/>
  <c r="H160"/>
  <c r="J159"/>
  <c r="H159"/>
  <c r="J158"/>
  <c r="H158"/>
  <c r="J157"/>
  <c r="H157"/>
  <c r="J156"/>
  <c r="H156"/>
  <c r="J155"/>
  <c r="H155"/>
  <c r="J154"/>
  <c r="H154"/>
  <c r="J153"/>
  <c r="H153"/>
  <c r="J152"/>
  <c r="H152"/>
  <c r="J151"/>
  <c r="H151"/>
  <c r="J150"/>
  <c r="H150"/>
  <c r="J149"/>
  <c r="H149"/>
  <c r="J148"/>
  <c r="H148"/>
  <c r="J147"/>
  <c r="H147"/>
  <c r="J146"/>
  <c r="H146"/>
  <c r="D146"/>
  <c r="J145"/>
  <c r="H145"/>
  <c r="J144"/>
  <c r="H144"/>
  <c r="D144"/>
  <c r="J141"/>
  <c r="H141"/>
  <c r="H143" s="1"/>
  <c r="J140"/>
  <c r="H140"/>
  <c r="G140" s="1"/>
  <c r="J139"/>
  <c r="H139"/>
  <c r="G139" s="1"/>
  <c r="D139"/>
  <c r="J138"/>
  <c r="H138"/>
  <c r="G138" s="1"/>
  <c r="F47"/>
  <c r="G11"/>
  <c r="D193" i="5"/>
  <c r="E44" i="14"/>
  <c r="E43"/>
  <c r="D39"/>
  <c r="D38"/>
  <c r="D212" i="5"/>
  <c r="D216" s="1"/>
  <c r="E1117" i="14"/>
  <c r="D200" s="1"/>
  <c r="E1111"/>
  <c r="D199" s="1"/>
  <c r="F1105"/>
  <c r="E1104"/>
  <c r="G1104" s="1"/>
  <c r="E1103"/>
  <c r="G1103" s="1"/>
  <c r="E1102"/>
  <c r="G1102" s="1"/>
  <c r="E1101"/>
  <c r="G1101" s="1"/>
  <c r="E1100"/>
  <c r="G1100" s="1"/>
  <c r="E1099"/>
  <c r="G1099" s="1"/>
  <c r="E1098"/>
  <c r="G1098" s="1"/>
  <c r="F1093"/>
  <c r="E1092"/>
  <c r="G1092" s="1"/>
  <c r="E1091"/>
  <c r="G1091" s="1"/>
  <c r="F1072"/>
  <c r="E1071"/>
  <c r="G1071" s="1"/>
  <c r="E1070"/>
  <c r="G1070" s="1"/>
  <c r="E1069"/>
  <c r="G1069" s="1"/>
  <c r="E1068"/>
  <c r="G1068" s="1"/>
  <c r="E1067"/>
  <c r="G1067" s="1"/>
  <c r="E1066"/>
  <c r="G1066" s="1"/>
  <c r="F1059"/>
  <c r="E1058"/>
  <c r="G1058" s="1"/>
  <c r="E1057"/>
  <c r="G1057" s="1"/>
  <c r="E1056"/>
  <c r="G1056" s="1"/>
  <c r="E1055"/>
  <c r="G1055" s="1"/>
  <c r="E1054"/>
  <c r="G1054" s="1"/>
  <c r="E1053"/>
  <c r="G1053" s="1"/>
  <c r="F1044"/>
  <c r="E1043"/>
  <c r="G1043" s="1"/>
  <c r="E1042"/>
  <c r="G1042" s="1"/>
  <c r="E1035"/>
  <c r="D192" s="1"/>
  <c r="E1030"/>
  <c r="D191" s="1"/>
  <c r="F1025"/>
  <c r="E1024"/>
  <c r="G1024" s="1"/>
  <c r="E1023"/>
  <c r="G1023" s="1"/>
  <c r="E1022"/>
  <c r="G1022" s="1"/>
  <c r="F1016"/>
  <c r="E1015"/>
  <c r="G1015" s="1"/>
  <c r="E1014"/>
  <c r="G1014" s="1"/>
  <c r="F1007"/>
  <c r="E1006"/>
  <c r="G1006" s="1"/>
  <c r="E1005"/>
  <c r="G1005" s="1"/>
  <c r="E1004"/>
  <c r="G1004" s="1"/>
  <c r="E999"/>
  <c r="D187" s="1"/>
  <c r="E993"/>
  <c r="D186" s="1"/>
  <c r="E988"/>
  <c r="D185" s="1"/>
  <c r="E983"/>
  <c r="D184" s="1"/>
  <c r="E184" s="1"/>
  <c r="F978"/>
  <c r="E977"/>
  <c r="G977" s="1"/>
  <c r="E976"/>
  <c r="G976" s="1"/>
  <c r="E971"/>
  <c r="D182" s="1"/>
  <c r="F966"/>
  <c r="E965"/>
  <c r="G965" s="1"/>
  <c r="E964"/>
  <c r="G964" s="1"/>
  <c r="E963"/>
  <c r="G963" s="1"/>
  <c r="E962"/>
  <c r="G962" s="1"/>
  <c r="E961"/>
  <c r="G961" s="1"/>
  <c r="E960"/>
  <c r="G960" s="1"/>
  <c r="F944"/>
  <c r="E943"/>
  <c r="G943" s="1"/>
  <c r="E942"/>
  <c r="G942" s="1"/>
  <c r="E941"/>
  <c r="G941" s="1"/>
  <c r="E940"/>
  <c r="G940" s="1"/>
  <c r="F927"/>
  <c r="E926"/>
  <c r="G926" s="1"/>
  <c r="E925"/>
  <c r="G925" s="1"/>
  <c r="E924"/>
  <c r="G924" s="1"/>
  <c r="F905"/>
  <c r="E904"/>
  <c r="G904" s="1"/>
  <c r="E903"/>
  <c r="G903" s="1"/>
  <c r="E902"/>
  <c r="G902" s="1"/>
  <c r="E901"/>
  <c r="G901" s="1"/>
  <c r="F897"/>
  <c r="E896"/>
  <c r="G896" s="1"/>
  <c r="E895"/>
  <c r="G895" s="1"/>
  <c r="E894"/>
  <c r="G894" s="1"/>
  <c r="E893"/>
  <c r="G893" s="1"/>
  <c r="E892"/>
  <c r="G892" s="1"/>
  <c r="E891"/>
  <c r="G891" s="1"/>
  <c r="E890"/>
  <c r="G890" s="1"/>
  <c r="E889"/>
  <c r="G889" s="1"/>
  <c r="E888"/>
  <c r="G888" s="1"/>
  <c r="E887"/>
  <c r="G887" s="1"/>
  <c r="E886"/>
  <c r="G886" s="1"/>
  <c r="E885"/>
  <c r="G885" s="1"/>
  <c r="E884"/>
  <c r="G884" s="1"/>
  <c r="E883"/>
  <c r="G883" s="1"/>
  <c r="G873"/>
  <c r="F873"/>
  <c r="E872"/>
  <c r="E871"/>
  <c r="F866"/>
  <c r="E865"/>
  <c r="G865" s="1"/>
  <c r="E862"/>
  <c r="G862" s="1"/>
  <c r="F849"/>
  <c r="E848"/>
  <c r="G848" s="1"/>
  <c r="E847"/>
  <c r="G847" s="1"/>
  <c r="E846"/>
  <c r="G846" s="1"/>
  <c r="F836"/>
  <c r="E835"/>
  <c r="G835" s="1"/>
  <c r="E834"/>
  <c r="G834" s="1"/>
  <c r="F823"/>
  <c r="E822"/>
  <c r="G822" s="1"/>
  <c r="E821"/>
  <c r="G821" s="1"/>
  <c r="E820"/>
  <c r="G820" s="1"/>
  <c r="F815"/>
  <c r="E814"/>
  <c r="G814" s="1"/>
  <c r="E813"/>
  <c r="G813" s="1"/>
  <c r="E812"/>
  <c r="G812" s="1"/>
  <c r="E811"/>
  <c r="G811" s="1"/>
  <c r="E810"/>
  <c r="G810" s="1"/>
  <c r="F799"/>
  <c r="E798"/>
  <c r="G798" s="1"/>
  <c r="E797"/>
  <c r="G797" s="1"/>
  <c r="F792"/>
  <c r="E791"/>
  <c r="G791" s="1"/>
  <c r="E790"/>
  <c r="G790" s="1"/>
  <c r="E789"/>
  <c r="G789" s="1"/>
  <c r="E788"/>
  <c r="G788" s="1"/>
  <c r="E787"/>
  <c r="G787" s="1"/>
  <c r="E786"/>
  <c r="G786" s="1"/>
  <c r="E785"/>
  <c r="G785" s="1"/>
  <c r="E784"/>
  <c r="G784" s="1"/>
  <c r="E778"/>
  <c r="G778" s="1"/>
  <c r="E772"/>
  <c r="G772" s="1"/>
  <c r="F767"/>
  <c r="E766"/>
  <c r="G766" s="1"/>
  <c r="E765"/>
  <c r="G765" s="1"/>
  <c r="E764"/>
  <c r="G764" s="1"/>
  <c r="E763"/>
  <c r="G763" s="1"/>
  <c r="E762"/>
  <c r="G762" s="1"/>
  <c r="E761"/>
  <c r="G761" s="1"/>
  <c r="E760"/>
  <c r="G760" s="1"/>
  <c r="E759"/>
  <c r="G759" s="1"/>
  <c r="E758"/>
  <c r="G758" s="1"/>
  <c r="E757"/>
  <c r="G757" s="1"/>
  <c r="E756"/>
  <c r="G756" s="1"/>
  <c r="E755"/>
  <c r="G755" s="1"/>
  <c r="E754"/>
  <c r="G754" s="1"/>
  <c r="E753"/>
  <c r="G753" s="1"/>
  <c r="E752"/>
  <c r="G752" s="1"/>
  <c r="E751"/>
  <c r="G751" s="1"/>
  <c r="E750"/>
  <c r="G750" s="1"/>
  <c r="E749"/>
  <c r="G749" s="1"/>
  <c r="E748"/>
  <c r="G748" s="1"/>
  <c r="E747"/>
  <c r="G747" s="1"/>
  <c r="E746"/>
  <c r="G746" s="1"/>
  <c r="E745"/>
  <c r="G745" s="1"/>
  <c r="E744"/>
  <c r="G744" s="1"/>
  <c r="E743"/>
  <c r="G743" s="1"/>
  <c r="E742"/>
  <c r="G742" s="1"/>
  <c r="E741"/>
  <c r="G741" s="1"/>
  <c r="F732"/>
  <c r="E731"/>
  <c r="G731" s="1"/>
  <c r="E730"/>
  <c r="G730" s="1"/>
  <c r="E729"/>
  <c r="G729" s="1"/>
  <c r="F722"/>
  <c r="F696"/>
  <c r="E695"/>
  <c r="G695" s="1"/>
  <c r="E694"/>
  <c r="G694" s="1"/>
  <c r="F679"/>
  <c r="E678"/>
  <c r="G678" s="1"/>
  <c r="E677"/>
  <c r="G677" s="1"/>
  <c r="E676"/>
  <c r="G676" s="1"/>
  <c r="E675"/>
  <c r="G675" s="1"/>
  <c r="F667"/>
  <c r="E666"/>
  <c r="G666" s="1"/>
  <c r="E665"/>
  <c r="G665" s="1"/>
  <c r="F656"/>
  <c r="E655"/>
  <c r="G655" s="1"/>
  <c r="E654"/>
  <c r="G654" s="1"/>
  <c r="E653"/>
  <c r="G653" s="1"/>
  <c r="E652"/>
  <c r="G652" s="1"/>
  <c r="F639"/>
  <c r="E638"/>
  <c r="G638" s="1"/>
  <c r="E637"/>
  <c r="G637" s="1"/>
  <c r="E636"/>
  <c r="G636" s="1"/>
  <c r="E635"/>
  <c r="G635" s="1"/>
  <c r="E634"/>
  <c r="G634" s="1"/>
  <c r="E633"/>
  <c r="G633" s="1"/>
  <c r="E632"/>
  <c r="G632" s="1"/>
  <c r="E631"/>
  <c r="G631" s="1"/>
  <c r="E630"/>
  <c r="G630" s="1"/>
  <c r="E629"/>
  <c r="G629" s="1"/>
  <c r="E628"/>
  <c r="G628" s="1"/>
  <c r="F622"/>
  <c r="E621"/>
  <c r="G621" s="1"/>
  <c r="E620"/>
  <c r="G620" s="1"/>
  <c r="E619"/>
  <c r="G619" s="1"/>
  <c r="E618"/>
  <c r="G618" s="1"/>
  <c r="F602"/>
  <c r="E601"/>
  <c r="G601" s="1"/>
  <c r="E600"/>
  <c r="G600" s="1"/>
  <c r="E599"/>
  <c r="G599" s="1"/>
  <c r="E598"/>
  <c r="G598" s="1"/>
  <c r="E597"/>
  <c r="G597" s="1"/>
  <c r="E596"/>
  <c r="G596" s="1"/>
  <c r="E595"/>
  <c r="G595" s="1"/>
  <c r="E589"/>
  <c r="G589" s="1"/>
  <c r="E587"/>
  <c r="G587" s="1"/>
  <c r="E586"/>
  <c r="G586" s="1"/>
  <c r="E585"/>
  <c r="G585" s="1"/>
  <c r="E584"/>
  <c r="G584" s="1"/>
  <c r="F575"/>
  <c r="E574"/>
  <c r="G574" s="1"/>
  <c r="E573"/>
  <c r="G573" s="1"/>
  <c r="E572"/>
  <c r="G572" s="1"/>
  <c r="E571"/>
  <c r="G571" s="1"/>
  <c r="E570"/>
  <c r="G570" s="1"/>
  <c r="E569"/>
  <c r="G569" s="1"/>
  <c r="E568"/>
  <c r="G568" s="1"/>
  <c r="F562"/>
  <c r="E561"/>
  <c r="G561" s="1"/>
  <c r="E560"/>
  <c r="G560" s="1"/>
  <c r="F555"/>
  <c r="E554"/>
  <c r="G554" s="1"/>
  <c r="E553"/>
  <c r="G553" s="1"/>
  <c r="E552"/>
  <c r="G552" s="1"/>
  <c r="E551"/>
  <c r="G551" s="1"/>
  <c r="F546"/>
  <c r="E545"/>
  <c r="G545" s="1"/>
  <c r="E544"/>
  <c r="G544" s="1"/>
  <c r="E543"/>
  <c r="G543" s="1"/>
  <c r="E542"/>
  <c r="G542" s="1"/>
  <c r="F535"/>
  <c r="E534"/>
  <c r="G534" s="1"/>
  <c r="E533"/>
  <c r="G533" s="1"/>
  <c r="E532"/>
  <c r="G532" s="1"/>
  <c r="E531"/>
  <c r="G531" s="1"/>
  <c r="F523"/>
  <c r="E522"/>
  <c r="G522" s="1"/>
  <c r="E521"/>
  <c r="G521" s="1"/>
  <c r="E520"/>
  <c r="G520" s="1"/>
  <c r="E519"/>
  <c r="G519" s="1"/>
  <c r="E518"/>
  <c r="G518" s="1"/>
  <c r="F509"/>
  <c r="E508"/>
  <c r="G508" s="1"/>
  <c r="E507"/>
  <c r="G507" s="1"/>
  <c r="E506"/>
  <c r="G506" s="1"/>
  <c r="E505"/>
  <c r="G505" s="1"/>
  <c r="E504"/>
  <c r="G504" s="1"/>
  <c r="E503"/>
  <c r="G503" s="1"/>
  <c r="F494"/>
  <c r="E493"/>
  <c r="G493" s="1"/>
  <c r="E492"/>
  <c r="G492" s="1"/>
  <c r="E491"/>
  <c r="G491" s="1"/>
  <c r="E490"/>
  <c r="G490" s="1"/>
  <c r="F481"/>
  <c r="E480"/>
  <c r="G480" s="1"/>
  <c r="E479"/>
  <c r="G479" s="1"/>
  <c r="E478"/>
  <c r="G478" s="1"/>
  <c r="E477"/>
  <c r="G477" s="1"/>
  <c r="E476"/>
  <c r="G476" s="1"/>
  <c r="E475"/>
  <c r="G475" s="1"/>
  <c r="E474"/>
  <c r="G474" s="1"/>
  <c r="E473"/>
  <c r="G473" s="1"/>
  <c r="E472"/>
  <c r="G472" s="1"/>
  <c r="E471"/>
  <c r="G471" s="1"/>
  <c r="F465"/>
  <c r="E464"/>
  <c r="G464" s="1"/>
  <c r="E463"/>
  <c r="G463" s="1"/>
  <c r="E462"/>
  <c r="G462" s="1"/>
  <c r="E461"/>
  <c r="G461" s="1"/>
  <c r="E460"/>
  <c r="G460" s="1"/>
  <c r="E459"/>
  <c r="G459" s="1"/>
  <c r="E458"/>
  <c r="G458" s="1"/>
  <c r="E457"/>
  <c r="G457" s="1"/>
  <c r="E456"/>
  <c r="G456" s="1"/>
  <c r="E455"/>
  <c r="G455" s="1"/>
  <c r="E454"/>
  <c r="G454" s="1"/>
  <c r="E453"/>
  <c r="G453" s="1"/>
  <c r="E452"/>
  <c r="G452" s="1"/>
  <c r="F447"/>
  <c r="E446"/>
  <c r="G446" s="1"/>
  <c r="E445"/>
  <c r="G445" s="1"/>
  <c r="E444"/>
  <c r="G444" s="1"/>
  <c r="E443"/>
  <c r="G443" s="1"/>
  <c r="E442"/>
  <c r="G442" s="1"/>
  <c r="E441"/>
  <c r="G441" s="1"/>
  <c r="E440"/>
  <c r="G440" s="1"/>
  <c r="E439"/>
  <c r="G439" s="1"/>
  <c r="E438"/>
  <c r="G438" s="1"/>
  <c r="E437"/>
  <c r="G437" s="1"/>
  <c r="E436"/>
  <c r="G436" s="1"/>
  <c r="E435"/>
  <c r="G435" s="1"/>
  <c r="E434"/>
  <c r="G434" s="1"/>
  <c r="E433"/>
  <c r="G433" s="1"/>
  <c r="E432"/>
  <c r="G432" s="1"/>
  <c r="E431"/>
  <c r="G431" s="1"/>
  <c r="E430"/>
  <c r="G430" s="1"/>
  <c r="F425"/>
  <c r="E424"/>
  <c r="G424" s="1"/>
  <c r="E423"/>
  <c r="G423" s="1"/>
  <c r="E422"/>
  <c r="G422" s="1"/>
  <c r="E421"/>
  <c r="G421" s="1"/>
  <c r="E420"/>
  <c r="G420" s="1"/>
  <c r="E419"/>
  <c r="G419" s="1"/>
  <c r="E418"/>
  <c r="G418" s="1"/>
  <c r="E417"/>
  <c r="G417" s="1"/>
  <c r="E416"/>
  <c r="G416" s="1"/>
  <c r="E415"/>
  <c r="G415" s="1"/>
  <c r="F410"/>
  <c r="E409"/>
  <c r="G409" s="1"/>
  <c r="E408"/>
  <c r="G408" s="1"/>
  <c r="E407"/>
  <c r="G407" s="1"/>
  <c r="E406"/>
  <c r="G406" s="1"/>
  <c r="F402"/>
  <c r="E401"/>
  <c r="G401" s="1"/>
  <c r="E400"/>
  <c r="G400" s="1"/>
  <c r="E399"/>
  <c r="G399" s="1"/>
  <c r="E398"/>
  <c r="G398" s="1"/>
  <c r="E397"/>
  <c r="G397" s="1"/>
  <c r="E396"/>
  <c r="G396" s="1"/>
  <c r="E395"/>
  <c r="G395" s="1"/>
  <c r="E394"/>
  <c r="G394" s="1"/>
  <c r="E393"/>
  <c r="G393" s="1"/>
  <c r="E392"/>
  <c r="G392" s="1"/>
  <c r="E391"/>
  <c r="G391" s="1"/>
  <c r="E390"/>
  <c r="G390" s="1"/>
  <c r="E389"/>
  <c r="G389" s="1"/>
  <c r="E388"/>
  <c r="G388" s="1"/>
  <c r="E383"/>
  <c r="G383" s="1"/>
  <c r="E382"/>
  <c r="G382" s="1"/>
  <c r="E381"/>
  <c r="G381" s="1"/>
  <c r="E380"/>
  <c r="G380" s="1"/>
  <c r="D106"/>
  <c r="D105"/>
  <c r="D103"/>
  <c r="D90"/>
  <c r="B433" i="8"/>
  <c r="B440" s="1"/>
  <c r="F436"/>
  <c r="F437"/>
  <c r="F438"/>
  <c r="B443"/>
  <c r="B450" s="1"/>
  <c r="F446"/>
  <c r="F447"/>
  <c r="F450" s="1"/>
  <c r="F31" s="1"/>
  <c r="F448"/>
  <c r="B453"/>
  <c r="B460" s="1"/>
  <c r="F456"/>
  <c r="F457"/>
  <c r="F458"/>
  <c r="B463"/>
  <c r="B470" s="1"/>
  <c r="F466"/>
  <c r="F467"/>
  <c r="F470" s="1"/>
  <c r="F33" s="1"/>
  <c r="F468"/>
  <c r="B473"/>
  <c r="B480" s="1"/>
  <c r="F476"/>
  <c r="F477"/>
  <c r="F478"/>
  <c r="B483"/>
  <c r="B490" s="1"/>
  <c r="F486"/>
  <c r="F487"/>
  <c r="F490" s="1"/>
  <c r="F35" s="1"/>
  <c r="F488"/>
  <c r="B493"/>
  <c r="B500" s="1"/>
  <c r="F496"/>
  <c r="F497"/>
  <c r="F498"/>
  <c r="B503"/>
  <c r="B510" s="1"/>
  <c r="F506"/>
  <c r="F507"/>
  <c r="F508"/>
  <c r="B513"/>
  <c r="B520" s="1"/>
  <c r="F516"/>
  <c r="F517"/>
  <c r="F518"/>
  <c r="B523"/>
  <c r="B530" s="1"/>
  <c r="F526"/>
  <c r="F527"/>
  <c r="F528"/>
  <c r="B533"/>
  <c r="B540" s="1"/>
  <c r="F536"/>
  <c r="F537"/>
  <c r="F538"/>
  <c r="B543"/>
  <c r="B550" s="1"/>
  <c r="F546"/>
  <c r="F547"/>
  <c r="F548"/>
  <c r="B553"/>
  <c r="B560" s="1"/>
  <c r="F556"/>
  <c r="F557"/>
  <c r="F560" s="1"/>
  <c r="F42" s="1"/>
  <c r="F558"/>
  <c r="B563"/>
  <c r="B570" s="1"/>
  <c r="F566"/>
  <c r="F567"/>
  <c r="F570" s="1"/>
  <c r="F43" s="1"/>
  <c r="F568"/>
  <c r="B573"/>
  <c r="B580" s="1"/>
  <c r="F576"/>
  <c r="F577"/>
  <c r="F580" s="1"/>
  <c r="F44" s="1"/>
  <c r="F578"/>
  <c r="B583"/>
  <c r="B590" s="1"/>
  <c r="F586"/>
  <c r="F587"/>
  <c r="F588"/>
  <c r="B593"/>
  <c r="B600" s="1"/>
  <c r="F596"/>
  <c r="F597"/>
  <c r="F598"/>
  <c r="B603"/>
  <c r="B610" s="1"/>
  <c r="F606"/>
  <c r="F607"/>
  <c r="F608"/>
  <c r="B613"/>
  <c r="B620" s="1"/>
  <c r="F616"/>
  <c r="F617"/>
  <c r="F618"/>
  <c r="B623"/>
  <c r="B630" s="1"/>
  <c r="F626"/>
  <c r="F627"/>
  <c r="F628"/>
  <c r="B633"/>
  <c r="B640" s="1"/>
  <c r="F636"/>
  <c r="F637"/>
  <c r="F640" s="1"/>
  <c r="F50" s="1"/>
  <c r="F638"/>
  <c r="B643"/>
  <c r="B650" s="1"/>
  <c r="F646"/>
  <c r="F647"/>
  <c r="F648"/>
  <c r="B653"/>
  <c r="B660" s="1"/>
  <c r="F656"/>
  <c r="F657"/>
  <c r="F658"/>
  <c r="B663"/>
  <c r="B670" s="1"/>
  <c r="F666"/>
  <c r="F667"/>
  <c r="F668"/>
  <c r="B673"/>
  <c r="B680" s="1"/>
  <c r="F676"/>
  <c r="F677"/>
  <c r="F678"/>
  <c r="B683"/>
  <c r="B690" s="1"/>
  <c r="F686"/>
  <c r="F687"/>
  <c r="F690" s="1"/>
  <c r="F55" s="1"/>
  <c r="F688"/>
  <c r="B693"/>
  <c r="B700" s="1"/>
  <c r="F696"/>
  <c r="F697"/>
  <c r="F700" s="1"/>
  <c r="F56" s="1"/>
  <c r="F698"/>
  <c r="B704"/>
  <c r="B708" s="1"/>
  <c r="F708"/>
  <c r="F57" s="1"/>
  <c r="B713"/>
  <c r="B730" s="1"/>
  <c r="F717"/>
  <c r="F718"/>
  <c r="F719"/>
  <c r="F720"/>
  <c r="D728" s="1"/>
  <c r="F728" s="1"/>
  <c r="F730" s="1"/>
  <c r="F59" s="1"/>
  <c r="F721"/>
  <c r="F722"/>
  <c r="F723"/>
  <c r="F724"/>
  <c r="F725"/>
  <c r="F726"/>
  <c r="B734"/>
  <c r="B745" s="1"/>
  <c r="F740"/>
  <c r="D743" s="1"/>
  <c r="F743" s="1"/>
  <c r="F741"/>
  <c r="B752"/>
  <c r="B766" s="1"/>
  <c r="F760"/>
  <c r="F761"/>
  <c r="F762"/>
  <c r="B771"/>
  <c r="B782" s="1"/>
  <c r="F774"/>
  <c r="F775"/>
  <c r="F776"/>
  <c r="F777"/>
  <c r="F778"/>
  <c r="B787"/>
  <c r="B795" s="1"/>
  <c r="F790"/>
  <c r="F791"/>
  <c r="B815"/>
  <c r="B827" s="1"/>
  <c r="F818"/>
  <c r="F819"/>
  <c r="F820"/>
  <c r="F821"/>
  <c r="F822"/>
  <c r="F823"/>
  <c r="F824"/>
  <c r="F825"/>
  <c r="B834"/>
  <c r="B842" s="1"/>
  <c r="F837"/>
  <c r="F838"/>
  <c r="F839"/>
  <c r="F840"/>
  <c r="B849"/>
  <c r="B862" s="1"/>
  <c r="F856"/>
  <c r="F857"/>
  <c r="F862" s="1"/>
  <c r="F67" s="1"/>
  <c r="F858"/>
  <c r="F860"/>
  <c r="B869"/>
  <c r="B877" s="1"/>
  <c r="F872"/>
  <c r="F877" s="1"/>
  <c r="F68" s="1"/>
  <c r="F873"/>
  <c r="B884"/>
  <c r="B891" s="1"/>
  <c r="F887"/>
  <c r="F888"/>
  <c r="F891" s="1"/>
  <c r="F69" s="1"/>
  <c r="F889"/>
  <c r="B898"/>
  <c r="B909" s="1"/>
  <c r="F903"/>
  <c r="F904"/>
  <c r="F905"/>
  <c r="F907"/>
  <c r="B916"/>
  <c r="B925" s="1"/>
  <c r="F919"/>
  <c r="F925" s="1"/>
  <c r="F71" s="1"/>
  <c r="F920"/>
  <c r="F921"/>
  <c r="F923"/>
  <c r="B932"/>
  <c r="B939" s="1"/>
  <c r="F935"/>
  <c r="F936"/>
  <c r="F937"/>
  <c r="B946"/>
  <c r="B961" s="1"/>
  <c r="F951"/>
  <c r="F952"/>
  <c r="F953"/>
  <c r="F956"/>
  <c r="F957"/>
  <c r="F959"/>
  <c r="B968"/>
  <c r="B978" s="1"/>
  <c r="F973"/>
  <c r="F978" s="1"/>
  <c r="F74" s="1"/>
  <c r="F974"/>
  <c r="F976"/>
  <c r="B985"/>
  <c r="B994" s="1"/>
  <c r="F988"/>
  <c r="F994" s="1"/>
  <c r="F75" s="1"/>
  <c r="F989"/>
  <c r="F990"/>
  <c r="F991"/>
  <c r="F992"/>
  <c r="B1001"/>
  <c r="B1015" s="1"/>
  <c r="F1007"/>
  <c r="F1008"/>
  <c r="F1009"/>
  <c r="F1015" s="1"/>
  <c r="F76" s="1"/>
  <c r="F1011"/>
  <c r="B1022"/>
  <c r="B1039" s="1"/>
  <c r="F1027"/>
  <c r="F1028"/>
  <c r="F1029"/>
  <c r="F1033"/>
  <c r="F1037"/>
  <c r="B1046"/>
  <c r="B1051" s="1"/>
  <c r="F1049"/>
  <c r="F1051"/>
  <c r="F78" s="1"/>
  <c r="B1058"/>
  <c r="B1064" s="1"/>
  <c r="F1062"/>
  <c r="F1064" s="1"/>
  <c r="F79" s="1"/>
  <c r="B1071"/>
  <c r="B1079" s="1"/>
  <c r="F1074"/>
  <c r="F1075"/>
  <c r="F1077"/>
  <c r="B1086"/>
  <c r="B1093" s="1"/>
  <c r="F1089"/>
  <c r="F1090"/>
  <c r="F1091"/>
  <c r="F1093" s="1"/>
  <c r="F81" s="1"/>
  <c r="B1100"/>
  <c r="B1119" s="1"/>
  <c r="F1104"/>
  <c r="F1105"/>
  <c r="F1106"/>
  <c r="F1108"/>
  <c r="F1113"/>
  <c r="F1114"/>
  <c r="F1115"/>
  <c r="F1117"/>
  <c r="B1126"/>
  <c r="B1138" s="1"/>
  <c r="F1129"/>
  <c r="F1130"/>
  <c r="F1138" s="1"/>
  <c r="F83" s="1"/>
  <c r="F1131"/>
  <c r="F1132"/>
  <c r="B1134"/>
  <c r="F1136"/>
  <c r="B1145"/>
  <c r="B1154" s="1"/>
  <c r="F1148"/>
  <c r="F1149"/>
  <c r="F1150"/>
  <c r="F1152"/>
  <c r="B1161"/>
  <c r="B1168" s="1"/>
  <c r="F1164"/>
  <c r="F1166"/>
  <c r="B1175"/>
  <c r="B755" s="1"/>
  <c r="F1178"/>
  <c r="F1180"/>
  <c r="F1181"/>
  <c r="F1182"/>
  <c r="F1186"/>
  <c r="F1187"/>
  <c r="F1188"/>
  <c r="F1189"/>
  <c r="B1198"/>
  <c r="B738" s="1"/>
  <c r="F1206"/>
  <c r="F1207"/>
  <c r="F1208"/>
  <c r="F1210"/>
  <c r="B1219"/>
  <c r="B757" s="1"/>
  <c r="F1225"/>
  <c r="F1226"/>
  <c r="F1227"/>
  <c r="F1229"/>
  <c r="B1240"/>
  <c r="B1249" s="1"/>
  <c r="F1243"/>
  <c r="F1244"/>
  <c r="F1245"/>
  <c r="F1247"/>
  <c r="B1256"/>
  <c r="B1267" s="1"/>
  <c r="F1259"/>
  <c r="F1260"/>
  <c r="F1261"/>
  <c r="F1263"/>
  <c r="B1274"/>
  <c r="B1283" s="1"/>
  <c r="F1277"/>
  <c r="F1278"/>
  <c r="F1283" s="1"/>
  <c r="F91" s="1"/>
  <c r="F1279"/>
  <c r="F1281"/>
  <c r="B1290"/>
  <c r="B1299" s="1"/>
  <c r="F1293"/>
  <c r="F1299" s="1"/>
  <c r="F92" s="1"/>
  <c r="F1294"/>
  <c r="F1295"/>
  <c r="F1297"/>
  <c r="B1306"/>
  <c r="B1313" s="1"/>
  <c r="F1309"/>
  <c r="F1310"/>
  <c r="F1311"/>
  <c r="B1320"/>
  <c r="B1327" s="1"/>
  <c r="F1323"/>
  <c r="F1324"/>
  <c r="F1325"/>
  <c r="B1334"/>
  <c r="F1337"/>
  <c r="F1338"/>
  <c r="F1339"/>
  <c r="B1341"/>
  <c r="B1348"/>
  <c r="B1359" s="1"/>
  <c r="F1351"/>
  <c r="F1352"/>
  <c r="F1353"/>
  <c r="F1355"/>
  <c r="F1357"/>
  <c r="B1366"/>
  <c r="B1377" s="1"/>
  <c r="F1369"/>
  <c r="F1377" s="1"/>
  <c r="F97" s="1"/>
  <c r="F1370"/>
  <c r="F1371"/>
  <c r="F1373"/>
  <c r="F1375"/>
  <c r="B1384"/>
  <c r="B1400" s="1"/>
  <c r="F1393"/>
  <c r="F1394"/>
  <c r="F1395"/>
  <c r="F1400" s="1"/>
  <c r="F98" s="1"/>
  <c r="F1397"/>
  <c r="B1407"/>
  <c r="B1417" s="1"/>
  <c r="F1411"/>
  <c r="F1412"/>
  <c r="F1413"/>
  <c r="B1424"/>
  <c r="B1432" s="1"/>
  <c r="F1428"/>
  <c r="F1429"/>
  <c r="F1432" s="1"/>
  <c r="F100" s="1"/>
  <c r="F1430"/>
  <c r="B1439"/>
  <c r="B1447" s="1"/>
  <c r="F1443"/>
  <c r="F1447" s="1"/>
  <c r="F101" s="1"/>
  <c r="F1444"/>
  <c r="F1445"/>
  <c r="B1454"/>
  <c r="B1462" s="1"/>
  <c r="F1458"/>
  <c r="F1462" s="1"/>
  <c r="F102" s="1"/>
  <c r="F1459"/>
  <c r="F1460"/>
  <c r="B1469"/>
  <c r="F1473"/>
  <c r="F1474"/>
  <c r="F1475"/>
  <c r="B1477"/>
  <c r="B1484"/>
  <c r="B1493" s="1"/>
  <c r="F1489"/>
  <c r="F1490"/>
  <c r="F1491"/>
  <c r="B1500"/>
  <c r="B1509" s="1"/>
  <c r="F1505"/>
  <c r="F1506"/>
  <c r="F1507"/>
  <c r="B1516"/>
  <c r="B1535" s="1"/>
  <c r="F1521"/>
  <c r="F1522"/>
  <c r="F1523"/>
  <c r="B1542"/>
  <c r="B1550" s="1"/>
  <c r="F1548"/>
  <c r="F1550" s="1"/>
  <c r="F107" s="1"/>
  <c r="K1687"/>
  <c r="K1688"/>
  <c r="K1689"/>
  <c r="K1690"/>
  <c r="K1691"/>
  <c r="K1692"/>
  <c r="K1693"/>
  <c r="K1694"/>
  <c r="K1695"/>
  <c r="K1696"/>
  <c r="K1697"/>
  <c r="K1698"/>
  <c r="K1699"/>
  <c r="K1700"/>
  <c r="K1707"/>
  <c r="K1705" s="1"/>
  <c r="K1708"/>
  <c r="D130" i="5"/>
  <c r="D152" s="1"/>
  <c r="D159"/>
  <c r="D171" s="1"/>
  <c r="D178"/>
  <c r="D186" s="1"/>
  <c r="D223"/>
  <c r="D240" s="1"/>
  <c r="F550" i="8"/>
  <c r="F41" s="1"/>
  <c r="F827"/>
  <c r="F65" s="1"/>
  <c r="F1039"/>
  <c r="F77" s="1"/>
  <c r="D764"/>
  <c r="F764" s="1"/>
  <c r="F766" s="1"/>
  <c r="F61" s="1"/>
  <c r="F1341"/>
  <c r="F95" s="1"/>
  <c r="D780"/>
  <c r="F780" s="1"/>
  <c r="F782" s="1"/>
  <c r="F62" s="1"/>
  <c r="F460"/>
  <c r="F32" s="1"/>
  <c r="F1359"/>
  <c r="F96" s="1"/>
  <c r="F1313"/>
  <c r="F93" s="1"/>
  <c r="F1154"/>
  <c r="F84" s="1"/>
  <c r="F961"/>
  <c r="F73" s="1"/>
  <c r="F939"/>
  <c r="F72" s="1"/>
  <c r="F842"/>
  <c r="F66" s="1"/>
  <c r="F530"/>
  <c r="F39" s="1"/>
  <c r="F1564"/>
  <c r="F124" s="1"/>
  <c r="F1535"/>
  <c r="F106" s="1"/>
  <c r="F133"/>
  <c r="F1493"/>
  <c r="F104" s="1"/>
  <c r="F1417"/>
  <c r="F99" s="1"/>
  <c r="F1576"/>
  <c r="F125" s="1"/>
  <c r="F1607"/>
  <c r="F127" s="1"/>
  <c r="F1509"/>
  <c r="F105" s="1"/>
  <c r="F630"/>
  <c r="F49" s="1"/>
  <c r="F1789" l="1"/>
  <c r="F141" s="1"/>
  <c r="F1761"/>
  <c r="F139" s="1"/>
  <c r="F1717"/>
  <c r="F136" s="1"/>
  <c r="F1960"/>
  <c r="F155" s="1"/>
  <c r="F2073"/>
  <c r="F164" s="1"/>
  <c r="F1805"/>
  <c r="F142" s="1"/>
  <c r="F2003"/>
  <c r="F158" s="1"/>
  <c r="F1848"/>
  <c r="F147" s="1"/>
  <c r="F1833"/>
  <c r="F146" s="1"/>
  <c r="F1233"/>
  <c r="F88" s="1"/>
  <c r="F745"/>
  <c r="F60" s="1"/>
  <c r="F620"/>
  <c r="F48" s="1"/>
  <c r="F500"/>
  <c r="F36" s="1"/>
  <c r="F1689"/>
  <c r="F134" s="1"/>
  <c r="F2030"/>
  <c r="F160" s="1"/>
  <c r="F2016"/>
  <c r="F159" s="1"/>
  <c r="F1988"/>
  <c r="F157" s="1"/>
  <c r="F1904"/>
  <c r="F151" s="1"/>
  <c r="F2100"/>
  <c r="F167" s="1"/>
  <c r="F1267"/>
  <c r="F90" s="1"/>
  <c r="F1191"/>
  <c r="F86" s="1"/>
  <c r="F1119"/>
  <c r="F82" s="1"/>
  <c r="F1079"/>
  <c r="F80" s="1"/>
  <c r="F660"/>
  <c r="F52" s="1"/>
  <c r="F650"/>
  <c r="F51" s="1"/>
  <c r="F540"/>
  <c r="F40" s="1"/>
  <c r="F520"/>
  <c r="F38" s="1"/>
  <c r="F510"/>
  <c r="F37" s="1"/>
  <c r="F1931"/>
  <c r="F153" s="1"/>
  <c r="F1877"/>
  <c r="F149" s="1"/>
  <c r="F1863"/>
  <c r="F148" s="1"/>
  <c r="F1327"/>
  <c r="F94" s="1"/>
  <c r="F1249"/>
  <c r="F89" s="1"/>
  <c r="F610"/>
  <c r="F47" s="1"/>
  <c r="F590"/>
  <c r="F45" s="1"/>
  <c r="F480"/>
  <c r="F34" s="1"/>
  <c r="F1746"/>
  <c r="F138" s="1"/>
  <c r="F1975"/>
  <c r="F156" s="1"/>
  <c r="F440"/>
  <c r="F30" s="1"/>
  <c r="F1661"/>
  <c r="F132" s="1"/>
  <c r="F2058"/>
  <c r="F163" s="1"/>
  <c r="F2042"/>
  <c r="F162" s="1"/>
  <c r="F1477"/>
  <c r="F103" s="1"/>
  <c r="F1212"/>
  <c r="F87" s="1"/>
  <c r="F1168"/>
  <c r="F85" s="1"/>
  <c r="F909"/>
  <c r="F70" s="1"/>
  <c r="F680"/>
  <c r="F54" s="1"/>
  <c r="F670"/>
  <c r="F53" s="1"/>
  <c r="F204" i="14"/>
  <c r="F203"/>
  <c r="F206"/>
  <c r="F205"/>
  <c r="B1233" i="8"/>
  <c r="D205" i="5"/>
  <c r="K10" i="14"/>
  <c r="K18" s="1"/>
  <c r="B971" i="8"/>
  <c r="B901"/>
  <c r="B949"/>
  <c r="B1222"/>
  <c r="G590" i="14"/>
  <c r="E590" s="1"/>
  <c r="D152" s="1"/>
  <c r="G384"/>
  <c r="E384" s="1"/>
  <c r="D107"/>
  <c r="D1259"/>
  <c r="D1262" s="1"/>
  <c r="E1262" s="1"/>
  <c r="X108"/>
  <c r="X116" s="1"/>
  <c r="X119" s="1"/>
  <c r="E32"/>
  <c r="E873"/>
  <c r="D175" s="1"/>
  <c r="E33"/>
  <c r="P108"/>
  <c r="P116" s="1"/>
  <c r="P119" s="1"/>
  <c r="J54"/>
  <c r="I54" s="1"/>
  <c r="D1283"/>
  <c r="D1296" s="1"/>
  <c r="E29"/>
  <c r="E28"/>
  <c r="E36"/>
  <c r="E23"/>
  <c r="E24" s="1"/>
  <c r="E30"/>
  <c r="E27"/>
  <c r="E35"/>
  <c r="E31"/>
  <c r="E26"/>
  <c r="E37"/>
  <c r="E25"/>
  <c r="F189"/>
  <c r="F159"/>
  <c r="F183"/>
  <c r="F184"/>
  <c r="D110"/>
  <c r="J170"/>
  <c r="J171"/>
  <c r="D95"/>
  <c r="F154" s="1"/>
  <c r="D98"/>
  <c r="D111"/>
  <c r="D114"/>
  <c r="D101"/>
  <c r="D113"/>
  <c r="D97"/>
  <c r="D102"/>
  <c r="D115"/>
  <c r="D109"/>
  <c r="D99"/>
  <c r="B737" i="8"/>
  <c r="B1004"/>
  <c r="B1201"/>
  <c r="B1191"/>
  <c r="B853"/>
  <c r="D118" i="14"/>
  <c r="P121"/>
  <c r="G1260"/>
  <c r="D117"/>
  <c r="H142"/>
  <c r="G1044"/>
  <c r="E1044" s="1"/>
  <c r="D194" s="1"/>
  <c r="G1093"/>
  <c r="E1093" s="1"/>
  <c r="G555"/>
  <c r="E555" s="1"/>
  <c r="D149" s="1"/>
  <c r="G792"/>
  <c r="E792" s="1"/>
  <c r="G1059"/>
  <c r="E1059" s="1"/>
  <c r="D195" s="1"/>
  <c r="D163"/>
  <c r="G602"/>
  <c r="E602" s="1"/>
  <c r="D153" s="1"/>
  <c r="G402"/>
  <c r="E402" s="1"/>
  <c r="D138" s="1"/>
  <c r="G425"/>
  <c r="E425" s="1"/>
  <c r="D140" s="1"/>
  <c r="G465"/>
  <c r="E465" s="1"/>
  <c r="D142" s="1"/>
  <c r="G546"/>
  <c r="E546" s="1"/>
  <c r="D148" s="1"/>
  <c r="G679"/>
  <c r="E679" s="1"/>
  <c r="D158" s="1"/>
  <c r="G823"/>
  <c r="E823" s="1"/>
  <c r="D168" s="1"/>
  <c r="E168" s="1"/>
  <c r="G849"/>
  <c r="E849" s="1"/>
  <c r="D173" s="1"/>
  <c r="G944"/>
  <c r="E944" s="1"/>
  <c r="D180" s="1"/>
  <c r="G966"/>
  <c r="E966" s="1"/>
  <c r="D181" s="1"/>
  <c r="G1007"/>
  <c r="E1007" s="1"/>
  <c r="D188" s="1"/>
  <c r="G1105"/>
  <c r="E1105" s="1"/>
  <c r="D198" s="1"/>
  <c r="K11"/>
  <c r="K12"/>
  <c r="B1212" i="8"/>
  <c r="G1016" i="14"/>
  <c r="E1016" s="1"/>
  <c r="D189" s="1"/>
  <c r="E189" s="1"/>
  <c r="G767"/>
  <c r="E767" s="1"/>
  <c r="D162" s="1"/>
  <c r="G799"/>
  <c r="E799" s="1"/>
  <c r="D166" s="1"/>
  <c r="G815"/>
  <c r="E815" s="1"/>
  <c r="G481"/>
  <c r="E481" s="1"/>
  <c r="D143" s="1"/>
  <c r="G509"/>
  <c r="E509" s="1"/>
  <c r="D145" s="1"/>
  <c r="D164"/>
  <c r="G410"/>
  <c r="E410" s="1"/>
  <c r="G447"/>
  <c r="E447" s="1"/>
  <c r="D141" s="1"/>
  <c r="G494"/>
  <c r="E494" s="1"/>
  <c r="G523"/>
  <c r="E523" s="1"/>
  <c r="G562"/>
  <c r="E562" s="1"/>
  <c r="D150" s="1"/>
  <c r="G575"/>
  <c r="E575" s="1"/>
  <c r="D151" s="1"/>
  <c r="G622"/>
  <c r="E622" s="1"/>
  <c r="D154" s="1"/>
  <c r="G667"/>
  <c r="E667" s="1"/>
  <c r="D157" s="1"/>
  <c r="G696"/>
  <c r="E696" s="1"/>
  <c r="G732"/>
  <c r="E732" s="1"/>
  <c r="D161" s="1"/>
  <c r="G836"/>
  <c r="E836" s="1"/>
  <c r="D172" s="1"/>
  <c r="G866"/>
  <c r="E866" s="1"/>
  <c r="D174" s="1"/>
  <c r="G897"/>
  <c r="E897" s="1"/>
  <c r="D176" s="1"/>
  <c r="G905"/>
  <c r="E905" s="1"/>
  <c r="D178" s="1"/>
  <c r="G927"/>
  <c r="E927" s="1"/>
  <c r="D179" s="1"/>
  <c r="G978"/>
  <c r="E978" s="1"/>
  <c r="D183" s="1"/>
  <c r="E183" s="1"/>
  <c r="G1025"/>
  <c r="E1025" s="1"/>
  <c r="D190" s="1"/>
  <c r="G1072"/>
  <c r="E1072" s="1"/>
  <c r="D196" s="1"/>
  <c r="F200"/>
  <c r="F199"/>
  <c r="B1202" i="8"/>
  <c r="G639" i="14"/>
  <c r="E639" s="1"/>
  <c r="D155" s="1"/>
  <c r="D793" i="8"/>
  <c r="F793" s="1"/>
  <c r="F795" s="1"/>
  <c r="F63" s="1"/>
  <c r="F600"/>
  <c r="F46" s="1"/>
  <c r="S108" i="14"/>
  <c r="P117" s="1"/>
  <c r="P123" s="1"/>
  <c r="AA108"/>
  <c r="X117" s="1"/>
  <c r="X128" s="1"/>
  <c r="F168"/>
  <c r="F152"/>
  <c r="G656"/>
  <c r="E656" s="1"/>
  <c r="D156" s="1"/>
  <c r="G722"/>
  <c r="E722" s="1"/>
  <c r="D160" s="1"/>
  <c r="P120"/>
  <c r="X121"/>
  <c r="G141"/>
  <c r="B1689" i="8"/>
  <c r="E1254" i="14" l="1"/>
  <c r="D159"/>
  <c r="H24"/>
  <c r="E141" s="1"/>
  <c r="E1258"/>
  <c r="E1256"/>
  <c r="E39"/>
  <c r="E1260"/>
  <c r="E1259"/>
  <c r="E1261"/>
  <c r="E1257"/>
  <c r="E1255"/>
  <c r="E38"/>
  <c r="G24"/>
  <c r="H26"/>
  <c r="H37"/>
  <c r="H36"/>
  <c r="H34"/>
  <c r="H25"/>
  <c r="H33"/>
  <c r="H35"/>
  <c r="H32"/>
  <c r="P122"/>
  <c r="H27"/>
  <c r="H31"/>
  <c r="H29"/>
  <c r="H30"/>
  <c r="H28"/>
  <c r="X122"/>
  <c r="D169"/>
  <c r="F155"/>
  <c r="E78"/>
  <c r="M168" s="1"/>
  <c r="F139"/>
  <c r="F153"/>
  <c r="F201"/>
  <c r="F150"/>
  <c r="F166"/>
  <c r="F151"/>
  <c r="F170"/>
  <c r="F148"/>
  <c r="F164"/>
  <c r="F167"/>
  <c r="F165"/>
  <c r="F158"/>
  <c r="F149"/>
  <c r="F146"/>
  <c r="F147"/>
  <c r="F160"/>
  <c r="F163"/>
  <c r="F143"/>
  <c r="F161"/>
  <c r="F140"/>
  <c r="F156"/>
  <c r="F137"/>
  <c r="F162"/>
  <c r="F144"/>
  <c r="F145"/>
  <c r="F142"/>
  <c r="F141"/>
  <c r="F157"/>
  <c r="F138"/>
  <c r="F202"/>
  <c r="E160"/>
  <c r="D177"/>
  <c r="D171" s="1"/>
  <c r="E180"/>
  <c r="E192"/>
  <c r="E150"/>
  <c r="E175"/>
  <c r="E188"/>
  <c r="E159" l="1"/>
  <c r="H687" s="1"/>
  <c r="H710"/>
  <c r="H702"/>
  <c r="H706"/>
  <c r="H703"/>
  <c r="H705"/>
  <c r="H704"/>
  <c r="H707"/>
  <c r="H708"/>
  <c r="H709"/>
  <c r="H691"/>
  <c r="H688"/>
  <c r="H686"/>
  <c r="H689"/>
  <c r="H690"/>
  <c r="H685"/>
  <c r="E140"/>
  <c r="M159"/>
  <c r="E181"/>
  <c r="E144"/>
  <c r="E186"/>
  <c r="E178"/>
  <c r="E197"/>
  <c r="E164"/>
  <c r="E171"/>
  <c r="E172"/>
  <c r="E194"/>
  <c r="E148"/>
  <c r="H540" s="1"/>
  <c r="E190"/>
  <c r="E166"/>
  <c r="M166" s="1"/>
  <c r="E155"/>
  <c r="E158"/>
  <c r="E161"/>
  <c r="M161" s="1"/>
  <c r="E157"/>
  <c r="E165"/>
  <c r="E167"/>
  <c r="E149"/>
  <c r="E162"/>
  <c r="M162" s="1"/>
  <c r="E137"/>
  <c r="E151"/>
  <c r="E195"/>
  <c r="E152"/>
  <c r="E139"/>
  <c r="M139" s="1"/>
  <c r="E154"/>
  <c r="E176"/>
  <c r="E156"/>
  <c r="E174"/>
  <c r="E142"/>
  <c r="E196"/>
  <c r="E191"/>
  <c r="E153"/>
  <c r="E163"/>
  <c r="E146"/>
  <c r="H514" s="1"/>
  <c r="E138"/>
  <c r="E187"/>
  <c r="E145"/>
  <c r="M145" s="1"/>
  <c r="E143"/>
  <c r="M143" s="1"/>
  <c r="E179"/>
  <c r="E182"/>
  <c r="E198"/>
  <c r="E199"/>
  <c r="E185"/>
  <c r="E173"/>
  <c r="E200"/>
  <c r="M160"/>
  <c r="E177"/>
  <c r="M141"/>
  <c r="M150"/>
  <c r="H149" i="5" l="1"/>
  <c r="H148"/>
  <c r="H146"/>
  <c r="H150"/>
  <c r="H145"/>
  <c r="H142"/>
  <c r="H144"/>
  <c r="H376" i="14"/>
  <c r="H139" i="5"/>
  <c r="H140"/>
  <c r="H647" i="14"/>
  <c r="H648"/>
  <c r="H649"/>
  <c r="H645"/>
  <c r="H646"/>
  <c r="H650"/>
  <c r="M154"/>
  <c r="H611"/>
  <c r="H607"/>
  <c r="H615"/>
  <c r="H614"/>
  <c r="H610"/>
  <c r="H609"/>
  <c r="H608"/>
  <c r="H612"/>
  <c r="H613"/>
  <c r="M152"/>
  <c r="H581"/>
  <c r="H580"/>
  <c r="H582"/>
  <c r="H515"/>
  <c r="H516"/>
  <c r="H488"/>
  <c r="H487"/>
  <c r="H486"/>
  <c r="M140"/>
  <c r="H377"/>
  <c r="H378"/>
  <c r="M144"/>
  <c r="M146"/>
  <c r="E169"/>
  <c r="M142"/>
  <c r="M164"/>
  <c r="M155"/>
  <c r="M158"/>
  <c r="M153"/>
  <c r="M148"/>
  <c r="M165"/>
  <c r="M163"/>
  <c r="E193"/>
  <c r="M157"/>
  <c r="M167"/>
  <c r="M151"/>
  <c r="M149"/>
  <c r="M137"/>
  <c r="M138"/>
  <c r="M156"/>
  <c r="E96" l="1"/>
  <c r="D96" s="1"/>
  <c r="S9" s="1"/>
  <c r="E108"/>
  <c r="D108" s="1"/>
  <c r="E112"/>
  <c r="D112" s="1"/>
  <c r="S13" s="1"/>
  <c r="E124"/>
  <c r="D124" s="1"/>
  <c r="D104"/>
  <c r="S11" s="1"/>
  <c r="E116"/>
  <c r="D116" s="1"/>
  <c r="S14" s="1"/>
  <c r="E100"/>
  <c r="D100" s="1"/>
  <c r="S10" s="1"/>
  <c r="F181" l="1"/>
  <c r="F193"/>
  <c r="F182"/>
  <c r="F78"/>
  <c r="F175"/>
  <c r="F174"/>
  <c r="F191"/>
  <c r="F171"/>
  <c r="F188"/>
  <c r="F172"/>
  <c r="F197"/>
  <c r="F176"/>
  <c r="F187"/>
  <c r="F186"/>
  <c r="F185"/>
  <c r="F180"/>
  <c r="F195"/>
  <c r="F192"/>
  <c r="F173"/>
  <c r="F179"/>
  <c r="F196"/>
  <c r="F178"/>
  <c r="F190"/>
  <c r="F198"/>
  <c r="F194"/>
  <c r="S12"/>
  <c r="F177"/>
  <c r="H182" i="5" l="1"/>
  <c r="H181"/>
  <c r="H201"/>
  <c r="H858" i="14"/>
  <c r="M206"/>
  <c r="M203"/>
  <c r="M204"/>
  <c r="M205"/>
  <c r="H854"/>
  <c r="H856"/>
  <c r="H857"/>
  <c r="H855"/>
  <c r="H843"/>
  <c r="H842"/>
  <c r="H841"/>
  <c r="H829"/>
  <c r="H830"/>
  <c r="H831"/>
  <c r="F169"/>
  <c r="M183"/>
  <c r="M177"/>
  <c r="M195"/>
  <c r="M200"/>
  <c r="M199"/>
  <c r="M174"/>
  <c r="M185"/>
  <c r="M181"/>
  <c r="M172"/>
  <c r="M182"/>
  <c r="M191"/>
  <c r="M173"/>
  <c r="M175"/>
  <c r="M198"/>
  <c r="M186"/>
  <c r="M189"/>
  <c r="M180"/>
  <c r="M179"/>
  <c r="M188"/>
  <c r="M178"/>
  <c r="M202"/>
  <c r="M197"/>
  <c r="M184"/>
  <c r="M187"/>
  <c r="M176"/>
  <c r="M194"/>
  <c r="M196"/>
  <c r="M190"/>
  <c r="M192"/>
  <c r="M171"/>
  <c r="F79"/>
  <c r="M193"/>
  <c r="A135" i="5" l="1"/>
  <c r="A136" l="1"/>
  <c r="A137" l="1"/>
  <c r="A138" s="1"/>
  <c r="A139" l="1"/>
  <c r="A140" s="1"/>
  <c r="A142" l="1"/>
  <c r="A144" s="1"/>
  <c r="A145" s="1"/>
  <c r="A146" s="1"/>
  <c r="A149" l="1"/>
  <c r="A148"/>
  <c r="A150" s="1"/>
  <c r="A162" l="1"/>
  <c r="A163" s="1"/>
  <c r="A164" s="1"/>
  <c r="A165" l="1"/>
  <c r="A167" s="1"/>
  <c r="A168" s="1"/>
  <c r="A169" l="1"/>
  <c r="A181" l="1"/>
  <c r="A182" s="1"/>
  <c r="A184" l="1"/>
  <c r="A198" l="1"/>
  <c r="A199" s="1"/>
  <c r="A200" l="1"/>
  <c r="A201" s="1"/>
  <c r="A203" s="1"/>
  <c r="G535" i="14" l="1"/>
  <c r="E535" s="1"/>
  <c r="D147" s="1"/>
  <c r="E147" l="1"/>
  <c r="D170"/>
  <c r="E170" s="1"/>
  <c r="H164" i="5" l="1"/>
  <c r="H165"/>
  <c r="H167"/>
  <c r="F168" s="1"/>
  <c r="H69" i="14"/>
  <c r="H67"/>
  <c r="H62"/>
  <c r="H68"/>
  <c r="H64"/>
  <c r="H66"/>
  <c r="H70"/>
  <c r="H65"/>
  <c r="H71"/>
  <c r="H63"/>
  <c r="H879"/>
  <c r="H772"/>
  <c r="H738"/>
  <c r="H739"/>
  <c r="H672"/>
  <c r="H684"/>
  <c r="H662"/>
  <c r="H663"/>
  <c r="H529"/>
  <c r="M147"/>
  <c r="Q123"/>
  <c r="F119" s="1"/>
  <c r="F338"/>
  <c r="G338" s="1"/>
  <c r="F336"/>
  <c r="G336" s="1"/>
  <c r="M170"/>
  <c r="Q122"/>
  <c r="E119" s="1"/>
  <c r="E79"/>
  <c r="E201"/>
  <c r="Y128"/>
  <c r="F335"/>
  <c r="G335" s="1"/>
  <c r="F337"/>
  <c r="G337" s="1"/>
  <c r="Y122"/>
  <c r="H168" i="5" l="1"/>
  <c r="E60" i="14"/>
  <c r="M201"/>
  <c r="D119"/>
  <c r="H137" i="5" l="1"/>
  <c r="H162"/>
  <c r="H136"/>
  <c r="F184"/>
  <c r="H199"/>
  <c r="H135"/>
  <c r="H200"/>
  <c r="H198"/>
  <c r="H163"/>
  <c r="H138"/>
  <c r="H169"/>
  <c r="D122" i="14"/>
  <c r="D121"/>
  <c r="D120"/>
  <c r="F203" i="5" l="1"/>
  <c r="H184"/>
  <c r="H186" s="1"/>
  <c r="H30" s="1"/>
  <c r="H171"/>
  <c r="H29" s="1"/>
  <c r="H152"/>
  <c r="H28" s="1"/>
  <c r="H203" l="1"/>
  <c r="H205" s="1"/>
  <c r="H31" s="1"/>
  <c r="F214" a="1"/>
  <c r="F214" s="1"/>
  <c r="H214" s="1"/>
  <c r="H216" s="1"/>
  <c r="H32" s="1"/>
  <c r="F228" l="1"/>
  <c r="H228" s="1"/>
  <c r="F229"/>
  <c r="H229" s="1"/>
  <c r="F236"/>
  <c r="H236" s="1"/>
  <c r="F237" s="1"/>
  <c r="H237" s="1"/>
  <c r="H240" l="1"/>
  <c r="H34" s="1"/>
  <c r="H37" s="1"/>
  <c r="H39" l="1"/>
  <c r="H41" s="1"/>
  <c r="C1" i="14" s="1"/>
  <c r="H2" i="5" l="1"/>
  <c r="A214"/>
  <c r="A228" l="1"/>
  <c r="A229" l="1"/>
  <c r="A236" s="1"/>
  <c r="A237" s="1"/>
  <c r="A238" s="1"/>
</calcChain>
</file>

<file path=xl/sharedStrings.xml><?xml version="1.0" encoding="utf-8"?>
<sst xmlns="http://schemas.openxmlformats.org/spreadsheetml/2006/main" count="2528" uniqueCount="1337">
  <si>
    <t>m2</t>
  </si>
  <si>
    <t>m</t>
  </si>
  <si>
    <t>ks</t>
  </si>
  <si>
    <t>plocha</t>
  </si>
  <si>
    <t>obvod</t>
  </si>
  <si>
    <t>čtvrtek</t>
  </si>
  <si>
    <t>středa</t>
  </si>
  <si>
    <t>úterý</t>
  </si>
  <si>
    <t>pondělí</t>
  </si>
  <si>
    <t>neděle</t>
  </si>
  <si>
    <t>sobota</t>
  </si>
  <si>
    <t>pátek</t>
  </si>
  <si>
    <t>Nátěry</t>
  </si>
  <si>
    <t>Izolace podlah</t>
  </si>
  <si>
    <t>Dokončovací práce</t>
  </si>
  <si>
    <t>Piloty</t>
  </si>
  <si>
    <t>REKAPITULACE</t>
  </si>
  <si>
    <t>Zemní práce</t>
  </si>
  <si>
    <t>Povlakové krytiny</t>
  </si>
  <si>
    <t>Konstrukce tesařské</t>
  </si>
  <si>
    <t>Konstrukce klempířské</t>
  </si>
  <si>
    <t>Lešení fasádní</t>
  </si>
  <si>
    <t>Okna</t>
  </si>
  <si>
    <t>Konstrukce truhlářské opláštění</t>
  </si>
  <si>
    <t>Konstrukce zámečnické opláštění</t>
  </si>
  <si>
    <t>Konstrukce svislé dělící</t>
  </si>
  <si>
    <t>Dveře</t>
  </si>
  <si>
    <t>Omítky a malby</t>
  </si>
  <si>
    <t>Izolace tepelné stěn a stropů</t>
  </si>
  <si>
    <t>Podhledy</t>
  </si>
  <si>
    <t>Keramické obklady</t>
  </si>
  <si>
    <t>Konstrukce podlah</t>
  </si>
  <si>
    <t>Zařizovací předměty sanity</t>
  </si>
  <si>
    <t>Podlahy keramické</t>
  </si>
  <si>
    <t>Podlahy kamenné</t>
  </si>
  <si>
    <t>Podlahy dřevěné</t>
  </si>
  <si>
    <t>Podlahy povlakové</t>
  </si>
  <si>
    <t>Podlahy syntetické</t>
  </si>
  <si>
    <t>Přesný popis pro ocenění, objednávání a dodání - viz tabulky, TZ, projekt.</t>
  </si>
  <si>
    <t>Montáž oken</t>
  </si>
  <si>
    <t>Obvodové zdivo</t>
  </si>
  <si>
    <t>mj</t>
  </si>
  <si>
    <t>t</t>
  </si>
  <si>
    <t>kpl</t>
  </si>
  <si>
    <t>Přesun hmot</t>
  </si>
  <si>
    <t>%</t>
  </si>
  <si>
    <t>Kompletace stavby</t>
  </si>
  <si>
    <t>Dokumentace</t>
  </si>
  <si>
    <t>Schvalovací dokumentace</t>
  </si>
  <si>
    <t>Vzorky</t>
  </si>
  <si>
    <t>Dílenská dokumentace</t>
  </si>
  <si>
    <t>Koordinace a kompletace stavební části</t>
  </si>
  <si>
    <t>Koordinace a kompletace technického zařízení</t>
  </si>
  <si>
    <t>Stavební přípomoce dodávkám technického zařízení</t>
  </si>
  <si>
    <t>Úklid stavby</t>
  </si>
  <si>
    <t>Dokumentace skutečného stavu</t>
  </si>
  <si>
    <t>POZNÁMKA: Dokumentace stanovuje principy konstručního řešení a vzhled výrobků. Proto nelze dokumentaci chápat jako dílenskou, skutečné rozměry nutno před výrobou zaměřit dle skutečnosti na stavbě. Součástí dodávky je zpracování schvalovací dokumentace, včetně předložení vzorků generálnímu projektantovi a také zpracování dílenské dokumentace vytvořené na základě zaměření přesných rozmerů na stavbě. Všechny boční hrany dřevěných kcí provedeny ve stejném materiálu a odstínu jako přiléhající část výrobku. VE VÝPISE NENÍ POČÍTÁNO S REZERVOU NA PROŘEZY!</t>
  </si>
  <si>
    <t>Přesun hmot - okna dřevěná</t>
  </si>
  <si>
    <t>Kanalizace</t>
  </si>
  <si>
    <t>Vodovod</t>
  </si>
  <si>
    <t>V průběhu stavby může vlivem skutečného provedení tras kanalizačního potrubí a vzájemné koordinace  stavby a ostatních profesí dojít ke změně množství materiálu a tvarovek.</t>
  </si>
  <si>
    <t>Zařizovací předměty</t>
  </si>
  <si>
    <t>Kanalizační přípojka</t>
  </si>
  <si>
    <t>Vodovodní přípojka</t>
  </si>
  <si>
    <t>Vytápění</t>
  </si>
  <si>
    <t>Otopná tělesa</t>
  </si>
  <si>
    <t>Vzduchotechnika</t>
  </si>
  <si>
    <t>Svítidla</t>
  </si>
  <si>
    <t>Rozvody silnoproudé</t>
  </si>
  <si>
    <t>Rozváděče</t>
  </si>
  <si>
    <t>Uchazeč si je vědom,že kontrola výměr je součástí zadávacích podmínek.Všechny el.zařízení,systémy a kontrukce budou ocenňovány a dodávány plně funkční,tj.včetně všech komponentů,upevňovacích prvků,podpor,tvarových prvků,prostupů apod. Ceny obsahují náklady na přesun hmot a případný odvoz sutě, pokud není v zadávacích podmínkách uvedeno jinak.</t>
  </si>
  <si>
    <t>Svítidla budou dodávkou včetně světelných zdrojů a startérů a včetně veškerého příslušenství pro montáž svítidel a připojení.</t>
  </si>
  <si>
    <t>Hromosvod a uzemnění</t>
  </si>
  <si>
    <t>Poznámky, doplňující informace</t>
  </si>
  <si>
    <t xml:space="preserve">Souhrnný výkaz výměr, dodávek a prací není ani úplný, ani vyčerpávající. Je souhrnný, tzn. že poskytuje Objednateli ucelený přehled o rozsahu a ceně dodávek a prací. Dle tohoto výkazu bude stanovena celková a pevná cena dodávky a prací ve smlouvě o Dílo. Pokud Zhotovilel shledá nezbytně nutným doplnit další položky do souhrnného výkazu, pak lze tak učinit pouze se souhlasem zástupce Objednatele - na tuto skutečnost pak Zhotovitel přehledně upozorní v průvodním dopise k nabídce. Doporučujeme však nezavádět další položky - jiné nespecifikované dodávky a práce zahrňte do navržených položek nebo položek "jiné" a v průvodním textu k nabídce položky podrobněji specifikujte (rozepište). </t>
  </si>
  <si>
    <t>V nabídce musí být zohledněna specifika výstavby v dané lokalitě a součinnost se zhotoviteli jiných souborů a se správci inženýrských sítí, veřejnoprávními organizacemi, apod.</t>
  </si>
  <si>
    <t xml:space="preserve">Součástí ceny bude montáž a také pomocné práce a konstrukce - např. lešení, pažení, doprava, přesuny hmot a pracovníků, atd., tzn. vše potřebné pro realizaci souboru v požadovaném rozsahu a kvalitě dle požadavku Objednatele. </t>
  </si>
  <si>
    <t xml:space="preserve">Ve výkazech budou vyplněny všechny položky nebo v řádku místo konkrétní číselné hodnoty bude uveden text "viz. jiné" - tzn. že cena za tuto položku je již zahrnuta v jiné položce výkazu výměr - všechny řádky výkazu budou vyplněny.  </t>
  </si>
  <si>
    <t xml:space="preserve">Zhotovitel doplní do tabulek souhrnných výkazů výměr, dodávek a prací: množství, jednotkové ceny a celkové ceny včetně součtů. Zhotovitel je plně zodpovědný za vyplněná množství, která určí na základě textových a výkresových částí dokumentace a nemůže tedy po uzavření smlouvy o Dílo uplatňovat "vícepráce" za případná navýšení množství dodávek a prací, která budou způsobena Zhotovitelovým opomenutím ve výběrovém řízení.   </t>
  </si>
  <si>
    <t xml:space="preserve">Upozorňujeme, že nabídku lze odpovědně zpracovat pouze na základě kompletní dokumentace pro výběr Zhotovitele, tzn. průvodní a souhrnné části dokumentace a příslušné textové, výkresové části a výkazů výměr.    </t>
  </si>
  <si>
    <t xml:space="preserve">Položky označené jako "Potrubí …" či "kabely ..." ap. budou dodána včetně potřebných tvarovek (armatury), úchytů a izolace. Položky označené jako "komplet" budou dodávány plně funkční, včetně všech k tomu potřebných součástí. </t>
  </si>
  <si>
    <t>Prostory pro skladování materiálu na stavbě nejsou zaručeny</t>
  </si>
  <si>
    <t xml:space="preserve">Uchazeč si je vědom, že kontrola výměr je součástí zadávacích podmínek. Všechna el.zařízení, systémy  a konstrukce budou oceňovány a dodávány plně funkční, tj. včetně všech komponentů, upevňovacích prvků, podpor, prostupů apod. Ceny obsahují náklady na přesun hmot  a případný odvoz sutě, pokud není v zadávacích podmínkách uvedeno jinak. </t>
  </si>
  <si>
    <t>Vlastní realizace, montáž, dodávka bude provedena na základě „DD“ – dodavatelské dokumentace, kde budou zpracovány podrobná schémata, očíslování zařízení, ústředen a prvků.Dodavatelskou dokumentaci zpracovává dodavatel. Po provedení kompletní dodávky včetně montáže, zapojení, oživení a revize bude investorovi předána dokumentace „SKP“ – dokumentace skutečného provedení. Dokumentace bude ve stejné podrobnosti jako Dodavatelská dokumentace, včetně podrobných schémat, trubkování.</t>
  </si>
  <si>
    <t>cena celkem</t>
  </si>
  <si>
    <t>Světlíky</t>
  </si>
  <si>
    <t xml:space="preserve">Montáž lešení leh.řad.s podlahami,š.1,5 m, H 24 m </t>
  </si>
  <si>
    <t xml:space="preserve">Demontáž lešení leh.řad.s podlahami,š.1,5 m,H 24 m </t>
  </si>
  <si>
    <t>Výtahy</t>
  </si>
  <si>
    <t>STAVEBNÍK</t>
  </si>
  <si>
    <t>Stěny</t>
  </si>
  <si>
    <t>Stropy</t>
  </si>
  <si>
    <t>Podhledy jsou oceněny vč.čel a prostupů na svítidla, výústky VZT apod.</t>
  </si>
  <si>
    <t>CELKEM BEZ DPH</t>
  </si>
  <si>
    <t>DPH</t>
  </si>
  <si>
    <t>C E L K E M</t>
  </si>
  <si>
    <t>Upozornění: Všechny údaje musí být ověřeny podle výkresové dokumentace a skutečného řešení stavby. Existuje-li rozpor mezi tímto seznamem strojů a zařízení a výkresy či technickou zprávou, musí být vyjasněn před objednáním elementů.</t>
  </si>
  <si>
    <t>Výkonové parametry strojů viz tabulka zařízení</t>
  </si>
  <si>
    <t>Všechny elementy budou dodány s veškerým potřebným montážním a spojovacím materiálem a příslušenstvím</t>
  </si>
  <si>
    <t>Náhrada uvedených elementů jinými výrobky je možná pouze při zachování výkonových, kvalitativních i rozměrových parametrů po odsouhlasení projektantem</t>
  </si>
  <si>
    <t>Montáž</t>
  </si>
  <si>
    <t>% z dodávky</t>
  </si>
  <si>
    <t>Kamenný obklad</t>
  </si>
  <si>
    <t>položka</t>
  </si>
  <si>
    <t>popis položky</t>
  </si>
  <si>
    <t>počet mj</t>
  </si>
  <si>
    <t>cena mj</t>
  </si>
  <si>
    <t>Finální úpravy</t>
  </si>
  <si>
    <t>Lešení</t>
  </si>
  <si>
    <t>Poznámky : Všechny prvky budou dodány včetně kotvících prvků, žlaby a svody včetně objímek, žlabových háků, hrdel, kotlíků a čel. Tvarové řešení typových klempířských konstrukcí bude provedeno dle ČSN 73 3610, provedení atypických konstrukcí bude vždy odsouhlasovat architekt na základě dílenské dokumentace zpracované dodavatelem. Přesné rozměry prvků nutno doměřit na stavbě. Všechny spojovací a upevňovací konstrukce musí vyprojektovat zhotovitel a musí je provést tak, aby byl umožněn tichý a neomezený pohyb částí vzájemně mezi sebou i vůči konstrukci budovy (zamezení vznikání zvukových efektů při objemových změnách konstrukcí z různých materiálů způsobené teplotními výkyvy). Setkají-li se různé materiály, musí být vložením mezivrstvy zamezeno kontaktní korozi. Spojovací díly musí být nekorodující.</t>
  </si>
  <si>
    <t>Plynovod</t>
  </si>
  <si>
    <t>Plynovodní přípojka</t>
  </si>
  <si>
    <t>PARAMETRY VÝPOČTU JEDNOTKOVÉ CENY</t>
  </si>
  <si>
    <t>Beze slev</t>
  </si>
  <si>
    <t>Sleva na pracnost při ukládání oceli</t>
  </si>
  <si>
    <t>VEDLEJŠÍ ROZPOČTOVÉ NÁKLADY</t>
  </si>
  <si>
    <t>ZS a kompletace se počítají v rekapitulaci rozpočtu.</t>
  </si>
  <si>
    <t>VRN jen pro práci</t>
  </si>
  <si>
    <t>Provozní náklady</t>
  </si>
  <si>
    <t>Územní vlivy</t>
  </si>
  <si>
    <t>HODINOVÉ ZÚČTOVACÍ SAZBY</t>
  </si>
  <si>
    <t>HSV</t>
  </si>
  <si>
    <t>PSV</t>
  </si>
  <si>
    <t>Hodinové zúčovací sazby</t>
  </si>
  <si>
    <t>Časová rezerva k normohodinám</t>
  </si>
  <si>
    <t>Pojistné z mezd (zdravotní a sociální)</t>
  </si>
  <si>
    <t>Průměrné mzdy zaměstnanců podle krajů</t>
  </si>
  <si>
    <t>Hl. m. Praha</t>
  </si>
  <si>
    <t>Středočeský kraj</t>
  </si>
  <si>
    <t>Jihočeský  kraj</t>
  </si>
  <si>
    <t>Plzeňský kraj</t>
  </si>
  <si>
    <t>Karlovarský kraj</t>
  </si>
  <si>
    <t>Ústecký kraj</t>
  </si>
  <si>
    <t>Liberecký kraj</t>
  </si>
  <si>
    <t>Královéhradecký kraj</t>
  </si>
  <si>
    <t>Pardubický kraj</t>
  </si>
  <si>
    <t>Vysočina</t>
  </si>
  <si>
    <t>Jihomoravský kraj</t>
  </si>
  <si>
    <t>Olomoucký kraj</t>
  </si>
  <si>
    <t>Zlínský kraj</t>
  </si>
  <si>
    <t>Moravskoslezský  kraj</t>
  </si>
  <si>
    <t>Mimopražský průměr</t>
  </si>
  <si>
    <t>Sadové úpravy</t>
  </si>
  <si>
    <t>Úprava podloží</t>
  </si>
  <si>
    <t>Podzemní stěny</t>
  </si>
  <si>
    <t>Základy plošné</t>
  </si>
  <si>
    <t>Statické opravy</t>
  </si>
  <si>
    <t>Konstrukce svislé železobetonové</t>
  </si>
  <si>
    <t>Konstrukce svislé zednické nosné, komíny</t>
  </si>
  <si>
    <t>Příčky zednické</t>
  </si>
  <si>
    <t>Příčky sádrokartonové</t>
  </si>
  <si>
    <t>Podhledy sádrokartonové</t>
  </si>
  <si>
    <t>Konstrukce svislé kompletní a doplňkové</t>
  </si>
  <si>
    <t>Konstrukce vodorovné</t>
  </si>
  <si>
    <t>Komunikace</t>
  </si>
  <si>
    <t>Omítky vnitřní</t>
  </si>
  <si>
    <t>Omítky vnější</t>
  </si>
  <si>
    <t>Repase omítek památková</t>
  </si>
  <si>
    <t>Osazování výplní</t>
  </si>
  <si>
    <t>Drobné objekty na trubním vedení</t>
  </si>
  <si>
    <t>Bourání</t>
  </si>
  <si>
    <t>Podchycování</t>
  </si>
  <si>
    <t>Izolace proti vodě</t>
  </si>
  <si>
    <t>Izolace tepelné</t>
  </si>
  <si>
    <t>Konstrukce sklobetonové</t>
  </si>
  <si>
    <t>Krytiny tvrdé</t>
  </si>
  <si>
    <t>Konstrukce truhlářské</t>
  </si>
  <si>
    <t>Konstrukce zámečnické</t>
  </si>
  <si>
    <t>Dlažby kamenné</t>
  </si>
  <si>
    <t>Podlahy terazzo</t>
  </si>
  <si>
    <t>Podlahy vlysové, parketové a plovoucí</t>
  </si>
  <si>
    <t>Obklady keramické</t>
  </si>
  <si>
    <t>Obklady kamenné</t>
  </si>
  <si>
    <t>Malby</t>
  </si>
  <si>
    <t>Zasklívání</t>
  </si>
  <si>
    <t>Topení</t>
  </si>
  <si>
    <t>Elektroinstalce</t>
  </si>
  <si>
    <t>Památkové</t>
  </si>
  <si>
    <t>Konec bloku.</t>
  </si>
  <si>
    <t>998 01-1001</t>
  </si>
  <si>
    <t>Přesun hmot pro budovy zděné výšky do 6 m</t>
  </si>
  <si>
    <t>998 01-2023</t>
  </si>
  <si>
    <t>Přesun hmot pro budovy monolitické výšky do 24 m</t>
  </si>
  <si>
    <t>999 28-1111</t>
  </si>
  <si>
    <t>Přesun hmot pro opravy a údržbu do výšky 25 m</t>
  </si>
  <si>
    <t>materiál</t>
  </si>
  <si>
    <t>dopravné</t>
  </si>
  <si>
    <t>stroje</t>
  </si>
  <si>
    <t>OPN</t>
  </si>
  <si>
    <t>hodiny</t>
  </si>
  <si>
    <t>hmoty</t>
  </si>
  <si>
    <t>suť</t>
  </si>
  <si>
    <t>STA - ALCAD</t>
  </si>
  <si>
    <t>Telefonní rozvody</t>
  </si>
  <si>
    <t>Domácí audiotelefon - FERMAX</t>
  </si>
  <si>
    <t>Elektronická zabezpečovací signalizace - EZS</t>
  </si>
  <si>
    <t>Páteřní rozvody</t>
  </si>
  <si>
    <t>xxx</t>
  </si>
  <si>
    <t>Izolace tepelné a kročejové</t>
  </si>
  <si>
    <t>Příplatek za každý měsíc použití lešení - lešení pronajaté (1 měsíc)</t>
  </si>
  <si>
    <t>Dřevěné obložení</t>
  </si>
  <si>
    <t>Fasádní systémy a tepelné izolace</t>
  </si>
  <si>
    <t>Uvedené tlouštky sten jsou bez omítek. Ke všem zámkům musí být dodány 3klíče. Veškeré finální nátěry a odstíny musí být před výrobou resp. objednání předloženy ve vzorcích pro odsouhlasení architektovi a investorovi. Přechodové lišty budou součástí dodávky dveří, finální odstín po odsouhlasení investorem,lišty na všech přechodech různých nášlapných vrstev. Součástí dodávky dveří jsou i podlahové zarážky. U všech dveřních křídel nutno dodržet akustický útlum dle ČSN. Všechny bezpečnostní dveře musejí být opatřeny platným bezpečnostním atestem a prohlášením o shodě.</t>
  </si>
  <si>
    <t>Vrata</t>
  </si>
  <si>
    <t>Součástí dodávky je zpracování schvalovací dokumentace, včetně předložení vzorků generálnímu projektantovi a také zpracování dílenské dokumentace vytvořené na základě zaměření přesných rozměrů na stavbě. Dimenze všech ocelových a skleněných konstrukcí je součástí dodávky. Zábradlí musí vyhovět ČSN 74 3305  Ochranná zábradlí, součástí dodávky jsou i statické návrhy a zkoušky pevnosti. U zábradlí je nutno dodržet nutné dilatace z důvodů tepelné roztažnosti.</t>
  </si>
  <si>
    <t>Otěruvzdorný nátěr 2x vč.penetrace</t>
  </si>
  <si>
    <t>ROZPOČET</t>
  </si>
  <si>
    <t>0110 - Soupis výkonů a dodávek s cenovými a výměrovými jednotkami níže uvedené, zahrnují všechny práce a dodávky potřebné pro úplné dokončení a  předání  díla objednateli bez vad a nedodělků ve smyslu obchodního práva.</t>
  </si>
  <si>
    <t>0120 - Do ceny dodavatele nutno zahrnout i všechny dodávky a práce popsané v této specifikaci nebo v jiné části dokumentace (výkresy, technická zpráva, ostatní dokumenty), a to i v případech, kdy jsou práce či dodávky uvedeny pouze v jedné z těchto částí. V případě nesouladu má výkresová dokumentace, technická zpráva a ostatní popisy projektanta přednost před touto specifikací. Provádění stavby a objednávky materiálu se řídí celou projektovou dokumentací.</t>
  </si>
  <si>
    <t>0130 - Pokud není výslovně uvedeno rozdělení dodávky a montáže v jednotkových cenách, obsahuje cena jednotlivých položek obě tyto složky.</t>
  </si>
  <si>
    <t>0140 - Zhotovitel je povinen si před předáním nabídky prohlédnout a zkontrolovat PD se soupisem prací a dodávek, prohlédnout a prozkoumat staveniště a jeho okolí a obstarat si všechny nezbytné a přístupné informace,které mu umožní zpracovat nabídku úplně a jednoznačně. Před podáním nabídky si zhotovitel může vyžádat konzultace u zpracovatele dokumentace. Pozdější požadavky, plynoucí z omylu či neznalosti PD a poměrů na staveništi jsou nepřijatelné a nebude k nim přihlíženo jako k oprávněným.</t>
  </si>
  <si>
    <t>0200 - Obsah jednotkových cen v této specifikaci</t>
  </si>
  <si>
    <t>0210 - Přímý materiál</t>
  </si>
  <si>
    <t>0211 - Materiál nosný a doplňkový (přímo zabudované) a materiál pomocný (vč.odepisovaného vícenásobným použitím)</t>
  </si>
  <si>
    <t>0212 - Pořizovací náklady a prvotní doprava (od výrobce k prvnímu uložení ve skladu), celní poplatky a celní jistina</t>
  </si>
  <si>
    <t>0220 - Náklady na přímé zpracování</t>
  </si>
  <si>
    <t>0221 - Přímé mzdy - mzdové náklady výrobních dělníků a dopravních zařízení (vč. příplatků, dovolené, náhrady mezd, přesčasové práce, pohotovosti, odměn, přestávek technologických a v důsledku povětrnostních vlivů, ale mimo zimní odstávku - viz režie výrobní); zákonné pojištění důchodové, nemocenské a zdravotní (DNZ) z těchto mzdových nákladů</t>
  </si>
  <si>
    <t>0222 - Náklady na stroje - přímé provozní náklady včetně mzdy posádky stroje nebo "stand-by" obsluhy rezervního zařízení na stavbě,  odpisy nebo nájemné a to i v případě, že investiční prostředek je již účetně odepsán,  fond oprav, zákonné pojištění DNZ z mezd a daně</t>
  </si>
  <si>
    <t>0230 - Ostatní přímé náklady</t>
  </si>
  <si>
    <t>0231 - Mimostaveništní doprava mezi sklady staveb u převozu použitých materiálů a polotovarů</t>
  </si>
  <si>
    <t>0232 - Mimostaveništní doprava u převozu  strojů a zařízení na stavbu a nájezdy strojů a vozidel na stavbu k technologickým výkonům</t>
  </si>
  <si>
    <t>0234 - Poplatky  a služby, pokud jsou obsaženy v popisu náplně položky zhotovovací práce (např. poplatek za vážení, kvalitativní a testovací zkoušky zhotovovací práce)</t>
  </si>
  <si>
    <t>0240 - Subdodávky</t>
  </si>
  <si>
    <t>0250 - Výrobní režie (standardní)</t>
  </si>
  <si>
    <t>0251 - Odpisy, oprava a údržba drobného majetku režijního výrobního charakteru, který je ve vlastnictví stavby, nebo kancelářských pomůcek</t>
  </si>
  <si>
    <t>0252 - Přepravné a nájem aut stavby, nakupovaná nebo vlastní režijní doprava při  služebních cestách a doprava zaměstnanců na stavbu; vnitrostaveništní doprava nákladní a osobní</t>
  </si>
  <si>
    <t>0253 - Ubytování zaměstnanců stavby a ubytování THP na služebních cestách na stavební objekt, cestovné a odlučné, cestovné při denním dojíždění a ostatní náklady</t>
  </si>
  <si>
    <t>0254 - Poplatky za telefon, poplatky za ochranu a hlídání (ostrahu) stavebního objektu, odvoz odpadků, odvoz ze žumpy na ZS, poplatky/odpisy za pronájem PC a IT</t>
  </si>
  <si>
    <t>0255 - Technické náklady stavby - např. zkoušky betonu, zhotovení a odstranění vzorků, předepsané revize, zkoušky a atesty zařízení nebo potřebných pro prokázání bezchybné funkce díla (není-li poptáno zvlášť), kontroly jakosti materiálu, geodetické práce (neuvedené jinde) a dohled geologa a statika při provádění; měření hluku pro kolaudaci</t>
  </si>
  <si>
    <t>0280 - Zisk</t>
  </si>
  <si>
    <t>0290 - Požadavky objednatele na náplň jednotkových cen</t>
  </si>
  <si>
    <t>0291 - Všechny potřebné pomocné dodávky a práce pro upevnění, zabezpečení funkčnosti a finální pohledové úpravy, které jsou běžně součástí dodávaného výrobku nebo systému, nebo jsou předepsány projektem a nejsou výslovně uvedeny jako samostatné položky (vč. těsnícího a upevňovacího materiálu, svářecího materiálu, plynu a kyslíku, přírub, šroubů, těsnění, šroubení, podložek, kotev atd.)</t>
  </si>
  <si>
    <t>0292 - Náklady na prořez, odpad, zlomky, hmotnostní rozdíly atd., pokud nejsou uvedeny ve výpočtu nosných dodávek samostatně</t>
  </si>
  <si>
    <t>0294 - Náklady na protihluková a protiprašná zařízení</t>
  </si>
  <si>
    <t>0295 - Náklady na zakrývání (nebo jiné zajištění) konstrukcí a prací ostatních zhotovitelů nebo stávajících konstrukcí před znečištěním a poškozením a odstranění zakrytí vč.zachování památkově cenných detailů (pokud není uvedeno samostatně)</t>
  </si>
  <si>
    <t>0296 - Náklady vyvolané nepříznivými klimatickými vlivy během výstavby- na preventivní nebo dodatečná opatření a práce s nimi spojené  (např. úprava základové spáry; zimní opatření- temperování, vyhřívání konstrukcí a zvláští přísady do betonů a malt; opatření v případě vysokých teplot- zakrývání a kropení; ochrana proti dešti apod.); náklady na čerpání a odvod podzemních a srážkových vod.</t>
  </si>
  <si>
    <t>0298 - Náklady vyvolané potřebou předepsané likvidace (vč.odvozu) jakýchkoli neekologických nebo zdraví nebezpečných látek (např. zeminy nebo jiných konstrukcí znečištěných ropnými produkty nebo jinými chemikáliemi, azbestocementové nebo jiná nebezpečná vlákna apod.), které jsou zmíněny v zadávacích podkladech</t>
  </si>
  <si>
    <t>0299 - Náklady  na  skladování (vč. skládkovného), dovozné, balné, cla, zpětné  odevzdání obalů atd.</t>
  </si>
  <si>
    <t>02910 - Náklady na stavební přípomoce (pokud nejsou uvedeny samostatně v této specifikaci)</t>
  </si>
  <si>
    <t>0300 - Vybraná smluvní ujednání s přímým dopadem na cenu díla (ostatní - viz smlouva)</t>
  </si>
  <si>
    <t>0310 - Součástí každé nabídky musí být technické a montážní podklady na všechny navržené výrobky ; nepředložení může mít vliv na snížení jednotkových cen. Podklady budou obsahovat veškeré technické údaje o nabízených výrobcích. Uchazeč vypracuje podrobný seznam předkládaných dokladů.</t>
  </si>
  <si>
    <t>0320 - Veškeré práce musí být provedeny  v souladu s ČSN a odbornými předpisy.</t>
  </si>
  <si>
    <t>0330 - Na výrobky dodané ze zahraničí je dodavatel  povinen doložit doklady potvrzující, že na nabízené výrobky je v České republice zajištěn servis minimálně po dobu záruky.</t>
  </si>
  <si>
    <t>0340 - Veškeré výrobky, materiály a technologie na stavbě použité musí být certifikovány a dodavatelem stavby registrovány pro průkaz splnění požadovaných vlastností a vhodnosti užití pro stavbu. V dokumentaci uvedené příklady výrobků a technologií nezbavují dodavatele povinnosti průkazně doložit jejich certifikaci.</t>
  </si>
  <si>
    <t>0350 - Všechny použité materiály budou vyvzorkovány před zabudováním.</t>
  </si>
  <si>
    <t>0360 - Specifikace  jednotlivých výrobků,  typy a barevné řešení  bude provedeno v rámci autorských dozorů po odsouhlasení  investorem.</t>
  </si>
  <si>
    <t>0256 - Mzdové náklady pracovníků THP (stavbyvedoucích, mistrů atd.) a pracovníků zařízení staveniště, vč.pracovníků pro přesun hmot neuvedených v kap. 0222 - Náklady na stroje</t>
  </si>
  <si>
    <t>0257 - Mzdové náklady výrobních dělníků pouze v období zimní odstavky stavby, jako zimní opatření  v režimu ZIP (harmonogramu) stavebního objektu, které nelze vztáhnout na kalkulační jednici zhotovovacích prací</t>
  </si>
  <si>
    <t>0258 - Příspěvky na obědy vlastních zaměstnanců,  náklady na balenou vodu, teplý čaj, zdravotní služby apod.</t>
  </si>
  <si>
    <t>02510 - Spotřeba energie a vody pro zařízení staveniště</t>
  </si>
  <si>
    <t>02511 - Opravy a údržba drobného majetku a zařízení staveniště</t>
  </si>
  <si>
    <t>0270 - Správní režie - náklady související s řízením a správou firmy vznikající na vyšší organ.úrovni a útvarů zajištujících správní a tech.servis pro výr. a nevýrob.činnosti firmy</t>
  </si>
  <si>
    <t>Stavební část</t>
  </si>
  <si>
    <t>Úvodní část - podmínky nabídky</t>
  </si>
  <si>
    <t>Všeobecný technický popis k soupisu prací a dodávek (specifikaci)</t>
  </si>
  <si>
    <t>02911 - Náklady na fotodokumentaci v památkově chráněných objektech - před zahájením prací, v jejich průběhu a po dokončení</t>
  </si>
  <si>
    <t>02912 - Náklady na technologické přestávky způsobené zvláštním režimem díla (např.v sídle hlavy státu či jiných reprezentačních prostor apod.)</t>
  </si>
  <si>
    <t>02914 - Náklady spojené s umístěním stavby a potřebné zábory pro zásobování; zajištění příjezdové cesty/cest ke staveništi; náklady na úklid veřejných komunikací čištění vozidel po výjezdu ze stavby a náklady na úklid společných prostor stavby a staveniště (doporučené jsou ekologické čistící prostředky a techniky); náklady na komplikace s provozem investora a další provozní náklady včetně kompletačních</t>
  </si>
  <si>
    <t>02915 - Náklady na reklamní poutač investora</t>
  </si>
  <si>
    <t>02916 - Náklady na splnění všech vyjádření a rozhodnutí dotčených orgánů státní správy (DOSS) a dohod s ostatními účastníky řízení</t>
  </si>
  <si>
    <t>02917 - Náklady na zabezpečení všech ostatních nezbytných schvalujících a povolujících dokladů neobsažených ve stavebním povolení</t>
  </si>
  <si>
    <t>02918 - Náklady na vytyčení a zaměření pro řádné provedení díla (vč.zhotovení potřebných výkresů a výpočtů), náklady na kontrolu výšek od existující vyznačené nulové úrovně (nivelety) a náklady na měření sousedních objektů během výstavby, pokud je výstavbou ohrožena jejich stabilita</t>
  </si>
  <si>
    <t>02919 - Náklady na zkoušky (vč.nákladů na zkušební provoz a nákladů na média s tím spojená), revize, zaškolení údržby, údržbu a opravy během výstavby a nutné pro zhotovení díla; a náklady na předepsaná označení zařízení, štítky, schemata apod.</t>
  </si>
  <si>
    <t>02920 - Náklady na dílenskou dokumentaci (kterou dodavatel předá ve dvou vyhotoveních před zahájením montáže jednotlivých prací), dokumentaci trasového vedení  (tzn. koordinaci vlastního vedení se stavební připraveností); a zúčtovací podklady</t>
  </si>
  <si>
    <t>02921 - Manažerské náklady spojené se změnami stavby před dokončením</t>
  </si>
  <si>
    <t>02922 - Náklady na projekt skutečného provedení (i v elektronické podobě, formát DWG a PDF) a veškeré doklady, potřebné ke kolaudaci a k předání díla investorovi (např. atesty a prohlášení o shodě na všechny použité materiály a výrobky, protokoly o provozních zkouškách, revizích, zregulování atd.)</t>
  </si>
  <si>
    <t>02923 - Náklady na přihlášení odběru elektrické energie a koordinace s pracemi dodavatelem energie; náklady na přihlášky a zřízení potřebného počtu tel. a datových linek, přihlášení a osazení hlavních vodoměrů, na přihlášku a odběr plynu; náklady na veškeré přejímky a předání správcům infrastruktury a náklady na kolaudaci</t>
  </si>
  <si>
    <t>02924 - Náklady na pojištění stavby (ochranu díla až do přejímky), garance, zádržné a záruky</t>
  </si>
  <si>
    <t>02925 - Náklady na likvidaci škod, havárií  a ztrát nad rámec pojištění, včetně vyrovnání se sousedy v případě škod vzniklých při provádění</t>
  </si>
  <si>
    <t>02926 - Náklady na změny cen během výstavby</t>
  </si>
  <si>
    <t>0293 - Náklady na postavení, udržování, použití a odstranění pomocného pracovního lešení (pokud je technol.potřeba) do v. 1,9 m a zatížení do 150 kg/m2; v případě prací na fasádě objektu náklady na postavení, udržování, použití a odstranění fasádního lešení vč.nezbyt.ochran. opatření, daných předpisy o bezpeč.práce a projektem, pokud není uvedeno jinde</t>
  </si>
  <si>
    <t>0297 - V případě bourání a stavební činnosti vytvářející staveništní odpad náklady na staveništní manipulaci se sutí vč.případného pytlování, její odvoz a ekologické uložení na skládku vč. poplatku a náklady na statické zajitění technologického postupu bourání a ochranná opatření proti poškození vybourávanými hmotami (odpad se stává majetkem dodavatele stavebních prací a tento zabezpečuje jeho odstranění; odstranění odpadu je cenově je zakalkulováno u jednotlivých prací a nebude placeno zvlášť, není-li uvedeno  jinak)</t>
  </si>
  <si>
    <t>m3</t>
  </si>
  <si>
    <t>kg</t>
  </si>
  <si>
    <t>Diagnostika železobetonových konstrukcí (provede ALSTON spol. s r.o.)</t>
  </si>
  <si>
    <r>
      <t>·</t>
    </r>
    <r>
      <rPr>
        <sz val="7"/>
        <rFont val="Times New Roman"/>
        <family val="1"/>
        <charset val="238"/>
      </rPr>
      <t xml:space="preserve">         </t>
    </r>
    <r>
      <rPr>
        <sz val="12"/>
        <rFont val="Times New Roman"/>
        <family val="1"/>
        <charset val="238"/>
      </rPr>
      <t>Odstrojení spodní části</t>
    </r>
  </si>
  <si>
    <r>
      <t>-</t>
    </r>
    <r>
      <rPr>
        <sz val="7"/>
        <rFont val="Times New Roman"/>
        <family val="1"/>
        <charset val="238"/>
      </rPr>
      <t xml:space="preserve">        </t>
    </r>
    <r>
      <rPr>
        <sz val="12"/>
        <rFont val="Times New Roman"/>
        <family val="1"/>
        <charset val="238"/>
      </rPr>
      <t>Demontáž světel</t>
    </r>
  </si>
  <si>
    <r>
      <t>-</t>
    </r>
    <r>
      <rPr>
        <sz val="7"/>
        <rFont val="Times New Roman"/>
        <family val="1"/>
        <charset val="238"/>
      </rPr>
      <t xml:space="preserve">        </t>
    </r>
    <r>
      <rPr>
        <sz val="12"/>
        <rFont val="Times New Roman"/>
        <family val="1"/>
        <charset val="238"/>
      </rPr>
      <t>Demontáž podhledů</t>
    </r>
  </si>
  <si>
    <r>
      <t>-</t>
    </r>
    <r>
      <rPr>
        <sz val="7"/>
        <rFont val="Times New Roman"/>
        <family val="1"/>
        <charset val="238"/>
      </rPr>
      <t xml:space="preserve">        </t>
    </r>
    <r>
      <rPr>
        <sz val="12"/>
        <rFont val="Times New Roman"/>
        <family val="1"/>
        <charset val="238"/>
      </rPr>
      <t>Demontáž elektroinstalace</t>
    </r>
  </si>
  <si>
    <r>
      <t>·</t>
    </r>
    <r>
      <rPr>
        <sz val="7"/>
        <rFont val="Times New Roman"/>
        <family val="1"/>
        <charset val="238"/>
      </rPr>
      <t xml:space="preserve">         </t>
    </r>
    <r>
      <rPr>
        <sz val="12"/>
        <rFont val="Times New Roman"/>
        <family val="1"/>
        <charset val="238"/>
      </rPr>
      <t>Odstrojení horní části</t>
    </r>
  </si>
  <si>
    <r>
      <t>-</t>
    </r>
    <r>
      <rPr>
        <sz val="7"/>
        <rFont val="Times New Roman"/>
        <family val="1"/>
        <charset val="238"/>
      </rPr>
      <t xml:space="preserve">        </t>
    </r>
    <r>
      <rPr>
        <sz val="12"/>
        <rFont val="Times New Roman"/>
        <family val="1"/>
        <charset val="238"/>
      </rPr>
      <t>Demontáž VZT</t>
    </r>
  </si>
  <si>
    <r>
      <t>-</t>
    </r>
    <r>
      <rPr>
        <sz val="7"/>
        <rFont val="Times New Roman"/>
        <family val="1"/>
        <charset val="238"/>
      </rPr>
      <t xml:space="preserve">        </t>
    </r>
    <r>
      <rPr>
        <sz val="12"/>
        <rFont val="Times New Roman"/>
        <family val="1"/>
        <charset val="238"/>
      </rPr>
      <t>Demontáž skladby střechy včetně hydroizolace</t>
    </r>
  </si>
  <si>
    <r>
      <t>·</t>
    </r>
    <r>
      <rPr>
        <sz val="7"/>
        <rFont val="Times New Roman"/>
        <family val="1"/>
        <charset val="238"/>
      </rPr>
      <t xml:space="preserve">         </t>
    </r>
    <r>
      <rPr>
        <sz val="12"/>
        <rFont val="Times New Roman"/>
        <family val="1"/>
        <charset val="238"/>
      </rPr>
      <t xml:space="preserve"> Zkoušky stropní desky a sloupů pro získání vstupních parametrů statického výpočtu</t>
    </r>
  </si>
  <si>
    <r>
      <t>-</t>
    </r>
    <r>
      <rPr>
        <sz val="7"/>
        <rFont val="Times New Roman"/>
        <family val="1"/>
        <charset val="238"/>
      </rPr>
      <t xml:space="preserve">        </t>
    </r>
    <r>
      <rPr>
        <sz val="12"/>
        <rFont val="Times New Roman"/>
        <family val="1"/>
        <charset val="238"/>
      </rPr>
      <t>Určení třída betonu, min. 6 ks jádrových vrtů, zkoušky nedestruktivní</t>
    </r>
  </si>
  <si>
    <r>
      <t>-</t>
    </r>
    <r>
      <rPr>
        <sz val="7"/>
        <rFont val="Times New Roman"/>
        <family val="1"/>
        <charset val="238"/>
      </rPr>
      <t xml:space="preserve">        </t>
    </r>
    <r>
      <rPr>
        <sz val="12"/>
        <rFont val="Times New Roman"/>
        <family val="1"/>
        <charset val="238"/>
      </rPr>
      <t>Určení třídy výztužné oceli (dle povrchu, odběr vzorku, trhací zkouška)</t>
    </r>
  </si>
  <si>
    <r>
      <t>-</t>
    </r>
    <r>
      <rPr>
        <sz val="7"/>
        <rFont val="Times New Roman"/>
        <family val="1"/>
        <charset val="238"/>
      </rPr>
      <t xml:space="preserve">        </t>
    </r>
    <r>
      <rPr>
        <sz val="12"/>
        <rFont val="Times New Roman"/>
        <family val="1"/>
        <charset val="238"/>
      </rPr>
      <t>Stanovení vyztužení desky v poli při jejím spodním líci, nedestruktivně profometrem nebo obdobně</t>
    </r>
  </si>
  <si>
    <r>
      <t>-</t>
    </r>
    <r>
      <rPr>
        <sz val="7"/>
        <rFont val="Times New Roman"/>
        <family val="1"/>
        <charset val="238"/>
      </rPr>
      <t xml:space="preserve">        </t>
    </r>
    <r>
      <rPr>
        <sz val="12"/>
        <rFont val="Times New Roman"/>
        <family val="1"/>
        <charset val="238"/>
      </rPr>
      <t>Stanovení vyztužení desky nad podporou při jejím horním líci, nedestruktivně profometrem nebo obdobně</t>
    </r>
  </si>
  <si>
    <r>
      <t>-</t>
    </r>
    <r>
      <rPr>
        <sz val="7"/>
        <rFont val="Times New Roman"/>
        <family val="1"/>
        <charset val="238"/>
      </rPr>
      <t xml:space="preserve">        </t>
    </r>
    <r>
      <rPr>
        <sz val="12"/>
        <rFont val="Times New Roman"/>
        <family val="1"/>
        <charset val="238"/>
      </rPr>
      <t>Stanovení vyztužení nad sloupy smykovou výztuží</t>
    </r>
  </si>
  <si>
    <r>
      <t>-</t>
    </r>
    <r>
      <rPr>
        <sz val="7"/>
        <rFont val="Times New Roman"/>
        <family val="1"/>
        <charset val="238"/>
      </rPr>
      <t xml:space="preserve">        </t>
    </r>
    <r>
      <rPr>
        <sz val="12"/>
        <rFont val="Times New Roman"/>
        <family val="1"/>
        <charset val="238"/>
      </rPr>
      <t>Stanovení betonu a vyztužení sloupů</t>
    </r>
  </si>
  <si>
    <t>Aktualizace statického výpočtu na základě zjištěných skutečností (provede společnost Alston).</t>
  </si>
  <si>
    <t>Předpokládané náklady průzkumu (bez odstrojovacích prací)………110.000,-Kč</t>
  </si>
  <si>
    <r>
      <t>·</t>
    </r>
    <r>
      <rPr>
        <sz val="7"/>
        <rFont val="Times New Roman"/>
        <family val="1"/>
        <charset val="238"/>
      </rPr>
      <t xml:space="preserve">         </t>
    </r>
    <r>
      <rPr>
        <sz val="12"/>
        <rFont val="Times New Roman"/>
        <family val="1"/>
        <charset val="238"/>
      </rPr>
      <t>Návrh zesílení nosných konstrukcí, zpracování výkresů zesílení včetně příslušných detailů, technická zpráva, výkazy výměr</t>
    </r>
  </si>
  <si>
    <r>
      <t>·</t>
    </r>
    <r>
      <rPr>
        <sz val="7"/>
        <rFont val="Times New Roman"/>
        <family val="1"/>
        <charset val="238"/>
      </rPr>
      <t xml:space="preserve">         </t>
    </r>
    <r>
      <rPr>
        <sz val="12"/>
        <rFont val="Times New Roman"/>
        <family val="1"/>
        <charset val="238"/>
      </rPr>
      <t>Detailní posouzení únosnosti stávajících nosných konstrukcí na základě skutečností zjištěných průzkumem - statický výpočet</t>
    </r>
  </si>
  <si>
    <t>DESIGN</t>
  </si>
  <si>
    <t>Praha - památky, špičkové</t>
  </si>
  <si>
    <t>Generální (manažerský) dodavatel</t>
  </si>
  <si>
    <t>Standardní dodávka</t>
  </si>
  <si>
    <t>Mimo Prahu, VYSOCE úsporné</t>
  </si>
  <si>
    <t>Generální (manažerský) dodavatel - úsporné</t>
  </si>
  <si>
    <t>HRUBÉ ROZPĚTÍ</t>
  </si>
  <si>
    <t>Špičkové dodávky HSV</t>
  </si>
  <si>
    <t>Špičkové dodávky PSV</t>
  </si>
  <si>
    <t>Špičkové dodávky - speciál</t>
  </si>
  <si>
    <t>Špičkové dodávky - technologie</t>
  </si>
  <si>
    <t>Dodávka generálního dodavatele - HSV</t>
  </si>
  <si>
    <t>Dodávka generálního dodavatele - PSV</t>
  </si>
  <si>
    <t>Dodávka generálního dodavatele - speciál</t>
  </si>
  <si>
    <t>Dodávka generálního dodavatele - technologie</t>
  </si>
  <si>
    <t>Typ SPS</t>
  </si>
  <si>
    <t>Dodávky PSV</t>
  </si>
  <si>
    <t>Malý dodavatel speciálních dodávek</t>
  </si>
  <si>
    <t>Standard technologických dodávek</t>
  </si>
  <si>
    <t>Dodávka generálního dodavatele - HSV - úsporné</t>
  </si>
  <si>
    <t>Dodávka generálního dodavatele - PSV - úsporné</t>
  </si>
  <si>
    <t>MATICE CEN</t>
  </si>
  <si>
    <t>Vzorec pro výpočet jednotkové ceny, řádek 170 (vzorec je ve sl.G, materiál ve sl.J)</t>
  </si>
  <si>
    <t>MZDY</t>
  </si>
  <si>
    <t>HRUBÉ</t>
  </si>
  <si>
    <t>SLEVY</t>
  </si>
  <si>
    <t>ZÁKLADNÍ</t>
  </si>
  <si>
    <t>VYBRANÉ</t>
  </si>
  <si>
    <t>ROZPĚTÍ</t>
  </si>
  <si>
    <t>STROJE</t>
  </si>
  <si>
    <t>MNOŽSTEVNÍ SLEVY MATERIÁLŮ</t>
  </si>
  <si>
    <t>Kotvy</t>
  </si>
  <si>
    <t>Prefa strop</t>
  </si>
  <si>
    <t>Schodiště</t>
  </si>
  <si>
    <t>Zateplovací systémy</t>
  </si>
  <si>
    <t>Výztuže</t>
  </si>
  <si>
    <t>PRO INFO</t>
  </si>
  <si>
    <t>Info URS 2000</t>
  </si>
  <si>
    <t>RV</t>
  </si>
  <si>
    <t>RS</t>
  </si>
  <si>
    <t>Z</t>
  </si>
  <si>
    <t>MONT</t>
  </si>
  <si>
    <t>Mzdy ve stavebnictví celkem</t>
  </si>
  <si>
    <t>http://czso.cz/csu/redakce.nsf/i/sta_cr</t>
  </si>
  <si>
    <t>Mimopražské minimum</t>
  </si>
  <si>
    <t>ROZBOR MEZD PRO JEDNOTLIVÉ ODDÍLY</t>
  </si>
  <si>
    <t>JINÝ DĚLNÍK,MONTÉR - třída 4</t>
  </si>
  <si>
    <t>Nh</t>
  </si>
  <si>
    <t>ŘIDIČ, MAZAČ RYPADEL - třída 6</t>
  </si>
  <si>
    <t>KOPÁČ - třída 6</t>
  </si>
  <si>
    <t>STAVEBNÍ DĚLNÍK - třída 4</t>
  </si>
  <si>
    <t>ŘIDIČ-MAZAČ STROJŮ</t>
  </si>
  <si>
    <t>ŘIDIČ-MAZAČ STROJŮ - třída 6</t>
  </si>
  <si>
    <t>Sadové úpravy kompletní</t>
  </si>
  <si>
    <t>JINÝ DĚLNÍK,MONTÉR</t>
  </si>
  <si>
    <t>KOPÁČ</t>
  </si>
  <si>
    <t>KOPÁČ - třída 4</t>
  </si>
  <si>
    <t>STAVEBNÍ DĚLNÍK</t>
  </si>
  <si>
    <t>STAVEBNÍ DĚLNÍK - třída 3</t>
  </si>
  <si>
    <t>STAVEBNÍ DĚLNÍK - třída 6</t>
  </si>
  <si>
    <t>ŘIDIČ-MAZAČ STROJŮ - třída 7</t>
  </si>
  <si>
    <t>ŘIDIČ OSTATNÍ</t>
  </si>
  <si>
    <t>ŘIDIČ OSTATNÍ - třída 6</t>
  </si>
  <si>
    <t>ŘIDIČ OSTATNÍ - třída 7</t>
  </si>
  <si>
    <t>Podkladní vrstvy</t>
  </si>
  <si>
    <t>BETONÁŘ</t>
  </si>
  <si>
    <t>MONTÁŽNÍK PREFA,VAZAČ BŘEMEN - třída 6</t>
  </si>
  <si>
    <t>Piloty prům. 600</t>
  </si>
  <si>
    <t>VRTAČ - třída 6</t>
  </si>
  <si>
    <t>ŽELEZÁŘ - třída 6</t>
  </si>
  <si>
    <t>BETONÁŘ - třída 6</t>
  </si>
  <si>
    <t>MONTÁŽNÍK PREFA,VAZAČ BŘEMEN</t>
  </si>
  <si>
    <t>Záporové pažení nekotvené</t>
  </si>
  <si>
    <t>VRTAČ</t>
  </si>
  <si>
    <t>SVÁŘEČ - třída 6</t>
  </si>
  <si>
    <t>TESAŘ, LEŠENÁŘ</t>
  </si>
  <si>
    <t>TESAŘ, LEŠENÁŘ - třída 6</t>
  </si>
  <si>
    <t>TESAŘ - třída 6</t>
  </si>
  <si>
    <t>LEŠENÁŘ</t>
  </si>
  <si>
    <t>MALÍŘ-NATĚRAČ</t>
  </si>
  <si>
    <t>ŘIDIČ, MAZAČ RYPADEL - třída 7</t>
  </si>
  <si>
    <t>SVÁŘEČ - třída 7</t>
  </si>
  <si>
    <t>ŽELEZÁŘ</t>
  </si>
  <si>
    <t>MONTÉR POTRUBNÍCH KONSTRUKCÍ - třída 7</t>
  </si>
  <si>
    <t>BETONÁŘ - třída 7</t>
  </si>
  <si>
    <t>Základová deska, bednění</t>
  </si>
  <si>
    <t>Sanace budov</t>
  </si>
  <si>
    <t>289 47-3211</t>
  </si>
  <si>
    <t>Hl.spár.2vrst.zdiva řádkového akt. maltou hl.10 cm</t>
  </si>
  <si>
    <t>380 93-2215</t>
  </si>
  <si>
    <t>Vlepení výztuže D 12, beton, malta POXY</t>
  </si>
  <si>
    <t>kus</t>
  </si>
  <si>
    <t>ZEDNÍK - třída 6</t>
  </si>
  <si>
    <t>MONTÁŽNÍK PREFA,VAZAČ BŘEMEN - třída 4</t>
  </si>
  <si>
    <t>STAVEBNÍ ZÁMEČNÍK - třída 6</t>
  </si>
  <si>
    <t>Stěna tl.200 mm, bednění</t>
  </si>
  <si>
    <t>Zdivo POROTHERM 24 P+D P 10 na MVC 5 tl. 24 cm</t>
  </si>
  <si>
    <t>ZEDNÍK - třída 8</t>
  </si>
  <si>
    <t>SAMOSTATNÝ STAVEBNÍ DĚLNÍK</t>
  </si>
  <si>
    <t>Příčky POROTHERM P+D na MVC 5 tl. 11,5 cm</t>
  </si>
  <si>
    <t xml:space="preserve">Příčka sádrokart. do ocel. kce, 2x opl. tl. 125 mm, desky standart tl. 12,5 mm, izolace Orsil tl. 5 </t>
  </si>
  <si>
    <t>ZEDNÍK</t>
  </si>
  <si>
    <t>STAVEBNÍ ZÁMEČNÍK MONTÁŽNÍK</t>
  </si>
  <si>
    <t>IZOLATÉR TEPEL.ZVUK OTŘES.</t>
  </si>
  <si>
    <t>Podhled sádrokartonový na zavěšenou ocel. konstr., desky standart tl. 12,5 mm, bez izolace</t>
  </si>
  <si>
    <t>Kanály z cihel pálených volné 450 x 600 cm</t>
  </si>
  <si>
    <t>OMÍTKÁŘ</t>
  </si>
  <si>
    <t>Strop tl. 200 mm, bednění</t>
  </si>
  <si>
    <t>TESAŘ, LEŠENÁŘ - třída 4</t>
  </si>
  <si>
    <t>Strop POROTHERM, OVN 50, tl.21 cm, nosník 3,25-4 m</t>
  </si>
  <si>
    <t>ZEDNÍK OSAZOVAČ - třída 6</t>
  </si>
  <si>
    <t>OBSLUHOVAČ MECHANIZAČ.PROSTŘ. - třída 6</t>
  </si>
  <si>
    <t>ŘIDIČ AUTOJEŘÁBŮ - třída 6</t>
  </si>
  <si>
    <t>Schodišťová konstrukce ŽB z B 30 (C 25/30) - bednění</t>
  </si>
  <si>
    <t>Komunikace střední z asfaltobetonu</t>
  </si>
  <si>
    <t>DLAŽDIČ-SILNIČÁŘ</t>
  </si>
  <si>
    <t>DLAŽDIČ-SILNIČÁŘ - třída 4</t>
  </si>
  <si>
    <t>DLAŽDIČ-SILNIČÁŘ - třída 6</t>
  </si>
  <si>
    <t>Sestava položek:</t>
  </si>
  <si>
    <t>611 44-2143</t>
  </si>
  <si>
    <t>Omítka sádrová kleneb a skořepin</t>
  </si>
  <si>
    <t>611 47-3112</t>
  </si>
  <si>
    <t>Omítka vnitřní stropů ze suché směsi, štuková</t>
  </si>
  <si>
    <t>612 42-1637</t>
  </si>
  <si>
    <t>Omítka vnitřní zdiva, MVC, štuková</t>
  </si>
  <si>
    <t>612 43-3322.RT5</t>
  </si>
  <si>
    <t>Omítka sanační stěn tl. 25 mm, vysoké zasolení omítka Thermopal dvouvrstvá, podklad P</t>
  </si>
  <si>
    <t>612 44-1240</t>
  </si>
  <si>
    <t>Omítka vnitřní zdiva vápenosádrová hladká</t>
  </si>
  <si>
    <t>612 44-1842</t>
  </si>
  <si>
    <t>Sufitová římsa váp. sádr. s proved. kostry, 500 mm</t>
  </si>
  <si>
    <t>OMÍTKÁŘ - třída 7</t>
  </si>
  <si>
    <t>OBSLUHOVAČ MECHANIZAČ.PROSTŘ.</t>
  </si>
  <si>
    <t>622 42-1143</t>
  </si>
  <si>
    <t>Omítka vnější stěn, MVC, štuková, složitost 1-2</t>
  </si>
  <si>
    <t>622 47-2115</t>
  </si>
  <si>
    <t>Omítka stěn vnější ze SMS štuková slož. V. ručně</t>
  </si>
  <si>
    <t>OMÍTKÁŘ - třída 6</t>
  </si>
  <si>
    <t>IZOLATÉR - třída 6</t>
  </si>
  <si>
    <t>Omítka stěn vnější ze SMS štuková slož. VI.ručně</t>
  </si>
  <si>
    <t>642 94-4121.RT5</t>
  </si>
  <si>
    <t>894 21-5112</t>
  </si>
  <si>
    <t>Šachtice.domovní.kanalizač.z betonu, do 5 m3</t>
  </si>
  <si>
    <t>M3 OP</t>
  </si>
  <si>
    <t>831 23-0010.RAC</t>
  </si>
  <si>
    <t>Vodovod z trub polyetylénových D 90, hloubka 2,0 m</t>
  </si>
  <si>
    <t>STAVEBNÍ ZÁMEČNÍK</t>
  </si>
  <si>
    <t>KLADEČ POTRUBÍ - třída 6</t>
  </si>
  <si>
    <t>MALÍŘ-NATĚRAČ - třída 4</t>
  </si>
  <si>
    <t>STROJNÍK</t>
  </si>
  <si>
    <t>Lešení, pronájem 01 měsíce</t>
  </si>
  <si>
    <t>Vyčištění budov o výšce podlaží do 4 m</t>
  </si>
  <si>
    <t>Demolice budov, zdivo, podíl konstr. do 30 %, MVC</t>
  </si>
  <si>
    <t>STROJNÍK ČERPADLA,KOMPRESORU - třída 4</t>
  </si>
  <si>
    <t>TESAŘ, LEŠENÁŘ - třída 7</t>
  </si>
  <si>
    <t>POKRÝVAČ</t>
  </si>
  <si>
    <t xml:space="preserve">Jednost.podchycení vazníků do 3,5m,do 1000 kg/m </t>
  </si>
  <si>
    <t>ŘIDIČ-MAZAČ STROJŮ - třída 4</t>
  </si>
  <si>
    <t>IZOLATÉR</t>
  </si>
  <si>
    <t>Plochá nepochozí střecha- část</t>
  </si>
  <si>
    <t>IZOLATÉR - třída 4</t>
  </si>
  <si>
    <t>IZOLATÉR PROTI ZEMNÍ VLHKOSTI - třída 6</t>
  </si>
  <si>
    <t>Sklob. okna tl.10 cm H do 4m, tvár.1910/W,F,N čiré</t>
  </si>
  <si>
    <t>Krov dřevěný, laťování, bednění přesahu střechy, dvojité laťování</t>
  </si>
  <si>
    <t>ZEDNÍK OSAZOVAČ</t>
  </si>
  <si>
    <t>ZEDNÍK ÚDRŽBÁŘ</t>
  </si>
  <si>
    <t>TESAŘ</t>
  </si>
  <si>
    <t>TESAŘ - třída 7</t>
  </si>
  <si>
    <t>TESAŘ - třída 8</t>
  </si>
  <si>
    <t>STAVEBNÍ ZÁMEČNÍK ÚDRŽBÁŘ</t>
  </si>
  <si>
    <t>ŘIDIČ SPEC. NÁKLAD. AUTOMOBILÚ - třída 7</t>
  </si>
  <si>
    <t>Klempířské konstrukce bytováho domu</t>
  </si>
  <si>
    <t>KLEMPÍŘ</t>
  </si>
  <si>
    <t>KLEMPÍŘ - třída 6</t>
  </si>
  <si>
    <t>INSTALATÉR - třída 6</t>
  </si>
  <si>
    <t>765 31-1421.R00</t>
  </si>
  <si>
    <t>Krytina z prejzů střech složitých, do malty</t>
  </si>
  <si>
    <t>765 31-1438.R00</t>
  </si>
  <si>
    <t>Hřeben z prejzů, do malty jednořadý</t>
  </si>
  <si>
    <t>765 31-1448.R00</t>
  </si>
  <si>
    <t>Nároží z prejzů, do malty</t>
  </si>
  <si>
    <t>765 31-1483.R00</t>
  </si>
  <si>
    <t>Prejzy přiřezání a uchycení tašek</t>
  </si>
  <si>
    <t>765 31-1521.R00</t>
  </si>
  <si>
    <t>Krytina z bobrovek střech slož.,šupinová, na sucho</t>
  </si>
  <si>
    <t>765 31-1531.R00</t>
  </si>
  <si>
    <t>Hřeben bobrovka, hřebenáči č.1 nos. pás s kartáči</t>
  </si>
  <si>
    <t>765 31-1541.R00</t>
  </si>
  <si>
    <t>Nároží bobrovka, hřebenáči č.1 nos. pás s kartáči</t>
  </si>
  <si>
    <t>765 31-1571.R00</t>
  </si>
  <si>
    <t>Taška prosvětlovací plastová bobrovka</t>
  </si>
  <si>
    <t>765 31-1580.R00</t>
  </si>
  <si>
    <t>Taška průchodová prostupová</t>
  </si>
  <si>
    <t>765 31-1583.R00</t>
  </si>
  <si>
    <t>Bobrovka -  přiřezání a uchycení tašek</t>
  </si>
  <si>
    <t>765 31-1585.R00</t>
  </si>
  <si>
    <t>Nástavec pro odvětrání kanalizace</t>
  </si>
  <si>
    <t>765 31-1723.R00</t>
  </si>
  <si>
    <t>Větrací mřížka okapní 5000 x 100 mm</t>
  </si>
  <si>
    <t>POKRÝVAČ - třída 6</t>
  </si>
  <si>
    <t>766 62-2246.R00</t>
  </si>
  <si>
    <t>Okna komplet.otvíravá do rámů, 3kříd.nad 3,30 m2</t>
  </si>
  <si>
    <t>766 67-0011.R00</t>
  </si>
  <si>
    <t>Montáž obložkové zárubně a dřevěného křídla dveří</t>
  </si>
  <si>
    <t>766 67-0021.R00</t>
  </si>
  <si>
    <t>Montáž kliky a štítku</t>
  </si>
  <si>
    <t>766 69-4113.R00</t>
  </si>
  <si>
    <t>Montáž parapetních desek š.do 30 cm,dl.do 260 cm</t>
  </si>
  <si>
    <t>766 69-5212.R00</t>
  </si>
  <si>
    <t>Montáž prahů dveří jednokřídlových š. do 10 cm</t>
  </si>
  <si>
    <t>TRUHLÁŘ</t>
  </si>
  <si>
    <t>TRUHLÁŘ - třída 6</t>
  </si>
  <si>
    <t>767 99-5101</t>
  </si>
  <si>
    <t>Montáž kovových atypických konstrukcí do 5 kg</t>
  </si>
  <si>
    <t>767 62-7210.R00</t>
  </si>
  <si>
    <t>Montáž meziokenních vložek hliníkových</t>
  </si>
  <si>
    <t>767 62-6102.R00</t>
  </si>
  <si>
    <t>Montáž těsnění oken zdvojených - šroubováním</t>
  </si>
  <si>
    <t>767 62-6101.R00</t>
  </si>
  <si>
    <t>Montáž těsnění oken zdvojených - lepením</t>
  </si>
  <si>
    <t>767 11-1120.R00</t>
  </si>
  <si>
    <t>Montáž stěn pro zasklení z ocel. profilů do 100 kg</t>
  </si>
  <si>
    <t>767 11-1110.R00</t>
  </si>
  <si>
    <t>Montáž stěn pro zasklení z ocel. profilů do 50 kg</t>
  </si>
  <si>
    <t>767 58-3713.R00</t>
  </si>
  <si>
    <t>Úprava pro kruhová svítidla</t>
  </si>
  <si>
    <t>767 58-3703.R00</t>
  </si>
  <si>
    <t>Montáž podhledů Hunter Douglas, uzavřených</t>
  </si>
  <si>
    <t>767 58-3711.R00</t>
  </si>
  <si>
    <t>Montáž závěsných táhel nosných roštů</t>
  </si>
  <si>
    <t>VSTŘELOVAČ</t>
  </si>
  <si>
    <t>STAVEBNÍ DĚLNÍK - třída 5</t>
  </si>
  <si>
    <t>OBKLADAČ - třída 6</t>
  </si>
  <si>
    <t>Dlažba z kamene diagonální ze 2 druhů, tl. 3 cm</t>
  </si>
  <si>
    <t>KAMENÍK - třída 7</t>
  </si>
  <si>
    <t>ZEDNíK TERACÁŘ třída 6</t>
  </si>
  <si>
    <t>Položení vlysových podlah do lepidla</t>
  </si>
  <si>
    <t>PODLAHÁŘ - třída 6</t>
  </si>
  <si>
    <t>Lepení povlakových podlah ze čtverců korkových pouze položení - korek ve specifikaci</t>
  </si>
  <si>
    <t>PODLAHÁŘ</t>
  </si>
  <si>
    <t>OBKLADAČ - třída 7</t>
  </si>
  <si>
    <t>KAMENÍK - třída 8</t>
  </si>
  <si>
    <t>Údržba, nátěr olej.truhl.výrobků 2x+2x email+2x tm</t>
  </si>
  <si>
    <t>MALÍŘ-NATĚRAČ - třída 6</t>
  </si>
  <si>
    <t>Malba sádrokartonových konstrukcí Primalex Plus</t>
  </si>
  <si>
    <t>SKLENÁŘ</t>
  </si>
  <si>
    <t>Potrubí HT odpadní svislé DN 100 x 2,7 mm</t>
  </si>
  <si>
    <t>722 16-0222</t>
  </si>
  <si>
    <t>Potrubí z měděných trubek D 16/1,5</t>
  </si>
  <si>
    <t>722 17-4310</t>
  </si>
  <si>
    <t>Potrubi z PP Instaplast DN 16 PN 2,0</t>
  </si>
  <si>
    <t>INSTALATÉR - třída 7</t>
  </si>
  <si>
    <t>INSTALATÉR - třída 8</t>
  </si>
  <si>
    <t>725 11-9110</t>
  </si>
  <si>
    <t>Montáž splachovací nádrže Kombifix pro WC</t>
  </si>
  <si>
    <t>725 11-9306</t>
  </si>
  <si>
    <t>Montáž klozetu závěsného</t>
  </si>
  <si>
    <t>725 21-9201</t>
  </si>
  <si>
    <t>Montáž umyvadel na konzoly</t>
  </si>
  <si>
    <t>725 21-9502</t>
  </si>
  <si>
    <t>Montáž sloupu k umývadlu</t>
  </si>
  <si>
    <t>725 22-9102</t>
  </si>
  <si>
    <t>Montáž van ocel. a plastových s uzávěr. HL 500-5/4</t>
  </si>
  <si>
    <t>725 82-9301</t>
  </si>
  <si>
    <t>Montáž baterie umyv.a dřezové stojánkové</t>
  </si>
  <si>
    <t>725 83-9204</t>
  </si>
  <si>
    <t>Montáž baterie vanové nástěnné G 3/4</t>
  </si>
  <si>
    <t>725 85-9102</t>
  </si>
  <si>
    <t>Montáž ventilu odpadního do DN 50</t>
  </si>
  <si>
    <t>725 86-0214</t>
  </si>
  <si>
    <t>Sifon bidetový, umyvadlový HL135</t>
  </si>
  <si>
    <t>725 86-9218</t>
  </si>
  <si>
    <t>Montáž U-sifonu</t>
  </si>
  <si>
    <t>725 98-0121</t>
  </si>
  <si>
    <t>Dvířka z PH T 3622, 15/15</t>
  </si>
  <si>
    <t>Instalatér zdravotní instalace - třída 7</t>
  </si>
  <si>
    <t>INSTALATÉR</t>
  </si>
  <si>
    <t>INSTALATÉR ÚSTŘEDNÍHO TOPENÍ - třída 6</t>
  </si>
  <si>
    <t>Elektroinstalace</t>
  </si>
  <si>
    <t>MONTÉR ELEKTRO - třída 7</t>
  </si>
  <si>
    <t>MONTÉR OSOBNÍCH VÝTAHŮ - třída 7</t>
  </si>
  <si>
    <t>SEZNAM POUŽITÝCH MEZD</t>
  </si>
  <si>
    <t>kód</t>
  </si>
  <si>
    <t>profese</t>
  </si>
  <si>
    <t>jed.</t>
  </si>
  <si>
    <t>Kč/jed.</t>
  </si>
  <si>
    <t>třída</t>
  </si>
  <si>
    <t>5c</t>
  </si>
  <si>
    <t>5a</t>
  </si>
  <si>
    <t>TECHNIK - třída 9</t>
  </si>
  <si>
    <t>5b</t>
  </si>
  <si>
    <t>konec souboru</t>
  </si>
  <si>
    <t>číslo</t>
  </si>
  <si>
    <r>
      <t>ZAOKROUHLIT((J$2:J$65536*(1-SVYHLEDAT(</t>
    </r>
    <r>
      <rPr>
        <sz val="8"/>
        <color indexed="10"/>
        <rFont val="Calibri"/>
        <family val="2"/>
        <charset val="238"/>
      </rPr>
      <t>když(je.číslo(b170);b170;900)</t>
    </r>
    <r>
      <rPr>
        <sz val="8"/>
        <rFont val="Calibri"/>
        <family val="2"/>
        <charset val="238"/>
      </rPr>
      <t>;MATICE_CEN;7;NEPRAVDA))+K$2:K$65536+(L$2:L$65536*(1-SVYHLEDAT(</t>
    </r>
    <r>
      <rPr>
        <sz val="8"/>
        <color indexed="10"/>
        <rFont val="Calibri"/>
        <family val="2"/>
        <charset val="238"/>
      </rPr>
      <t>když(je.číslo(b170);b170;900)</t>
    </r>
    <r>
      <rPr>
        <sz val="8"/>
        <rFont val="Calibri"/>
        <family val="2"/>
        <charset val="238"/>
      </rPr>
      <t>;MATICE_CEN;6;NEPRAVDA))+M$2:M$65536+N$2:N$65536*KDYŽ(b170=99;sleva_ocel;1)*SVYHLEDAT(</t>
    </r>
    <r>
      <rPr>
        <sz val="8"/>
        <color indexed="10"/>
        <rFont val="Calibri"/>
        <family val="2"/>
        <charset val="238"/>
      </rPr>
      <t>když(je.číslo(b170);b170;900)</t>
    </r>
    <r>
      <rPr>
        <sz val="8"/>
        <rFont val="Calibri"/>
        <family val="2"/>
        <charset val="238"/>
      </rPr>
      <t>;MATICE_CEN;4;NEPRAVDA)*(1+časová_rezerva)*(1+pojistné))*(1+SVYHLEDAT(</t>
    </r>
    <r>
      <rPr>
        <sz val="8"/>
        <color indexed="10"/>
        <rFont val="Calibri"/>
        <family val="2"/>
        <charset val="238"/>
      </rPr>
      <t>když(je.číslo(b170);b170;900)</t>
    </r>
    <r>
      <rPr>
        <sz val="8"/>
        <rFont val="Calibri"/>
        <family val="2"/>
        <charset val="238"/>
      </rPr>
      <t>;MATICE_CEN;5;NEPRAVDA)))*(1+VRN);1)</t>
    </r>
  </si>
  <si>
    <t>PROJEKTANT</t>
  </si>
  <si>
    <t>4350 - Obklady stěn</t>
  </si>
  <si>
    <t>4500 - Ostatní dokončující práce</t>
  </si>
  <si>
    <t>5300 - Zařizovací předměty zdravotechniky</t>
  </si>
  <si>
    <t>5100 - Truhlářské konstrukce</t>
  </si>
  <si>
    <t>5200 - Zámečnické konstrukce</t>
  </si>
  <si>
    <t>Záporová pažení, mikropiloty</t>
  </si>
  <si>
    <t>Dodávky HSV úsporné</t>
  </si>
  <si>
    <t>Dodávky PSV úsporné</t>
  </si>
  <si>
    <t>KOEFICIENT</t>
  </si>
  <si>
    <t>Předpoklad- delnická mzda ke mzdě ve stavebnictví</t>
  </si>
  <si>
    <t>ověřeno např.:</t>
  </si>
  <si>
    <t>Komentář k vývoji stavebnictví v roce 2007, ČSÚ</t>
  </si>
  <si>
    <t>http://www.casopisstavebnictvi.cz/prehled-udaju-o-stavebnictvi-a-bytove-vystavbe-v-roce-2008_N2076</t>
  </si>
  <si>
    <t>4800 - Kompletace stavby</t>
  </si>
  <si>
    <t>0259 - Nájmy a/nebo měsíční odpisy strojů (vč.jeřábů, výtahů a vrátků) bez ohledu na jejich nasazení v provozu a  množství kalkulačních jednic zhotovovacích prací , pokud některé odpisy případně nájemné stroje a zařízení nejsou uvedeny v položce zhotovovacích prací nebo nejsou uvedeny v soupisu položek (specifikaci pro ocenění) jako staveništní náklady zhotovitele</t>
  </si>
  <si>
    <t>základní sleva na materiálech</t>
  </si>
  <si>
    <t>Malá zakázka</t>
  </si>
  <si>
    <t>Střední zakázka</t>
  </si>
  <si>
    <t>Velká zakázka</t>
  </si>
  <si>
    <t>1HSV</t>
  </si>
  <si>
    <t>1PSV</t>
  </si>
  <si>
    <t>1SPEC</t>
  </si>
  <si>
    <t>1TECH</t>
  </si>
  <si>
    <t>2HSV</t>
  </si>
  <si>
    <t>2PSV</t>
  </si>
  <si>
    <t>2SPEC</t>
  </si>
  <si>
    <t>2TECH</t>
  </si>
  <si>
    <t>3HSV</t>
  </si>
  <si>
    <t>3PSV</t>
  </si>
  <si>
    <t>3SPEC</t>
  </si>
  <si>
    <t>3TECH</t>
  </si>
  <si>
    <t>4HSV</t>
  </si>
  <si>
    <t>4PSV</t>
  </si>
  <si>
    <t>5HSV</t>
  </si>
  <si>
    <t>5PSV</t>
  </si>
  <si>
    <t>5SPEC</t>
  </si>
  <si>
    <t>5TECH</t>
  </si>
  <si>
    <t>Hrubé rozpětí</t>
  </si>
  <si>
    <t>6HSV</t>
  </si>
  <si>
    <t>6PSV</t>
  </si>
  <si>
    <t>Dodávky HSV úsporné, samostatně poptávané</t>
  </si>
  <si>
    <t>VYSOCE úsporné, samostatně poptávané</t>
  </si>
  <si>
    <t>PŘÍPOČTY VYBRANÉ - MIN-MAX</t>
  </si>
  <si>
    <t>Koordinace a kompletace zakázky</t>
  </si>
  <si>
    <t>Dřevostavby</t>
  </si>
  <si>
    <t>NÁROČNOST ZAKÁZKY</t>
  </si>
  <si>
    <t>DOPAD VELIKOSTI ZAKÁZKY DO MOŽNÝCH SLEV MATERIÁLŮ</t>
  </si>
  <si>
    <t>památky, špičkové a organizačně náročné stavby v prostředí s nízkou konkurencí</t>
  </si>
  <si>
    <t>organizačně náročné stavby zabezpečované generálním (manažerským) dodavatelem</t>
  </si>
  <si>
    <t>standardní dodávka při nižší konkurenci</t>
  </si>
  <si>
    <t>dodávka v prostředí vysoké konkurence</t>
  </si>
  <si>
    <t>organizačně náročné stavby zabezpečované generálním (manažerským) dodavatelem v prostředí vysoké konkurence</t>
  </si>
  <si>
    <t>vysoce úsporné samostatně poptávané dodávky</t>
  </si>
  <si>
    <t>LOKALITA S PRŮMĚRNOU MZDOU VE STAVEBNICTVÍ</t>
  </si>
  <si>
    <t>Česká republika</t>
  </si>
  <si>
    <t>http://czso.cz/xb/edicniplan.nsf/kapitola/641302-09-za_rok_2009-13</t>
  </si>
  <si>
    <t>PSV BEZE SLEV</t>
  </si>
  <si>
    <t>HSV BEZE SLEV</t>
  </si>
  <si>
    <t>produktivita</t>
  </si>
  <si>
    <t>počet</t>
  </si>
  <si>
    <t>cena</t>
  </si>
  <si>
    <t>Předběžné náklady</t>
  </si>
  <si>
    <t>Zisk</t>
  </si>
  <si>
    <t>Přesun hmot (HSV)</t>
  </si>
  <si>
    <t>2100 - Založení</t>
  </si>
  <si>
    <t>2200 - Železobetonové konstrukce</t>
  </si>
  <si>
    <t>2200 - Izolace spodní stavby</t>
  </si>
  <si>
    <t>2500 - Ocelové konstrukce</t>
  </si>
  <si>
    <t>3100 - Střechy</t>
  </si>
  <si>
    <t>3200 - Konstrukce opláštění</t>
  </si>
  <si>
    <t>3300 - Fasády</t>
  </si>
  <si>
    <t>4100 - Vnitřní stavba (dispoziční členění)</t>
  </si>
  <si>
    <t>4200 - Podlahy</t>
  </si>
  <si>
    <t>4300 - Stěny a stropy</t>
  </si>
  <si>
    <t>4500 - Zařizovací dodávky</t>
  </si>
  <si>
    <t>Celkem</t>
  </si>
  <si>
    <t>celkem</t>
  </si>
  <si>
    <t>Pomocný materiál</t>
  </si>
  <si>
    <t>5100 - Zdravotechnické instalace</t>
  </si>
  <si>
    <t>5200 - Vytápění</t>
  </si>
  <si>
    <t>5300 - Chlazení</t>
  </si>
  <si>
    <t>5400 - Vzduchotechnika a klimatizace</t>
  </si>
  <si>
    <t>6100 - Zdroje energie</t>
  </si>
  <si>
    <t>6200 - Silnoproudé rozvody a příslušenství</t>
  </si>
  <si>
    <t>6300 - Svítidla vč.zdrojů, slavnostní osvětlení</t>
  </si>
  <si>
    <t>6400 - Hromosvod</t>
  </si>
  <si>
    <t>6700 - Zabezpečení</t>
  </si>
  <si>
    <t>6800 - Řídící systémy</t>
  </si>
  <si>
    <t>6900 - Přepravní zařízení</t>
  </si>
  <si>
    <t>6600 - Telekomunikace</t>
  </si>
  <si>
    <t>7100 - Interierové vybavení</t>
  </si>
  <si>
    <t>7200 - Hasící zařízení</t>
  </si>
  <si>
    <t>8210 - Komunikace vozidlové</t>
  </si>
  <si>
    <t>8240 - Mosty, můstky, lávky</t>
  </si>
  <si>
    <t>Vedlejší rozpočtové náklady</t>
  </si>
  <si>
    <t>Kompletační činnost</t>
  </si>
  <si>
    <t>4SPEC</t>
  </si>
  <si>
    <t>4TECH</t>
  </si>
  <si>
    <t>Dodávky TECHNOLOGICKÉ úsporné</t>
  </si>
  <si>
    <t>Dodávky SPECIÁLNÍ úsporné</t>
  </si>
  <si>
    <t>Dodávka generálního dodavatele - SPECIÁL - úsporné</t>
  </si>
  <si>
    <t>Dodávka generálního dodavatele - TECHNOLOGIE - úsporné</t>
  </si>
  <si>
    <t>Špičkové dodávky</t>
  </si>
  <si>
    <t>Generální dodavatel</t>
  </si>
  <si>
    <t>Úsporné</t>
  </si>
  <si>
    <t>Samostatně poptávané</t>
  </si>
  <si>
    <t>Tabulka přirážek a slev k základnímu stupni (3).</t>
  </si>
  <si>
    <t>Dodávky PSV úsporné, samostatně poptávané</t>
  </si>
  <si>
    <t>6SPEC</t>
  </si>
  <si>
    <t>6TECH</t>
  </si>
  <si>
    <t>Dodávky SPECIÁLNÍ samostatně poptávané</t>
  </si>
  <si>
    <t>Dodávky TECHNOLOGICKÉ samostatně poptávané</t>
  </si>
  <si>
    <t>7HSV</t>
  </si>
  <si>
    <t>7PSV</t>
  </si>
  <si>
    <t>7SPEC</t>
  </si>
  <si>
    <t>7TECH</t>
  </si>
  <si>
    <t>Dodávky HSV velmi malého rozsahu</t>
  </si>
  <si>
    <t>Dodávky PSV velmi malého rozsahu</t>
  </si>
  <si>
    <t>Dodávky SPECIÁLNÍ velmi malého rozsahu</t>
  </si>
  <si>
    <t>Dodávky TECHNOLOGICKÉ velmi malého rozsahu</t>
  </si>
  <si>
    <t>Opatrná kalkulace pro práce velmi malého rozsahu</t>
  </si>
  <si>
    <t>SPEC</t>
  </si>
  <si>
    <t>TECH</t>
  </si>
  <si>
    <t>hlavní</t>
  </si>
  <si>
    <t>přípravář</t>
  </si>
  <si>
    <t>mzdové náklady</t>
  </si>
  <si>
    <t>telefon</t>
  </si>
  <si>
    <t>PHM</t>
  </si>
  <si>
    <t>auto leasing</t>
  </si>
  <si>
    <t>byt</t>
  </si>
  <si>
    <t>ostatní (fond oprav)</t>
  </si>
  <si>
    <t>celkem režie výrobní 1 hod.</t>
  </si>
  <si>
    <t>režijní pracovník - 1 měsíc</t>
  </si>
  <si>
    <t>započítaný počet pracovních hodin</t>
  </si>
  <si>
    <t>http://www.czso.cz/csu/2008edicniplan.nsf/t/6D002CF518/$File/8201081209.pdf</t>
  </si>
  <si>
    <t>viz</t>
  </si>
  <si>
    <t>odpracováno měsíčně manuální</t>
  </si>
  <si>
    <t>odpracováno měsíčně THP</t>
  </si>
  <si>
    <t>administrativa</t>
  </si>
  <si>
    <t>vedlejší</t>
  </si>
  <si>
    <t>mistr</t>
  </si>
  <si>
    <t>ředitel</t>
  </si>
  <si>
    <t>režie výrobní</t>
  </si>
  <si>
    <t>režie správní</t>
  </si>
  <si>
    <t>výrobní pracovníci</t>
  </si>
  <si>
    <t>kanceláře - nájem (20 m2 na osobu)</t>
  </si>
  <si>
    <t>sklady - nájem - 500 m2</t>
  </si>
  <si>
    <t>fond oprav, nákupu</t>
  </si>
  <si>
    <t>energie</t>
  </si>
  <si>
    <t>právní služby</t>
  </si>
  <si>
    <t>RS - na odpracovanou hodinu</t>
  </si>
  <si>
    <t>RV - na odpracovanou hodinu</t>
  </si>
  <si>
    <t>ostatní přímé náklady na pracovníka</t>
  </si>
  <si>
    <t>RV celkem</t>
  </si>
  <si>
    <t>stavbyvedoucí</t>
  </si>
  <si>
    <t>dopravné na staveniště - 1 auto na 4 prac.</t>
  </si>
  <si>
    <t>práce velmi malého rozsahu zajišťované stavební firmou s vysokým podílem režijních nákladů na jednici</t>
  </si>
  <si>
    <t>Opatrná kalkulace pro práce malého rozsahu zajišťované firmou</t>
  </si>
  <si>
    <t>50 m2</t>
  </si>
  <si>
    <t>9300 - Vedení projektu</t>
  </si>
  <si>
    <t>9600 - Náklady ze sousedství</t>
  </si>
  <si>
    <t>9700 - Inženýrská činnost</t>
  </si>
  <si>
    <t>1100 - Pozemek</t>
  </si>
  <si>
    <t>1230 - Projektové práce</t>
  </si>
  <si>
    <t>orient.základna</t>
  </si>
  <si>
    <t>režie firmy</t>
  </si>
  <si>
    <t>UN.3.3.4.</t>
  </si>
  <si>
    <t>UN.3.3.5.</t>
  </si>
  <si>
    <t xml:space="preserve"> - detailní položky</t>
  </si>
  <si>
    <t xml:space="preserve"> - agregované položky</t>
  </si>
  <si>
    <t>neuvažuje se</t>
  </si>
  <si>
    <t>1300 - Průzkumné, geodetické a projektové práce, inženýrská činnost</t>
  </si>
  <si>
    <t>1310 - Průzkumné práce</t>
  </si>
  <si>
    <t>1320 - Geodetické práce</t>
  </si>
  <si>
    <t>1331 - Záměry, studie</t>
  </si>
  <si>
    <t>1332 - Dokumentace pro územní rozhodnutí / územní souhlas</t>
  </si>
  <si>
    <t>1333 - Dokumentace pro stavební povolení / ohlášení stavby</t>
  </si>
  <si>
    <t>1334 - Dokumentace pro zadání stavby, výběr zhotovitele</t>
  </si>
  <si>
    <t>1350 - Inženýrská činnost</t>
  </si>
  <si>
    <t>1351 - Autorský dozor projektanta</t>
  </si>
  <si>
    <t>1352 - Průkaz energetické náročnosti budovy</t>
  </si>
  <si>
    <t>1353 - Energetický štítek obálky budovy</t>
  </si>
  <si>
    <t>1354 - Tepelný audit budovy</t>
  </si>
  <si>
    <t>1355 - Vliv stavby na životní prostředí</t>
  </si>
  <si>
    <t>1360 - Projektové práce a inženýrská činnost v kontraktu dodavatele stavby</t>
  </si>
  <si>
    <t>1361 - Koordinátor BOZP investora pro celou stavbu (zákon 309/2006 Sb.) - přípravná i realizační fáze</t>
  </si>
  <si>
    <t>1362 - Prováděcí projekt</t>
  </si>
  <si>
    <t>1365 - Geometrické plány pro zřízení věcných břemen</t>
  </si>
  <si>
    <t>1366 - Dílenská dokumentace</t>
  </si>
  <si>
    <t>1368 - Dokumentace  pro katastrální úřad, prohlášení vlastníka</t>
  </si>
  <si>
    <t>1200 - Činnost stavebníka</t>
  </si>
  <si>
    <t>není součástí tohoto propočtu</t>
  </si>
  <si>
    <t>1210 - Předprojektová činnost stavebníka</t>
  </si>
  <si>
    <t>1220 - Projektová činnost stavebníka</t>
  </si>
  <si>
    <t>1230 - Realizační činnost stavebníka</t>
  </si>
  <si>
    <t>1250 - Právní služby</t>
  </si>
  <si>
    <t>1240 - Tržní realizace, marketing</t>
  </si>
  <si>
    <t>1367 - Dokumentace skutečného provedení stavby - UNIKA 5.3.</t>
  </si>
  <si>
    <t xml:space="preserve"> - detailní položky - UNIKA 3.3.4.</t>
  </si>
  <si>
    <t xml:space="preserve"> - agregované položky - UNIKA 3.3.5.</t>
  </si>
  <si>
    <t>Sleva na pracnost při zemních pracech</t>
  </si>
  <si>
    <t>PROJEKTOVÉ PRÁCE</t>
  </si>
  <si>
    <t>Rozpočet</t>
  </si>
  <si>
    <t>Koordinační činnost generálního dodavatele</t>
  </si>
  <si>
    <t>žádné až velmi malé (5%)</t>
  </si>
  <si>
    <t>práce v kritické situaci - jen za výrobní režii</t>
  </si>
  <si>
    <t>Krize - jen za režii</t>
  </si>
  <si>
    <t>nula</t>
  </si>
  <si>
    <t>8HSV</t>
  </si>
  <si>
    <t>Dodávky HSV úsporné - kritická situace</t>
  </si>
  <si>
    <t>8PSV</t>
  </si>
  <si>
    <t>Dodávky PSV úsporné - kritická situace</t>
  </si>
  <si>
    <t>8SPEC</t>
  </si>
  <si>
    <t>Dodávky SPECIÁLNÍ úsporné - kritická situace</t>
  </si>
  <si>
    <t>8TECH</t>
  </si>
  <si>
    <t>Dodávky TECHNOLOGICKÉ úsporné - kritická situace</t>
  </si>
  <si>
    <t>Manažer cen</t>
  </si>
  <si>
    <t>Režie</t>
  </si>
  <si>
    <t>Slevy</t>
  </si>
  <si>
    <t>Kompletace %</t>
  </si>
  <si>
    <t>TZB</t>
  </si>
  <si>
    <t>(předchozí rok = 100)</t>
  </si>
  <si>
    <t>Rok</t>
  </si>
  <si>
    <t>ICSP</t>
  </si>
  <si>
    <t>INFLACE STAVEBNÍCH PRACÍ ČSÚ</t>
  </si>
  <si>
    <t>ZAMĚSTNANOST A MZDY</t>
  </si>
  <si>
    <t>Průměrná měsíční mzda podle kraje sídla podniku</t>
  </si>
  <si>
    <t>Stavební podniky s 50 a více zaměstnanci</t>
  </si>
  <si>
    <t>v Kč</t>
  </si>
  <si>
    <t>Průměrná mzda celkem</t>
  </si>
  <si>
    <t>Hlavní město Praha</t>
  </si>
  <si>
    <t>Jihočeský kraj</t>
  </si>
  <si>
    <t>Moravskoslezský kraj</t>
  </si>
  <si>
    <t>Přepravné</t>
  </si>
  <si>
    <t>Odpisy ZP</t>
  </si>
  <si>
    <t>Energie a palivo</t>
  </si>
  <si>
    <t>Odpisy a opravy režijních ZP</t>
  </si>
  <si>
    <t>Odpisy a opravy PPS a ZS</t>
  </si>
  <si>
    <t>Ostatní věcné náklady (poštovné, telefony, ubytování)</t>
  </si>
  <si>
    <t>Finanční náklady (pojistné, úroky)</t>
  </si>
  <si>
    <t>Doplňkové mzdy dělníků (dovolená, §§), kantýna a údržba</t>
  </si>
  <si>
    <t>THP mzdy</t>
  </si>
  <si>
    <t>Odvody z režijních mezd</t>
  </si>
  <si>
    <t>Cestovné, náhrady (stravné, odlučné)</t>
  </si>
  <si>
    <t>Materiál</t>
  </si>
  <si>
    <t>Mzdy</t>
  </si>
  <si>
    <t>Stroje</t>
  </si>
  <si>
    <t>PZN</t>
  </si>
  <si>
    <t>PN</t>
  </si>
  <si>
    <t>Hl.III</t>
  </si>
  <si>
    <t>z PZN</t>
  </si>
  <si>
    <t>Odvody mzdy</t>
  </si>
  <si>
    <t>REŽIE</t>
  </si>
  <si>
    <t>MZDOVÉ NÁKLADY</t>
  </si>
  <si>
    <t>CESTOVNÍ NÁHRADY A PŘEPRAVNÉ</t>
  </si>
  <si>
    <t>Režijní přepravné</t>
  </si>
  <si>
    <t>ZAMĚSTNANECKÉ NÁHRADY CELKEM</t>
  </si>
  <si>
    <t>Cestovní náhrady celkem</t>
  </si>
  <si>
    <t>Mzdové náklady</t>
  </si>
  <si>
    <t>PROVOZNÍ NÁKLADY</t>
  </si>
  <si>
    <t>ZISK - 20% z PZN</t>
  </si>
  <si>
    <t xml:space="preserve"> - HR neuvedeno</t>
  </si>
  <si>
    <t>HSV průměrná sleva, subdodávka hlavní firmy - průměrné HR</t>
  </si>
  <si>
    <t>Průměrná hrubá měsíční mzda na fyzické osoby</t>
  </si>
  <si>
    <t>Stavebnictví - časové řady</t>
  </si>
  <si>
    <t>Tab. 3 Zaměstnanost a mzdy</t>
  </si>
  <si>
    <t>02913 - Náklady na opatření k zajištění bezpečnosti práce, ochranná zábradlí otvorů, volných okrajů apod., a provizorní uzávěry objektů; a náklady na koordinátora BOZP</t>
  </si>
  <si>
    <t xml:space="preserve">Zajištění provozu a údržby zařízení staveniště včetně společných sociálních a provozních prostor a jejich poskytování poddodavatelům díla; koordinace postupu prací prováděných subdodavateli díla, zajišťování návazností jednotlivých prací, jejich přejímka, kontrola apod.; poskytování zednických a jiných výpomocí za úplatu; zajištění vypracování dokumentace skutečného stavu provedení díla; účast na předání stavby do užívání a na kolaudaci díla </t>
  </si>
  <si>
    <t>Příprava kolaudace, obstarání všech nezbytných vyjádření, revizí, dokladů apod., včetně vypracování evekuačního plánu a požárního řádu</t>
  </si>
  <si>
    <t>Průměrná hrubá měsíční mzda zaměstnanců v národním hospodářství podle ekonomické činnosti (sekce CZ-NACE) a krajů v roce 2011   (předběžné údaje)</t>
  </si>
  <si>
    <t>7a</t>
  </si>
  <si>
    <t>7b</t>
  </si>
  <si>
    <t>6a</t>
  </si>
  <si>
    <t>6b</t>
  </si>
  <si>
    <t>hod.mzda 5,5</t>
  </si>
  <si>
    <t>hodin vč.plac.svátků</t>
  </si>
  <si>
    <t>vypočtená mzda</t>
  </si>
  <si>
    <t>http://www.cenovasoustava.cz/default.asp?Bid=1&amp;ID=1</t>
  </si>
  <si>
    <t>adresa kvalitativních a dodacích podmínek</t>
  </si>
  <si>
    <t>RTS 2013_1</t>
  </si>
  <si>
    <t>Vnitřní stavba</t>
  </si>
  <si>
    <t>131 20-1102</t>
  </si>
  <si>
    <t>Hloubení nezapažených jam v hor.3 do 1000 m3</t>
  </si>
  <si>
    <t>162 70-1105</t>
  </si>
  <si>
    <t>Vodorovné přemístění výkopku z hor.1-4 do 10000 m</t>
  </si>
  <si>
    <t>199 00-0002</t>
  </si>
  <si>
    <t>Poplatek za skládku horniny 1- 4</t>
  </si>
  <si>
    <t>Při použití směrných orientačních cen nebo doporučených cen pro sestavení nabídkové ceny objektu dochází k rozporu mezi hodnotami nastavenými v kalkulačním vzorci v programu a hodnotami započtenými v uvedených jednotkových cenách (pokud by tento rozpor měl být odstraněn, muselo by nastavení hodnot v programu respektovat hodnoty započtené do směrných cen). Hodnota této proměnné pak vzniká tak, že se doporučené ceny zadané do rozpočtu (cenová úroveň RTS, a.s. ÚRS a.s. nebo individuální) porovnají s cenou kalkulovanou (dle nastaveného kalkulačního vzorce). Jsou-li hodnoty mezd či cen materiálu vyšší než započetl např. RTS nebo URS do svých doporučených cen, pak teoretický zisk bude vycházet v záporných číslech, protože celou doporučenou cenu vyčerpají náklady na materiál a mzdy. Tato proměnná je pouze informativní a vyjadřuje zda směrné orientační ceny za podmínek nastavených v programu dostačují či nedostačují k vytvoření potřebného zisku.</t>
  </si>
  <si>
    <t>273 32-1411</t>
  </si>
  <si>
    <t>Železobeton základových desek B 30 (C 25/30)</t>
  </si>
  <si>
    <t>273 35-1215</t>
  </si>
  <si>
    <t>Bednění stěn základových desek - zřízení</t>
  </si>
  <si>
    <t>273 35-1216</t>
  </si>
  <si>
    <t>Bednění stěn základových desek - odstranění</t>
  </si>
  <si>
    <t>311 32-1411</t>
  </si>
  <si>
    <t xml:space="preserve">Železobeton nadzákladových zdí B 30 (C 25/30) </t>
  </si>
  <si>
    <t>311 35-1105</t>
  </si>
  <si>
    <t>Bednění nadzákladových zdí oboustranné - zřízení</t>
  </si>
  <si>
    <t>311 35-1106</t>
  </si>
  <si>
    <t>Bednění nadzákladových zdí oboustranné-odstranění</t>
  </si>
  <si>
    <t>311 23-8113</t>
  </si>
  <si>
    <t>RTS</t>
  </si>
  <si>
    <t>exxpert</t>
  </si>
  <si>
    <t>342 24-8112</t>
  </si>
  <si>
    <t>411 32-1414</t>
  </si>
  <si>
    <t xml:space="preserve">Stropy deskové ze železobetonu B 30 (C 25/30) </t>
  </si>
  <si>
    <t>411 35-1201</t>
  </si>
  <si>
    <t>Bednění stropů deskových, podepření, do 3,5m, 5kPa</t>
  </si>
  <si>
    <t>411 35-1202</t>
  </si>
  <si>
    <t>Odstranění bednění stropů deskových do 3,5m, 5kPa</t>
  </si>
  <si>
    <t>430 32-1414</t>
  </si>
  <si>
    <t xml:space="preserve">Schodišťové konstrukce, železobeton B 30 (C 25/30) </t>
  </si>
  <si>
    <t>431 35-1121</t>
  </si>
  <si>
    <t>Bednění podest a podstupňových desek přímočarých - zřízení</t>
  </si>
  <si>
    <t>431 35-1122</t>
  </si>
  <si>
    <t>Bednění podest a podstupňových desek přímočarých - odstranění</t>
  </si>
  <si>
    <t>431 35-1128</t>
  </si>
  <si>
    <t>Příplatek za podpěrnou konstrukci podest - zřízení</t>
  </si>
  <si>
    <t>431 35-1129</t>
  </si>
  <si>
    <t>Příplatek za podpěrnou konstrukci podest - odstranění</t>
  </si>
  <si>
    <t>433 35-1131</t>
  </si>
  <si>
    <t>Bednění schodnic přímočarých - zřízení</t>
  </si>
  <si>
    <t>433 35-1132</t>
  </si>
  <si>
    <t>Bednění schodnic přímočarých - odstranění</t>
  </si>
  <si>
    <t>433 35-1138</t>
  </si>
  <si>
    <t>Příplatek za podpěrnou konstr. schodnic - zřízení</t>
  </si>
  <si>
    <t>433 35-1139</t>
  </si>
  <si>
    <t>Příplatek za podpěrnou konstr. schodnic - odstranění</t>
  </si>
  <si>
    <t>Hloubení nezapažených jam (do 1000)  vč.odvozu (do 10 km)  a skládkovného</t>
  </si>
  <si>
    <t>dále ne…</t>
  </si>
  <si>
    <t>622 31-1734.RT3</t>
  </si>
  <si>
    <t>Zatepl.syst. Baumit, fasáda, miner.desky KV 140 mm, s omítkou SilikonTop 3,2 kg/m2, lepidlo ProConta</t>
  </si>
  <si>
    <t>Fasádní zateplovací systémy</t>
  </si>
  <si>
    <t>622 42-1147</t>
  </si>
  <si>
    <t>Omítka vnější stěn, MVC, štuková, složitost 6</t>
  </si>
  <si>
    <t>622 42-1148</t>
  </si>
  <si>
    <t>Omítka vnější stěn, MVC, štuková, složitost 7</t>
  </si>
  <si>
    <t>622 47-2116</t>
  </si>
  <si>
    <t>622 47-2196</t>
  </si>
  <si>
    <t>Příplatek za tl. jádra 20 mm slož. VI. ručně</t>
  </si>
  <si>
    <t>622 42-6521</t>
  </si>
  <si>
    <t>Oprava vnějších omítek štukových, čl. VI, do 50 %</t>
  </si>
  <si>
    <t>622 42-6522</t>
  </si>
  <si>
    <t>Oprava vněj. omítek VI,do 50%, štuk na 100% plochy</t>
  </si>
  <si>
    <t>622 42-7521</t>
  </si>
  <si>
    <t>Oprava vnějších omítek štukových, čl. VII, do 50 %</t>
  </si>
  <si>
    <t>622 42-7522</t>
  </si>
  <si>
    <t>Oprava vněj. omítek VIIdo 50%, štuk na 100% plochy</t>
  </si>
  <si>
    <t>631 31-2611</t>
  </si>
  <si>
    <t>Mazanina betonová tl. 5 - 8 cm B 20 (C 16/20)</t>
  </si>
  <si>
    <t>631 31-2711</t>
  </si>
  <si>
    <t>Mazanina betonová tl. 5 - 8 cm C 25/30  (B 30)</t>
  </si>
  <si>
    <t>631 31-6211.XX</t>
  </si>
  <si>
    <t>Strojní hlazení podlah</t>
  </si>
  <si>
    <t>631 31-9171</t>
  </si>
  <si>
    <t>Příplatek za stržení povrchu mazaniny tl. 8 cm</t>
  </si>
  <si>
    <t>631 36-2021</t>
  </si>
  <si>
    <t>Výztuž mazanin svařovanou sítí z drátů Kari</t>
  </si>
  <si>
    <t>632 41-1135.RT1</t>
  </si>
  <si>
    <t>Potěr ze SMS Cemix, ruční zpracování, tl. 35 mm, samonivelační anhydritový potěr 20 Cemix 110</t>
  </si>
  <si>
    <t>632 41-1150.RU1</t>
  </si>
  <si>
    <t>Potěr ze SMS Cemix, ruční zpracování, tl. 50 mm, samonivelační anhydritový potěr 20 Cemix 110</t>
  </si>
  <si>
    <t>632 41-6235.RT6</t>
  </si>
  <si>
    <t>Potěr betonový PROFI, silo, tl. 35 mm, Alphafliessestrich E225, 20 MPa, samoniv.anhydrit.</t>
  </si>
  <si>
    <t>632 41-6250.RT6</t>
  </si>
  <si>
    <t>Potěr betonový PROFI, silo, tl. 50 mm, Alphafliessestrich E225, 20 MPa, samoniv.anhydrit.</t>
  </si>
  <si>
    <t>ŘIDIČ STROJŮ</t>
  </si>
  <si>
    <t>711 11-1001</t>
  </si>
  <si>
    <t>Izolace proti vlhkosti vodorovná nátěrem</t>
  </si>
  <si>
    <t>711 14-1559</t>
  </si>
  <si>
    <t>Montáž izolace proti vlhkosti vodorovné pásy přítavením</t>
  </si>
  <si>
    <t>711 49-1172</t>
  </si>
  <si>
    <t xml:space="preserve">Montáž ochranné textilie vodorovné </t>
  </si>
  <si>
    <t>Souvrství izolace proti vodě</t>
  </si>
  <si>
    <t>712 31-1101</t>
  </si>
  <si>
    <t>Provedení nátěru penetračního střech do 10°,za studena</t>
  </si>
  <si>
    <t>712 34-1559</t>
  </si>
  <si>
    <t>Natavení povlakové krytiny střech do 10°,NAIP</t>
  </si>
  <si>
    <t>712 37-1801</t>
  </si>
  <si>
    <t>Povlaková krytina střech do 10 st.,fólií PVC</t>
  </si>
  <si>
    <t>713 13-1131</t>
  </si>
  <si>
    <t>Izolace tepelná stěn lepením</t>
  </si>
  <si>
    <t>713 12-1111</t>
  </si>
  <si>
    <t>Izolace tepelná podlah na sucho, jednovrstvá</t>
  </si>
  <si>
    <t>713 19-1100</t>
  </si>
  <si>
    <t>Položení izolační fólie</t>
  </si>
  <si>
    <t>713 11-1130</t>
  </si>
  <si>
    <t>Izolace tepelné stropů, vložení mezi krokve, 1 vrstva-materiál ve specifikaci</t>
  </si>
  <si>
    <t>713 11-1211</t>
  </si>
  <si>
    <t>Montáž parozábrany krovů s přelepením spojů</t>
  </si>
  <si>
    <t>4a</t>
  </si>
  <si>
    <t>Tepelné izolace rodinného domu (podle podílu)</t>
  </si>
  <si>
    <t>až sem…</t>
  </si>
  <si>
    <t>Orientační popis. Podrobná specifikace pro ocenění, objednání a dodání viz projekt. Ceny obsahují dodávku všech ve specifikaci uvedených výrobků, jejich montáž a osazení včetně všech pomocných materiálů a prací a povrchové úpravy.</t>
  </si>
  <si>
    <t>V ceně za odvoz a uložení výkopku na skládku je započítán i faktor nakypření podle charakteru výkopku na staveništi; výměry jsou počítány na čisté těžené objemy.</t>
  </si>
  <si>
    <t>Projektant řadový</t>
  </si>
  <si>
    <t>Projektant mladší specialista</t>
  </si>
  <si>
    <t>Projektant starší specialista</t>
  </si>
  <si>
    <t>Šéfprojektant</t>
  </si>
  <si>
    <t>měs.plat</t>
  </si>
  <si>
    <t>Ceny RTS!</t>
  </si>
  <si>
    <t xml:space="preserve">Přesun hmot pro opravy a údržbu do výšky 25 m </t>
  </si>
  <si>
    <t>Náklady na zřízení a demontáž zařízení staveniště (nebo náklady plynoucí z toho, že zařízení staveniště není možné vybudovat), zábory</t>
  </si>
  <si>
    <t>Ostatní jinde neuvedené dodávky a práce</t>
  </si>
  <si>
    <t>Přesun HSV</t>
  </si>
  <si>
    <t>998 01-1002</t>
  </si>
  <si>
    <t>Přesun hmot pro budovy zděné výšky do 12 m</t>
  </si>
  <si>
    <t>998 01-1003</t>
  </si>
  <si>
    <t>Přesun hmot pro budovy zděné výšky do 24 m</t>
  </si>
  <si>
    <t>998 01-2021</t>
  </si>
  <si>
    <t>Přesun hmot pro budovy monolitické výšky do 6 m</t>
  </si>
  <si>
    <t>998 01-2022</t>
  </si>
  <si>
    <t>Přesun hmot pro budovy monolitické výšky do 12 m</t>
  </si>
  <si>
    <t>998 01-2024</t>
  </si>
  <si>
    <t>Přesun hmot pro budovy monolitické výšky do 36 m</t>
  </si>
  <si>
    <t>999 28-1105</t>
  </si>
  <si>
    <t xml:space="preserve">Přesun hmot pro opravy a údržbu do výšky 6 m </t>
  </si>
  <si>
    <t>999 28-1108</t>
  </si>
  <si>
    <t xml:space="preserve">Přesun hmot pro opravy a údržbu do výšky 12 m </t>
  </si>
  <si>
    <t>pořadí</t>
  </si>
  <si>
    <t>998 71-1201</t>
  </si>
  <si>
    <t>Přesun hmot pro izolace proti vodě, výšky do 6 m</t>
  </si>
  <si>
    <t>998 71-1202</t>
  </si>
  <si>
    <t>Přesun hmot pro izolace proti vodě, výšky do 12 m</t>
  </si>
  <si>
    <t>998 71-1203</t>
  </si>
  <si>
    <t>Přesun hmot pro izolace proti vodě, výšky do 60 m</t>
  </si>
  <si>
    <t>998 71-2201</t>
  </si>
  <si>
    <t>Přesun hmot pro povlakové krytiny, výšky do 6 m</t>
  </si>
  <si>
    <t>998 71-2202</t>
  </si>
  <si>
    <t>Přesun hmot pro povlakové krytiny, výšky do 12 m</t>
  </si>
  <si>
    <t>998 71-2203</t>
  </si>
  <si>
    <t>Přesun hmot pro povlakové krytiny, výšky do 24 m</t>
  </si>
  <si>
    <t>998 71-3201</t>
  </si>
  <si>
    <t>Přesun hmot pro izolace tepelné, výšky do 6 m</t>
  </si>
  <si>
    <t>998 71-3202</t>
  </si>
  <si>
    <t>Přesun hmot pro izolace tepelné, výšky do 12 m</t>
  </si>
  <si>
    <t>998 71-3203</t>
  </si>
  <si>
    <t>Přesun hmot pro izolace tepelné, výšky do 24 m</t>
  </si>
  <si>
    <t>998 72-1201</t>
  </si>
  <si>
    <t>Přesun hmot pro vnitřní kanalizaci, výšky do 6 m</t>
  </si>
  <si>
    <t>998 72-1202</t>
  </si>
  <si>
    <t>Přesun hmot pro vnitřní kanalizaci, výšky do 12 m</t>
  </si>
  <si>
    <t>998 72-1203</t>
  </si>
  <si>
    <t>Přesun hmot pro vnitřní kanalizaci, výšky do 24 m</t>
  </si>
  <si>
    <t>998 72-2201</t>
  </si>
  <si>
    <t>Přesun hmot pro vnitřní vodovod, výšky do 6 m</t>
  </si>
  <si>
    <t>998 72-2202</t>
  </si>
  <si>
    <t>Přesun hmot pro vnitřní vodovod, výšky do 12 m</t>
  </si>
  <si>
    <t>998 72-2203</t>
  </si>
  <si>
    <t>Přesun hmot pro vnitřní vodovod, výšky do 24 m</t>
  </si>
  <si>
    <t>998 72-3201</t>
  </si>
  <si>
    <t>Přesun hmot pro vnitřní plynovod, výšky do 6 m</t>
  </si>
  <si>
    <t>998 72-3202</t>
  </si>
  <si>
    <t>Přesun hmot pro vnitřní plynovod, výšky do 12 m</t>
  </si>
  <si>
    <t>998 72-3203</t>
  </si>
  <si>
    <t>Přesun hmot pro vnitřní plynovod, výšky do 24 m</t>
  </si>
  <si>
    <t>998 72-4201</t>
  </si>
  <si>
    <t>Přesun hmot pro strojní vybavení, výšky do 6 m</t>
  </si>
  <si>
    <t>998 72-4202</t>
  </si>
  <si>
    <t>Přesun hmot pro strojní vybavení, výšky do 12 m</t>
  </si>
  <si>
    <t>998 72-4203</t>
  </si>
  <si>
    <t>Přesun hmot pro strojní vybavení, výšky do 24 m</t>
  </si>
  <si>
    <t>998 72-5201</t>
  </si>
  <si>
    <t>Přesun hmot pro zařizovací předměty, výšky do 6 m</t>
  </si>
  <si>
    <t>998 72-5202</t>
  </si>
  <si>
    <t>Přesun hmot pro zařizovací předměty, výšky do 12 m</t>
  </si>
  <si>
    <t>998 72-5203</t>
  </si>
  <si>
    <t>Přesun hmot pro zařizovací předměty, výšky do 24 m</t>
  </si>
  <si>
    <t>998 73-1201</t>
  </si>
  <si>
    <t>Přesun hmot pro kotelny, výšky do 6 m</t>
  </si>
  <si>
    <t>998 73-1202</t>
  </si>
  <si>
    <t>Přesun hmot pro kotelny, výšky do 12 m</t>
  </si>
  <si>
    <t>998 73-2201</t>
  </si>
  <si>
    <t>Přesun hmot pro strojovny, výšky do 6 m</t>
  </si>
  <si>
    <t>998 73-2202</t>
  </si>
  <si>
    <t>Přesun hmot pro strojovny, výšky do 12 m</t>
  </si>
  <si>
    <t>998 73-3201</t>
  </si>
  <si>
    <t>Přesun hmot pro rozvody potrubí, výšky do 6 m</t>
  </si>
  <si>
    <t>998 73-3203</t>
  </si>
  <si>
    <t>Přesun hmot pro rozvody potrubí, výšky do 24 m</t>
  </si>
  <si>
    <t>998 73-4201</t>
  </si>
  <si>
    <t>Přesun hmot pro armatury, výšky do 6 m</t>
  </si>
  <si>
    <t>998 73-4203</t>
  </si>
  <si>
    <t>Přesun hmot pro armatury, výšky do 24 m</t>
  </si>
  <si>
    <t>998 73-5201</t>
  </si>
  <si>
    <t>Přesun hmot pro otopná tělesa, výšky do 6 m</t>
  </si>
  <si>
    <t>998 73-5202</t>
  </si>
  <si>
    <t>Přesun hmot pro otopná tělesa, výšky do 12 m</t>
  </si>
  <si>
    <t>998 73-5203</t>
  </si>
  <si>
    <t>Přesun hmot pro otopná tělesa, výšky do 24 m</t>
  </si>
  <si>
    <t>998 73-6201</t>
  </si>
  <si>
    <t>Přesun hmot pro podlahové vytápění, výšky do 6 m</t>
  </si>
  <si>
    <t>998 73-6202</t>
  </si>
  <si>
    <t>Přesun hmot pro podlahové vytápění, výšky do 12 m</t>
  </si>
  <si>
    <t>998 73-6203</t>
  </si>
  <si>
    <t>Přesun hmot pro podlahové vytápění, výšky do 24 m</t>
  </si>
  <si>
    <t>Přesun hmot pro solární systémy, výšky do 6 m</t>
  </si>
  <si>
    <t>Přesun hmot pro solární systémy, výšky do 12 m</t>
  </si>
  <si>
    <t>Přesun hmot pro solární systémy, výšky do 24 m</t>
  </si>
  <si>
    <t>998 76-2202</t>
  </si>
  <si>
    <t>Přesun hmot pro tesařské konstrukce, výšky do 6 m</t>
  </si>
  <si>
    <t>Přesun hmot pro tesařské konstrukce, výšky do 12 m</t>
  </si>
  <si>
    <t>998 76-2203</t>
  </si>
  <si>
    <t>Přesun hmot pro tesařské konstrukce, výšky do 24 m</t>
  </si>
  <si>
    <t>998 76-4201</t>
  </si>
  <si>
    <t>Přesun hmot pro klempířské konstr., výšky do 6 m</t>
  </si>
  <si>
    <t>998 76-4202</t>
  </si>
  <si>
    <t>Přesun hmot pro klempířské konstr., výšky do 12 m</t>
  </si>
  <si>
    <t>998 76-4203</t>
  </si>
  <si>
    <t>Přesun hmot pro klempířské konstr., výšky do 24 m</t>
  </si>
  <si>
    <t>998 76-5201</t>
  </si>
  <si>
    <t>Přesun hmot pro krytiny tvrdé, výšky do 6 m</t>
  </si>
  <si>
    <t>998 76-5202</t>
  </si>
  <si>
    <t>Přesun hmot pro krytiny tvrdé, výšky do 12 m</t>
  </si>
  <si>
    <t>998 76-5203</t>
  </si>
  <si>
    <t>Přesun hmot pro krytiny tvrdé, výšky do 24 m</t>
  </si>
  <si>
    <t>998 76-6201</t>
  </si>
  <si>
    <t>Přesun hmot pro truhlářské konstr., výšky do 6 m</t>
  </si>
  <si>
    <t>998 76-6202</t>
  </si>
  <si>
    <t>Přesun hmot pro truhlářské konstr., výšky do 12 m</t>
  </si>
  <si>
    <t>998 76-6203</t>
  </si>
  <si>
    <t>Přesun hmot pro truhlářské konstr., výšky do 24 m</t>
  </si>
  <si>
    <t>998 76-7201</t>
  </si>
  <si>
    <t>Přesun hmot pro zámečnické konstr., výšky do 6 m</t>
  </si>
  <si>
    <t>998 76-7202</t>
  </si>
  <si>
    <t>Přesun hmot pro zámečnické konstr., výšky do 12 m</t>
  </si>
  <si>
    <t>998 76-7203</t>
  </si>
  <si>
    <t>Přesun hmot pro zámečnické konstr., výšky do 24 m</t>
  </si>
  <si>
    <t>998 77-1201</t>
  </si>
  <si>
    <t>Přesun hmot pro podlahy z dlaždic, výšky do 6 m</t>
  </si>
  <si>
    <t>998 77-1202</t>
  </si>
  <si>
    <t>Přesun hmot pro podlahy z dlaždic, výšky do 12 m</t>
  </si>
  <si>
    <t>998 77-1203</t>
  </si>
  <si>
    <t>Přesun hmot pro podlahy z dlaždic, výšky do 24 m</t>
  </si>
  <si>
    <t>998 77-2201</t>
  </si>
  <si>
    <t>Přesun hmot pro dlažby z kamene, výšky do 6 m</t>
  </si>
  <si>
    <t>998 77-2202</t>
  </si>
  <si>
    <t>Přesun hmot pro dlažby z kamene, výšky do 12 m</t>
  </si>
  <si>
    <t>998 77-2203</t>
  </si>
  <si>
    <t>Přesun hmot pro dlažby z kamene, výšky do 60 m</t>
  </si>
  <si>
    <t>998 77-3201</t>
  </si>
  <si>
    <t>Přesun hmot pro podlahy teracové, výšky do 6 m</t>
  </si>
  <si>
    <t>998 77-3202</t>
  </si>
  <si>
    <t>Přesun hmot pro podlahy teracové, výšky do 12 m</t>
  </si>
  <si>
    <t>998 77-3203</t>
  </si>
  <si>
    <t>Přesun hmot pro podlahy teracové, výšky do 24 m</t>
  </si>
  <si>
    <t>998 77-5201</t>
  </si>
  <si>
    <t>Přesun hmot pro podlahy vlysové, výšky do 6 m</t>
  </si>
  <si>
    <t>998 77-5202</t>
  </si>
  <si>
    <t>Přesun hmot pro podlahy vlysové, výšky do 12 m</t>
  </si>
  <si>
    <t>998 77-5203</t>
  </si>
  <si>
    <t>Přesun hmot pro podlahy vlysové, výšky do 24 m</t>
  </si>
  <si>
    <t>998 77-6201</t>
  </si>
  <si>
    <t>Přesun hmot pro podlahy povlakové, výšky do 6 m</t>
  </si>
  <si>
    <t>998 77-6202</t>
  </si>
  <si>
    <t>Přesun hmot pro podlahy povlakové, výšky do 12 m</t>
  </si>
  <si>
    <t>998 77-6203</t>
  </si>
  <si>
    <t>Přesun hmot pro podlahy povlakové, výšky do 24 m</t>
  </si>
  <si>
    <t>998 77-7201</t>
  </si>
  <si>
    <t>Přesun hmot pro podlahy syntetické, výšky do 6 m</t>
  </si>
  <si>
    <t>998 77-7202</t>
  </si>
  <si>
    <t>Přesun hmot pro podlahy syntetické, výšky do 12 m</t>
  </si>
  <si>
    <t>998 77-7203</t>
  </si>
  <si>
    <t>Přesun hmot pro podlahy syntetické, výšky do 24 m</t>
  </si>
  <si>
    <t>998 78-1201</t>
  </si>
  <si>
    <t>Přesun hmot pro obklady keramické, výšky do 6 m</t>
  </si>
  <si>
    <t>998 78-1202</t>
  </si>
  <si>
    <t>Přesun hmot pro obklady keramické, výšky do 12 m</t>
  </si>
  <si>
    <t>998 78-1203</t>
  </si>
  <si>
    <t>Přesun hmot pro obklady keramické, výšky do 24 m</t>
  </si>
  <si>
    <t>998 78-2201</t>
  </si>
  <si>
    <t>Přesun hmot pro obklady z kamene, výšky do 6 m</t>
  </si>
  <si>
    <t>998 78-2202</t>
  </si>
  <si>
    <t>Přesun hmot pro obklady z kamene, výšky do 12 m</t>
  </si>
  <si>
    <t>998 78-2203</t>
  </si>
  <si>
    <t>Přesun hmot pro obklady z kamene, výšky do 60 m</t>
  </si>
  <si>
    <t>HZS</t>
  </si>
  <si>
    <t>Přesun hmot není obsažen v položce, ale je uváděn samostatně</t>
  </si>
  <si>
    <t>přesun hmot PSV</t>
  </si>
  <si>
    <t>Koeficient pro výšku budovy pro PSV</t>
  </si>
  <si>
    <t>7111</t>
  </si>
  <si>
    <t>7112</t>
  </si>
  <si>
    <t>7113</t>
  </si>
  <si>
    <t>7121</t>
  </si>
  <si>
    <t>7122</t>
  </si>
  <si>
    <t>7123</t>
  </si>
  <si>
    <t>7131</t>
  </si>
  <si>
    <t>7132</t>
  </si>
  <si>
    <t>7133</t>
  </si>
  <si>
    <t>7211</t>
  </si>
  <si>
    <t>7212</t>
  </si>
  <si>
    <t>7213</t>
  </si>
  <si>
    <t>7221</t>
  </si>
  <si>
    <t>7222</t>
  </si>
  <si>
    <t>7223</t>
  </si>
  <si>
    <t>7231</t>
  </si>
  <si>
    <t>7232</t>
  </si>
  <si>
    <t>7233</t>
  </si>
  <si>
    <t>7241</t>
  </si>
  <si>
    <t>7242</t>
  </si>
  <si>
    <t>7243</t>
  </si>
  <si>
    <t>7251</t>
  </si>
  <si>
    <t>7252</t>
  </si>
  <si>
    <t>7253</t>
  </si>
  <si>
    <t>7311</t>
  </si>
  <si>
    <t>7312</t>
  </si>
  <si>
    <t>7313</t>
  </si>
  <si>
    <t>7321</t>
  </si>
  <si>
    <t>7322</t>
  </si>
  <si>
    <t>7323</t>
  </si>
  <si>
    <t>7331</t>
  </si>
  <si>
    <t>7332</t>
  </si>
  <si>
    <t>7333</t>
  </si>
  <si>
    <t>7341</t>
  </si>
  <si>
    <t>7342</t>
  </si>
  <si>
    <t>7343</t>
  </si>
  <si>
    <t>7351</t>
  </si>
  <si>
    <t>7352</t>
  </si>
  <si>
    <t>7353</t>
  </si>
  <si>
    <t>7361</t>
  </si>
  <si>
    <t>7362</t>
  </si>
  <si>
    <t>7363</t>
  </si>
  <si>
    <t>7371</t>
  </si>
  <si>
    <t>7372</t>
  </si>
  <si>
    <t>7373</t>
  </si>
  <si>
    <t>7621</t>
  </si>
  <si>
    <t>7622</t>
  </si>
  <si>
    <t>7623</t>
  </si>
  <si>
    <t>7641</t>
  </si>
  <si>
    <t>7642</t>
  </si>
  <si>
    <t>7643</t>
  </si>
  <si>
    <t>7651</t>
  </si>
  <si>
    <t>7652</t>
  </si>
  <si>
    <t>7653</t>
  </si>
  <si>
    <t>7661</t>
  </si>
  <si>
    <t>7662</t>
  </si>
  <si>
    <t>7663</t>
  </si>
  <si>
    <t>7671</t>
  </si>
  <si>
    <t>7672</t>
  </si>
  <si>
    <t>7673</t>
  </si>
  <si>
    <t>7711</t>
  </si>
  <si>
    <t>7712</t>
  </si>
  <si>
    <t>7713</t>
  </si>
  <si>
    <t>7721</t>
  </si>
  <si>
    <t>7722</t>
  </si>
  <si>
    <t>7723</t>
  </si>
  <si>
    <t>7731</t>
  </si>
  <si>
    <t>7732</t>
  </si>
  <si>
    <t>7733</t>
  </si>
  <si>
    <t>7751</t>
  </si>
  <si>
    <t>7752</t>
  </si>
  <si>
    <t>7753</t>
  </si>
  <si>
    <t>7761</t>
  </si>
  <si>
    <t>7762</t>
  </si>
  <si>
    <t>7763</t>
  </si>
  <si>
    <t>7771</t>
  </si>
  <si>
    <t>7772</t>
  </si>
  <si>
    <t>7773</t>
  </si>
  <si>
    <t>7811</t>
  </si>
  <si>
    <t>7812</t>
  </si>
  <si>
    <t>7813</t>
  </si>
  <si>
    <t>7821</t>
  </si>
  <si>
    <t>7822</t>
  </si>
  <si>
    <t>7823</t>
  </si>
  <si>
    <t>7631</t>
  </si>
  <si>
    <t>7632</t>
  </si>
  <si>
    <t>7633</t>
  </si>
  <si>
    <t>7831</t>
  </si>
  <si>
    <t>7832</t>
  </si>
  <si>
    <t>7833</t>
  </si>
  <si>
    <t>7841</t>
  </si>
  <si>
    <t>7842</t>
  </si>
  <si>
    <t>7843</t>
  </si>
  <si>
    <t>7871</t>
  </si>
  <si>
    <t>7872</t>
  </si>
  <si>
    <t>7873</t>
  </si>
  <si>
    <t>7991</t>
  </si>
  <si>
    <t>7992</t>
  </si>
  <si>
    <t>7993</t>
  </si>
  <si>
    <t>7001</t>
  </si>
  <si>
    <t>7002</t>
  </si>
  <si>
    <t>7003</t>
  </si>
  <si>
    <t>Přesun PSV</t>
  </si>
  <si>
    <t>Konec přesunu PSV</t>
  </si>
  <si>
    <t>http://www.czso.cz/csu/2015edicniplan.nsf/p/110025-15</t>
  </si>
  <si>
    <t>Tab. 9a</t>
  </si>
  <si>
    <t>0233 - Technologická  doprava zemin a vnitrostaveništní přesuny hmot po stavbě (pokud nejsou uvedeny samostatně v položkách přesunů hmot)</t>
  </si>
  <si>
    <t>náhrady práce cca 10%</t>
  </si>
  <si>
    <t>http://www.czso.cz/csu/redakce.nsf/i/ipc_cr</t>
  </si>
  <si>
    <t>Indexy cen výrobů, tab.1</t>
  </si>
  <si>
    <t>inflace meziročně</t>
  </si>
  <si>
    <t>Vedlejší náklady</t>
  </si>
  <si>
    <t>Ztížené výrobní podmínky související s umístěním stavby, provozními nebo dopravními omezeními</t>
  </si>
  <si>
    <t>4b</t>
  </si>
  <si>
    <t>5d</t>
  </si>
  <si>
    <t>CÚ 2016/II</t>
  </si>
  <si>
    <t>139 60-1101</t>
  </si>
  <si>
    <t>162 20-1203</t>
  </si>
  <si>
    <t>Vodorovné přemíst.výkopku, kolečko hor.1-4, do 10m</t>
  </si>
  <si>
    <t>162 20-1210</t>
  </si>
  <si>
    <t>Příplatek za dalš.10 m, kolečko, výkop. z hor.1- 4</t>
  </si>
  <si>
    <t>171 20-1101</t>
  </si>
  <si>
    <t>Uložení sypaniny do násypů nezhutněných</t>
  </si>
  <si>
    <t>174 10-1102</t>
  </si>
  <si>
    <t>Zásyp ruční se zhutněním</t>
  </si>
  <si>
    <t>273 31-3211</t>
  </si>
  <si>
    <t>346 27-1122</t>
  </si>
  <si>
    <t>Zednické práce</t>
  </si>
  <si>
    <t>275 31-3511</t>
  </si>
  <si>
    <t>275 35-1216</t>
  </si>
  <si>
    <t>Bednění stěn základových patek - odstranění</t>
  </si>
  <si>
    <t>274 31-3511</t>
  </si>
  <si>
    <t>274 35-1215</t>
  </si>
  <si>
    <t>Bednění stěn základových pasů - zřízení</t>
  </si>
  <si>
    <t>274 35-1216</t>
  </si>
  <si>
    <t>Bednění stěn základových pasů - odstranění</t>
  </si>
  <si>
    <t>271 57-1111</t>
  </si>
  <si>
    <t>Zásyp štěrkopískem zhutněným</t>
  </si>
  <si>
    <t>316 38-1111</t>
  </si>
  <si>
    <t>317 94-4311</t>
  </si>
  <si>
    <t>764 36-7201</t>
  </si>
  <si>
    <t>783 52-2000</t>
  </si>
  <si>
    <t>Nátěr syntet. klempířských konstrukcí, Z + 2 x</t>
  </si>
  <si>
    <t>Zámečnické konstrukce</t>
  </si>
  <si>
    <t>Dvířka - 235 X 349 mm</t>
  </si>
  <si>
    <t>Dvířka - 480 X 530 mm</t>
  </si>
  <si>
    <t>Dvířka - 440 X 540 mm</t>
  </si>
  <si>
    <t>998 15-2121</t>
  </si>
  <si>
    <t>Přesun hmot, oplocení, zvláštní obj. monol. do 3 m</t>
  </si>
  <si>
    <t>PŘÍPOJKOVÝ PILÍŘEK</t>
  </si>
  <si>
    <t>STAŠOV, RODINNÁ ZÁSTAVBA "NADE VSÍ"</t>
  </si>
  <si>
    <t>ING.ARCH.FEISTNER</t>
  </si>
  <si>
    <t>275 35-1215.RT1</t>
  </si>
  <si>
    <t>Bednění stěn základových patek, bednící materiál prkna - zřízení s částečným ponecháním bednění ve výkopu</t>
  </si>
  <si>
    <t>711 21-2112</t>
  </si>
  <si>
    <t>711 21-2104</t>
  </si>
  <si>
    <t>Zemní práce, základy</t>
  </si>
  <si>
    <t>Dvířka - 1110 X 630 mm</t>
  </si>
  <si>
    <t>PARCELY Č. 1 A 8 (CELKEM 2KS)</t>
  </si>
  <si>
    <r>
      <t xml:space="preserve">Ruční výkop jam, rýh a šachet v hornině tř. 1 - 2
</t>
    </r>
    <r>
      <rPr>
        <sz val="11"/>
        <color rgb="FF00B050"/>
        <rFont val="Calibri"/>
        <family val="2"/>
        <charset val="238"/>
        <scheme val="minor"/>
      </rPr>
      <t>viz výkres P3, P4 a Technická zpráva</t>
    </r>
  </si>
  <si>
    <r>
      <t xml:space="preserve">Beton základových desek prostý C -/7,5 - do výkopu
</t>
    </r>
    <r>
      <rPr>
        <sz val="11"/>
        <color rgb="FF00B050"/>
        <rFont val="Calibri"/>
        <family val="2"/>
        <charset val="238"/>
        <scheme val="minor"/>
      </rPr>
      <t>viz výkres P3, P4 a Technická zpráva</t>
    </r>
  </si>
  <si>
    <r>
      <t xml:space="preserve">Beton základových patek-pilířků prostý C 12/15
</t>
    </r>
    <r>
      <rPr>
        <sz val="11"/>
        <color rgb="FF00B050"/>
        <rFont val="Calibri"/>
        <family val="2"/>
        <charset val="238"/>
        <scheme val="minor"/>
      </rPr>
      <t>viz výkres P3, P4 a Technická zpráva</t>
    </r>
  </si>
  <si>
    <r>
      <t xml:space="preserve">Beton základových pasů prostý C 12/15 - dobetonávky
</t>
    </r>
    <r>
      <rPr>
        <sz val="11"/>
        <color rgb="FF00B050"/>
        <rFont val="Calibri"/>
        <family val="2"/>
        <charset val="238"/>
        <scheme val="minor"/>
      </rPr>
      <t>viz výkres P3, P4 a Technická zpráva</t>
    </r>
  </si>
  <si>
    <r>
      <t xml:space="preserve">Zdivo z cihel vápenopískových (NF) 115 mm
</t>
    </r>
    <r>
      <rPr>
        <sz val="11"/>
        <color rgb="FF00B050"/>
        <rFont val="Calibri"/>
        <family val="2"/>
        <charset val="238"/>
        <scheme val="minor"/>
      </rPr>
      <t>viz výkres P3, P4 a Technická zpráva</t>
    </r>
  </si>
  <si>
    <r>
      <t xml:space="preserve">Válcované nosníky do č.12 osazené do otvorů
</t>
    </r>
    <r>
      <rPr>
        <sz val="11"/>
        <color rgb="FF00B050"/>
        <rFont val="Calibri"/>
        <family val="2"/>
        <charset val="238"/>
        <scheme val="minor"/>
      </rPr>
      <t>viz výkres P3, P4 a Technická zpráva</t>
    </r>
  </si>
  <si>
    <r>
      <t xml:space="preserve">Komínové krycí desky bez přesahu tl. 50 - 80 mm
</t>
    </r>
    <r>
      <rPr>
        <sz val="11"/>
        <color rgb="FF00B050"/>
        <rFont val="Calibri"/>
        <family val="2"/>
        <charset val="238"/>
        <scheme val="minor"/>
      </rPr>
      <t>viz výkres P3, P4 a Technická zpráva</t>
    </r>
  </si>
  <si>
    <r>
      <t xml:space="preserve">Oplechování z Pz, plochy do 6 m2
</t>
    </r>
    <r>
      <rPr>
        <sz val="11"/>
        <color rgb="FF00B050"/>
        <rFont val="Calibri"/>
        <family val="2"/>
        <charset val="238"/>
        <scheme val="minor"/>
      </rPr>
      <t>viz výkres P3, P4 a Technická zpráva</t>
    </r>
  </si>
  <si>
    <r>
      <t xml:space="preserve">Penetrace savých podkladů </t>
    </r>
    <r>
      <rPr>
        <i/>
        <sz val="11"/>
        <color rgb="FF00B050"/>
        <rFont val="Calibri"/>
        <family val="2"/>
        <charset val="238"/>
        <scheme val="minor"/>
      </rPr>
      <t>např.</t>
    </r>
    <r>
      <rPr>
        <sz val="11"/>
        <color rgb="FF00B050"/>
        <rFont val="Calibri"/>
        <family val="2"/>
        <charset val="238"/>
        <scheme val="minor"/>
      </rPr>
      <t>Cemix PH 0,25 l/m2</t>
    </r>
  </si>
  <si>
    <r>
      <t xml:space="preserve">Nátěr hydroizolační </t>
    </r>
    <r>
      <rPr>
        <i/>
        <sz val="11"/>
        <color rgb="FF00B050"/>
        <rFont val="Calibri"/>
        <family val="2"/>
        <charset val="238"/>
        <scheme val="minor"/>
      </rPr>
      <t>např.</t>
    </r>
    <r>
      <rPr>
        <sz val="11"/>
        <color rgb="FF00B050"/>
        <rFont val="Calibri"/>
        <family val="2"/>
        <charset val="238"/>
        <scheme val="minor"/>
      </rPr>
      <t>Cemix HS1K proti vlhkosti silikát</t>
    </r>
  </si>
</sst>
</file>

<file path=xl/styles.xml><?xml version="1.0" encoding="utf-8"?>
<styleSheet xmlns="http://schemas.openxmlformats.org/spreadsheetml/2006/main">
  <numFmts count="5">
    <numFmt numFmtId="41" formatCode="_-* #,##0\ _K_č_-;\-* #,##0\ _K_č_-;_-* &quot;-&quot;\ _K_č_-;_-@_-"/>
    <numFmt numFmtId="164" formatCode="0&quot;.&quot;"/>
    <numFmt numFmtId="165" formatCode="0.0%"/>
    <numFmt numFmtId="166" formatCode=";;;"/>
    <numFmt numFmtId="167" formatCode="0.000"/>
  </numFmts>
  <fonts count="84">
    <font>
      <sz val="10"/>
      <name val="Tahoma"/>
      <charset val="238"/>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0"/>
      <name val="Tahoma"/>
      <family val="2"/>
      <charset val="238"/>
    </font>
    <font>
      <sz val="10"/>
      <name val="Tahoma"/>
      <family val="2"/>
      <charset val="238"/>
    </font>
    <font>
      <sz val="10"/>
      <name val="Arial"/>
      <family val="2"/>
      <charset val="238"/>
    </font>
    <font>
      <u/>
      <sz val="10"/>
      <color indexed="12"/>
      <name val="Arial"/>
      <family val="2"/>
      <charset val="238"/>
    </font>
    <font>
      <sz val="11"/>
      <name val="Calibri"/>
      <family val="2"/>
      <charset val="238"/>
    </font>
    <font>
      <b/>
      <sz val="14"/>
      <name val="Calibri"/>
      <family val="2"/>
      <charset val="238"/>
    </font>
    <font>
      <sz val="10"/>
      <name val="Calibri"/>
      <family val="2"/>
      <charset val="238"/>
    </font>
    <font>
      <sz val="10"/>
      <name val="Trebuchet MS"/>
      <family val="2"/>
      <charset val="238"/>
    </font>
    <font>
      <b/>
      <sz val="16"/>
      <name val="Calibri"/>
      <family val="2"/>
      <charset val="238"/>
    </font>
    <font>
      <b/>
      <sz val="10"/>
      <name val="Calibri"/>
      <family val="2"/>
      <charset val="238"/>
    </font>
    <font>
      <b/>
      <sz val="14"/>
      <color indexed="10"/>
      <name val="Calibri"/>
      <family val="2"/>
      <charset val="238"/>
    </font>
    <font>
      <sz val="10"/>
      <name val="Arial CE"/>
      <charset val="238"/>
    </font>
    <font>
      <sz val="10"/>
      <name val="Helv"/>
      <charset val="238"/>
    </font>
    <font>
      <sz val="10"/>
      <color indexed="39"/>
      <name val="Arial CE"/>
      <family val="2"/>
      <charset val="238"/>
    </font>
    <font>
      <sz val="12"/>
      <name val="Times New Roman"/>
      <family val="1"/>
      <charset val="238"/>
    </font>
    <font>
      <b/>
      <sz val="12"/>
      <name val="Times New Roman"/>
      <family val="1"/>
      <charset val="238"/>
    </font>
    <font>
      <sz val="12"/>
      <name val="Symbol"/>
      <family val="1"/>
      <charset val="2"/>
    </font>
    <font>
      <sz val="7"/>
      <name val="Times New Roman"/>
      <family val="1"/>
      <charset val="238"/>
    </font>
    <font>
      <sz val="8"/>
      <name val="Calibri"/>
      <family val="2"/>
      <charset val="238"/>
    </font>
    <font>
      <sz val="9"/>
      <name val="Arial CE"/>
      <charset val="238"/>
    </font>
    <font>
      <u/>
      <sz val="8.1"/>
      <color indexed="12"/>
      <name val="Arial CE"/>
      <charset val="238"/>
    </font>
    <font>
      <sz val="8"/>
      <color indexed="10"/>
      <name val="Calibri"/>
      <family val="2"/>
      <charset val="238"/>
    </font>
    <font>
      <b/>
      <sz val="18"/>
      <name val="Calibri"/>
      <family val="2"/>
      <charset val="238"/>
    </font>
    <font>
      <sz val="10"/>
      <name val="Helv"/>
    </font>
    <font>
      <b/>
      <sz val="10"/>
      <name val="Arial"/>
      <family val="2"/>
      <charset val="238"/>
    </font>
    <font>
      <sz val="11"/>
      <color theme="1"/>
      <name val="Calibri"/>
      <family val="2"/>
      <charset val="238"/>
      <scheme val="minor"/>
    </font>
    <font>
      <b/>
      <sz val="11"/>
      <color theme="1"/>
      <name val="Calibri"/>
      <family val="2"/>
      <charset val="238"/>
      <scheme val="minor"/>
    </font>
    <font>
      <sz val="10"/>
      <color theme="1"/>
      <name val="Arial"/>
      <family val="2"/>
      <charset val="238"/>
    </font>
    <font>
      <sz val="11"/>
      <color rgb="FFFF0000"/>
      <name val="Calibri"/>
      <family val="2"/>
      <charset val="238"/>
      <scheme val="minor"/>
    </font>
    <font>
      <sz val="11"/>
      <color indexed="8"/>
      <name val="Calibri"/>
      <family val="2"/>
      <charset val="238"/>
      <scheme val="minor"/>
    </font>
    <font>
      <sz val="11"/>
      <name val="Calibri"/>
      <family val="2"/>
      <charset val="238"/>
      <scheme val="minor"/>
    </font>
    <font>
      <b/>
      <sz val="11"/>
      <name val="Calibri"/>
      <family val="2"/>
      <charset val="238"/>
      <scheme val="minor"/>
    </font>
    <font>
      <b/>
      <u/>
      <sz val="14"/>
      <name val="Calibri"/>
      <family val="2"/>
      <charset val="238"/>
      <scheme val="minor"/>
    </font>
    <font>
      <sz val="11"/>
      <color rgb="FF0000FF"/>
      <name val="Calibri"/>
      <family val="2"/>
      <charset val="238"/>
      <scheme val="minor"/>
    </font>
    <font>
      <b/>
      <sz val="11"/>
      <color indexed="8"/>
      <name val="Calibri"/>
      <family val="2"/>
      <charset val="238"/>
      <scheme val="minor"/>
    </font>
    <font>
      <sz val="8"/>
      <color rgb="FF0000FF"/>
      <name val="Calibri"/>
      <family val="2"/>
      <charset val="238"/>
      <scheme val="minor"/>
    </font>
    <font>
      <sz val="8"/>
      <color indexed="8"/>
      <name val="Calibri"/>
      <family val="2"/>
      <charset val="238"/>
      <scheme val="minor"/>
    </font>
    <font>
      <b/>
      <sz val="18"/>
      <color theme="1"/>
      <name val="Calibri"/>
      <family val="2"/>
      <charset val="238"/>
      <scheme val="minor"/>
    </font>
    <font>
      <u/>
      <sz val="11"/>
      <color indexed="12"/>
      <name val="Calibri"/>
      <family val="2"/>
      <charset val="238"/>
      <scheme val="minor"/>
    </font>
    <font>
      <b/>
      <sz val="12"/>
      <color theme="1"/>
      <name val="Calibri"/>
      <family val="2"/>
      <charset val="238"/>
      <scheme val="minor"/>
    </font>
    <font>
      <sz val="8"/>
      <name val="Calibri"/>
      <family val="2"/>
      <charset val="238"/>
      <scheme val="minor"/>
    </font>
    <font>
      <i/>
      <sz val="11"/>
      <color indexed="8"/>
      <name val="Calibri"/>
      <family val="2"/>
      <charset val="238"/>
      <scheme val="minor"/>
    </font>
    <font>
      <i/>
      <sz val="9"/>
      <color indexed="8"/>
      <name val="Calibri"/>
      <family val="2"/>
      <charset val="238"/>
      <scheme val="minor"/>
    </font>
    <font>
      <i/>
      <sz val="8"/>
      <color indexed="8"/>
      <name val="Calibri"/>
      <family val="2"/>
      <charset val="238"/>
      <scheme val="minor"/>
    </font>
    <font>
      <i/>
      <sz val="8"/>
      <name val="Calibri"/>
      <family val="2"/>
      <charset val="238"/>
      <scheme val="minor"/>
    </font>
    <font>
      <i/>
      <sz val="7"/>
      <color indexed="8"/>
      <name val="Calibri"/>
      <family val="2"/>
      <charset val="238"/>
      <scheme val="minor"/>
    </font>
    <font>
      <sz val="10"/>
      <color theme="1"/>
      <name val="Calibri"/>
      <family val="2"/>
      <charset val="238"/>
      <scheme val="minor"/>
    </font>
    <font>
      <sz val="8"/>
      <color theme="1"/>
      <name val="Calibri"/>
      <family val="2"/>
      <charset val="238"/>
      <scheme val="minor"/>
    </font>
    <font>
      <i/>
      <sz val="11"/>
      <color rgb="FF0000FF"/>
      <name val="Calibri"/>
      <family val="2"/>
      <charset val="238"/>
      <scheme val="minor"/>
    </font>
    <font>
      <sz val="12"/>
      <color theme="1"/>
      <name val="Calibri"/>
      <family val="2"/>
      <charset val="238"/>
      <scheme val="minor"/>
    </font>
    <font>
      <sz val="14"/>
      <color theme="1"/>
      <name val="Calibri"/>
      <family val="2"/>
      <charset val="238"/>
      <scheme val="minor"/>
    </font>
    <font>
      <sz val="9"/>
      <color theme="1"/>
      <name val="Calibri"/>
      <family val="2"/>
      <charset val="238"/>
      <scheme val="minor"/>
    </font>
    <font>
      <b/>
      <sz val="22"/>
      <color theme="1"/>
      <name val="Calibri"/>
      <family val="2"/>
      <charset val="238"/>
      <scheme val="minor"/>
    </font>
    <font>
      <b/>
      <sz val="11"/>
      <color indexed="10"/>
      <name val="Calibri"/>
      <family val="2"/>
      <charset val="238"/>
      <scheme val="minor"/>
    </font>
    <font>
      <b/>
      <sz val="18"/>
      <color rgb="FFFF0000"/>
      <name val="Calibri"/>
      <family val="2"/>
      <charset val="238"/>
      <scheme val="minor"/>
    </font>
    <font>
      <b/>
      <sz val="14"/>
      <name val="Calibri"/>
      <family val="2"/>
      <charset val="238"/>
      <scheme val="minor"/>
    </font>
    <font>
      <sz val="11"/>
      <color indexed="10"/>
      <name val="Calibri"/>
      <family val="2"/>
      <charset val="238"/>
      <scheme val="minor"/>
    </font>
    <font>
      <sz val="11"/>
      <color indexed="12"/>
      <name val="Calibri"/>
      <family val="2"/>
      <charset val="238"/>
      <scheme val="minor"/>
    </font>
    <font>
      <sz val="10"/>
      <name val="Calibri"/>
      <family val="2"/>
      <charset val="238"/>
      <scheme val="minor"/>
    </font>
    <font>
      <b/>
      <sz val="11"/>
      <color rgb="FFFF0000"/>
      <name val="Calibri"/>
      <family val="2"/>
      <charset val="238"/>
      <scheme val="minor"/>
    </font>
    <font>
      <b/>
      <sz val="14"/>
      <color theme="1"/>
      <name val="Calibri"/>
      <family val="2"/>
      <charset val="238"/>
      <scheme val="minor"/>
    </font>
    <font>
      <b/>
      <u/>
      <sz val="11"/>
      <color theme="1"/>
      <name val="Calibri"/>
      <family val="2"/>
      <charset val="238"/>
      <scheme val="minor"/>
    </font>
    <font>
      <sz val="11"/>
      <color theme="9" tint="-0.249977111117893"/>
      <name val="Calibri"/>
      <family val="2"/>
      <charset val="238"/>
      <scheme val="minor"/>
    </font>
    <font>
      <sz val="6"/>
      <name val="Calibri"/>
      <family val="2"/>
      <charset val="238"/>
      <scheme val="minor"/>
    </font>
    <font>
      <b/>
      <sz val="11"/>
      <color rgb="FF0000FF"/>
      <name val="Calibri"/>
      <family val="2"/>
      <charset val="238"/>
      <scheme val="minor"/>
    </font>
    <font>
      <sz val="10"/>
      <name val="Arial"/>
      <family val="2"/>
      <charset val="238"/>
    </font>
    <font>
      <sz val="10"/>
      <name val="Arial"/>
      <family val="2"/>
      <charset val="238"/>
    </font>
    <font>
      <b/>
      <sz val="10"/>
      <name val="Arial CE"/>
      <family val="2"/>
      <charset val="238"/>
    </font>
    <font>
      <sz val="9"/>
      <name val="Arial CE"/>
      <family val="2"/>
      <charset val="238"/>
    </font>
    <font>
      <sz val="7"/>
      <name val="Arial CE"/>
      <family val="2"/>
      <charset val="238"/>
    </font>
    <font>
      <b/>
      <sz val="7"/>
      <name val="Arial CE"/>
      <family val="2"/>
      <charset val="238"/>
    </font>
    <font>
      <sz val="11"/>
      <color rgb="FF00B0F0"/>
      <name val="Calibri"/>
      <family val="2"/>
      <charset val="238"/>
      <scheme val="minor"/>
    </font>
    <font>
      <sz val="10"/>
      <color rgb="FFFF0000"/>
      <name val="Arial"/>
      <family val="2"/>
      <charset val="238"/>
    </font>
    <font>
      <b/>
      <sz val="11"/>
      <color rgb="FF00B0F0"/>
      <name val="Calibri"/>
      <family val="2"/>
      <charset val="238"/>
      <scheme val="minor"/>
    </font>
    <font>
      <b/>
      <sz val="16"/>
      <color theme="1"/>
      <name val="Calibri"/>
      <family val="2"/>
      <charset val="238"/>
      <scheme val="minor"/>
    </font>
    <font>
      <sz val="11"/>
      <color rgb="FF3333FF"/>
      <name val="Calibri"/>
      <family val="2"/>
      <charset val="238"/>
      <scheme val="minor"/>
    </font>
    <font>
      <sz val="11"/>
      <color rgb="FF00B050"/>
      <name val="Calibri"/>
      <family val="2"/>
      <charset val="238"/>
      <scheme val="minor"/>
    </font>
    <font>
      <i/>
      <sz val="11"/>
      <color rgb="FF00B050"/>
      <name val="Calibri"/>
      <family val="2"/>
      <charset val="238"/>
      <scheme val="minor"/>
    </font>
  </fonts>
  <fills count="9">
    <fill>
      <patternFill patternType="none"/>
    </fill>
    <fill>
      <patternFill patternType="gray125"/>
    </fill>
    <fill>
      <patternFill patternType="solid">
        <fgColor rgb="FFFFFFCC"/>
        <bgColor indexed="64"/>
      </patternFill>
    </fill>
    <fill>
      <patternFill patternType="solid">
        <fgColor rgb="FFFFFF00"/>
        <bgColor indexed="64"/>
      </patternFill>
    </fill>
    <fill>
      <patternFill patternType="solid">
        <fgColor theme="0" tint="-0.14996795556505021"/>
        <bgColor indexed="64"/>
      </patternFill>
    </fill>
    <fill>
      <patternFill patternType="solid">
        <fgColor theme="5" tint="0.79998168889431442"/>
        <bgColor indexed="64"/>
      </patternFill>
    </fill>
    <fill>
      <patternFill patternType="solid">
        <fgColor rgb="FFFFFF99"/>
        <bgColor indexed="64"/>
      </patternFill>
    </fill>
    <fill>
      <patternFill patternType="solid">
        <fgColor theme="6" tint="0.79998168889431442"/>
        <bgColor indexed="64"/>
      </patternFill>
    </fill>
    <fill>
      <patternFill patternType="solid">
        <fgColor theme="5" tint="0.79995117038483843"/>
        <bgColor indexed="64"/>
      </patternFill>
    </fill>
  </fills>
  <borders count="16">
    <border>
      <left/>
      <right/>
      <top/>
      <bottom/>
      <diagonal/>
    </border>
    <border>
      <left style="thin">
        <color indexed="64"/>
      </left>
      <right/>
      <top/>
      <bottom style="thick">
        <color indexed="64"/>
      </bottom>
      <diagonal/>
    </border>
    <border>
      <left/>
      <right/>
      <top/>
      <bottom style="thick">
        <color indexed="64"/>
      </bottom>
      <diagonal/>
    </border>
    <border>
      <left/>
      <right style="medium">
        <color indexed="64"/>
      </right>
      <top/>
      <bottom style="thick">
        <color indexed="64"/>
      </bottom>
      <diagonal/>
    </border>
    <border>
      <left/>
      <right style="medium">
        <color indexed="64"/>
      </right>
      <top style="thin">
        <color indexed="64"/>
      </top>
      <bottom/>
      <diagonal/>
    </border>
    <border>
      <left/>
      <right style="medium">
        <color indexed="64"/>
      </right>
      <top/>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right/>
      <top/>
      <bottom style="hair">
        <color indexed="64"/>
      </bottom>
      <diagonal/>
    </border>
    <border>
      <left/>
      <right/>
      <top/>
      <bottom style="thin">
        <color indexed="8"/>
      </bottom>
      <diagonal/>
    </border>
    <border>
      <left/>
      <right style="thin">
        <color indexed="8"/>
      </right>
      <top style="thin">
        <color indexed="8"/>
      </top>
      <bottom style="thin">
        <color indexed="8"/>
      </bottom>
      <diagonal/>
    </border>
    <border>
      <left/>
      <right style="thin">
        <color indexed="8"/>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19">
    <xf numFmtId="0" fontId="0" fillId="0" borderId="0"/>
    <xf numFmtId="41" fontId="17" fillId="0" borderId="0" applyFont="0" applyFill="0" applyBorder="0" applyAlignment="0" applyProtection="0"/>
    <xf numFmtId="0" fontId="9" fillId="0" borderId="0" applyNumberFormat="0" applyFill="0" applyBorder="0" applyAlignment="0" applyProtection="0">
      <alignment vertical="top"/>
      <protection locked="0"/>
    </xf>
    <xf numFmtId="0" fontId="26" fillId="0" borderId="0" applyNumberFormat="0" applyFill="0" applyBorder="0" applyAlignment="0" applyProtection="0">
      <alignment vertical="top"/>
      <protection locked="0"/>
    </xf>
    <xf numFmtId="0" fontId="31" fillId="0" borderId="0"/>
    <xf numFmtId="0" fontId="8" fillId="0" borderId="0"/>
    <xf numFmtId="0" fontId="31" fillId="0" borderId="0"/>
    <xf numFmtId="0" fontId="25" fillId="0" borderId="0"/>
    <xf numFmtId="0" fontId="25" fillId="0" borderId="0"/>
    <xf numFmtId="0" fontId="18" fillId="0" borderId="0"/>
    <xf numFmtId="9" fontId="6" fillId="0" borderId="0" applyFont="0" applyFill="0" applyBorder="0" applyAlignment="0" applyProtection="0"/>
    <xf numFmtId="9" fontId="8" fillId="0" borderId="0" applyFont="0" applyFill="0" applyBorder="0" applyAlignment="0" applyProtection="0"/>
    <xf numFmtId="9" fontId="33" fillId="0" borderId="0" applyFont="0" applyFill="0" applyBorder="0" applyAlignment="0" applyProtection="0"/>
    <xf numFmtId="9" fontId="25" fillId="0" borderId="0" applyFont="0" applyFill="0" applyBorder="0" applyAlignment="0" applyProtection="0"/>
    <xf numFmtId="0" fontId="29" fillId="0" borderId="0"/>
    <xf numFmtId="0" fontId="71" fillId="0" borderId="0"/>
    <xf numFmtId="0" fontId="72" fillId="0" borderId="0"/>
    <xf numFmtId="0" fontId="17" fillId="0" borderId="0"/>
    <xf numFmtId="4" fontId="17" fillId="0" borderId="0" applyFont="0" applyFill="0" applyBorder="0" applyAlignment="0" applyProtection="0"/>
  </cellStyleXfs>
  <cellXfs count="239">
    <xf numFmtId="0" fontId="0" fillId="0" borderId="0" xfId="0"/>
    <xf numFmtId="0" fontId="35" fillId="0" borderId="0" xfId="6" applyNumberFormat="1" applyFont="1" applyFill="1" applyBorder="1" applyAlignment="1">
      <alignment horizontal="left" vertical="top" wrapText="1"/>
    </xf>
    <xf numFmtId="0" fontId="36" fillId="0" borderId="0" xfId="0" applyFont="1" applyAlignment="1"/>
    <xf numFmtId="3" fontId="37" fillId="0" borderId="0" xfId="5" applyNumberFormat="1" applyFont="1" applyBorder="1" applyAlignment="1">
      <alignment vertical="top"/>
    </xf>
    <xf numFmtId="4" fontId="36" fillId="0" borderId="0" xfId="5" applyNumberFormat="1" applyFont="1" applyFill="1" applyAlignment="1" applyProtection="1">
      <alignment vertical="top"/>
      <protection locked="0"/>
    </xf>
    <xf numFmtId="0" fontId="36" fillId="0" borderId="0" xfId="5" applyFont="1" applyAlignment="1">
      <alignment vertical="top"/>
    </xf>
    <xf numFmtId="0" fontId="37" fillId="0" borderId="0" xfId="5" applyFont="1" applyAlignment="1">
      <alignment vertical="top" wrapText="1"/>
    </xf>
    <xf numFmtId="0" fontId="36" fillId="0" borderId="0" xfId="5" applyFont="1" applyAlignment="1">
      <alignment vertical="top" wrapText="1"/>
    </xf>
    <xf numFmtId="3" fontId="36" fillId="0" borderId="0" xfId="5" applyNumberFormat="1" applyFont="1" applyAlignment="1">
      <alignment vertical="top"/>
    </xf>
    <xf numFmtId="0" fontId="35" fillId="0" borderId="0" xfId="6" applyNumberFormat="1" applyFont="1" applyFill="1" applyBorder="1" applyAlignment="1">
      <alignment vertical="top"/>
    </xf>
    <xf numFmtId="164" fontId="36" fillId="0" borderId="0" xfId="5" applyNumberFormat="1" applyFont="1" applyAlignment="1" applyProtection="1">
      <alignment vertical="top"/>
      <protection locked="0"/>
    </xf>
    <xf numFmtId="0" fontId="38" fillId="0" borderId="0" xfId="2" applyFont="1" applyAlignment="1" applyProtection="1">
      <alignment vertical="top" wrapText="1"/>
    </xf>
    <xf numFmtId="0" fontId="39" fillId="0" borderId="0" xfId="5" applyFont="1" applyAlignment="1" applyProtection="1">
      <alignment vertical="top" wrapText="1"/>
      <protection locked="0"/>
    </xf>
    <xf numFmtId="3" fontId="34" fillId="0" borderId="0" xfId="5" applyNumberFormat="1" applyFont="1" applyAlignment="1" applyProtection="1">
      <alignment vertical="top"/>
      <protection hidden="1"/>
    </xf>
    <xf numFmtId="0" fontId="40" fillId="0" borderId="0" xfId="6" applyNumberFormat="1" applyFont="1" applyFill="1" applyBorder="1" applyAlignment="1">
      <alignment horizontal="left" vertical="top" wrapText="1"/>
    </xf>
    <xf numFmtId="0" fontId="41" fillId="0" borderId="0" xfId="6" applyNumberFormat="1" applyFont="1" applyFill="1" applyBorder="1" applyAlignment="1" applyProtection="1">
      <alignment horizontal="left" vertical="top" wrapText="1"/>
      <protection locked="0"/>
    </xf>
    <xf numFmtId="0" fontId="42" fillId="0" borderId="0" xfId="6" applyNumberFormat="1" applyFont="1" applyFill="1" applyBorder="1" applyAlignment="1">
      <alignment horizontal="left" vertical="top" wrapText="1"/>
    </xf>
    <xf numFmtId="10" fontId="39" fillId="0" borderId="0" xfId="10" applyNumberFormat="1" applyFont="1" applyFill="1" applyAlignment="1" applyProtection="1">
      <alignment vertical="top"/>
      <protection locked="0"/>
    </xf>
    <xf numFmtId="0" fontId="31" fillId="0" borderId="0" xfId="4" applyFont="1" applyFill="1" applyAlignment="1">
      <alignment vertical="top"/>
    </xf>
    <xf numFmtId="0" fontId="31" fillId="0" borderId="0" xfId="4" applyFont="1" applyAlignment="1">
      <alignment vertical="top"/>
    </xf>
    <xf numFmtId="0" fontId="43" fillId="0" borderId="0" xfId="4" applyFont="1" applyAlignment="1">
      <alignment vertical="top"/>
    </xf>
    <xf numFmtId="0" fontId="44" fillId="0" borderId="0" xfId="2" applyFont="1" applyAlignment="1" applyProtection="1">
      <alignment vertical="top"/>
    </xf>
    <xf numFmtId="3" fontId="31" fillId="0" borderId="0" xfId="4" applyNumberFormat="1" applyFont="1" applyAlignment="1">
      <alignment vertical="top"/>
    </xf>
    <xf numFmtId="0" fontId="45" fillId="0" borderId="0" xfId="4" applyFont="1" applyAlignment="1">
      <alignment vertical="top"/>
    </xf>
    <xf numFmtId="0" fontId="34" fillId="0" borderId="0" xfId="4" applyFont="1" applyAlignment="1" applyProtection="1">
      <alignment vertical="top"/>
      <protection hidden="1"/>
    </xf>
    <xf numFmtId="0" fontId="9" fillId="0" borderId="0" xfId="2" applyNumberFormat="1" applyFill="1" applyBorder="1" applyAlignment="1" applyProtection="1">
      <alignment wrapText="1"/>
    </xf>
    <xf numFmtId="0" fontId="9" fillId="0" borderId="0" xfId="2" applyAlignment="1" applyProtection="1">
      <alignment vertical="top" wrapText="1"/>
    </xf>
    <xf numFmtId="0" fontId="46" fillId="0" borderId="0" xfId="5" applyFont="1" applyAlignment="1">
      <alignment wrapText="1"/>
    </xf>
    <xf numFmtId="0" fontId="47" fillId="0" borderId="0" xfId="6" applyNumberFormat="1" applyFont="1" applyFill="1" applyBorder="1" applyAlignment="1">
      <alignment horizontal="left" vertical="top" wrapText="1"/>
    </xf>
    <xf numFmtId="0" fontId="48" fillId="0" borderId="0" xfId="6" applyNumberFormat="1" applyFont="1" applyFill="1" applyBorder="1" applyAlignment="1">
      <alignment horizontal="left" vertical="top" wrapText="1"/>
    </xf>
    <xf numFmtId="0" fontId="49" fillId="0" borderId="0" xfId="6" applyNumberFormat="1" applyFont="1" applyFill="1" applyBorder="1" applyAlignment="1">
      <alignment horizontal="left" vertical="top" wrapText="1"/>
    </xf>
    <xf numFmtId="0" fontId="50" fillId="0" borderId="0" xfId="5" applyFont="1" applyAlignment="1">
      <alignment vertical="top" wrapText="1"/>
    </xf>
    <xf numFmtId="0" fontId="51" fillId="0" borderId="0" xfId="6" applyNumberFormat="1" applyFont="1" applyFill="1" applyBorder="1" applyAlignment="1">
      <alignment horizontal="left" vertical="top" wrapText="1"/>
    </xf>
    <xf numFmtId="0" fontId="10" fillId="0" borderId="0" xfId="0" applyFont="1"/>
    <xf numFmtId="0" fontId="13" fillId="0" borderId="0" xfId="0" applyFont="1" applyAlignment="1">
      <alignment horizontal="justify"/>
    </xf>
    <xf numFmtId="0" fontId="32" fillId="0" borderId="0" xfId="4" applyFont="1" applyAlignment="1">
      <alignment vertical="top"/>
    </xf>
    <xf numFmtId="0" fontId="52" fillId="0" borderId="0" xfId="4" applyFont="1" applyAlignment="1">
      <alignment vertical="top"/>
    </xf>
    <xf numFmtId="0" fontId="14" fillId="2" borderId="6" xfId="0" applyFont="1" applyFill="1" applyBorder="1" applyAlignment="1">
      <alignment vertical="top"/>
    </xf>
    <xf numFmtId="0" fontId="12" fillId="2" borderId="7" xfId="0" applyFont="1" applyFill="1" applyBorder="1" applyAlignment="1">
      <alignment vertical="top"/>
    </xf>
    <xf numFmtId="0" fontId="15" fillId="2" borderId="8" xfId="0" applyFont="1" applyFill="1" applyBorder="1" applyAlignment="1">
      <alignment vertical="top"/>
    </xf>
    <xf numFmtId="0" fontId="12" fillId="2" borderId="0" xfId="0" applyFont="1" applyFill="1" applyBorder="1" applyAlignment="1">
      <alignment vertical="top"/>
    </xf>
    <xf numFmtId="0" fontId="44" fillId="0" borderId="0" xfId="2" applyFont="1" applyFill="1" applyAlignment="1" applyProtection="1">
      <alignment vertical="top"/>
    </xf>
    <xf numFmtId="3" fontId="31" fillId="0" borderId="0" xfId="4" applyNumberFormat="1" applyFont="1" applyFill="1" applyAlignment="1">
      <alignment vertical="top"/>
    </xf>
    <xf numFmtId="3" fontId="32" fillId="0" borderId="0" xfId="4" applyNumberFormat="1" applyFont="1" applyAlignment="1">
      <alignment vertical="top"/>
    </xf>
    <xf numFmtId="9" fontId="39" fillId="0" borderId="0" xfId="4" applyNumberFormat="1" applyFont="1" applyAlignment="1" applyProtection="1">
      <alignment vertical="top"/>
      <protection locked="0"/>
    </xf>
    <xf numFmtId="3" fontId="45" fillId="0" borderId="0" xfId="4" applyNumberFormat="1" applyFont="1" applyAlignment="1">
      <alignment vertical="top"/>
    </xf>
    <xf numFmtId="0" fontId="39" fillId="0" borderId="0" xfId="6" applyNumberFormat="1" applyFont="1" applyFill="1" applyBorder="1" applyAlignment="1" applyProtection="1">
      <alignment horizontal="left" vertical="top" wrapText="1"/>
      <protection locked="0"/>
    </xf>
    <xf numFmtId="0" fontId="53" fillId="0" borderId="0" xfId="4" applyFont="1" applyAlignment="1">
      <alignment vertical="top"/>
    </xf>
    <xf numFmtId="0" fontId="9" fillId="0" borderId="0" xfId="2" applyNumberFormat="1" applyFill="1" applyBorder="1" applyAlignment="1" applyProtection="1">
      <alignment horizontal="left" vertical="top" wrapText="1"/>
    </xf>
    <xf numFmtId="0" fontId="31" fillId="0" borderId="9" xfId="4" applyFont="1" applyBorder="1" applyAlignment="1">
      <alignment vertical="top"/>
    </xf>
    <xf numFmtId="0" fontId="54" fillId="0" borderId="0" xfId="5" applyFont="1" applyAlignment="1" applyProtection="1">
      <alignment vertical="top" wrapText="1"/>
      <protection locked="0"/>
    </xf>
    <xf numFmtId="0" fontId="55" fillId="2" borderId="8" xfId="4" applyFont="1" applyFill="1" applyBorder="1" applyAlignment="1">
      <alignment vertical="top"/>
    </xf>
    <xf numFmtId="3" fontId="34" fillId="0" borderId="0" xfId="4" applyNumberFormat="1" applyFont="1" applyFill="1" applyAlignment="1" applyProtection="1">
      <alignment vertical="top"/>
      <protection hidden="1"/>
    </xf>
    <xf numFmtId="0" fontId="19" fillId="0" borderId="0" xfId="9" applyFont="1" applyAlignment="1" applyProtection="1">
      <alignment horizontal="center"/>
      <protection locked="0"/>
    </xf>
    <xf numFmtId="0" fontId="36" fillId="0" borderId="0" xfId="0" applyFont="1"/>
    <xf numFmtId="0" fontId="9" fillId="0" borderId="0" xfId="2" applyFill="1" applyAlignment="1" applyProtection="1">
      <alignment vertical="top"/>
    </xf>
    <xf numFmtId="0" fontId="56" fillId="2" borderId="8" xfId="4" applyFont="1" applyFill="1" applyBorder="1" applyAlignment="1">
      <alignment vertical="top"/>
    </xf>
    <xf numFmtId="0" fontId="57" fillId="0" borderId="0" xfId="4" applyFont="1" applyAlignment="1">
      <alignment vertical="top"/>
    </xf>
    <xf numFmtId="0" fontId="58" fillId="0" borderId="0" xfId="4" applyFont="1" applyAlignment="1">
      <alignment vertical="top"/>
    </xf>
    <xf numFmtId="0" fontId="31" fillId="0" borderId="0" xfId="4" applyNumberFormat="1" applyFont="1" applyAlignment="1">
      <alignment vertical="top"/>
    </xf>
    <xf numFmtId="0" fontId="21" fillId="0" borderId="0" xfId="0" applyFont="1" applyAlignment="1">
      <alignment horizontal="left" indent="1"/>
    </xf>
    <xf numFmtId="0" fontId="22" fillId="0" borderId="0" xfId="0" applyFont="1" applyAlignment="1">
      <alignment horizontal="left" indent="5"/>
    </xf>
    <xf numFmtId="0" fontId="20" fillId="0" borderId="0" xfId="0" applyFont="1" applyAlignment="1">
      <alignment horizontal="justify"/>
    </xf>
    <xf numFmtId="0" fontId="22" fillId="0" borderId="0" xfId="0" applyFont="1" applyAlignment="1">
      <alignment horizontal="left"/>
    </xf>
    <xf numFmtId="0" fontId="20" fillId="0" borderId="0" xfId="0" applyFont="1" applyAlignment="1">
      <alignment horizontal="left" indent="5"/>
    </xf>
    <xf numFmtId="3" fontId="59" fillId="0" borderId="0" xfId="8" applyNumberFormat="1" applyFont="1"/>
    <xf numFmtId="0" fontId="36" fillId="0" borderId="0" xfId="8" applyFont="1"/>
    <xf numFmtId="0" fontId="60" fillId="0" borderId="0" xfId="8" applyFont="1"/>
    <xf numFmtId="0" fontId="61" fillId="0" borderId="0" xfId="8" applyFont="1"/>
    <xf numFmtId="0" fontId="37" fillId="0" borderId="0" xfId="8" applyFont="1"/>
    <xf numFmtId="0" fontId="36" fillId="0" borderId="0" xfId="8" applyFont="1" applyAlignment="1">
      <alignment vertical="center"/>
    </xf>
    <xf numFmtId="0" fontId="36" fillId="0" borderId="0" xfId="8" applyFont="1" applyBorder="1"/>
    <xf numFmtId="9" fontId="62" fillId="0" borderId="0" xfId="13" applyFont="1" applyBorder="1"/>
    <xf numFmtId="10" fontId="63" fillId="0" borderId="0" xfId="13" applyNumberFormat="1" applyFont="1" applyBorder="1" applyAlignment="1">
      <alignment vertical="center"/>
    </xf>
    <xf numFmtId="10" fontId="36" fillId="0" borderId="0" xfId="8" applyNumberFormat="1" applyFont="1"/>
    <xf numFmtId="165" fontId="63" fillId="0" borderId="0" xfId="13" applyNumberFormat="1" applyFont="1" applyBorder="1" applyAlignment="1">
      <alignment vertical="center"/>
    </xf>
    <xf numFmtId="9" fontId="63" fillId="0" borderId="0" xfId="13" applyNumberFormat="1" applyFont="1" applyBorder="1" applyAlignment="1">
      <alignment vertical="center"/>
    </xf>
    <xf numFmtId="10" fontId="36" fillId="0" borderId="0" xfId="13" applyNumberFormat="1" applyFont="1" applyBorder="1" applyAlignment="1">
      <alignment vertical="center"/>
    </xf>
    <xf numFmtId="0" fontId="46" fillId="0" borderId="0" xfId="8" applyNumberFormat="1" applyFont="1" applyAlignment="1">
      <alignment wrapText="1"/>
    </xf>
    <xf numFmtId="0" fontId="36" fillId="0" borderId="0" xfId="8" applyNumberFormat="1" applyFont="1"/>
    <xf numFmtId="0" fontId="64" fillId="0" borderId="0" xfId="8" applyFont="1"/>
    <xf numFmtId="0" fontId="64" fillId="3" borderId="0" xfId="8" applyFont="1" applyFill="1"/>
    <xf numFmtId="0" fontId="36" fillId="3" borderId="0" xfId="8" applyFont="1" applyFill="1"/>
    <xf numFmtId="0" fontId="34" fillId="0" borderId="0" xfId="8" applyFont="1"/>
    <xf numFmtId="9" fontId="63" fillId="0" borderId="0" xfId="13" applyNumberFormat="1" applyFont="1" applyFill="1" applyBorder="1" applyAlignment="1" applyProtection="1">
      <alignment vertical="top"/>
      <protection locked="0"/>
    </xf>
    <xf numFmtId="9" fontId="36" fillId="0" borderId="0" xfId="13" applyNumberFormat="1" applyFont="1" applyFill="1" applyBorder="1" applyAlignment="1" applyProtection="1">
      <alignment vertical="top"/>
      <protection locked="0"/>
    </xf>
    <xf numFmtId="9" fontId="63" fillId="0" borderId="0" xfId="13" applyFont="1" applyProtection="1">
      <protection hidden="1"/>
    </xf>
    <xf numFmtId="0" fontId="36" fillId="0" borderId="0" xfId="8" applyFont="1" applyProtection="1">
      <protection hidden="1"/>
    </xf>
    <xf numFmtId="9" fontId="63" fillId="0" borderId="0" xfId="12" applyNumberFormat="1" applyFont="1" applyFill="1" applyBorder="1" applyAlignment="1" applyProtection="1">
      <alignment vertical="top"/>
      <protection hidden="1"/>
    </xf>
    <xf numFmtId="9" fontId="36" fillId="0" borderId="0" xfId="12" applyNumberFormat="1" applyFont="1" applyFill="1" applyBorder="1" applyAlignment="1" applyProtection="1">
      <alignment vertical="top"/>
      <protection hidden="1"/>
    </xf>
    <xf numFmtId="9" fontId="36" fillId="0" borderId="0" xfId="8" applyNumberFormat="1" applyFont="1"/>
    <xf numFmtId="0" fontId="36" fillId="0" borderId="0" xfId="8" applyFont="1" applyFill="1"/>
    <xf numFmtId="0" fontId="36" fillId="0" borderId="0" xfId="8" applyNumberFormat="1" applyFont="1" applyFill="1" applyAlignment="1" applyProtection="1">
      <alignment vertical="top"/>
      <protection locked="0"/>
    </xf>
    <xf numFmtId="0" fontId="62" fillId="0" borderId="0" xfId="8" applyFont="1"/>
    <xf numFmtId="9" fontId="36" fillId="0" borderId="0" xfId="13" applyNumberFormat="1" applyFont="1"/>
    <xf numFmtId="9" fontId="36" fillId="0" borderId="0" xfId="13" applyFont="1"/>
    <xf numFmtId="0" fontId="44" fillId="0" borderId="0" xfId="3" applyFont="1" applyAlignment="1" applyProtection="1"/>
    <xf numFmtId="3" fontId="36" fillId="0" borderId="0" xfId="8" applyNumberFormat="1" applyFont="1"/>
    <xf numFmtId="0" fontId="32" fillId="0" borderId="0" xfId="8" applyFont="1"/>
    <xf numFmtId="165" fontId="36" fillId="0" borderId="0" xfId="8" applyNumberFormat="1" applyFont="1"/>
    <xf numFmtId="0" fontId="65" fillId="0" borderId="0" xfId="8" applyFont="1"/>
    <xf numFmtId="0" fontId="25" fillId="0" borderId="0" xfId="8"/>
    <xf numFmtId="0" fontId="31" fillId="0" borderId="0" xfId="4" applyFont="1" applyBorder="1" applyAlignment="1">
      <alignment vertical="top"/>
    </xf>
    <xf numFmtId="0" fontId="34" fillId="0" borderId="0" xfId="0" applyFont="1"/>
    <xf numFmtId="3" fontId="36" fillId="0" borderId="0" xfId="5" applyNumberFormat="1" applyFont="1" applyFill="1" applyAlignment="1">
      <alignment vertical="top"/>
    </xf>
    <xf numFmtId="2" fontId="62" fillId="3" borderId="0" xfId="8" applyNumberFormat="1" applyFont="1" applyFill="1" applyAlignment="1">
      <alignment horizontal="right"/>
    </xf>
    <xf numFmtId="0" fontId="46" fillId="0" borderId="0" xfId="8" applyFont="1" applyAlignment="1">
      <alignment wrapText="1"/>
    </xf>
    <xf numFmtId="0" fontId="46" fillId="0" borderId="0" xfId="8" applyFont="1"/>
    <xf numFmtId="3" fontId="39" fillId="0" borderId="0" xfId="8" applyNumberFormat="1" applyFont="1"/>
    <xf numFmtId="9" fontId="39" fillId="0" borderId="0" xfId="8" applyNumberFormat="1" applyFont="1"/>
    <xf numFmtId="0" fontId="9" fillId="0" borderId="0" xfId="3" applyFont="1" applyAlignment="1" applyProtection="1"/>
    <xf numFmtId="0" fontId="66" fillId="0" borderId="0" xfId="4" applyFont="1" applyAlignment="1">
      <alignment vertical="top"/>
    </xf>
    <xf numFmtId="0" fontId="67" fillId="0" borderId="0" xfId="4" applyFont="1" applyAlignment="1">
      <alignment vertical="top"/>
    </xf>
    <xf numFmtId="0" fontId="34" fillId="0" borderId="0" xfId="4" applyFont="1" applyAlignment="1">
      <alignment vertical="top"/>
    </xf>
    <xf numFmtId="4" fontId="36" fillId="0" borderId="0" xfId="8" applyNumberFormat="1" applyFont="1"/>
    <xf numFmtId="165" fontId="63" fillId="0" borderId="0" xfId="13" applyNumberFormat="1" applyFont="1" applyFill="1" applyBorder="1" applyAlignment="1" applyProtection="1">
      <alignment vertical="center"/>
      <protection locked="0"/>
    </xf>
    <xf numFmtId="10" fontId="36" fillId="0" borderId="0" xfId="10" applyNumberFormat="1" applyFont="1" applyAlignment="1">
      <alignment horizontal="right"/>
    </xf>
    <xf numFmtId="2" fontId="37" fillId="0" borderId="0" xfId="8" applyNumberFormat="1" applyFont="1" applyAlignment="1">
      <alignment horizontal="right"/>
    </xf>
    <xf numFmtId="0" fontId="37" fillId="0" borderId="0" xfId="8" applyFont="1" applyAlignment="1">
      <alignment horizontal="right"/>
    </xf>
    <xf numFmtId="0" fontId="36" fillId="0" borderId="0" xfId="6" applyNumberFormat="1" applyFont="1" applyFill="1" applyBorder="1" applyAlignment="1">
      <alignment horizontal="left" vertical="top" wrapText="1"/>
    </xf>
    <xf numFmtId="9" fontId="63" fillId="3" borderId="0" xfId="13" applyNumberFormat="1" applyFont="1" applyFill="1" applyBorder="1" applyAlignment="1" applyProtection="1">
      <alignment vertical="top"/>
      <protection locked="0"/>
    </xf>
    <xf numFmtId="9" fontId="36" fillId="3" borderId="0" xfId="13" applyNumberFormat="1" applyFont="1" applyFill="1" applyBorder="1" applyAlignment="1" applyProtection="1">
      <alignment vertical="top"/>
      <protection locked="0"/>
    </xf>
    <xf numFmtId="0" fontId="39" fillId="0" borderId="0" xfId="8" applyFont="1"/>
    <xf numFmtId="0" fontId="8" fillId="0" borderId="0" xfId="0" applyFont="1"/>
    <xf numFmtId="3" fontId="39" fillId="0" borderId="0" xfId="5" applyNumberFormat="1" applyFont="1" applyFill="1" applyAlignment="1" applyProtection="1">
      <alignment vertical="top"/>
      <protection locked="0"/>
    </xf>
    <xf numFmtId="0" fontId="68" fillId="0" borderId="0" xfId="0" applyFont="1"/>
    <xf numFmtId="0" fontId="36" fillId="0" borderId="0" xfId="0" applyFont="1" applyFill="1"/>
    <xf numFmtId="0" fontId="8" fillId="0" borderId="0" xfId="0" applyFont="1" applyFill="1"/>
    <xf numFmtId="0" fontId="36" fillId="0" borderId="0" xfId="8" applyFont="1" applyAlignment="1">
      <alignment horizontal="center" vertical="center"/>
    </xf>
    <xf numFmtId="0" fontId="64" fillId="0" borderId="0" xfId="8" applyFont="1" applyAlignment="1">
      <alignment vertical="center"/>
    </xf>
    <xf numFmtId="0" fontId="64" fillId="0" borderId="0" xfId="8" applyFont="1" applyAlignment="1">
      <alignment vertical="center" wrapText="1"/>
    </xf>
    <xf numFmtId="0" fontId="46" fillId="0" borderId="0" xfId="8" applyFont="1" applyAlignment="1">
      <alignment vertical="center" wrapText="1"/>
    </xf>
    <xf numFmtId="0" fontId="69" fillId="0" borderId="0" xfId="8" applyFont="1" applyAlignment="1">
      <alignment wrapText="1"/>
    </xf>
    <xf numFmtId="0" fontId="36" fillId="0" borderId="0" xfId="0" applyFont="1" applyAlignment="1">
      <alignment vertical="center"/>
    </xf>
    <xf numFmtId="0" fontId="9" fillId="0" borderId="0" xfId="2" applyAlignment="1" applyProtection="1"/>
    <xf numFmtId="0" fontId="65" fillId="0" borderId="0" xfId="0" applyFont="1"/>
    <xf numFmtId="0" fontId="36" fillId="0" borderId="0" xfId="7" applyFont="1"/>
    <xf numFmtId="0" fontId="36" fillId="0" borderId="0" xfId="5" applyFont="1"/>
    <xf numFmtId="0" fontId="31" fillId="0" borderId="0" xfId="4" applyFont="1" applyAlignment="1">
      <alignment vertical="top" wrapText="1"/>
    </xf>
    <xf numFmtId="0" fontId="0" fillId="0" borderId="0" xfId="0" applyAlignment="1">
      <alignment vertical="top"/>
    </xf>
    <xf numFmtId="0" fontId="36" fillId="0" borderId="0" xfId="0" applyFont="1" applyAlignment="1">
      <alignment vertical="top"/>
    </xf>
    <xf numFmtId="0" fontId="28" fillId="2" borderId="8" xfId="0" applyFont="1" applyFill="1" applyBorder="1" applyAlignment="1">
      <alignment vertical="top"/>
    </xf>
    <xf numFmtId="49" fontId="35" fillId="0" borderId="0" xfId="0" applyNumberFormat="1" applyFont="1" applyFill="1" applyBorder="1" applyAlignment="1">
      <alignment horizontal="left" vertical="top" wrapText="1"/>
    </xf>
    <xf numFmtId="3" fontId="36" fillId="0" borderId="0" xfId="5" applyNumberFormat="1" applyFont="1" applyFill="1" applyAlignment="1" applyProtection="1">
      <alignment vertical="top"/>
      <protection locked="0"/>
    </xf>
    <xf numFmtId="9" fontId="63" fillId="4" borderId="0" xfId="13" applyNumberFormat="1" applyFont="1" applyFill="1" applyBorder="1" applyAlignment="1" applyProtection="1">
      <alignment vertical="top"/>
      <protection locked="0"/>
    </xf>
    <xf numFmtId="9" fontId="36" fillId="4" borderId="0" xfId="13" applyNumberFormat="1" applyFont="1" applyFill="1" applyBorder="1" applyAlignment="1" applyProtection="1">
      <alignment vertical="top"/>
      <protection locked="0"/>
    </xf>
    <xf numFmtId="0" fontId="39" fillId="0" borderId="0" xfId="0" applyFont="1"/>
    <xf numFmtId="9" fontId="31" fillId="0" borderId="0" xfId="10" applyFont="1" applyAlignment="1">
      <alignment vertical="top"/>
    </xf>
    <xf numFmtId="4" fontId="46" fillId="0" borderId="0" xfId="5" applyNumberFormat="1" applyFont="1" applyFill="1" applyAlignment="1" applyProtection="1">
      <alignment vertical="top"/>
      <protection locked="0"/>
    </xf>
    <xf numFmtId="10" fontId="36" fillId="0" borderId="0" xfId="5" applyNumberFormat="1" applyFont="1" applyAlignment="1">
      <alignment vertical="top"/>
    </xf>
    <xf numFmtId="9" fontId="31" fillId="0" borderId="0" xfId="10" applyFont="1" applyFill="1" applyAlignment="1">
      <alignment vertical="top"/>
    </xf>
    <xf numFmtId="166" fontId="36" fillId="0" borderId="0" xfId="5" applyNumberFormat="1" applyFont="1" applyFill="1" applyAlignment="1" applyProtection="1">
      <alignment vertical="top"/>
      <protection locked="0"/>
    </xf>
    <xf numFmtId="3" fontId="64" fillId="0" borderId="0" xfId="5" applyNumberFormat="1" applyFont="1" applyAlignment="1">
      <alignment horizontal="right" vertical="top"/>
    </xf>
    <xf numFmtId="0" fontId="36" fillId="0" borderId="0" xfId="4" applyFont="1" applyFill="1" applyAlignment="1">
      <alignment vertical="top"/>
    </xf>
    <xf numFmtId="0" fontId="36" fillId="0" borderId="0" xfId="5" applyFont="1" applyAlignment="1">
      <alignment horizontal="right" vertical="top"/>
    </xf>
    <xf numFmtId="0" fontId="31" fillId="0" borderId="0" xfId="4" applyFont="1" applyFill="1" applyAlignment="1">
      <alignment horizontal="right" vertical="top"/>
    </xf>
    <xf numFmtId="3" fontId="36" fillId="3" borderId="0" xfId="5" applyNumberFormat="1" applyFont="1" applyFill="1" applyAlignment="1" applyProtection="1">
      <alignment vertical="top"/>
      <protection locked="0"/>
    </xf>
    <xf numFmtId="0" fontId="31" fillId="0" borderId="0" xfId="4" applyFont="1" applyAlignment="1">
      <alignment vertical="top" wrapText="1"/>
    </xf>
    <xf numFmtId="10" fontId="39" fillId="0" borderId="0" xfId="5" applyNumberFormat="1" applyFont="1" applyAlignment="1">
      <alignment vertical="top"/>
    </xf>
    <xf numFmtId="9" fontId="39" fillId="0" borderId="0" xfId="5" applyNumberFormat="1" applyFont="1" applyAlignment="1">
      <alignment vertical="top"/>
    </xf>
    <xf numFmtId="0" fontId="36" fillId="5" borderId="0" xfId="8" applyFont="1" applyFill="1"/>
    <xf numFmtId="0" fontId="32" fillId="0" borderId="0" xfId="0" applyFont="1"/>
    <xf numFmtId="0" fontId="31" fillId="0" borderId="0" xfId="0" applyFont="1"/>
    <xf numFmtId="0" fontId="73" fillId="0" borderId="0" xfId="4" applyFont="1" applyFill="1" applyBorder="1" applyAlignment="1" applyProtection="1"/>
    <xf numFmtId="0" fontId="0" fillId="0" borderId="0" xfId="0" applyFont="1" applyFill="1" applyAlignment="1"/>
    <xf numFmtId="0" fontId="75" fillId="0" borderId="11" xfId="4" applyFont="1" applyFill="1" applyBorder="1" applyAlignment="1" applyProtection="1"/>
    <xf numFmtId="0" fontId="76" fillId="0" borderId="12" xfId="4" applyFont="1" applyFill="1" applyBorder="1" applyAlignment="1" applyProtection="1"/>
    <xf numFmtId="0" fontId="75" fillId="0" borderId="12" xfId="4" applyFont="1" applyFill="1" applyBorder="1" applyAlignment="1" applyProtection="1"/>
    <xf numFmtId="0" fontId="77" fillId="0" borderId="0" xfId="8" applyFont="1"/>
    <xf numFmtId="10" fontId="36" fillId="0" borderId="0" xfId="10" applyNumberFormat="1" applyFont="1"/>
    <xf numFmtId="20" fontId="65" fillId="0" borderId="0" xfId="8" applyNumberFormat="1" applyFont="1"/>
    <xf numFmtId="0" fontId="70" fillId="3" borderId="0" xfId="8" applyFont="1" applyFill="1"/>
    <xf numFmtId="0" fontId="37" fillId="3" borderId="0" xfId="8" applyFont="1" applyFill="1"/>
    <xf numFmtId="4" fontId="36" fillId="0" borderId="0" xfId="0" applyNumberFormat="1" applyFont="1"/>
    <xf numFmtId="0" fontId="36" fillId="0" borderId="0" xfId="5" applyNumberFormat="1" applyFont="1" applyAlignment="1">
      <alignment vertical="top"/>
    </xf>
    <xf numFmtId="0" fontId="65" fillId="0" borderId="0" xfId="8" applyFont="1" applyAlignment="1">
      <alignment wrapText="1"/>
    </xf>
    <xf numFmtId="0" fontId="74" fillId="0" borderId="0" xfId="4" applyFont="1" applyFill="1" applyBorder="1" applyAlignment="1" applyProtection="1">
      <alignment horizontal="left"/>
    </xf>
    <xf numFmtId="0" fontId="75" fillId="0" borderId="10" xfId="4" applyFont="1" applyFill="1" applyBorder="1" applyAlignment="1" applyProtection="1">
      <alignment horizontal="right"/>
    </xf>
    <xf numFmtId="0" fontId="38" fillId="3" borderId="0" xfId="2" applyFont="1" applyFill="1" applyAlignment="1" applyProtection="1">
      <alignment vertical="top" wrapText="1"/>
    </xf>
    <xf numFmtId="0" fontId="30" fillId="0" borderId="0" xfId="0" applyFont="1" applyFill="1" applyBorder="1" applyAlignment="1"/>
    <xf numFmtId="0" fontId="4" fillId="0" borderId="0" xfId="4" applyFont="1" applyAlignment="1">
      <alignment vertical="top"/>
    </xf>
    <xf numFmtId="0" fontId="4" fillId="0" borderId="0" xfId="4" applyFont="1" applyAlignment="1">
      <alignment vertical="top" wrapText="1"/>
    </xf>
    <xf numFmtId="3" fontId="4" fillId="0" borderId="0" xfId="4" applyNumberFormat="1" applyFont="1" applyAlignment="1">
      <alignment vertical="top"/>
    </xf>
    <xf numFmtId="0" fontId="37" fillId="0" borderId="0" xfId="0" applyFont="1"/>
    <xf numFmtId="4" fontId="37" fillId="0" borderId="0" xfId="8" applyNumberFormat="1" applyFont="1"/>
    <xf numFmtId="10" fontId="63" fillId="0" borderId="0" xfId="13" applyNumberFormat="1" applyFont="1" applyFill="1" applyBorder="1" applyAlignment="1">
      <alignment vertical="center"/>
    </xf>
    <xf numFmtId="10" fontId="36" fillId="0" borderId="0" xfId="13" applyNumberFormat="1" applyFont="1" applyFill="1" applyBorder="1" applyAlignment="1">
      <alignment vertical="center"/>
    </xf>
    <xf numFmtId="1" fontId="36" fillId="0" borderId="0" xfId="8" applyNumberFormat="1" applyFont="1"/>
    <xf numFmtId="0" fontId="77" fillId="0" borderId="0" xfId="0" applyFont="1" applyAlignment="1">
      <alignment vertical="top"/>
    </xf>
    <xf numFmtId="10" fontId="8" fillId="0" borderId="0" xfId="10" applyNumberFormat="1" applyFont="1" applyFill="1"/>
    <xf numFmtId="0" fontId="78" fillId="0" borderId="0" xfId="0" applyFont="1"/>
    <xf numFmtId="0" fontId="3" fillId="0" borderId="0" xfId="8" applyFont="1"/>
    <xf numFmtId="0" fontId="79" fillId="0" borderId="0" xfId="8" applyFont="1"/>
    <xf numFmtId="0" fontId="14" fillId="2" borderId="4" xfId="0" applyFont="1" applyFill="1" applyBorder="1" applyAlignment="1">
      <alignment horizontal="right" vertical="top"/>
    </xf>
    <xf numFmtId="0" fontId="11" fillId="2" borderId="5" xfId="0" applyFont="1" applyFill="1" applyBorder="1" applyAlignment="1">
      <alignment horizontal="right" vertical="top"/>
    </xf>
    <xf numFmtId="0" fontId="28" fillId="2" borderId="5" xfId="0" applyFont="1" applyFill="1" applyBorder="1" applyAlignment="1">
      <alignment horizontal="right" vertical="top"/>
    </xf>
    <xf numFmtId="0" fontId="14" fillId="2" borderId="5" xfId="0" applyFont="1" applyFill="1" applyBorder="1" applyAlignment="1">
      <alignment horizontal="right" vertical="top"/>
    </xf>
    <xf numFmtId="0" fontId="15" fillId="2" borderId="5" xfId="0" applyFont="1" applyFill="1" applyBorder="1" applyAlignment="1">
      <alignment horizontal="right" vertical="top"/>
    </xf>
    <xf numFmtId="0" fontId="12" fillId="2" borderId="1" xfId="0" applyFont="1" applyFill="1" applyBorder="1" applyAlignment="1">
      <alignment vertical="top"/>
    </xf>
    <xf numFmtId="0" fontId="12" fillId="2" borderId="2" xfId="0" applyFont="1" applyFill="1" applyBorder="1" applyAlignment="1">
      <alignment vertical="top"/>
    </xf>
    <xf numFmtId="0" fontId="16" fillId="2" borderId="3" xfId="0" applyFont="1" applyFill="1" applyBorder="1" applyAlignment="1">
      <alignment horizontal="right" vertical="top"/>
    </xf>
    <xf numFmtId="0" fontId="39" fillId="0" borderId="0" xfId="6" applyNumberFormat="1" applyFont="1" applyFill="1" applyBorder="1" applyAlignment="1">
      <alignment horizontal="left" vertical="top" wrapText="1"/>
    </xf>
    <xf numFmtId="0" fontId="80" fillId="2" borderId="8" xfId="4" applyFont="1" applyFill="1" applyBorder="1" applyAlignment="1">
      <alignment vertical="top"/>
    </xf>
    <xf numFmtId="166" fontId="36" fillId="0" borderId="0" xfId="8" applyNumberFormat="1" applyFont="1"/>
    <xf numFmtId="0" fontId="31" fillId="0" borderId="0" xfId="4" applyFont="1" applyAlignment="1">
      <alignment wrapText="1"/>
    </xf>
    <xf numFmtId="0" fontId="36" fillId="0" borderId="0" xfId="4" applyFont="1" applyAlignment="1">
      <alignment vertical="top"/>
    </xf>
    <xf numFmtId="0" fontId="0" fillId="6" borderId="0" xfId="0" applyFill="1"/>
    <xf numFmtId="0" fontId="30" fillId="6" borderId="0" xfId="0" applyFont="1" applyFill="1"/>
    <xf numFmtId="0" fontId="8" fillId="6" borderId="0" xfId="0" applyFont="1" applyFill="1"/>
    <xf numFmtId="0" fontId="36" fillId="6" borderId="0" xfId="8" applyFont="1" applyFill="1"/>
    <xf numFmtId="0" fontId="37" fillId="0" borderId="13" xfId="8" applyFont="1" applyBorder="1"/>
    <xf numFmtId="0" fontId="36" fillId="0" borderId="14" xfId="8" applyFont="1" applyBorder="1"/>
    <xf numFmtId="0" fontId="37" fillId="0" borderId="15" xfId="8" applyFont="1" applyBorder="1"/>
    <xf numFmtId="0" fontId="36" fillId="7" borderId="0" xfId="8" applyFont="1" applyFill="1"/>
    <xf numFmtId="9" fontId="63" fillId="7" borderId="0" xfId="13" applyNumberFormat="1" applyFont="1" applyFill="1" applyBorder="1" applyAlignment="1" applyProtection="1">
      <alignment vertical="top"/>
      <protection locked="0"/>
    </xf>
    <xf numFmtId="0" fontId="36" fillId="7" borderId="0" xfId="8" applyFont="1" applyFill="1" applyAlignment="1">
      <alignment vertical="center"/>
    </xf>
    <xf numFmtId="0" fontId="39" fillId="7" borderId="0" xfId="8" applyFont="1" applyFill="1" applyAlignment="1">
      <alignment vertical="center"/>
    </xf>
    <xf numFmtId="0" fontId="34" fillId="7" borderId="0" xfId="8" applyFont="1" applyFill="1"/>
    <xf numFmtId="0" fontId="37" fillId="7" borderId="0" xfId="8" applyFont="1" applyFill="1"/>
    <xf numFmtId="10" fontId="37" fillId="0" borderId="0" xfId="8" applyNumberFormat="1" applyFont="1"/>
    <xf numFmtId="0" fontId="36" fillId="0" borderId="0" xfId="0" applyFont="1" applyAlignment="1">
      <alignment wrapText="1"/>
    </xf>
    <xf numFmtId="0" fontId="36" fillId="8" borderId="0" xfId="8" applyFont="1" applyFill="1"/>
    <xf numFmtId="0" fontId="2" fillId="0" borderId="0" xfId="0" applyFont="1"/>
    <xf numFmtId="10" fontId="31" fillId="0" borderId="0" xfId="10" applyNumberFormat="1" applyFont="1"/>
    <xf numFmtId="0" fontId="1" fillId="0" borderId="0" xfId="4" applyFont="1" applyAlignment="1">
      <alignment vertical="top"/>
    </xf>
    <xf numFmtId="0" fontId="37" fillId="0" borderId="0" xfId="7" applyFont="1"/>
    <xf numFmtId="0" fontId="31" fillId="0" borderId="0" xfId="4" applyFont="1" applyAlignment="1">
      <alignment vertical="top" wrapText="1"/>
    </xf>
    <xf numFmtId="0" fontId="1" fillId="0" borderId="0" xfId="4" applyFont="1" applyAlignment="1">
      <alignment wrapText="1"/>
    </xf>
    <xf numFmtId="10" fontId="81" fillId="0" borderId="0" xfId="10" applyNumberFormat="1" applyFont="1" applyFill="1" applyAlignment="1" applyProtection="1">
      <alignment vertical="top"/>
      <protection locked="0"/>
    </xf>
    <xf numFmtId="167" fontId="34" fillId="0" borderId="0" xfId="6" applyNumberFormat="1" applyFont="1" applyFill="1" applyBorder="1" applyAlignment="1">
      <alignment vertical="top"/>
    </xf>
    <xf numFmtId="0" fontId="36" fillId="0" borderId="0" xfId="5" applyNumberFormat="1" applyFont="1" applyFill="1" applyAlignment="1">
      <alignment vertical="top"/>
    </xf>
    <xf numFmtId="4" fontId="36" fillId="0" borderId="0" xfId="5" applyNumberFormat="1" applyFont="1" applyFill="1" applyAlignment="1">
      <alignment vertical="top"/>
    </xf>
    <xf numFmtId="4" fontId="36" fillId="0" borderId="0" xfId="0" applyNumberFormat="1" applyFont="1" applyFill="1"/>
    <xf numFmtId="0" fontId="5" fillId="0" borderId="0" xfId="4" applyFont="1" applyAlignment="1">
      <alignment vertical="top" wrapText="1"/>
    </xf>
    <xf numFmtId="0" fontId="31" fillId="0" borderId="0" xfId="4" applyFont="1" applyAlignment="1">
      <alignment vertical="top" wrapText="1"/>
    </xf>
    <xf numFmtId="0" fontId="67" fillId="0" borderId="0" xfId="4" applyFont="1" applyAlignment="1">
      <alignment vertical="top" wrapText="1"/>
    </xf>
    <xf numFmtId="0" fontId="0" fillId="0" borderId="0" xfId="0" applyAlignment="1">
      <alignment vertical="top" wrapText="1"/>
    </xf>
    <xf numFmtId="3" fontId="64" fillId="0" borderId="0" xfId="5" applyNumberFormat="1" applyFont="1" applyAlignment="1">
      <alignment horizontal="right" vertical="top" wrapText="1"/>
    </xf>
    <xf numFmtId="0" fontId="7" fillId="0" borderId="0" xfId="0" applyFont="1" applyAlignment="1">
      <alignment vertical="top" wrapText="1"/>
    </xf>
  </cellXfs>
  <cellStyles count="19">
    <cellStyle name="čárky [0]_Tabulka místností" xfId="1"/>
    <cellStyle name="Finanční" xfId="18"/>
    <cellStyle name="Hypertextový odkaz" xfId="2" builtinId="8"/>
    <cellStyle name="Hypertextový odkaz 2" xfId="3"/>
    <cellStyle name="normální" xfId="0" builtinId="0"/>
    <cellStyle name="normální 2" xfId="4"/>
    <cellStyle name="normální 2 2" xfId="5"/>
    <cellStyle name="normální 2 3" xfId="16"/>
    <cellStyle name="normální 3" xfId="6"/>
    <cellStyle name="normální 3 2" xfId="7"/>
    <cellStyle name="normální 4" xfId="8"/>
    <cellStyle name="normální 5" xfId="15"/>
    <cellStyle name="normální 6" xfId="17"/>
    <cellStyle name="normální_SK I_CN_vzor_ROK 2002" xfId="9"/>
    <cellStyle name="procent" xfId="10" builtinId="5"/>
    <cellStyle name="procent 2" xfId="11"/>
    <cellStyle name="procent 2 2" xfId="12"/>
    <cellStyle name="procent 3" xfId="13"/>
    <cellStyle name="Styl 1" xfId="14"/>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FF99"/>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ctrlProps/ctrlProp1.xml><?xml version="1.0" encoding="utf-8"?>
<formControlPr xmlns="http://schemas.microsoft.com/office/spreadsheetml/2009/9/main" objectType="GBox" noThreeD="1"/>
</file>

<file path=xl/ctrlProps/ctrlProp10.xml><?xml version="1.0" encoding="utf-8"?>
<formControlPr xmlns="http://schemas.microsoft.com/office/spreadsheetml/2009/9/main" objectType="Radio" lockText="1" noThreeD="1"/>
</file>

<file path=xl/ctrlProps/ctrlProp11.xml><?xml version="1.0" encoding="utf-8"?>
<formControlPr xmlns="http://schemas.microsoft.com/office/spreadsheetml/2009/9/main" objectType="Radio" lockText="1" noThreeD="1"/>
</file>

<file path=xl/ctrlProps/ctrlProp12.xml><?xml version="1.0" encoding="utf-8"?>
<formControlPr xmlns="http://schemas.microsoft.com/office/spreadsheetml/2009/9/main" objectType="GBox" noThreeD="1"/>
</file>

<file path=xl/ctrlProps/ctrlProp13.xml><?xml version="1.0" encoding="utf-8"?>
<formControlPr xmlns="http://schemas.microsoft.com/office/spreadsheetml/2009/9/main" objectType="Radio" lockText="1" noThreeD="1"/>
</file>

<file path=xl/ctrlProps/ctrlProp14.xml><?xml version="1.0" encoding="utf-8"?>
<formControlPr xmlns="http://schemas.microsoft.com/office/spreadsheetml/2009/9/main" objectType="Radio" checked="Checked" firstButton="1" fmlaLink="B37" lockText="1" noThreeD="1"/>
</file>

<file path=xl/ctrlProps/ctrlProp15.xml><?xml version="1.0" encoding="utf-8"?>
<formControlPr xmlns="http://schemas.microsoft.com/office/spreadsheetml/2009/9/main" objectType="Radio" lockText="1" noThreeD="1"/>
</file>

<file path=xl/ctrlProps/ctrlProp16.xml><?xml version="1.0" encoding="utf-8"?>
<formControlPr xmlns="http://schemas.microsoft.com/office/spreadsheetml/2009/9/main" objectType="Radio" lockText="1" noThreeD="1"/>
</file>

<file path=xl/ctrlProps/ctrlProp17.xml><?xml version="1.0" encoding="utf-8"?>
<formControlPr xmlns="http://schemas.microsoft.com/office/spreadsheetml/2009/9/main" objectType="Radio" lockText="1" noThreeD="1"/>
</file>

<file path=xl/ctrlProps/ctrlProp18.xml><?xml version="1.0" encoding="utf-8"?>
<formControlPr xmlns="http://schemas.microsoft.com/office/spreadsheetml/2009/9/main" objectType="Radio" lockText="1" noThreeD="1"/>
</file>

<file path=xl/ctrlProps/ctrlProp19.xml><?xml version="1.0" encoding="utf-8"?>
<formControlPr xmlns="http://schemas.microsoft.com/office/spreadsheetml/2009/9/main" objectType="Radio" lockText="1" noThreeD="1"/>
</file>

<file path=xl/ctrlProps/ctrlProp2.xml><?xml version="1.0" encoding="utf-8"?>
<formControlPr xmlns="http://schemas.microsoft.com/office/spreadsheetml/2009/9/main" objectType="Radio" firstButton="1" fmlaLink="E15" lockText="1" noThreeD="1"/>
</file>

<file path=xl/ctrlProps/ctrlProp20.xml><?xml version="1.0" encoding="utf-8"?>
<formControlPr xmlns="http://schemas.microsoft.com/office/spreadsheetml/2009/9/main" objectType="Radio" lockText="1" noThreeD="1"/>
</file>

<file path=xl/ctrlProps/ctrlProp21.xml><?xml version="1.0" encoding="utf-8"?>
<formControlPr xmlns="http://schemas.microsoft.com/office/spreadsheetml/2009/9/main" objectType="Radio" lockText="1" noThreeD="1"/>
</file>

<file path=xl/ctrlProps/ctrlProp22.xml><?xml version="1.0" encoding="utf-8"?>
<formControlPr xmlns="http://schemas.microsoft.com/office/spreadsheetml/2009/9/main" objectType="Radio" lockText="1" noThreeD="1"/>
</file>

<file path=xl/ctrlProps/ctrlProp23.xml><?xml version="1.0" encoding="utf-8"?>
<formControlPr xmlns="http://schemas.microsoft.com/office/spreadsheetml/2009/9/main" objectType="Radio" lockText="1" noThreeD="1"/>
</file>

<file path=xl/ctrlProps/ctrlProp24.xml><?xml version="1.0" encoding="utf-8"?>
<formControlPr xmlns="http://schemas.microsoft.com/office/spreadsheetml/2009/9/main" objectType="Radio" lockText="1" noThreeD="1"/>
</file>

<file path=xl/ctrlProps/ctrlProp25.xml><?xml version="1.0" encoding="utf-8"?>
<formControlPr xmlns="http://schemas.microsoft.com/office/spreadsheetml/2009/9/main" objectType="Radio" lockText="1" noThreeD="1"/>
</file>

<file path=xl/ctrlProps/ctrlProp26.xml><?xml version="1.0" encoding="utf-8"?>
<formControlPr xmlns="http://schemas.microsoft.com/office/spreadsheetml/2009/9/main" objectType="Radio" lockText="1" noThreeD="1"/>
</file>

<file path=xl/ctrlProps/ctrlProp27.xml><?xml version="1.0" encoding="utf-8"?>
<formControlPr xmlns="http://schemas.microsoft.com/office/spreadsheetml/2009/9/main" objectType="Radio" lockText="1" noThreeD="1"/>
</file>

<file path=xl/ctrlProps/ctrlProp28.xml><?xml version="1.0" encoding="utf-8"?>
<formControlPr xmlns="http://schemas.microsoft.com/office/spreadsheetml/2009/9/main" objectType="Radio" lockText="1" noThreeD="1"/>
</file>

<file path=xl/ctrlProps/ctrlProp29.xml><?xml version="1.0" encoding="utf-8"?>
<formControlPr xmlns="http://schemas.microsoft.com/office/spreadsheetml/2009/9/main" objectType="GBox" noThreeD="1"/>
</file>

<file path=xl/ctrlProps/ctrlProp3.xml><?xml version="1.0" encoding="utf-8"?>
<formControlPr xmlns="http://schemas.microsoft.com/office/spreadsheetml/2009/9/main" objectType="Radio" lockText="1" noThreeD="1"/>
</file>

<file path=xl/ctrlProps/ctrlProp30.xml><?xml version="1.0" encoding="utf-8"?>
<formControlPr xmlns="http://schemas.microsoft.com/office/spreadsheetml/2009/9/main" objectType="Radio" checked="Checked" firstButton="1" fmlaLink="F331" lockText="1" noThreeD="1"/>
</file>

<file path=xl/ctrlProps/ctrlProp31.xml><?xml version="1.0" encoding="utf-8"?>
<formControlPr xmlns="http://schemas.microsoft.com/office/spreadsheetml/2009/9/main" objectType="Radio" lockText="1" noThreeD="1"/>
</file>

<file path=xl/ctrlProps/ctrlProp32.xml><?xml version="1.0" encoding="utf-8"?>
<formControlPr xmlns="http://schemas.microsoft.com/office/spreadsheetml/2009/9/main" objectType="Radio" lockText="1" noThreeD="1"/>
</file>

<file path=xl/ctrlProps/ctrlProp33.xml><?xml version="1.0" encoding="utf-8"?>
<formControlPr xmlns="http://schemas.microsoft.com/office/spreadsheetml/2009/9/main" objectType="CheckBox" fmlaLink="E5" lockText="1" noThreeD="1"/>
</file>

<file path=xl/ctrlProps/ctrlProp34.xml><?xml version="1.0" encoding="utf-8"?>
<formControlPr xmlns="http://schemas.microsoft.com/office/spreadsheetml/2009/9/main" objectType="GBox" noThreeD="1"/>
</file>

<file path=xl/ctrlProps/ctrlProp35.xml><?xml version="1.0" encoding="utf-8"?>
<formControlPr xmlns="http://schemas.microsoft.com/office/spreadsheetml/2009/9/main" objectType="Radio" checked="Checked" firstButton="1" fmlaLink="B60" lockText="1" noThreeD="1"/>
</file>

<file path=xl/ctrlProps/ctrlProp36.xml><?xml version="1.0" encoding="utf-8"?>
<formControlPr xmlns="http://schemas.microsoft.com/office/spreadsheetml/2009/9/main" objectType="Radio" lockText="1" noThreeD="1"/>
</file>

<file path=xl/ctrlProps/ctrlProp37.xml><?xml version="1.0" encoding="utf-8"?>
<formControlPr xmlns="http://schemas.microsoft.com/office/spreadsheetml/2009/9/main" objectType="Radio" lockText="1" noThreeD="1"/>
</file>

<file path=xl/ctrlProps/ctrlProp38.xml><?xml version="1.0" encoding="utf-8"?>
<formControlPr xmlns="http://schemas.microsoft.com/office/spreadsheetml/2009/9/main" objectType="Radio" lockText="1" noThreeD="1"/>
</file>

<file path=xl/ctrlProps/ctrlProp39.xml><?xml version="1.0" encoding="utf-8"?>
<formControlPr xmlns="http://schemas.microsoft.com/office/spreadsheetml/2009/9/main" objectType="Radio" lockText="1" noThreeD="1"/>
</file>

<file path=xl/ctrlProps/ctrlProp4.xml><?xml version="1.0" encoding="utf-8"?>
<formControlPr xmlns="http://schemas.microsoft.com/office/spreadsheetml/2009/9/main" objectType="Radio" lockText="1" noThreeD="1"/>
</file>

<file path=xl/ctrlProps/ctrlProp40.xml><?xml version="1.0" encoding="utf-8"?>
<formControlPr xmlns="http://schemas.microsoft.com/office/spreadsheetml/2009/9/main" objectType="Radio" lockText="1" noThreeD="1"/>
</file>

<file path=xl/ctrlProps/ctrlProp41.xml><?xml version="1.0" encoding="utf-8"?>
<formControlPr xmlns="http://schemas.microsoft.com/office/spreadsheetml/2009/9/main" objectType="Radio" lockText="1" noThreeD="1"/>
</file>

<file path=xl/ctrlProps/ctrlProp42.xml><?xml version="1.0" encoding="utf-8"?>
<formControlPr xmlns="http://schemas.microsoft.com/office/spreadsheetml/2009/9/main" objectType="Radio" lockText="1" noThreeD="1"/>
</file>

<file path=xl/ctrlProps/ctrlProp43.xml><?xml version="1.0" encoding="utf-8"?>
<formControlPr xmlns="http://schemas.microsoft.com/office/spreadsheetml/2009/9/main" objectType="Radio" lockText="1" noThreeD="1"/>
</file>

<file path=xl/ctrlProps/ctrlProp44.xml><?xml version="1.0" encoding="utf-8"?>
<formControlPr xmlns="http://schemas.microsoft.com/office/spreadsheetml/2009/9/main" objectType="Radio" lockText="1" noThreeD="1"/>
</file>

<file path=xl/ctrlProps/ctrlProp45.xml><?xml version="1.0" encoding="utf-8"?>
<formControlPr xmlns="http://schemas.microsoft.com/office/spreadsheetml/2009/9/main" objectType="Radio" lockText="1" noThreeD="1"/>
</file>

<file path=xl/ctrlProps/ctrlProp5.xml><?xml version="1.0" encoding="utf-8"?>
<formControlPr xmlns="http://schemas.microsoft.com/office/spreadsheetml/2009/9/main" objectType="Radio" checked="Checked" lockText="1" noThreeD="1"/>
</file>

<file path=xl/ctrlProps/ctrlProp6.xml><?xml version="1.0" encoding="utf-8"?>
<formControlPr xmlns="http://schemas.microsoft.com/office/spreadsheetml/2009/9/main" objectType="GBox" noThreeD="1"/>
</file>

<file path=xl/ctrlProps/ctrlProp7.xml><?xml version="1.0" encoding="utf-8"?>
<formControlPr xmlns="http://schemas.microsoft.com/office/spreadsheetml/2009/9/main" objectType="Radio" checked="Checked" firstButton="1" fmlaLink="F12" lockText="1" noThreeD="1"/>
</file>

<file path=xl/ctrlProps/ctrlProp8.xml><?xml version="1.0" encoding="utf-8"?>
<formControlPr xmlns="http://schemas.microsoft.com/office/spreadsheetml/2009/9/main" objectType="Radio" lockText="1" noThreeD="1"/>
</file>

<file path=xl/ctrlProps/ctrlProp9.xml><?xml version="1.0" encoding="utf-8"?>
<formControlPr xmlns="http://schemas.microsoft.com/office/spreadsheetml/2009/9/main" objectType="Radio" lockText="1" noThreeD="1"/>
</file>

<file path=xl/theme/theme1.xml><?xml version="1.0" encoding="utf-8"?>
<a:theme xmlns:a="http://schemas.openxmlformats.org/drawingml/2006/main" name="Motiv sady Office">
  <a:themeElements>
    <a:clrScheme name="Kancelář">
      <a:dk1>
        <a:sysClr val="windowText" lastClr="000000"/>
      </a:dk1>
      <a:lt1>
        <a:sysClr val="window" lastClr="E1E1E1"/>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3" Type="http://schemas.openxmlformats.org/officeDocument/2006/relationships/ctrlProp" Target="../ctrlProps/ctrlProp4.xml"/><Relationship Id="rId18" Type="http://schemas.openxmlformats.org/officeDocument/2006/relationships/ctrlProp" Target="../ctrlProps/ctrlProp9.xml"/><Relationship Id="rId26" Type="http://schemas.openxmlformats.org/officeDocument/2006/relationships/ctrlProp" Target="../ctrlProps/ctrlProp17.xml"/><Relationship Id="rId39" Type="http://schemas.openxmlformats.org/officeDocument/2006/relationships/ctrlProp" Target="../ctrlProps/ctrlProp30.xml"/><Relationship Id="rId3" Type="http://schemas.openxmlformats.org/officeDocument/2006/relationships/hyperlink" Target="http://czso.cz/xb/edicniplan.nsf/kapitola/641302-09-za_rok_2009-13" TargetMode="External"/><Relationship Id="rId21" Type="http://schemas.openxmlformats.org/officeDocument/2006/relationships/ctrlProp" Target="../ctrlProps/ctrlProp12.xml"/><Relationship Id="rId34" Type="http://schemas.openxmlformats.org/officeDocument/2006/relationships/ctrlProp" Target="../ctrlProps/ctrlProp25.xml"/><Relationship Id="rId42" Type="http://schemas.openxmlformats.org/officeDocument/2006/relationships/ctrlProp" Target="../ctrlProps/ctrlProp33.xml"/><Relationship Id="rId47" Type="http://schemas.openxmlformats.org/officeDocument/2006/relationships/ctrlProp" Target="../ctrlProps/ctrlProp38.xml"/><Relationship Id="rId50" Type="http://schemas.openxmlformats.org/officeDocument/2006/relationships/ctrlProp" Target="../ctrlProps/ctrlProp41.xml"/><Relationship Id="rId7" Type="http://schemas.openxmlformats.org/officeDocument/2006/relationships/printerSettings" Target="../printerSettings/printerSettings3.bin"/><Relationship Id="rId12" Type="http://schemas.openxmlformats.org/officeDocument/2006/relationships/ctrlProp" Target="../ctrlProps/ctrlProp3.xml"/><Relationship Id="rId17" Type="http://schemas.openxmlformats.org/officeDocument/2006/relationships/ctrlProp" Target="../ctrlProps/ctrlProp8.xml"/><Relationship Id="rId25" Type="http://schemas.openxmlformats.org/officeDocument/2006/relationships/ctrlProp" Target="../ctrlProps/ctrlProp16.xml"/><Relationship Id="rId33" Type="http://schemas.openxmlformats.org/officeDocument/2006/relationships/ctrlProp" Target="../ctrlProps/ctrlProp24.xml"/><Relationship Id="rId38" Type="http://schemas.openxmlformats.org/officeDocument/2006/relationships/ctrlProp" Target="../ctrlProps/ctrlProp29.xml"/><Relationship Id="rId46" Type="http://schemas.openxmlformats.org/officeDocument/2006/relationships/ctrlProp" Target="../ctrlProps/ctrlProp37.xml"/><Relationship Id="rId2" Type="http://schemas.openxmlformats.org/officeDocument/2006/relationships/hyperlink" Target="http://czso.cz/csu/redakce.nsf/i/sta_cr" TargetMode="External"/><Relationship Id="rId16" Type="http://schemas.openxmlformats.org/officeDocument/2006/relationships/ctrlProp" Target="../ctrlProps/ctrlProp7.xml"/><Relationship Id="rId20" Type="http://schemas.openxmlformats.org/officeDocument/2006/relationships/ctrlProp" Target="../ctrlProps/ctrlProp11.xml"/><Relationship Id="rId29" Type="http://schemas.openxmlformats.org/officeDocument/2006/relationships/ctrlProp" Target="../ctrlProps/ctrlProp20.xml"/><Relationship Id="rId41" Type="http://schemas.openxmlformats.org/officeDocument/2006/relationships/ctrlProp" Target="../ctrlProps/ctrlProp32.xml"/><Relationship Id="rId54" Type="http://schemas.openxmlformats.org/officeDocument/2006/relationships/ctrlProp" Target="../ctrlProps/ctrlProp45.xml"/><Relationship Id="rId1" Type="http://schemas.openxmlformats.org/officeDocument/2006/relationships/hyperlink" Target="http://www.casopisstavebnictvi.cz/prehled-udaju-o-stavebnictvi-a-bytove-vystavbe-v-roce-2008_N2076" TargetMode="External"/><Relationship Id="rId6" Type="http://schemas.openxmlformats.org/officeDocument/2006/relationships/hyperlink" Target="http://www.czso.cz/csu/2015edicniplan.nsf/p/110025-15" TargetMode="External"/><Relationship Id="rId11" Type="http://schemas.openxmlformats.org/officeDocument/2006/relationships/ctrlProp" Target="../ctrlProps/ctrlProp2.xml"/><Relationship Id="rId24" Type="http://schemas.openxmlformats.org/officeDocument/2006/relationships/ctrlProp" Target="../ctrlProps/ctrlProp15.xml"/><Relationship Id="rId32" Type="http://schemas.openxmlformats.org/officeDocument/2006/relationships/ctrlProp" Target="../ctrlProps/ctrlProp23.xml"/><Relationship Id="rId37" Type="http://schemas.openxmlformats.org/officeDocument/2006/relationships/ctrlProp" Target="../ctrlProps/ctrlProp28.xml"/><Relationship Id="rId40" Type="http://schemas.openxmlformats.org/officeDocument/2006/relationships/ctrlProp" Target="../ctrlProps/ctrlProp31.xml"/><Relationship Id="rId45" Type="http://schemas.openxmlformats.org/officeDocument/2006/relationships/ctrlProp" Target="../ctrlProps/ctrlProp36.xml"/><Relationship Id="rId53" Type="http://schemas.openxmlformats.org/officeDocument/2006/relationships/ctrlProp" Target="../ctrlProps/ctrlProp44.xml"/><Relationship Id="rId5" Type="http://schemas.openxmlformats.org/officeDocument/2006/relationships/hyperlink" Target="http://www.cenovasoustava.cz/default.asp?Bid=1&amp;ID=1" TargetMode="External"/><Relationship Id="rId15" Type="http://schemas.openxmlformats.org/officeDocument/2006/relationships/ctrlProp" Target="../ctrlProps/ctrlProp6.xml"/><Relationship Id="rId23" Type="http://schemas.openxmlformats.org/officeDocument/2006/relationships/ctrlProp" Target="../ctrlProps/ctrlProp14.xml"/><Relationship Id="rId28" Type="http://schemas.openxmlformats.org/officeDocument/2006/relationships/ctrlProp" Target="../ctrlProps/ctrlProp19.xml"/><Relationship Id="rId36" Type="http://schemas.openxmlformats.org/officeDocument/2006/relationships/ctrlProp" Target="../ctrlProps/ctrlProp27.xml"/><Relationship Id="rId49" Type="http://schemas.openxmlformats.org/officeDocument/2006/relationships/ctrlProp" Target="../ctrlProps/ctrlProp40.xml"/><Relationship Id="rId10" Type="http://schemas.openxmlformats.org/officeDocument/2006/relationships/ctrlProp" Target="../ctrlProps/ctrlProp1.xml"/><Relationship Id="rId19" Type="http://schemas.openxmlformats.org/officeDocument/2006/relationships/ctrlProp" Target="../ctrlProps/ctrlProp10.xml"/><Relationship Id="rId31" Type="http://schemas.openxmlformats.org/officeDocument/2006/relationships/ctrlProp" Target="../ctrlProps/ctrlProp22.xml"/><Relationship Id="rId44" Type="http://schemas.openxmlformats.org/officeDocument/2006/relationships/ctrlProp" Target="../ctrlProps/ctrlProp35.xml"/><Relationship Id="rId52" Type="http://schemas.openxmlformats.org/officeDocument/2006/relationships/ctrlProp" Target="../ctrlProps/ctrlProp43.xml"/><Relationship Id="rId4" Type="http://schemas.openxmlformats.org/officeDocument/2006/relationships/hyperlink" Target="http://www.czso.cz/csu/2008edicniplan.nsf/t/6D002CF518/$File/8201081209.pdf" TargetMode="External"/><Relationship Id="rId14" Type="http://schemas.openxmlformats.org/officeDocument/2006/relationships/ctrlProp" Target="../ctrlProps/ctrlProp5.xml"/><Relationship Id="rId22" Type="http://schemas.openxmlformats.org/officeDocument/2006/relationships/ctrlProp" Target="../ctrlProps/ctrlProp13.xml"/><Relationship Id="rId27" Type="http://schemas.openxmlformats.org/officeDocument/2006/relationships/ctrlProp" Target="../ctrlProps/ctrlProp18.xml"/><Relationship Id="rId30" Type="http://schemas.openxmlformats.org/officeDocument/2006/relationships/ctrlProp" Target="../ctrlProps/ctrlProp21.xml"/><Relationship Id="rId35" Type="http://schemas.openxmlformats.org/officeDocument/2006/relationships/ctrlProp" Target="../ctrlProps/ctrlProp26.xml"/><Relationship Id="rId43" Type="http://schemas.openxmlformats.org/officeDocument/2006/relationships/ctrlProp" Target="../ctrlProps/ctrlProp34.xml"/><Relationship Id="rId48" Type="http://schemas.openxmlformats.org/officeDocument/2006/relationships/ctrlProp" Target="../ctrlProps/ctrlProp39.xml"/><Relationship Id="rId8" Type="http://schemas.openxmlformats.org/officeDocument/2006/relationships/vmlDrawing" Target="../drawings/vmlDrawing1.vml"/><Relationship Id="rId51" Type="http://schemas.openxmlformats.org/officeDocument/2006/relationships/ctrlProp" Target="../ctrlProps/ctrlProp42.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sheetPr codeName="List1">
    <pageSetUpPr fitToPage="1"/>
  </sheetPr>
  <dimension ref="A1:K246"/>
  <sheetViews>
    <sheetView tabSelected="1" view="pageBreakPreview" zoomScaleNormal="100" zoomScaleSheetLayoutView="100" workbookViewId="0">
      <pane ySplit="2" topLeftCell="A3" activePane="bottomLeft" state="frozen"/>
      <selection pane="bottomLeft" activeCell="G238" sqref="G238"/>
    </sheetView>
  </sheetViews>
  <sheetFormatPr defaultColWidth="9.140625" defaultRowHeight="15"/>
  <cols>
    <col min="1" max="1" width="9.140625" style="19"/>
    <col min="2" max="2" width="5" style="19" customWidth="1"/>
    <col min="3" max="3" width="18.7109375" style="19" bestFit="1" customWidth="1"/>
    <col min="4" max="4" width="76.7109375" style="19" customWidth="1"/>
    <col min="5" max="5" width="9.5703125" style="19" bestFit="1" customWidth="1"/>
    <col min="6" max="6" width="10.7109375" style="19" customWidth="1"/>
    <col min="7" max="7" width="12.7109375" style="19" customWidth="1"/>
    <col min="8" max="8" width="14.7109375" style="19" customWidth="1"/>
    <col min="9" max="9" width="9.140625" style="19" customWidth="1"/>
    <col min="10" max="11" width="9.140625" style="19" hidden="1" customWidth="1"/>
    <col min="12" max="14" width="9.140625" style="19" customWidth="1"/>
    <col min="15" max="16384" width="9.140625" style="19"/>
  </cols>
  <sheetData>
    <row r="1" spans="1:11">
      <c r="A1" s="102" t="s">
        <v>103</v>
      </c>
      <c r="B1" s="102" t="s">
        <v>575</v>
      </c>
      <c r="C1" s="102" t="s">
        <v>585</v>
      </c>
      <c r="D1" s="102" t="s">
        <v>104</v>
      </c>
      <c r="E1" s="102" t="s">
        <v>41</v>
      </c>
      <c r="F1" s="102" t="s">
        <v>105</v>
      </c>
      <c r="G1" s="102" t="s">
        <v>106</v>
      </c>
      <c r="H1" s="102" t="s">
        <v>84</v>
      </c>
      <c r="J1" s="19" t="s">
        <v>190</v>
      </c>
      <c r="K1" s="19" t="s">
        <v>191</v>
      </c>
    </row>
    <row r="2" spans="1:11">
      <c r="A2" s="18"/>
      <c r="B2" s="18"/>
      <c r="C2" s="18"/>
      <c r="D2" s="18"/>
      <c r="E2" s="18"/>
      <c r="F2" s="18"/>
      <c r="G2" s="18"/>
      <c r="H2" s="52">
        <f>H41</f>
        <v>0</v>
      </c>
    </row>
    <row r="3" spans="1:11">
      <c r="A3" s="18"/>
    </row>
    <row r="5" spans="1:11" ht="21">
      <c r="D5" s="37"/>
      <c r="E5" s="38"/>
      <c r="F5" s="38"/>
      <c r="G5" s="38"/>
      <c r="H5" s="193"/>
    </row>
    <row r="6" spans="1:11" ht="18.75">
      <c r="D6" s="39"/>
      <c r="E6" s="40"/>
      <c r="F6" s="40"/>
      <c r="G6" s="40"/>
      <c r="H6" s="194"/>
    </row>
    <row r="7" spans="1:11" ht="23.25">
      <c r="D7" s="141" t="s">
        <v>1317</v>
      </c>
      <c r="E7" s="40"/>
      <c r="F7" s="40"/>
      <c r="G7" s="40"/>
      <c r="H7" s="195" t="s">
        <v>206</v>
      </c>
    </row>
    <row r="8" spans="1:11" ht="21">
      <c r="D8" s="202" t="s">
        <v>1326</v>
      </c>
      <c r="E8" s="40"/>
      <c r="F8" s="40"/>
      <c r="G8" s="40"/>
      <c r="H8" s="196"/>
    </row>
    <row r="9" spans="1:11" ht="21">
      <c r="D9" s="202" t="s">
        <v>1318</v>
      </c>
      <c r="E9" s="40"/>
      <c r="F9" s="40"/>
      <c r="G9" s="40"/>
      <c r="H9" s="197"/>
    </row>
    <row r="10" spans="1:11">
      <c r="D10" s="39"/>
      <c r="E10" s="40"/>
      <c r="F10" s="40"/>
      <c r="G10" s="40"/>
      <c r="H10" s="197"/>
    </row>
    <row r="11" spans="1:11">
      <c r="D11" s="39"/>
      <c r="E11" s="40"/>
      <c r="F11" s="40"/>
      <c r="G11" s="40"/>
      <c r="H11" s="197"/>
    </row>
    <row r="12" spans="1:11" ht="21">
      <c r="D12" s="56"/>
      <c r="E12" s="40"/>
      <c r="F12" s="40"/>
      <c r="G12" s="40"/>
      <c r="H12" s="196" t="s">
        <v>89</v>
      </c>
    </row>
    <row r="13" spans="1:11" ht="21">
      <c r="D13" s="56"/>
      <c r="E13" s="40"/>
      <c r="F13" s="40"/>
      <c r="G13" s="40"/>
      <c r="H13" s="196"/>
    </row>
    <row r="14" spans="1:11" ht="21">
      <c r="D14" s="51"/>
      <c r="E14" s="40"/>
      <c r="F14" s="40"/>
      <c r="G14" s="40"/>
      <c r="H14" s="196"/>
    </row>
    <row r="15" spans="1:11" ht="21">
      <c r="D15" s="56" t="s">
        <v>1319</v>
      </c>
      <c r="E15" s="40"/>
      <c r="F15" s="40"/>
      <c r="G15" s="40"/>
      <c r="H15" s="196" t="s">
        <v>587</v>
      </c>
    </row>
    <row r="16" spans="1:11" ht="21">
      <c r="D16" s="51"/>
      <c r="E16" s="40"/>
      <c r="F16" s="40"/>
      <c r="G16" s="40"/>
      <c r="H16" s="196"/>
    </row>
    <row r="17" spans="3:8" ht="19.5" thickBot="1">
      <c r="D17" s="198"/>
      <c r="E17" s="199"/>
      <c r="F17" s="199"/>
      <c r="G17" s="199"/>
      <c r="H17" s="200"/>
    </row>
    <row r="18" spans="3:8" ht="15.75" thickTop="1"/>
    <row r="23" spans="3:8" ht="23.25">
      <c r="D23" s="20" t="s">
        <v>16</v>
      </c>
    </row>
    <row r="25" spans="3:8">
      <c r="G25" s="22"/>
    </row>
    <row r="27" spans="3:8">
      <c r="D27" s="18"/>
      <c r="H27" s="22"/>
    </row>
    <row r="28" spans="3:8">
      <c r="D28" s="41" t="s">
        <v>1324</v>
      </c>
      <c r="H28" s="22">
        <f>Specifikace!H152</f>
        <v>0</v>
      </c>
    </row>
    <row r="29" spans="3:8">
      <c r="D29" s="41" t="s">
        <v>1295</v>
      </c>
      <c r="H29" s="22">
        <f>H171</f>
        <v>0</v>
      </c>
    </row>
    <row r="30" spans="3:8">
      <c r="C30" s="22"/>
      <c r="D30" s="41" t="s">
        <v>162</v>
      </c>
      <c r="H30" s="22">
        <f>H186</f>
        <v>0</v>
      </c>
    </row>
    <row r="31" spans="3:8">
      <c r="C31" s="22"/>
      <c r="D31" s="21" t="s">
        <v>1311</v>
      </c>
      <c r="H31" s="22">
        <f>Specifikace!H205</f>
        <v>0</v>
      </c>
    </row>
    <row r="32" spans="3:8">
      <c r="D32" s="41" t="s">
        <v>651</v>
      </c>
      <c r="H32" s="22">
        <f>Specifikace!H216</f>
        <v>0</v>
      </c>
    </row>
    <row r="34" spans="4:8">
      <c r="D34" s="41" t="s">
        <v>682</v>
      </c>
      <c r="H34" s="22">
        <f>H240</f>
        <v>0</v>
      </c>
    </row>
    <row r="37" spans="4:8">
      <c r="D37" s="35" t="s">
        <v>93</v>
      </c>
      <c r="H37" s="43">
        <f>SUM(H27:H36)</f>
        <v>0</v>
      </c>
    </row>
    <row r="39" spans="4:8">
      <c r="D39" s="19" t="s">
        <v>94</v>
      </c>
      <c r="E39" s="44">
        <v>0.21</v>
      </c>
      <c r="H39" s="22">
        <f>ROUND(H37*E39,0)</f>
        <v>0</v>
      </c>
    </row>
    <row r="41" spans="4:8" ht="15.75">
      <c r="D41" s="23" t="s">
        <v>95</v>
      </c>
      <c r="H41" s="45">
        <f>H37+H39</f>
        <v>0</v>
      </c>
    </row>
    <row r="46" spans="4:8" ht="18.75">
      <c r="D46" s="111" t="s">
        <v>253</v>
      </c>
    </row>
    <row r="47" spans="4:8" s="36" customFormat="1">
      <c r="D47" s="35" t="s">
        <v>254</v>
      </c>
      <c r="E47" s="19"/>
      <c r="F47" s="19"/>
      <c r="G47" s="19"/>
      <c r="H47" s="19"/>
    </row>
    <row r="48" spans="4:8" s="47" customFormat="1" ht="30" customHeight="1">
      <c r="D48" s="234" t="s">
        <v>207</v>
      </c>
      <c r="E48" s="234"/>
      <c r="F48" s="234"/>
      <c r="G48" s="234"/>
      <c r="H48" s="234"/>
    </row>
    <row r="49" spans="4:8" s="47" customFormat="1" ht="60" customHeight="1">
      <c r="D49" s="234" t="s">
        <v>208</v>
      </c>
      <c r="E49" s="234"/>
      <c r="F49" s="234"/>
      <c r="G49" s="234"/>
      <c r="H49" s="234"/>
    </row>
    <row r="50" spans="4:8" s="47" customFormat="1" ht="30" customHeight="1">
      <c r="D50" s="234" t="s">
        <v>209</v>
      </c>
      <c r="E50" s="234"/>
      <c r="F50" s="234"/>
      <c r="G50" s="234"/>
      <c r="H50" s="234"/>
    </row>
    <row r="51" spans="4:8" s="47" customFormat="1" ht="60" customHeight="1">
      <c r="D51" s="234" t="s">
        <v>210</v>
      </c>
      <c r="E51" s="234"/>
      <c r="F51" s="234"/>
      <c r="G51" s="234"/>
      <c r="H51" s="234"/>
    </row>
    <row r="52" spans="4:8" s="36" customFormat="1">
      <c r="D52" s="35" t="s">
        <v>211</v>
      </c>
      <c r="E52" s="19"/>
      <c r="F52" s="19"/>
      <c r="G52" s="19"/>
      <c r="H52" s="19"/>
    </row>
    <row r="53" spans="4:8" s="57" customFormat="1">
      <c r="D53" s="112" t="s">
        <v>212</v>
      </c>
      <c r="E53" s="19"/>
      <c r="F53" s="19"/>
      <c r="G53" s="19"/>
      <c r="H53" s="19"/>
    </row>
    <row r="54" spans="4:8" s="47" customFormat="1">
      <c r="D54" s="19" t="s">
        <v>213</v>
      </c>
      <c r="E54" s="19"/>
      <c r="F54" s="19"/>
      <c r="G54" s="19"/>
      <c r="H54" s="19"/>
    </row>
    <row r="55" spans="4:8" s="47" customFormat="1">
      <c r="D55" s="19" t="s">
        <v>214</v>
      </c>
      <c r="E55" s="19"/>
      <c r="F55" s="19"/>
      <c r="G55" s="19"/>
      <c r="H55" s="19"/>
    </row>
    <row r="56" spans="4:8" s="57" customFormat="1">
      <c r="D56" s="112" t="s">
        <v>215</v>
      </c>
      <c r="E56" s="19"/>
      <c r="F56" s="19"/>
      <c r="G56" s="19"/>
      <c r="H56" s="19"/>
    </row>
    <row r="57" spans="4:8" s="47" customFormat="1" ht="45" customHeight="1">
      <c r="D57" s="234" t="s">
        <v>216</v>
      </c>
      <c r="E57" s="234"/>
      <c r="F57" s="234"/>
      <c r="G57" s="234"/>
      <c r="H57" s="234"/>
    </row>
    <row r="58" spans="4:8" s="47" customFormat="1" ht="30" customHeight="1">
      <c r="D58" s="234" t="s">
        <v>217</v>
      </c>
      <c r="E58" s="234"/>
      <c r="F58" s="234"/>
      <c r="G58" s="234"/>
      <c r="H58" s="234"/>
    </row>
    <row r="59" spans="4:8" s="57" customFormat="1">
      <c r="D59" s="112" t="s">
        <v>218</v>
      </c>
      <c r="E59" s="19"/>
      <c r="F59" s="19"/>
      <c r="G59" s="19"/>
      <c r="H59" s="19"/>
    </row>
    <row r="60" spans="4:8" s="47" customFormat="1">
      <c r="D60" s="19" t="s">
        <v>219</v>
      </c>
      <c r="E60" s="19"/>
      <c r="F60" s="19"/>
      <c r="G60" s="19"/>
      <c r="H60" s="19"/>
    </row>
    <row r="61" spans="4:8" s="47" customFormat="1">
      <c r="D61" s="19" t="s">
        <v>220</v>
      </c>
      <c r="E61" s="19"/>
      <c r="F61" s="19"/>
      <c r="G61" s="19"/>
      <c r="H61" s="19"/>
    </row>
    <row r="62" spans="4:8" s="47" customFormat="1">
      <c r="D62" s="19" t="s">
        <v>1274</v>
      </c>
      <c r="E62" s="19"/>
      <c r="F62" s="19"/>
      <c r="G62" s="19"/>
      <c r="H62" s="19"/>
    </row>
    <row r="63" spans="4:8" s="47" customFormat="1" ht="30" customHeight="1">
      <c r="D63" s="234" t="s">
        <v>221</v>
      </c>
      <c r="E63" s="234"/>
      <c r="F63" s="234"/>
      <c r="G63" s="234"/>
      <c r="H63" s="234"/>
    </row>
    <row r="64" spans="4:8" s="57" customFormat="1">
      <c r="D64" s="112" t="s">
        <v>222</v>
      </c>
      <c r="E64" s="19"/>
      <c r="F64" s="19"/>
      <c r="G64" s="19"/>
      <c r="H64" s="19"/>
    </row>
    <row r="65" spans="4:8" s="57" customFormat="1">
      <c r="D65" s="112" t="s">
        <v>223</v>
      </c>
      <c r="E65" s="19"/>
      <c r="F65" s="19"/>
      <c r="G65" s="19"/>
      <c r="H65" s="19"/>
    </row>
    <row r="66" spans="4:8" s="47" customFormat="1">
      <c r="D66" s="19" t="s">
        <v>224</v>
      </c>
      <c r="E66" s="19"/>
      <c r="F66" s="19"/>
      <c r="G66" s="19"/>
      <c r="H66" s="19"/>
    </row>
    <row r="67" spans="4:8" s="47" customFormat="1" ht="30" customHeight="1">
      <c r="D67" s="234" t="s">
        <v>225</v>
      </c>
      <c r="E67" s="234"/>
      <c r="F67" s="234"/>
      <c r="G67" s="234"/>
      <c r="H67" s="234"/>
    </row>
    <row r="68" spans="4:8" s="47" customFormat="1" ht="30" customHeight="1">
      <c r="D68" s="234" t="s">
        <v>226</v>
      </c>
      <c r="E68" s="234"/>
      <c r="F68" s="234"/>
      <c r="G68" s="234"/>
      <c r="H68" s="234"/>
    </row>
    <row r="69" spans="4:8" s="47" customFormat="1" ht="30" customHeight="1">
      <c r="D69" s="234" t="s">
        <v>227</v>
      </c>
      <c r="E69" s="234"/>
      <c r="F69" s="234"/>
      <c r="G69" s="234"/>
      <c r="H69" s="234"/>
    </row>
    <row r="70" spans="4:8" s="47" customFormat="1" ht="45" customHeight="1">
      <c r="D70" s="234" t="s">
        <v>228</v>
      </c>
      <c r="E70" s="234"/>
      <c r="F70" s="234"/>
      <c r="G70" s="234"/>
      <c r="H70" s="234"/>
    </row>
    <row r="71" spans="4:8" s="47" customFormat="1" ht="30" customHeight="1">
      <c r="D71" s="234" t="s">
        <v>246</v>
      </c>
      <c r="E71" s="234"/>
      <c r="F71" s="234"/>
      <c r="G71" s="234"/>
      <c r="H71" s="234"/>
    </row>
    <row r="72" spans="4:8" s="47" customFormat="1" ht="30" customHeight="1">
      <c r="D72" s="234" t="s">
        <v>247</v>
      </c>
      <c r="E72" s="234"/>
      <c r="F72" s="234"/>
      <c r="G72" s="234"/>
      <c r="H72" s="234"/>
    </row>
    <row r="73" spans="4:8" s="47" customFormat="1">
      <c r="D73" s="19" t="s">
        <v>248</v>
      </c>
      <c r="E73" s="19"/>
      <c r="F73" s="19"/>
      <c r="G73" s="19"/>
      <c r="H73" s="19"/>
    </row>
    <row r="74" spans="4:8" s="47" customFormat="1" ht="45" customHeight="1">
      <c r="D74" s="234" t="s">
        <v>602</v>
      </c>
      <c r="E74" s="234"/>
      <c r="F74" s="234"/>
      <c r="G74" s="234"/>
      <c r="H74" s="234"/>
    </row>
    <row r="75" spans="4:8" s="47" customFormat="1">
      <c r="D75" s="19" t="s">
        <v>249</v>
      </c>
      <c r="E75" s="19"/>
      <c r="F75" s="19"/>
      <c r="G75" s="19"/>
      <c r="H75" s="19"/>
    </row>
    <row r="76" spans="4:8" s="47" customFormat="1">
      <c r="D76" s="19" t="s">
        <v>250</v>
      </c>
      <c r="E76" s="19"/>
      <c r="F76" s="19"/>
      <c r="G76" s="19"/>
      <c r="H76" s="19"/>
    </row>
    <row r="77" spans="4:8" s="57" customFormat="1" ht="30" customHeight="1">
      <c r="D77" s="235" t="s">
        <v>251</v>
      </c>
      <c r="E77" s="236"/>
      <c r="F77" s="236"/>
      <c r="G77" s="236"/>
      <c r="H77" s="236"/>
    </row>
    <row r="78" spans="4:8" s="57" customFormat="1">
      <c r="D78" s="112" t="s">
        <v>229</v>
      </c>
      <c r="E78" s="19"/>
      <c r="F78" s="19"/>
      <c r="G78" s="19"/>
      <c r="H78" s="19"/>
    </row>
    <row r="79" spans="4:8" s="57" customFormat="1">
      <c r="D79" s="112" t="s">
        <v>230</v>
      </c>
      <c r="E79" s="19"/>
      <c r="F79" s="19"/>
      <c r="G79" s="19"/>
      <c r="H79" s="19"/>
    </row>
    <row r="80" spans="4:8" s="47" customFormat="1" ht="45" customHeight="1">
      <c r="D80" s="234" t="s">
        <v>231</v>
      </c>
      <c r="E80" s="234"/>
      <c r="F80" s="234"/>
      <c r="G80" s="234"/>
      <c r="H80" s="234"/>
    </row>
    <row r="81" spans="4:8" s="47" customFormat="1">
      <c r="D81" s="19" t="s">
        <v>232</v>
      </c>
      <c r="E81" s="19"/>
      <c r="F81" s="19"/>
      <c r="G81" s="19"/>
      <c r="H81" s="19"/>
    </row>
    <row r="82" spans="4:8" s="47" customFormat="1" ht="45" customHeight="1">
      <c r="D82" s="234" t="s">
        <v>270</v>
      </c>
      <c r="E82" s="234"/>
      <c r="F82" s="234"/>
      <c r="G82" s="234"/>
      <c r="H82" s="234"/>
    </row>
    <row r="83" spans="4:8" s="47" customFormat="1">
      <c r="D83" s="19" t="s">
        <v>233</v>
      </c>
      <c r="E83" s="19"/>
      <c r="F83" s="19"/>
      <c r="G83" s="19"/>
      <c r="H83" s="19"/>
    </row>
    <row r="84" spans="4:8" s="47" customFormat="1" ht="30" customHeight="1">
      <c r="D84" s="234" t="s">
        <v>234</v>
      </c>
      <c r="E84" s="234"/>
      <c r="F84" s="234"/>
      <c r="G84" s="234"/>
      <c r="H84" s="234"/>
    </row>
    <row r="85" spans="4:8" s="47" customFormat="1" ht="45" customHeight="1">
      <c r="D85" s="234" t="s">
        <v>235</v>
      </c>
      <c r="E85" s="234"/>
      <c r="F85" s="234"/>
      <c r="G85" s="234"/>
      <c r="H85" s="234"/>
    </row>
    <row r="86" spans="4:8" s="47" customFormat="1" ht="60" customHeight="1">
      <c r="D86" s="234" t="s">
        <v>271</v>
      </c>
      <c r="E86" s="234"/>
      <c r="F86" s="234"/>
      <c r="G86" s="234"/>
      <c r="H86" s="234"/>
    </row>
    <row r="87" spans="4:8" s="47" customFormat="1" ht="45" customHeight="1">
      <c r="D87" s="234" t="s">
        <v>236</v>
      </c>
      <c r="E87" s="234"/>
      <c r="F87" s="234"/>
      <c r="G87" s="234"/>
      <c r="H87" s="234"/>
    </row>
    <row r="88" spans="4:8" s="47" customFormat="1">
      <c r="D88" s="19" t="s">
        <v>237</v>
      </c>
      <c r="E88" s="19"/>
      <c r="F88" s="19"/>
      <c r="G88" s="19"/>
      <c r="H88" s="19"/>
    </row>
    <row r="89" spans="4:8" s="47" customFormat="1">
      <c r="D89" s="19" t="s">
        <v>238</v>
      </c>
      <c r="E89" s="19"/>
      <c r="F89" s="19"/>
      <c r="G89" s="19"/>
      <c r="H89" s="19"/>
    </row>
    <row r="90" spans="4:8" s="47" customFormat="1">
      <c r="D90" s="19" t="s">
        <v>255</v>
      </c>
      <c r="E90" s="19"/>
      <c r="F90" s="19"/>
      <c r="G90" s="19"/>
      <c r="H90" s="19"/>
    </row>
    <row r="91" spans="4:8" s="47" customFormat="1">
      <c r="D91" s="234" t="s">
        <v>256</v>
      </c>
      <c r="E91" s="234"/>
      <c r="F91" s="234"/>
      <c r="G91" s="234"/>
      <c r="H91" s="234"/>
    </row>
    <row r="92" spans="4:8" s="47" customFormat="1" ht="28.9" customHeight="1">
      <c r="D92" s="233" t="s">
        <v>854</v>
      </c>
      <c r="E92" s="233"/>
      <c r="F92" s="233"/>
      <c r="G92" s="233"/>
      <c r="H92" s="233"/>
    </row>
    <row r="93" spans="4:8" s="47" customFormat="1" ht="45" customHeight="1">
      <c r="D93" s="234" t="s">
        <v>257</v>
      </c>
      <c r="E93" s="234"/>
      <c r="F93" s="234"/>
      <c r="G93" s="234"/>
      <c r="H93" s="234"/>
    </row>
    <row r="94" spans="4:8" s="47" customFormat="1">
      <c r="D94" s="19" t="s">
        <v>258</v>
      </c>
      <c r="E94" s="19"/>
      <c r="F94" s="19"/>
      <c r="G94" s="19"/>
      <c r="H94" s="19"/>
    </row>
    <row r="95" spans="4:8" s="47" customFormat="1">
      <c r="D95" s="19" t="s">
        <v>259</v>
      </c>
      <c r="E95" s="19"/>
      <c r="F95" s="19"/>
      <c r="G95" s="19"/>
      <c r="H95" s="19"/>
    </row>
    <row r="96" spans="4:8" s="47" customFormat="1">
      <c r="D96" s="19" t="s">
        <v>260</v>
      </c>
      <c r="E96" s="19"/>
      <c r="F96" s="19"/>
      <c r="G96" s="19"/>
      <c r="H96" s="19"/>
    </row>
    <row r="97" spans="4:8" s="47" customFormat="1" ht="45" customHeight="1">
      <c r="D97" s="234" t="s">
        <v>261</v>
      </c>
      <c r="E97" s="234"/>
      <c r="F97" s="234"/>
      <c r="G97" s="234"/>
      <c r="H97" s="234"/>
    </row>
    <row r="98" spans="4:8" s="47" customFormat="1" ht="30" customHeight="1">
      <c r="D98" s="234" t="s">
        <v>262</v>
      </c>
      <c r="E98" s="234"/>
      <c r="F98" s="234"/>
      <c r="G98" s="234"/>
      <c r="H98" s="234"/>
    </row>
    <row r="99" spans="4:8" s="47" customFormat="1" ht="30" customHeight="1">
      <c r="D99" s="234" t="s">
        <v>263</v>
      </c>
      <c r="E99" s="234"/>
      <c r="F99" s="234"/>
      <c r="G99" s="234"/>
      <c r="H99" s="234"/>
    </row>
    <row r="100" spans="4:8" s="47" customFormat="1">
      <c r="D100" s="19" t="s">
        <v>264</v>
      </c>
      <c r="E100" s="19"/>
      <c r="F100" s="19"/>
      <c r="G100" s="19"/>
      <c r="H100" s="19"/>
    </row>
    <row r="101" spans="4:8" s="47" customFormat="1" ht="45" customHeight="1">
      <c r="D101" s="234" t="s">
        <v>265</v>
      </c>
      <c r="E101" s="234"/>
      <c r="F101" s="234"/>
      <c r="G101" s="234"/>
      <c r="H101" s="234"/>
    </row>
    <row r="102" spans="4:8" s="47" customFormat="1" ht="45" customHeight="1">
      <c r="D102" s="234" t="s">
        <v>266</v>
      </c>
      <c r="E102" s="234"/>
      <c r="F102" s="234"/>
      <c r="G102" s="234"/>
      <c r="H102" s="234"/>
    </row>
    <row r="103" spans="4:8" s="47" customFormat="1">
      <c r="D103" s="19" t="s">
        <v>267</v>
      </c>
      <c r="E103" s="19"/>
      <c r="F103" s="19"/>
      <c r="G103" s="19"/>
      <c r="H103" s="19"/>
    </row>
    <row r="104" spans="4:8" s="47" customFormat="1">
      <c r="D104" s="19" t="s">
        <v>268</v>
      </c>
      <c r="E104" s="19"/>
      <c r="F104" s="19"/>
      <c r="G104" s="19"/>
      <c r="H104" s="19"/>
    </row>
    <row r="105" spans="4:8" s="47" customFormat="1">
      <c r="D105" s="19" t="s">
        <v>269</v>
      </c>
      <c r="E105" s="19"/>
      <c r="F105" s="19"/>
      <c r="G105" s="19"/>
      <c r="H105" s="19"/>
    </row>
    <row r="106" spans="4:8" s="36" customFormat="1">
      <c r="D106" s="35" t="s">
        <v>239</v>
      </c>
      <c r="E106" s="19"/>
      <c r="F106" s="19"/>
      <c r="G106" s="19"/>
      <c r="H106" s="19"/>
    </row>
    <row r="107" spans="4:8" s="47" customFormat="1" ht="45" customHeight="1">
      <c r="D107" s="234" t="s">
        <v>240</v>
      </c>
      <c r="E107" s="234"/>
      <c r="F107" s="234"/>
      <c r="G107" s="234"/>
      <c r="H107" s="234"/>
    </row>
    <row r="108" spans="4:8" s="47" customFormat="1">
      <c r="D108" s="19" t="s">
        <v>241</v>
      </c>
      <c r="E108" s="19"/>
      <c r="F108" s="19"/>
      <c r="G108" s="19"/>
      <c r="H108" s="19"/>
    </row>
    <row r="109" spans="4:8" s="47" customFormat="1" ht="30" customHeight="1">
      <c r="D109" s="234" t="s">
        <v>242</v>
      </c>
      <c r="E109" s="234"/>
      <c r="F109" s="234"/>
      <c r="G109" s="234"/>
      <c r="H109" s="234"/>
    </row>
    <row r="110" spans="4:8" s="47" customFormat="1" ht="45" customHeight="1">
      <c r="D110" s="234" t="s">
        <v>243</v>
      </c>
      <c r="E110" s="234"/>
      <c r="F110" s="234"/>
      <c r="G110" s="234"/>
      <c r="H110" s="234"/>
    </row>
    <row r="111" spans="4:8" s="47" customFormat="1">
      <c r="D111" s="19" t="s">
        <v>244</v>
      </c>
      <c r="E111" s="19"/>
      <c r="F111" s="19"/>
      <c r="G111" s="19"/>
      <c r="H111" s="19"/>
    </row>
    <row r="112" spans="4:8" s="47" customFormat="1">
      <c r="D112" s="19" t="s">
        <v>245</v>
      </c>
      <c r="E112" s="19"/>
      <c r="F112" s="19"/>
      <c r="G112" s="19"/>
      <c r="H112" s="19"/>
    </row>
    <row r="121" spans="1:8">
      <c r="A121" s="49" t="s">
        <v>103</v>
      </c>
      <c r="B121" s="49" t="s">
        <v>575</v>
      </c>
      <c r="C121" s="49" t="s">
        <v>585</v>
      </c>
      <c r="D121" s="49" t="s">
        <v>104</v>
      </c>
      <c r="E121" s="49" t="s">
        <v>41</v>
      </c>
      <c r="F121" s="49" t="s">
        <v>105</v>
      </c>
      <c r="G121" s="49" t="s">
        <v>106</v>
      </c>
      <c r="H121" s="49" t="s">
        <v>84</v>
      </c>
    </row>
    <row r="123" spans="1:8">
      <c r="D123" s="24"/>
    </row>
    <row r="126" spans="1:8" ht="28.5">
      <c r="D126" s="58" t="s">
        <v>790</v>
      </c>
    </row>
    <row r="130" spans="1:10" ht="18.75">
      <c r="D130" s="11" t="str">
        <f>R_41</f>
        <v>Zemní práce, základy</v>
      </c>
      <c r="F130" s="5"/>
      <c r="G130" s="4"/>
      <c r="H130" s="5"/>
    </row>
    <row r="131" spans="1:10">
      <c r="D131" s="7"/>
      <c r="F131" s="174"/>
      <c r="G131" s="4"/>
      <c r="H131" s="5"/>
    </row>
    <row r="132" spans="1:10">
      <c r="D132" s="7"/>
      <c r="F132" s="174"/>
      <c r="G132" s="4"/>
      <c r="H132" s="5"/>
    </row>
    <row r="133" spans="1:10" ht="30">
      <c r="A133" s="10"/>
      <c r="D133" s="201" t="s">
        <v>982</v>
      </c>
      <c r="F133" s="174"/>
      <c r="G133" s="4"/>
      <c r="H133" s="8"/>
    </row>
    <row r="134" spans="1:10">
      <c r="A134" s="10"/>
      <c r="D134" s="1"/>
      <c r="F134" s="174"/>
      <c r="G134" s="4"/>
      <c r="H134" s="8"/>
    </row>
    <row r="135" spans="1:10" ht="30">
      <c r="A135" s="10">
        <f>MAX(A$123:A134)+1</f>
        <v>1</v>
      </c>
      <c r="B135" s="19">
        <v>1</v>
      </c>
      <c r="C135" s="5" t="s">
        <v>1284</v>
      </c>
      <c r="D135" s="7" t="s">
        <v>1327</v>
      </c>
      <c r="E135" s="205" t="s">
        <v>272</v>
      </c>
      <c r="F135" s="173">
        <f>CEILING(((2.84+0.05*2)*(0.37+0.05*2)*1)*2,0.05)</f>
        <v>2.8000000000000003</v>
      </c>
      <c r="G135" s="4"/>
      <c r="H135" s="8">
        <f t="shared" ref="H135" si="0">ROUND(F135*G135,0)</f>
        <v>0</v>
      </c>
      <c r="J135" s="19">
        <v>0</v>
      </c>
    </row>
    <row r="136" spans="1:10">
      <c r="A136" s="10">
        <f>MAX(A$123:A135)+1</f>
        <v>2</v>
      </c>
      <c r="B136" s="19">
        <v>1</v>
      </c>
      <c r="C136" s="19" t="s">
        <v>1285</v>
      </c>
      <c r="D136" s="1" t="s">
        <v>1286</v>
      </c>
      <c r="E136" s="19" t="s">
        <v>272</v>
      </c>
      <c r="F136" s="231">
        <f>F135-F139</f>
        <v>2.2000000000000002</v>
      </c>
      <c r="G136" s="4"/>
      <c r="H136" s="8">
        <f t="shared" ref="H136:H138" si="1">ROUND(F136*G136,0)</f>
        <v>0</v>
      </c>
      <c r="J136" s="19">
        <v>0</v>
      </c>
    </row>
    <row r="137" spans="1:10">
      <c r="A137" s="10">
        <f>MAX(A$123:A136)+1</f>
        <v>3</v>
      </c>
      <c r="B137" s="19">
        <v>1</v>
      </c>
      <c r="C137" s="19" t="s">
        <v>1287</v>
      </c>
      <c r="D137" s="1" t="s">
        <v>1288</v>
      </c>
      <c r="E137" s="19" t="s">
        <v>272</v>
      </c>
      <c r="F137" s="231">
        <f>F136</f>
        <v>2.2000000000000002</v>
      </c>
      <c r="G137" s="4"/>
      <c r="H137" s="8">
        <f t="shared" si="1"/>
        <v>0</v>
      </c>
      <c r="J137" s="19">
        <v>0</v>
      </c>
    </row>
    <row r="138" spans="1:10">
      <c r="A138" s="10">
        <f>MAX(A$123:A137)+1</f>
        <v>4</v>
      </c>
      <c r="B138" s="19">
        <v>1</v>
      </c>
      <c r="C138" s="19" t="s">
        <v>1289</v>
      </c>
      <c r="D138" s="1" t="s">
        <v>1290</v>
      </c>
      <c r="E138" s="19" t="s">
        <v>272</v>
      </c>
      <c r="F138" s="231">
        <f>F136</f>
        <v>2.2000000000000002</v>
      </c>
      <c r="G138" s="4"/>
      <c r="H138" s="8">
        <f t="shared" si="1"/>
        <v>0</v>
      </c>
      <c r="J138" s="19">
        <v>0</v>
      </c>
    </row>
    <row r="139" spans="1:10">
      <c r="A139" s="10">
        <f>MAX(A$123:A138)+1</f>
        <v>5</v>
      </c>
      <c r="B139" s="19">
        <v>1</v>
      </c>
      <c r="C139" s="19" t="s">
        <v>1291</v>
      </c>
      <c r="D139" s="1" t="s">
        <v>1292</v>
      </c>
      <c r="E139" s="19" t="s">
        <v>272</v>
      </c>
      <c r="F139" s="232">
        <f>CEILING(((2.84*2+0.37*2)*0.05*0.9)*2,0.05)</f>
        <v>0.60000000000000009</v>
      </c>
      <c r="G139" s="4"/>
      <c r="H139" s="8">
        <f t="shared" ref="H139" si="2">ROUND(F139*G139,0)</f>
        <v>0</v>
      </c>
      <c r="J139" s="19">
        <v>0</v>
      </c>
    </row>
    <row r="140" spans="1:10">
      <c r="A140" s="10">
        <f>MAX(A$123:A139)+1</f>
        <v>6</v>
      </c>
      <c r="B140" s="19">
        <v>1</v>
      </c>
      <c r="C140" s="19" t="s">
        <v>1304</v>
      </c>
      <c r="D140" s="1" t="s">
        <v>1305</v>
      </c>
      <c r="E140" s="19" t="s">
        <v>272</v>
      </c>
      <c r="F140" s="230">
        <f>CEILING(((0.37*(0.2*2+0.4)+0.86*0.26)*(1.1-0.3))*2,0.005)</f>
        <v>0.83499999999999996</v>
      </c>
      <c r="G140" s="4"/>
      <c r="H140" s="8">
        <f t="shared" ref="H140" si="3">ROUND(F140*G140,0)</f>
        <v>0</v>
      </c>
      <c r="J140" s="19">
        <v>1.94</v>
      </c>
    </row>
    <row r="141" spans="1:10">
      <c r="A141" s="10"/>
      <c r="D141" s="1"/>
      <c r="F141" s="230"/>
      <c r="G141" s="4"/>
      <c r="H141" s="8"/>
    </row>
    <row r="142" spans="1:10" ht="30">
      <c r="A142" s="10">
        <f>MAX(A$123:A141)+1</f>
        <v>7</v>
      </c>
      <c r="B142" s="19">
        <v>27</v>
      </c>
      <c r="C142" s="19" t="s">
        <v>1293</v>
      </c>
      <c r="D142" s="1" t="s">
        <v>1328</v>
      </c>
      <c r="E142" s="19" t="s">
        <v>272</v>
      </c>
      <c r="F142" s="230">
        <f>CEILING(((2.84+0.05*2)*(0.37+0.05*2)*0.1)*2,0.005)</f>
        <v>0.28000000000000003</v>
      </c>
      <c r="G142" s="4"/>
      <c r="H142" s="8">
        <f t="shared" ref="H142" si="4">ROUND(F142*G142,0)</f>
        <v>0</v>
      </c>
      <c r="J142" s="19">
        <v>2.5249999999999999</v>
      </c>
    </row>
    <row r="143" spans="1:10">
      <c r="A143" s="10"/>
      <c r="D143" s="1"/>
      <c r="F143" s="230"/>
      <c r="G143" s="4"/>
      <c r="H143" s="8"/>
    </row>
    <row r="144" spans="1:10" ht="30">
      <c r="A144" s="10">
        <f>MAX(A$123:A143)+1</f>
        <v>8</v>
      </c>
      <c r="B144" s="19">
        <v>27</v>
      </c>
      <c r="C144" s="19" t="s">
        <v>1296</v>
      </c>
      <c r="D144" s="1" t="s">
        <v>1329</v>
      </c>
      <c r="E144" s="19" t="s">
        <v>272</v>
      </c>
      <c r="F144" s="230">
        <f>CEILING(((0.37*(0.155+0.15+0.275+0.36+0.24)+0.37*0.115*2)*0.95)*2,0.005)</f>
        <v>0.995</v>
      </c>
      <c r="G144" s="4"/>
      <c r="H144" s="8">
        <f t="shared" ref="H144:H148" si="5">ROUND(F144*G144,0)</f>
        <v>0</v>
      </c>
      <c r="J144" s="19">
        <v>2.5249999999999999</v>
      </c>
    </row>
    <row r="145" spans="1:10" ht="30">
      <c r="A145" s="10">
        <f>MAX(A$123:A144)+1</f>
        <v>9</v>
      </c>
      <c r="B145" s="19">
        <v>27</v>
      </c>
      <c r="C145" s="19" t="s">
        <v>1320</v>
      </c>
      <c r="D145" s="1" t="s">
        <v>1321</v>
      </c>
      <c r="E145" s="19" t="s">
        <v>0</v>
      </c>
      <c r="F145" s="230">
        <f>CEILING((0.155+0.15+0.275+0.73+0.61+0.37*5)*2*0.95*2,0.005)</f>
        <v>14.33</v>
      </c>
      <c r="G145" s="4"/>
      <c r="H145" s="8">
        <f t="shared" si="5"/>
        <v>0</v>
      </c>
      <c r="J145" s="19">
        <v>3.6400000000000002E-2</v>
      </c>
    </row>
    <row r="146" spans="1:10">
      <c r="A146" s="10">
        <f>MAX(A$123:A145)+1</f>
        <v>10</v>
      </c>
      <c r="B146" s="19">
        <v>27</v>
      </c>
      <c r="C146" s="19" t="s">
        <v>1297</v>
      </c>
      <c r="D146" s="1" t="s">
        <v>1298</v>
      </c>
      <c r="E146" s="19" t="s">
        <v>0</v>
      </c>
      <c r="F146" s="230">
        <f>CEILING(0.37*10*0.95*2,0.005)</f>
        <v>7.03</v>
      </c>
      <c r="G146" s="4"/>
      <c r="H146" s="8">
        <f t="shared" si="5"/>
        <v>0</v>
      </c>
      <c r="J146" s="19">
        <v>0</v>
      </c>
    </row>
    <row r="147" spans="1:10">
      <c r="A147" s="10"/>
      <c r="D147" s="1"/>
      <c r="F147" s="230"/>
      <c r="G147" s="4"/>
      <c r="H147" s="8"/>
    </row>
    <row r="148" spans="1:10" ht="30">
      <c r="A148" s="10">
        <f>MAX(A$123:A146)+1</f>
        <v>11</v>
      </c>
      <c r="B148" s="19">
        <v>27</v>
      </c>
      <c r="C148" s="19" t="s">
        <v>1299</v>
      </c>
      <c r="D148" s="1" t="s">
        <v>1330</v>
      </c>
      <c r="E148" s="19" t="s">
        <v>272</v>
      </c>
      <c r="F148" s="230">
        <f>CEILING((0.37*(0.2+0.4+0.2+0.12)+0.255*0.37*2)*0.3*2,0.005)</f>
        <v>0.32</v>
      </c>
      <c r="G148" s="4"/>
      <c r="H148" s="8">
        <f t="shared" si="5"/>
        <v>0</v>
      </c>
      <c r="J148" s="19">
        <v>2.5323000000000002</v>
      </c>
    </row>
    <row r="149" spans="1:10">
      <c r="A149" s="10">
        <f>MAX(A$123:A147)+1</f>
        <v>11</v>
      </c>
      <c r="B149" s="19">
        <v>27</v>
      </c>
      <c r="C149" s="19" t="s">
        <v>1300</v>
      </c>
      <c r="D149" s="1" t="s">
        <v>1301</v>
      </c>
      <c r="E149" s="19" t="s">
        <v>0</v>
      </c>
      <c r="F149" s="230">
        <f>CEILING((0.2*2+0.4+0.37*2*0.5+0.12)*2*0.3*2,0.005)</f>
        <v>1.55</v>
      </c>
      <c r="G149" s="4"/>
      <c r="H149" s="8">
        <f t="shared" ref="H149:H150" si="6">ROUND(F149*G149,0)</f>
        <v>0</v>
      </c>
      <c r="J149" s="19">
        <v>3.9210000000000002E-2</v>
      </c>
    </row>
    <row r="150" spans="1:10">
      <c r="A150" s="10">
        <f>MAX(A$123:A148)+1</f>
        <v>12</v>
      </c>
      <c r="B150" s="19">
        <v>27</v>
      </c>
      <c r="C150" s="19" t="s">
        <v>1302</v>
      </c>
      <c r="D150" s="1" t="s">
        <v>1303</v>
      </c>
      <c r="E150" s="19" t="s">
        <v>0</v>
      </c>
      <c r="F150" s="230">
        <f>F149</f>
        <v>1.55</v>
      </c>
      <c r="G150" s="4"/>
      <c r="H150" s="8">
        <f t="shared" si="6"/>
        <v>0</v>
      </c>
      <c r="J150" s="19">
        <v>0</v>
      </c>
    </row>
    <row r="151" spans="1:10">
      <c r="D151" s="7"/>
      <c r="F151" s="174"/>
      <c r="G151" s="4"/>
      <c r="H151" s="5"/>
    </row>
    <row r="152" spans="1:10">
      <c r="D152" s="6" t="str">
        <f>D130&amp;"  -  celkem"</f>
        <v>Zemní práce, základy  -  celkem</v>
      </c>
      <c r="F152" s="174"/>
      <c r="G152" s="4"/>
      <c r="H152" s="3">
        <f>SUM(H130:H151)</f>
        <v>0</v>
      </c>
    </row>
    <row r="153" spans="1:10">
      <c r="F153" s="59"/>
    </row>
    <row r="154" spans="1:10">
      <c r="F154" s="59"/>
      <c r="H154" s="22"/>
    </row>
    <row r="155" spans="1:10">
      <c r="F155" s="59"/>
      <c r="H155" s="22"/>
    </row>
    <row r="156" spans="1:10">
      <c r="F156" s="59"/>
      <c r="H156" s="22"/>
    </row>
    <row r="157" spans="1:10">
      <c r="F157" s="59"/>
      <c r="H157" s="22"/>
    </row>
    <row r="158" spans="1:10">
      <c r="F158" s="59"/>
      <c r="H158" s="22"/>
    </row>
    <row r="159" spans="1:10" ht="18.75">
      <c r="A159" s="5"/>
      <c r="B159" s="5"/>
      <c r="C159" s="5"/>
      <c r="D159" s="11" t="str">
        <f>R_10</f>
        <v>Zednické práce</v>
      </c>
      <c r="E159" s="5"/>
      <c r="F159" s="174"/>
      <c r="G159" s="4"/>
      <c r="H159" s="5"/>
    </row>
    <row r="160" spans="1:10">
      <c r="A160" s="5"/>
      <c r="B160" s="5"/>
      <c r="C160" s="5"/>
      <c r="D160" s="7"/>
      <c r="F160" s="59"/>
      <c r="G160" s="4"/>
      <c r="H160" s="5"/>
    </row>
    <row r="161" spans="1:10">
      <c r="A161" s="5"/>
      <c r="B161" s="5"/>
      <c r="C161" s="5"/>
      <c r="D161" s="7"/>
      <c r="F161" s="174"/>
      <c r="G161" s="4"/>
      <c r="H161" s="5"/>
    </row>
    <row r="162" spans="1:10" ht="30">
      <c r="A162" s="10">
        <f>MAX(A$123:A161)+1</f>
        <v>13</v>
      </c>
      <c r="B162" s="5">
        <v>34</v>
      </c>
      <c r="C162" s="5" t="s">
        <v>1294</v>
      </c>
      <c r="D162" s="7" t="s">
        <v>1331</v>
      </c>
      <c r="E162" s="224" t="s">
        <v>0</v>
      </c>
      <c r="F162" s="174">
        <f>CEILING(((2.84*2+0.14*5)*1.232-0.235*0.349-0.48*0.53-0.44*0.54-0.35*0.63)*2,0.005)</f>
        <v>14.135</v>
      </c>
      <c r="G162" s="4"/>
      <c r="H162" s="8">
        <f t="shared" ref="H162:H169" si="7">ROUND(F162*G162,0)</f>
        <v>0</v>
      </c>
      <c r="J162" s="19">
        <v>0.27740999999999999</v>
      </c>
    </row>
    <row r="163" spans="1:10" ht="30">
      <c r="A163" s="10">
        <f>MAX(A$123:A162)+1</f>
        <v>14</v>
      </c>
      <c r="B163" s="5">
        <v>31</v>
      </c>
      <c r="C163" s="5" t="s">
        <v>1307</v>
      </c>
      <c r="D163" s="7" t="s">
        <v>1332</v>
      </c>
      <c r="E163" s="19" t="s">
        <v>42</v>
      </c>
      <c r="F163" s="174">
        <f>CEILING((0.6*2+0.45*2+1.05*2)*0.00136*1.1*2,0.0005)</f>
        <v>1.3000000000000001E-2</v>
      </c>
      <c r="G163" s="4"/>
      <c r="H163" s="8">
        <f t="shared" si="7"/>
        <v>0</v>
      </c>
      <c r="J163" s="19">
        <v>1.0900000000000001</v>
      </c>
    </row>
    <row r="164" spans="1:10" ht="30">
      <c r="A164" s="10">
        <f>MAX(A$123:A163)+1</f>
        <v>15</v>
      </c>
      <c r="B164" s="5">
        <v>31</v>
      </c>
      <c r="C164" s="5" t="s">
        <v>1306</v>
      </c>
      <c r="D164" s="7" t="s">
        <v>1333</v>
      </c>
      <c r="E164" s="19" t="s">
        <v>0</v>
      </c>
      <c r="F164" s="174">
        <f>CEILING(2.84*0.37*2,0.005)</f>
        <v>2.105</v>
      </c>
      <c r="G164" s="4"/>
      <c r="H164" s="8">
        <f t="shared" ref="H164" si="8">ROUND(F164*G164,0)</f>
        <v>0</v>
      </c>
      <c r="J164" s="19">
        <v>0.23185</v>
      </c>
    </row>
    <row r="165" spans="1:10">
      <c r="A165" s="10">
        <f>MAX(A$123:A164)+1</f>
        <v>16</v>
      </c>
      <c r="B165" s="5">
        <v>31</v>
      </c>
      <c r="C165" s="5" t="s">
        <v>944</v>
      </c>
      <c r="D165" s="7" t="s">
        <v>945</v>
      </c>
      <c r="E165" s="19" t="s">
        <v>42</v>
      </c>
      <c r="F165" s="174">
        <f>CEILING(2.08*0.37*0.002*1.2*2,0.0005)</f>
        <v>4.0000000000000001E-3</v>
      </c>
      <c r="G165" s="4"/>
      <c r="H165" s="8">
        <f t="shared" ref="H165" si="9">ROUND(F165*G165,0)</f>
        <v>0</v>
      </c>
      <c r="J165" s="19">
        <v>1.0529999999999999</v>
      </c>
    </row>
    <row r="166" spans="1:10">
      <c r="A166" s="10"/>
      <c r="B166" s="5"/>
      <c r="C166" s="5"/>
      <c r="D166" s="7"/>
      <c r="F166" s="174"/>
      <c r="G166" s="4"/>
      <c r="H166" s="8"/>
    </row>
    <row r="167" spans="1:10" ht="30">
      <c r="A167" s="10">
        <f>MAX(A$123:A166)+1</f>
        <v>17</v>
      </c>
      <c r="B167" s="5">
        <v>764</v>
      </c>
      <c r="C167" s="5" t="s">
        <v>1308</v>
      </c>
      <c r="D167" s="7" t="s">
        <v>1334</v>
      </c>
      <c r="E167" s="19" t="s">
        <v>0</v>
      </c>
      <c r="F167" s="174">
        <f>CEILING(2.94*0.55*2,0.05)</f>
        <v>3.25</v>
      </c>
      <c r="G167" s="4"/>
      <c r="H167" s="8">
        <f t="shared" ref="H167:H168" si="10">ROUND(F167*G167,0)</f>
        <v>0</v>
      </c>
    </row>
    <row r="168" spans="1:10">
      <c r="A168" s="10">
        <f>MAX(A$123:A167)+1</f>
        <v>18</v>
      </c>
      <c r="B168" s="5">
        <v>764</v>
      </c>
      <c r="C168" s="5" t="s">
        <v>1092</v>
      </c>
      <c r="D168" s="7" t="s">
        <v>1093</v>
      </c>
      <c r="E168" s="19" t="s">
        <v>45</v>
      </c>
      <c r="F168" s="104">
        <f>H167</f>
        <v>0</v>
      </c>
      <c r="G168" s="228">
        <v>0</v>
      </c>
      <c r="H168" s="8">
        <f t="shared" si="10"/>
        <v>0</v>
      </c>
    </row>
    <row r="169" spans="1:10">
      <c r="A169" s="10">
        <f>MAX(A$123:A168)+1</f>
        <v>19</v>
      </c>
      <c r="B169" s="5">
        <v>783</v>
      </c>
      <c r="C169" s="5" t="s">
        <v>1309</v>
      </c>
      <c r="D169" s="7" t="s">
        <v>1310</v>
      </c>
      <c r="E169" s="19" t="s">
        <v>0</v>
      </c>
      <c r="F169" s="230">
        <f>F167</f>
        <v>3.25</v>
      </c>
      <c r="G169" s="4"/>
      <c r="H169" s="8">
        <f t="shared" si="7"/>
        <v>0</v>
      </c>
    </row>
    <row r="170" spans="1:10">
      <c r="A170" s="5"/>
      <c r="B170" s="5"/>
      <c r="C170" s="5"/>
      <c r="D170" s="7"/>
      <c r="F170" s="174"/>
      <c r="G170" s="4"/>
      <c r="H170" s="5"/>
    </row>
    <row r="171" spans="1:10">
      <c r="A171" s="5"/>
      <c r="B171" s="5"/>
      <c r="C171" s="5"/>
      <c r="D171" s="6" t="str">
        <f>D159&amp;"  -  celkem"</f>
        <v>Zednické práce  -  celkem</v>
      </c>
      <c r="F171" s="174"/>
      <c r="G171" s="4"/>
      <c r="H171" s="3">
        <f>SUM(H159:H170)</f>
        <v>0</v>
      </c>
    </row>
    <row r="172" spans="1:10">
      <c r="F172" s="59"/>
    </row>
    <row r="173" spans="1:10">
      <c r="F173" s="59"/>
    </row>
    <row r="174" spans="1:10">
      <c r="F174" s="59"/>
    </row>
    <row r="175" spans="1:10">
      <c r="F175" s="59"/>
    </row>
    <row r="176" spans="1:10">
      <c r="F176" s="174"/>
    </row>
    <row r="177" spans="1:8">
      <c r="F177" s="174"/>
    </row>
    <row r="178" spans="1:8" ht="18.75">
      <c r="A178" s="5"/>
      <c r="B178" s="5"/>
      <c r="C178" s="5"/>
      <c r="D178" s="11" t="str">
        <f>R_03</f>
        <v>Izolace proti vodě</v>
      </c>
      <c r="F178" s="174"/>
      <c r="G178" s="4"/>
      <c r="H178" s="5"/>
    </row>
    <row r="179" spans="1:8">
      <c r="A179" s="5"/>
      <c r="B179" s="5"/>
      <c r="C179" s="5"/>
      <c r="D179" s="7"/>
      <c r="F179" s="174"/>
      <c r="G179" s="4"/>
      <c r="H179" s="5"/>
    </row>
    <row r="180" spans="1:8">
      <c r="A180" s="5"/>
      <c r="B180" s="5"/>
      <c r="C180" s="5"/>
      <c r="D180" s="7"/>
      <c r="F180" s="174"/>
      <c r="G180" s="4"/>
      <c r="H180" s="5"/>
    </row>
    <row r="181" spans="1:8">
      <c r="A181" s="10">
        <f>MAX(A$123:A180)+1</f>
        <v>20</v>
      </c>
      <c r="B181" s="19">
        <v>711</v>
      </c>
      <c r="C181" s="19" t="s">
        <v>1323</v>
      </c>
      <c r="D181" s="1" t="s">
        <v>1335</v>
      </c>
      <c r="E181" s="19" t="s">
        <v>0</v>
      </c>
      <c r="F181" s="174">
        <f>CEILING((0.05735+0.0555+0.10175+0.17575+0.13135)*2,0.05)</f>
        <v>1.05</v>
      </c>
      <c r="G181" s="4"/>
      <c r="H181" s="8">
        <f t="shared" ref="H181:H182" si="11">ROUND(F181*G181,0)</f>
        <v>0</v>
      </c>
    </row>
    <row r="182" spans="1:8">
      <c r="A182" s="10">
        <f>MAX(A$123:A181)+1</f>
        <v>21</v>
      </c>
      <c r="B182" s="19">
        <v>711</v>
      </c>
      <c r="C182" s="19" t="s">
        <v>1322</v>
      </c>
      <c r="D182" s="1" t="s">
        <v>1336</v>
      </c>
      <c r="E182" s="19" t="s">
        <v>0</v>
      </c>
      <c r="F182" s="230">
        <f>F181</f>
        <v>1.05</v>
      </c>
      <c r="G182" s="4"/>
      <c r="H182" s="8">
        <f t="shared" si="11"/>
        <v>0</v>
      </c>
    </row>
    <row r="183" spans="1:8">
      <c r="A183" s="10"/>
      <c r="D183" s="1"/>
      <c r="F183" s="230"/>
      <c r="G183" s="4"/>
      <c r="H183" s="8"/>
    </row>
    <row r="184" spans="1:8">
      <c r="A184" s="10">
        <f>MAX(A$123:A183)+1</f>
        <v>22</v>
      </c>
      <c r="B184" s="19">
        <v>711</v>
      </c>
      <c r="C184" s="19" t="s">
        <v>1008</v>
      </c>
      <c r="D184" s="1" t="s">
        <v>1009</v>
      </c>
      <c r="E184" s="19" t="s">
        <v>45</v>
      </c>
      <c r="F184" s="230">
        <f>SUM(H178:H183)</f>
        <v>0</v>
      </c>
      <c r="G184" s="228">
        <v>0</v>
      </c>
      <c r="H184" s="8">
        <f t="shared" ref="H184" si="12">ROUND(F184*G184,0)</f>
        <v>0</v>
      </c>
    </row>
    <row r="185" spans="1:8">
      <c r="A185" s="5"/>
      <c r="B185" s="5"/>
      <c r="C185" s="5"/>
      <c r="D185" s="7"/>
      <c r="F185" s="174"/>
      <c r="G185" s="4"/>
      <c r="H185" s="5"/>
    </row>
    <row r="186" spans="1:8">
      <c r="A186" s="5"/>
      <c r="B186" s="5"/>
      <c r="C186" s="5"/>
      <c r="D186" s="6" t="str">
        <f>D178&amp;"  -  celkem"</f>
        <v>Izolace proti vodě  -  celkem</v>
      </c>
      <c r="F186" s="174"/>
      <c r="G186" s="4"/>
      <c r="H186" s="3">
        <f>SUM(H178:H185)</f>
        <v>0</v>
      </c>
    </row>
    <row r="187" spans="1:8">
      <c r="F187" s="59"/>
    </row>
    <row r="188" spans="1:8">
      <c r="F188" s="59"/>
    </row>
    <row r="189" spans="1:8">
      <c r="F189" s="59"/>
    </row>
    <row r="190" spans="1:8">
      <c r="F190" s="59"/>
    </row>
    <row r="191" spans="1:8">
      <c r="F191" s="59"/>
    </row>
    <row r="192" spans="1:8">
      <c r="F192" s="59"/>
    </row>
    <row r="193" spans="1:8" ht="18.75">
      <c r="D193" s="11" t="str">
        <f>R_95</f>
        <v>Zámečnické konstrukce</v>
      </c>
      <c r="F193" s="174"/>
      <c r="G193" s="4"/>
      <c r="H193" s="5"/>
    </row>
    <row r="194" spans="1:8">
      <c r="D194" s="7"/>
      <c r="F194" s="174"/>
      <c r="G194" s="4"/>
      <c r="H194" s="5"/>
    </row>
    <row r="195" spans="1:8">
      <c r="F195" s="174"/>
      <c r="G195" s="4"/>
      <c r="H195" s="5"/>
    </row>
    <row r="196" spans="1:8" ht="45">
      <c r="A196" s="10"/>
      <c r="D196" s="201" t="s">
        <v>981</v>
      </c>
      <c r="F196" s="9"/>
      <c r="G196" s="4"/>
      <c r="H196" s="8"/>
    </row>
    <row r="197" spans="1:8">
      <c r="A197" s="10"/>
      <c r="D197" s="1"/>
      <c r="F197" s="9"/>
      <c r="G197" s="4"/>
      <c r="H197" s="8"/>
    </row>
    <row r="198" spans="1:8">
      <c r="A198" s="10">
        <f>MAX(A$123:A197)+1</f>
        <v>23</v>
      </c>
      <c r="B198" s="19">
        <v>767</v>
      </c>
      <c r="D198" s="1" t="s">
        <v>1312</v>
      </c>
      <c r="E198" s="224" t="s">
        <v>2</v>
      </c>
      <c r="F198" s="9">
        <v>2</v>
      </c>
      <c r="G198" s="4"/>
      <c r="H198" s="8">
        <f t="shared" ref="H198:H200" si="13">ROUND(F198*G198,0)</f>
        <v>0</v>
      </c>
    </row>
    <row r="199" spans="1:8">
      <c r="A199" s="10">
        <f>MAX(A$123:A198)+1</f>
        <v>24</v>
      </c>
      <c r="B199" s="19">
        <v>767</v>
      </c>
      <c r="D199" s="1" t="s">
        <v>1313</v>
      </c>
      <c r="E199" s="224" t="s">
        <v>2</v>
      </c>
      <c r="F199" s="9">
        <v>2</v>
      </c>
      <c r="G199" s="4"/>
      <c r="H199" s="8">
        <f t="shared" si="13"/>
        <v>0</v>
      </c>
    </row>
    <row r="200" spans="1:8">
      <c r="A200" s="10">
        <f>MAX(A$123:A199)+1</f>
        <v>25</v>
      </c>
      <c r="B200" s="19">
        <v>767</v>
      </c>
      <c r="D200" s="1" t="s">
        <v>1314</v>
      </c>
      <c r="E200" s="224" t="s">
        <v>2</v>
      </c>
      <c r="F200" s="9">
        <v>2</v>
      </c>
      <c r="G200" s="4"/>
      <c r="H200" s="8">
        <f t="shared" si="13"/>
        <v>0</v>
      </c>
    </row>
    <row r="201" spans="1:8">
      <c r="A201" s="10">
        <f>MAX(A$123:A200)+1</f>
        <v>26</v>
      </c>
      <c r="B201" s="19">
        <v>767</v>
      </c>
      <c r="D201" s="1" t="s">
        <v>1325</v>
      </c>
      <c r="E201" s="224" t="s">
        <v>2</v>
      </c>
      <c r="F201" s="9">
        <v>2</v>
      </c>
      <c r="G201" s="4"/>
      <c r="H201" s="8">
        <f t="shared" ref="H201" si="14">ROUND(F201*G201,0)</f>
        <v>0</v>
      </c>
    </row>
    <row r="202" spans="1:8">
      <c r="A202" s="10"/>
      <c r="D202" s="1"/>
      <c r="F202" s="9"/>
      <c r="G202" s="4"/>
      <c r="H202" s="8"/>
    </row>
    <row r="203" spans="1:8">
      <c r="A203" s="10">
        <f>MAX(A$123:A202)+1</f>
        <v>27</v>
      </c>
      <c r="B203" s="19">
        <v>767</v>
      </c>
      <c r="C203" s="19" t="s">
        <v>1110</v>
      </c>
      <c r="D203" s="1" t="s">
        <v>1111</v>
      </c>
      <c r="E203" s="19" t="s">
        <v>45</v>
      </c>
      <c r="F203" s="174">
        <f>SUM(H195:H202)</f>
        <v>0</v>
      </c>
      <c r="G203" s="228">
        <v>0</v>
      </c>
      <c r="H203" s="8">
        <f t="shared" ref="H203" si="15">ROUND(F203*G203,0)</f>
        <v>0</v>
      </c>
    </row>
    <row r="204" spans="1:8">
      <c r="D204" s="7"/>
      <c r="F204" s="174"/>
      <c r="G204" s="4"/>
      <c r="H204" s="5"/>
    </row>
    <row r="205" spans="1:8">
      <c r="D205" s="6" t="str">
        <f>D193&amp;"  -  celkem"</f>
        <v>Zámečnické konstrukce  -  celkem</v>
      </c>
      <c r="F205" s="174"/>
      <c r="G205" s="4"/>
      <c r="H205" s="3">
        <f>SUM(H193:H204)</f>
        <v>0</v>
      </c>
    </row>
    <row r="206" spans="1:8">
      <c r="F206" s="59"/>
    </row>
    <row r="207" spans="1:8">
      <c r="D207" s="19">
        <f>1.11/0.35</f>
        <v>3.1714285714285717</v>
      </c>
      <c r="F207" s="59"/>
    </row>
    <row r="208" spans="1:8">
      <c r="F208" s="59"/>
    </row>
    <row r="209" spans="1:8">
      <c r="F209" s="59"/>
    </row>
    <row r="210" spans="1:8">
      <c r="F210" s="59"/>
    </row>
    <row r="211" spans="1:8">
      <c r="F211" s="59"/>
    </row>
    <row r="212" spans="1:8" ht="18.75">
      <c r="D212" s="11" t="str">
        <f>R_45</f>
        <v>Přesun hmot (HSV)</v>
      </c>
      <c r="F212" s="174"/>
      <c r="G212" s="4"/>
      <c r="H212" s="5"/>
    </row>
    <row r="213" spans="1:8">
      <c r="D213" s="7"/>
      <c r="F213" s="5"/>
      <c r="G213" s="4"/>
      <c r="H213" s="5"/>
    </row>
    <row r="214" spans="1:8">
      <c r="A214" s="10">
        <f>MAX(A$123:A213)+1</f>
        <v>28</v>
      </c>
      <c r="B214" s="10">
        <v>98</v>
      </c>
      <c r="C214" s="10" t="s">
        <v>1315</v>
      </c>
      <c r="D214" s="119" t="s">
        <v>1316</v>
      </c>
      <c r="E214" s="18" t="s">
        <v>42</v>
      </c>
      <c r="F214" s="229">
        <f t="array" ref="F214">SUM(F127:F205*J127:J205)</f>
        <v>10.659615100000002</v>
      </c>
      <c r="G214" s="4"/>
      <c r="H214" s="104">
        <f>ROUND(F214*G214,0)</f>
        <v>0</v>
      </c>
    </row>
    <row r="215" spans="1:8">
      <c r="D215" s="7"/>
      <c r="F215" s="5"/>
      <c r="G215" s="4"/>
      <c r="H215" s="5"/>
    </row>
    <row r="216" spans="1:8">
      <c r="D216" s="6" t="str">
        <f>D212&amp;"  -  celkem"</f>
        <v>Přesun hmot (HSV)  -  celkem</v>
      </c>
      <c r="F216" s="5"/>
      <c r="G216" s="4"/>
      <c r="H216" s="3">
        <f>SUM(H212:H215)</f>
        <v>0</v>
      </c>
    </row>
    <row r="223" spans="1:8" ht="18.75">
      <c r="D223" s="11" t="str">
        <f>R_12</f>
        <v>Vedlejší rozpočtové náklady</v>
      </c>
      <c r="F223" s="5"/>
      <c r="G223" s="4"/>
      <c r="H223" s="5"/>
    </row>
    <row r="224" spans="1:8">
      <c r="D224" s="7"/>
      <c r="F224" s="5"/>
      <c r="G224" s="4"/>
      <c r="H224" s="5"/>
    </row>
    <row r="225" spans="1:9">
      <c r="D225" s="7"/>
      <c r="F225" s="5"/>
      <c r="G225" s="4"/>
      <c r="H225" s="5"/>
    </row>
    <row r="226" spans="1:9">
      <c r="D226" s="6" t="s">
        <v>1279</v>
      </c>
      <c r="F226" s="5"/>
      <c r="G226" s="4"/>
      <c r="H226" s="5"/>
    </row>
    <row r="227" spans="1:9">
      <c r="D227" s="7"/>
      <c r="F227" s="5"/>
      <c r="G227" s="4"/>
      <c r="H227" s="5"/>
    </row>
    <row r="228" spans="1:9" ht="30">
      <c r="A228" s="10">
        <f>MAX(A$123:A227)+1</f>
        <v>29</v>
      </c>
      <c r="D228" s="204" t="s">
        <v>990</v>
      </c>
      <c r="E228" s="9" t="s">
        <v>45</v>
      </c>
      <c r="F228" s="22">
        <f>SUM($H$24:$H$33)</f>
        <v>0</v>
      </c>
      <c r="G228" s="158">
        <v>0</v>
      </c>
      <c r="H228" s="8">
        <f>ROUND(G228*F228,0)</f>
        <v>0</v>
      </c>
    </row>
    <row r="229" spans="1:9" ht="30">
      <c r="A229" s="10">
        <f>MAX(A$123:A228)+1</f>
        <v>30</v>
      </c>
      <c r="D229" s="227" t="s">
        <v>1280</v>
      </c>
      <c r="E229" s="9" t="s">
        <v>45</v>
      </c>
      <c r="F229" s="22">
        <f>SUM($H$24:$H$33)</f>
        <v>0</v>
      </c>
      <c r="G229" s="158">
        <v>0</v>
      </c>
      <c r="H229" s="8">
        <f>ROUND(G229*F229,0)</f>
        <v>0</v>
      </c>
    </row>
    <row r="230" spans="1:9">
      <c r="A230" s="10"/>
      <c r="D230" s="157"/>
      <c r="F230" s="22"/>
      <c r="G230" s="4"/>
      <c r="H230" s="104"/>
    </row>
    <row r="231" spans="1:9">
      <c r="A231" s="10"/>
      <c r="D231" s="226"/>
      <c r="F231" s="22"/>
      <c r="G231" s="4"/>
      <c r="H231" s="104"/>
    </row>
    <row r="232" spans="1:9">
      <c r="A232" s="10"/>
      <c r="D232" s="6" t="s">
        <v>683</v>
      </c>
      <c r="F232" s="22"/>
      <c r="G232" s="22"/>
      <c r="H232" s="8"/>
    </row>
    <row r="233" spans="1:9">
      <c r="A233" s="10"/>
      <c r="F233" s="22"/>
      <c r="G233" s="22"/>
      <c r="H233" s="8"/>
    </row>
    <row r="234" spans="1:9" ht="90">
      <c r="A234" s="10"/>
      <c r="D234" s="7" t="s">
        <v>855</v>
      </c>
      <c r="F234" s="22"/>
      <c r="G234" s="22"/>
      <c r="H234" s="8"/>
    </row>
    <row r="235" spans="1:9">
      <c r="A235" s="10"/>
      <c r="F235" s="22"/>
      <c r="G235" s="22"/>
      <c r="H235" s="8"/>
    </row>
    <row r="236" spans="1:9">
      <c r="A236" s="10">
        <f>MAX(A$123:A232)+1</f>
        <v>31</v>
      </c>
      <c r="D236" s="7" t="s">
        <v>252</v>
      </c>
      <c r="E236" s="19" t="s">
        <v>45</v>
      </c>
      <c r="F236" s="22">
        <f>SUM($H$23:$H$33)</f>
        <v>0</v>
      </c>
      <c r="G236" s="149">
        <v>0</v>
      </c>
      <c r="H236" s="8">
        <f t="shared" ref="H236" si="16">ROUND(G236*F236,0)</f>
        <v>0</v>
      </c>
    </row>
    <row r="237" spans="1:9">
      <c r="A237" s="10">
        <f>MAX(A$123:A236)+1</f>
        <v>32</v>
      </c>
      <c r="D237" s="7" t="s">
        <v>791</v>
      </c>
      <c r="E237" s="19" t="s">
        <v>45</v>
      </c>
      <c r="F237" s="22">
        <f>H236</f>
        <v>0</v>
      </c>
      <c r="G237" s="159">
        <v>0</v>
      </c>
      <c r="H237" s="8">
        <f>ROUND(G237*F237,0)</f>
        <v>0</v>
      </c>
    </row>
    <row r="238" spans="1:9" ht="30">
      <c r="A238" s="10">
        <f>MAX(A$116:A237)+1</f>
        <v>33</v>
      </c>
      <c r="B238" s="180"/>
      <c r="C238" s="180"/>
      <c r="D238" s="181" t="s">
        <v>856</v>
      </c>
      <c r="E238" s="180" t="s">
        <v>43</v>
      </c>
      <c r="F238" s="182">
        <v>1</v>
      </c>
      <c r="G238" s="4"/>
      <c r="H238" s="8">
        <f>ROUND(F238*G238,0)</f>
        <v>0</v>
      </c>
      <c r="I238" s="180"/>
    </row>
    <row r="239" spans="1:9">
      <c r="A239" s="10"/>
      <c r="F239" s="5"/>
      <c r="G239" s="4"/>
      <c r="H239" s="8"/>
    </row>
    <row r="240" spans="1:9">
      <c r="D240" s="6" t="str">
        <f>D223&amp;"  -  celkem"</f>
        <v>Vedlejší rozpočtové náklady  -  celkem</v>
      </c>
      <c r="F240" s="4"/>
      <c r="G240" s="4"/>
      <c r="H240" s="3">
        <f>SUM(H223:H239)</f>
        <v>0</v>
      </c>
    </row>
    <row r="246" spans="5:7">
      <c r="E246" s="139"/>
      <c r="F246" s="139"/>
      <c r="G246" s="139"/>
    </row>
  </sheetData>
  <autoFilter ref="A121:H240"/>
  <mergeCells count="32">
    <mergeCell ref="D93:H93"/>
    <mergeCell ref="D109:H109"/>
    <mergeCell ref="D110:H110"/>
    <mergeCell ref="D97:H97"/>
    <mergeCell ref="D98:H98"/>
    <mergeCell ref="D99:H99"/>
    <mergeCell ref="D101:H101"/>
    <mergeCell ref="D102:H102"/>
    <mergeCell ref="D107:H107"/>
    <mergeCell ref="D57:H57"/>
    <mergeCell ref="D72:H72"/>
    <mergeCell ref="D87:H87"/>
    <mergeCell ref="D77:H77"/>
    <mergeCell ref="D84:H84"/>
    <mergeCell ref="D85:H85"/>
    <mergeCell ref="D82:H82"/>
    <mergeCell ref="D92:H92"/>
    <mergeCell ref="D48:H48"/>
    <mergeCell ref="D91:H91"/>
    <mergeCell ref="D80:H80"/>
    <mergeCell ref="D49:H49"/>
    <mergeCell ref="D74:H74"/>
    <mergeCell ref="D58:H58"/>
    <mergeCell ref="D50:H50"/>
    <mergeCell ref="D63:H63"/>
    <mergeCell ref="D67:H67"/>
    <mergeCell ref="D69:H69"/>
    <mergeCell ref="D68:H68"/>
    <mergeCell ref="D86:H86"/>
    <mergeCell ref="D70:H70"/>
    <mergeCell ref="D71:H71"/>
    <mergeCell ref="D51:H51"/>
  </mergeCells>
  <hyperlinks>
    <hyperlink ref="D30" location="S_03" display="rezerva 1"/>
    <hyperlink ref="D178" location="R_03" display="R_03"/>
    <hyperlink ref="D29" location="S_10" display="Piloty betonované na místě"/>
    <hyperlink ref="D159" location="R_10" display="R_10"/>
    <hyperlink ref="D34" location="S_12" display="Podkladní vrstvy"/>
    <hyperlink ref="D223" location="R_12" display="R_12"/>
    <hyperlink ref="D130" location="R_41" display="R_41"/>
    <hyperlink ref="D28" location="S_41" display="Dveře vnitřní"/>
    <hyperlink ref="D212" location="R_45" display="R_45"/>
    <hyperlink ref="D31" location="S_95" display="Čtvrtek"/>
    <hyperlink ref="D193" location="R_95" display="R_95"/>
    <hyperlink ref="D62" location="S_01" display="(viz zařízení staveniště)"/>
    <hyperlink ref="D66" location="S_01" display="(viz zařízení staveniště)"/>
    <hyperlink ref="D32" location="S_45" display="Zdvojené podlahy"/>
  </hyperlinks>
  <pageMargins left="0.70866141732283472" right="0.70866141732283472" top="0.78740157480314965" bottom="0.78740157480314965" header="0.31496062992125984" footer="0.31496062992125984"/>
  <pageSetup paperSize="9" scale="66" fitToHeight="1000" orientation="portrait" blackAndWhite="1" horizontalDpi="300" verticalDpi="300" r:id="rId1"/>
  <headerFooter>
    <oddHeader>&amp;L&amp;F</oddHeader>
    <oddFooter>&amp;LTisk dne: &amp;D&amp;RStrana &amp;P</oddFooter>
  </headerFooter>
  <rowBreaks count="1" manualBreakCount="1">
    <brk id="211" min="3" max="7" man="1"/>
  </rowBreaks>
</worksheet>
</file>

<file path=xl/worksheets/sheet2.xml><?xml version="1.0" encoding="utf-8"?>
<worksheet xmlns="http://schemas.openxmlformats.org/spreadsheetml/2006/main" xmlns:r="http://schemas.openxmlformats.org/officeDocument/2006/relationships">
  <sheetPr codeName="List5">
    <pageSetUpPr fitToPage="1"/>
  </sheetPr>
  <dimension ref="D20"/>
  <sheetViews>
    <sheetView zoomScaleNormal="100" workbookViewId="0"/>
  </sheetViews>
  <sheetFormatPr defaultColWidth="9.140625" defaultRowHeight="15"/>
  <cols>
    <col min="1" max="2" width="9.140625" style="136"/>
    <col min="3" max="3" width="50.7109375" style="136" bestFit="1" customWidth="1"/>
    <col min="4" max="16384" width="9.140625" style="136"/>
  </cols>
  <sheetData>
    <row r="20" spans="4:4">
      <c r="D20" s="225"/>
    </row>
  </sheetData>
  <pageMargins left="0.74791666666666667" right="0.74791666666666667" top="0.98402777777777783" bottom="0.98402777777777783" header="0.51180555555555562" footer="0.51180555555555562"/>
  <pageSetup paperSize="9" firstPageNumber="0" orientation="landscape" horizontalDpi="300" verticalDpi="300" r:id="rId1"/>
  <headerFooter alignWithMargins="0"/>
</worksheet>
</file>

<file path=xl/worksheets/sheet3.xml><?xml version="1.0" encoding="utf-8"?>
<worksheet xmlns="http://schemas.openxmlformats.org/spreadsheetml/2006/main" xmlns:r="http://schemas.openxmlformats.org/officeDocument/2006/relationships">
  <sheetPr codeName="List13"/>
  <dimension ref="A1:AC1296"/>
  <sheetViews>
    <sheetView zoomScaleNormal="100" workbookViewId="0">
      <pane ySplit="1" topLeftCell="A2" activePane="bottomLeft" state="frozen"/>
      <selection activeCell="E92" sqref="E92"/>
      <selection pane="bottomLeft" activeCell="A2" sqref="A2"/>
    </sheetView>
  </sheetViews>
  <sheetFormatPr defaultColWidth="9.140625" defaultRowHeight="15"/>
  <cols>
    <col min="1" max="1" width="9.140625" style="66" customWidth="1"/>
    <col min="2" max="2" width="15.140625" style="66" bestFit="1" customWidth="1"/>
    <col min="3" max="3" width="44.140625" style="66" customWidth="1"/>
    <col min="4" max="4" width="9.140625" style="66" customWidth="1"/>
    <col min="5" max="5" width="10" style="66" bestFit="1" customWidth="1"/>
    <col min="6" max="14" width="9.140625" style="66"/>
    <col min="15" max="15" width="9.28515625" style="66" customWidth="1"/>
    <col min="16" max="16" width="9.140625" style="66"/>
    <col min="17" max="17" width="9.5703125" style="66" bestFit="1" customWidth="1"/>
    <col min="18" max="16384" width="9.140625" style="66"/>
  </cols>
  <sheetData>
    <row r="1" spans="1:19">
      <c r="C1" s="65">
        <f>Specifikace!H41</f>
        <v>0</v>
      </c>
      <c r="H1" s="66" t="s">
        <v>890</v>
      </c>
      <c r="I1" s="66" t="s">
        <v>889</v>
      </c>
      <c r="J1" s="19" t="s">
        <v>185</v>
      </c>
      <c r="K1" s="19" t="s">
        <v>186</v>
      </c>
      <c r="L1" s="19" t="s">
        <v>187</v>
      </c>
      <c r="M1" s="19" t="s">
        <v>188</v>
      </c>
      <c r="N1" s="19" t="s">
        <v>189</v>
      </c>
    </row>
    <row r="2" spans="1:19">
      <c r="C2" s="65"/>
    </row>
    <row r="3" spans="1:19" ht="23.25">
      <c r="C3" s="67" t="s">
        <v>293</v>
      </c>
    </row>
    <row r="5" spans="1:19">
      <c r="C5" s="69" t="s">
        <v>988</v>
      </c>
      <c r="E5" s="203" t="b">
        <v>0</v>
      </c>
    </row>
    <row r="7" spans="1:19" ht="18.75">
      <c r="C7" s="68" t="s">
        <v>112</v>
      </c>
      <c r="G7" s="68" t="s">
        <v>634</v>
      </c>
    </row>
    <row r="8" spans="1:19" ht="18.75">
      <c r="C8" s="68" t="s">
        <v>633</v>
      </c>
      <c r="D8" s="69"/>
      <c r="G8" s="66" t="s">
        <v>603</v>
      </c>
    </row>
    <row r="9" spans="1:19" ht="24.95" customHeight="1">
      <c r="A9" s="132" t="s">
        <v>294</v>
      </c>
      <c r="B9" s="128">
        <v>1</v>
      </c>
      <c r="C9" s="130" t="s">
        <v>635</v>
      </c>
      <c r="D9" s="70"/>
      <c r="E9" s="71"/>
      <c r="F9" s="71"/>
      <c r="G9" s="115">
        <v>0.05</v>
      </c>
      <c r="H9" s="70" t="s">
        <v>113</v>
      </c>
      <c r="J9" s="128">
        <v>1</v>
      </c>
      <c r="K9" s="129" t="s">
        <v>792</v>
      </c>
      <c r="R9" s="66">
        <v>1</v>
      </c>
      <c r="S9" s="70" t="str">
        <f>"(HR HSV "&amp;TEXT(D95,"0,00%")&amp;" - HR PSV "&amp;TEXT(D96,"0,00%")&amp;")"</f>
        <v>(HR HSV 111,04% - HR PSV 118,90%)</v>
      </c>
    </row>
    <row r="10" spans="1:19" ht="24.95" customHeight="1">
      <c r="A10" s="132" t="s">
        <v>295</v>
      </c>
      <c r="B10" s="128">
        <v>2</v>
      </c>
      <c r="C10" s="130" t="s">
        <v>636</v>
      </c>
      <c r="D10" s="70"/>
      <c r="E10" s="71"/>
      <c r="F10" s="71"/>
      <c r="G10" s="115">
        <v>0.1</v>
      </c>
      <c r="H10" s="70" t="s">
        <v>604</v>
      </c>
      <c r="J10" s="128">
        <v>2</v>
      </c>
      <c r="K10" s="129" t="str">
        <f>"menší rozsah neumožňuje uvažovat větší slevy než "&amp;TEXT(G10+0.05,"0%")&amp;", v materiálech s vysokou konkurencí na trhu max. "&amp;TEXT($H$172,"0%")</f>
        <v>menší rozsah neumožňuje uvažovat větší slevy než 15%, v materiálech s vysokou konkurencí na trhu max. 5%</v>
      </c>
      <c r="R10" s="66">
        <v>2</v>
      </c>
      <c r="S10" s="70" t="str">
        <f>"(HR HSV "&amp;TEXT(D99,"0,00%")&amp;" - HR PSV "&amp;TEXT(D100,"0,00%")&amp;")"</f>
        <v>(HR HSV 92,29% - HR PSV 100,36%)</v>
      </c>
    </row>
    <row r="11" spans="1:19" ht="24.95" customHeight="1">
      <c r="A11" s="132" t="s">
        <v>296</v>
      </c>
      <c r="B11" s="128">
        <v>3</v>
      </c>
      <c r="C11" s="130" t="s">
        <v>637</v>
      </c>
      <c r="D11" s="70"/>
      <c r="E11" s="71"/>
      <c r="F11" s="71"/>
      <c r="G11" s="115">
        <f>(G10+G12)/2</f>
        <v>0.15000000000000002</v>
      </c>
      <c r="H11" s="70" t="s">
        <v>605</v>
      </c>
      <c r="J11" s="128">
        <v>3</v>
      </c>
      <c r="K11" s="129" t="str">
        <f>"středně velký rozsah zakázky nebo převis nabídky nad poptávkou umožňuje uvažovat slevy až "&amp;TEXT(G11+0.05,"0%")&amp;", v materiálech s vysokou konkurencí na trhu max. "&amp;TEXT($H$172,"0%")</f>
        <v>středně velký rozsah zakázky nebo převis nabídky nad poptávkou umožňuje uvažovat slevy až 20%, v materiálech s vysokou konkurencí na trhu max. 5%</v>
      </c>
      <c r="R11" s="66">
        <v>3</v>
      </c>
      <c r="S11" s="70" t="str">
        <f>"(HR HSV "&amp;TEXT(D103,"0,00%")&amp;" - HR PSV "&amp;TEXT(D104,"0,00%")&amp;")"</f>
        <v>(HR HSV 75,21% - HR PSV 82,66%)</v>
      </c>
    </row>
    <row r="12" spans="1:19" ht="24.95" customHeight="1">
      <c r="A12" s="132" t="s">
        <v>297</v>
      </c>
      <c r="B12" s="128">
        <v>4</v>
      </c>
      <c r="C12" s="130" t="s">
        <v>638</v>
      </c>
      <c r="D12" s="70"/>
      <c r="E12" s="71"/>
      <c r="F12" s="71">
        <v>1</v>
      </c>
      <c r="G12" s="115">
        <v>0.2</v>
      </c>
      <c r="H12" s="70" t="s">
        <v>606</v>
      </c>
      <c r="J12" s="128">
        <v>4</v>
      </c>
      <c r="K12" s="129" t="str">
        <f>"velký rozsah zakázky nebo masivní převis nabídky nad poptávkou umožňuje uvažovat slevy až "&amp;TEXT(G12+0.05,"0%")&amp;", v materiálech s vysokou konkurencí na trhu max. "&amp;TEXT($H$172,"0%")</f>
        <v>velký rozsah zakázky nebo masivní převis nabídky nad poptávkou umožňuje uvažovat slevy až 25%, v materiálech s vysokou konkurencí na trhu max. 5%</v>
      </c>
      <c r="R12" s="66">
        <v>4</v>
      </c>
      <c r="S12" s="70" t="str">
        <f>"(HR HSV "&amp;TEXT(D107,"0,00%")&amp;" - HR PSV "&amp;TEXT(D108,"0,00%")&amp;")"</f>
        <v>(HR HSV 62,95% - HR PSV 69,93%)</v>
      </c>
    </row>
    <row r="13" spans="1:19" ht="24.95" customHeight="1">
      <c r="A13" s="132" t="s">
        <v>298</v>
      </c>
      <c r="B13" s="128">
        <v>5</v>
      </c>
      <c r="C13" s="131" t="s">
        <v>639</v>
      </c>
      <c r="R13" s="66">
        <v>5</v>
      </c>
      <c r="S13" s="70" t="str">
        <f>"(HR HSV "&amp;TEXT(D111,"0,00%")&amp;" - HR PSV "&amp;TEXT(D112,"0,00%")&amp;")"</f>
        <v>(HR HSV 79,29% - HR PSV 86,86%)</v>
      </c>
    </row>
    <row r="14" spans="1:19" ht="24.95" customHeight="1">
      <c r="A14" s="132" t="s">
        <v>629</v>
      </c>
      <c r="B14" s="128">
        <v>6</v>
      </c>
      <c r="C14" s="130" t="s">
        <v>640</v>
      </c>
      <c r="R14" s="66">
        <v>6</v>
      </c>
      <c r="S14" s="70" t="str">
        <f>"(HR HSV "&amp;TEXT(D115,"0,00%")&amp;" - HR PSV "&amp;TEXT(D116,"0,00%")&amp;")"</f>
        <v>(HR HSV 52,69% - HR PSV 59,42%)</v>
      </c>
    </row>
    <row r="15" spans="1:19" ht="24.95" customHeight="1">
      <c r="B15" s="128">
        <v>7</v>
      </c>
      <c r="C15" s="130" t="s">
        <v>744</v>
      </c>
      <c r="E15" s="66">
        <v>4</v>
      </c>
      <c r="R15" s="66">
        <v>7</v>
      </c>
      <c r="S15" s="66" t="s">
        <v>849</v>
      </c>
    </row>
    <row r="16" spans="1:19" ht="24.95" customHeight="1">
      <c r="B16" s="128">
        <v>8</v>
      </c>
      <c r="C16" s="130" t="s">
        <v>793</v>
      </c>
      <c r="R16" s="66">
        <v>8</v>
      </c>
      <c r="S16" s="66" t="s">
        <v>849</v>
      </c>
    </row>
    <row r="18" spans="1:23" ht="18.75">
      <c r="C18" s="68" t="s">
        <v>641</v>
      </c>
      <c r="D18" s="54"/>
      <c r="E18" s="54"/>
      <c r="F18" s="54"/>
      <c r="G18" s="54"/>
      <c r="H18" s="54"/>
      <c r="K18" s="59" t="e">
        <f>Design!C8&amp;" :   "&amp;VLOOKUP(Design!E12,Design!B9:C14,2,FALSE)&amp;"  ***  "&amp;Design!G7&amp;" :   "&amp;VLOOKUP(SLEVY,Design!J9:K12,2,FALSE)&amp;" *** "&amp;Design!C18&amp;" :   "&amp;VLOOKUP(Design!B37,Design!A24:C37,3,FALSE)&amp;"  -  tj. "&amp;TEXT(VLOOKUP(Design!B37,Design!A24:D37,4,FALSE),"0 00#")&amp;" Kč/měs (celostatátní průměr "&amp;TEXT(Design!D23,"0 00#")&amp;") v období : "&amp;Design!D22</f>
        <v>#N/A</v>
      </c>
    </row>
    <row r="19" spans="1:23">
      <c r="C19" s="54"/>
      <c r="D19" s="54"/>
      <c r="E19" s="54"/>
      <c r="F19" s="54"/>
      <c r="G19" s="54"/>
      <c r="H19" s="54"/>
      <c r="U19" s="66" t="s">
        <v>852</v>
      </c>
    </row>
    <row r="20" spans="1:23">
      <c r="C20" s="54" t="s">
        <v>335</v>
      </c>
      <c r="D20" s="96" t="s">
        <v>336</v>
      </c>
      <c r="E20" s="54"/>
      <c r="F20" s="95"/>
      <c r="G20" s="54"/>
      <c r="H20" s="54"/>
      <c r="O20" s="66" t="s">
        <v>1276</v>
      </c>
      <c r="U20" t="s">
        <v>853</v>
      </c>
    </row>
    <row r="21" spans="1:23" ht="30">
      <c r="C21" s="220" t="str">
        <f>"Mzdy ve stavebnictví po krajích (viz "&amp;P59&amp;")"</f>
        <v>Mzdy ve stavebnictví po krajích (viz Průměrná měsíční mzda podle kraje sídla podniku)</v>
      </c>
      <c r="D21" s="54"/>
      <c r="E21" s="54"/>
      <c r="F21" s="95"/>
      <c r="G21" s="54"/>
      <c r="H21" s="54"/>
      <c r="J21" s="134" t="s">
        <v>643</v>
      </c>
      <c r="O21" s="69" t="s">
        <v>812</v>
      </c>
      <c r="U21" s="54" t="s">
        <v>851</v>
      </c>
      <c r="V21" s="54"/>
    </row>
    <row r="22" spans="1:23">
      <c r="C22" s="54" t="s">
        <v>126</v>
      </c>
      <c r="D22" s="54">
        <v>2013</v>
      </c>
      <c r="G22" s="106"/>
      <c r="H22" s="107" t="s">
        <v>596</v>
      </c>
      <c r="K22" s="66" t="s">
        <v>646</v>
      </c>
      <c r="O22" s="161" t="s">
        <v>1277</v>
      </c>
      <c r="P22" s="162"/>
      <c r="Q22" s="162"/>
      <c r="R22" s="162"/>
      <c r="U22" s="54">
        <v>2000</v>
      </c>
      <c r="V22" s="54">
        <v>12499.019832267479</v>
      </c>
    </row>
    <row r="23" spans="1:23">
      <c r="C23" s="54" t="s">
        <v>642</v>
      </c>
      <c r="D23" s="108">
        <v>21996</v>
      </c>
      <c r="E23" s="97">
        <f>ROUND(D23*$D$41,0)</f>
        <v>24969</v>
      </c>
      <c r="G23" s="106"/>
      <c r="H23" s="107"/>
      <c r="K23" s="66">
        <v>1863032.0711533446</v>
      </c>
      <c r="O23" s="162" t="s">
        <v>809</v>
      </c>
      <c r="P23" s="162"/>
      <c r="Q23" s="162"/>
      <c r="R23" s="162"/>
      <c r="U23" s="54">
        <v>2001</v>
      </c>
      <c r="V23" s="54">
        <v>13423.107679485156</v>
      </c>
    </row>
    <row r="24" spans="1:23" ht="30" customHeight="1">
      <c r="A24" s="128">
        <v>1</v>
      </c>
      <c r="B24" s="71"/>
      <c r="C24" s="133" t="s">
        <v>127</v>
      </c>
      <c r="D24" s="108">
        <v>25627</v>
      </c>
      <c r="E24" s="97">
        <f>ROUND(IF(DODAVATEL&gt;2,E23,D24*$D$41),0)</f>
        <v>24969</v>
      </c>
      <c r="F24" s="66">
        <v>1</v>
      </c>
      <c r="G24" s="66">
        <f>ROUND(IF(OR(DODAVATEL=4,DODAVATEL=6,DODAVATEL=8),1,(E$24*3+E$25*5)/8/$E$23),0)</f>
        <v>1</v>
      </c>
      <c r="H24" s="122">
        <f>IF(OR(DODAVATEL=4,DODAVATEL=6,DODAVATEL=8),1,(E$24*3+E$25*5)/8/$E$23)</f>
        <v>1</v>
      </c>
      <c r="K24" s="66">
        <v>2252236.3583659548</v>
      </c>
      <c r="O24" s="162" t="s">
        <v>810</v>
      </c>
      <c r="P24" s="162" t="s">
        <v>811</v>
      </c>
      <c r="R24" s="222" t="s">
        <v>1278</v>
      </c>
      <c r="S24" s="162"/>
      <c r="U24" s="54">
        <v>2002</v>
      </c>
      <c r="V24" s="54">
        <v>14065.745493675287</v>
      </c>
    </row>
    <row r="25" spans="1:23" ht="30" customHeight="1">
      <c r="A25" s="128">
        <v>2</v>
      </c>
      <c r="C25" s="133" t="s">
        <v>128</v>
      </c>
      <c r="D25" s="108">
        <v>20701</v>
      </c>
      <c r="E25" s="97">
        <f>ROUND(D25*$D$41,0)</f>
        <v>23499</v>
      </c>
      <c r="F25" s="66">
        <v>2</v>
      </c>
      <c r="H25" s="122">
        <f>(E$24*3+E$25*7)/10/$E$23</f>
        <v>0.95878889823380997</v>
      </c>
      <c r="K25" s="66">
        <v>1587769.4979706754</v>
      </c>
      <c r="O25" s="162">
        <v>1990</v>
      </c>
      <c r="P25" s="66">
        <v>23.7</v>
      </c>
      <c r="Q25" s="162"/>
      <c r="R25" s="162"/>
      <c r="S25" s="162"/>
      <c r="U25" s="54">
        <v>2003</v>
      </c>
      <c r="V25" s="54">
        <v>15054.462028052809</v>
      </c>
    </row>
    <row r="26" spans="1:23" ht="30" customHeight="1">
      <c r="A26" s="128">
        <v>3</v>
      </c>
      <c r="C26" s="133" t="s">
        <v>129</v>
      </c>
      <c r="D26" s="108">
        <v>22662</v>
      </c>
      <c r="E26" s="97">
        <f>ROUND(D26*$D$41,0)</f>
        <v>25725</v>
      </c>
      <c r="F26" s="66">
        <v>3</v>
      </c>
      <c r="H26" s="66">
        <f>E26/$E$23</f>
        <v>1.0302775441547518</v>
      </c>
      <c r="K26" s="66">
        <v>1675489.9692594588</v>
      </c>
      <c r="O26" s="162">
        <v>1991</v>
      </c>
      <c r="P26" s="66">
        <v>32.799999999999997</v>
      </c>
      <c r="Q26">
        <f>P26/P25</f>
        <v>1.3839662447257384</v>
      </c>
      <c r="R26" s="223">
        <f t="shared" ref="R26:R29" si="0">(Q26-1)</f>
        <v>0.38396624472573837</v>
      </c>
      <c r="S26" s="162">
        <f>(1+R26)*(1+R27)*(1+R28)*(1+R29)*(1+R30)*(1+R31)*(1+R32)*(1+R33)*(1+R34)*(1+R35)*(1+R36)*(1+R37)*(1+R38)*(1+R39)*(1+R40)*(1+R41)*(1+R42)*(1+R43)*(1+R44)*(1+R45)*(1+R46)*(1+R47)*(1+R48)*(1+R49)</f>
        <v>4.6835443037974684</v>
      </c>
      <c r="U26" s="54">
        <v>2004</v>
      </c>
      <c r="V26" s="54">
        <v>16089.947085898235</v>
      </c>
    </row>
    <row r="27" spans="1:23" ht="30" customHeight="1">
      <c r="A27" s="128">
        <v>4</v>
      </c>
      <c r="C27" s="133" t="s">
        <v>130</v>
      </c>
      <c r="D27" s="108">
        <v>22374</v>
      </c>
      <c r="E27" s="97">
        <f t="shared" ref="E27:E37" si="1">ROUND(D27*$D$41,0)</f>
        <v>25398</v>
      </c>
      <c r="F27" s="66">
        <v>4</v>
      </c>
      <c r="H27" s="66">
        <f t="shared" ref="H27:H37" si="2">E27/$E$23</f>
        <v>1.0171813048179743</v>
      </c>
      <c r="K27" s="66">
        <v>1610159.3436645395</v>
      </c>
      <c r="O27" s="162">
        <v>1992</v>
      </c>
      <c r="P27" s="66">
        <v>36.6</v>
      </c>
      <c r="Q27">
        <f t="shared" ref="Q27:Q49" si="3">P27/P26</f>
        <v>1.1158536585365855</v>
      </c>
      <c r="R27" s="223">
        <f t="shared" si="0"/>
        <v>0.11585365853658547</v>
      </c>
      <c r="S27" s="162">
        <f>(1+R27)*(1+R28)*(1+R29)*(1+R30)*(1+R31)*(1+R32)*(1+R33)*(1+R34)*(1+R35)*(1+R36)*(1+R37)*(1+R38)*(1+R39)*(1+R40)*(1+R41)*(1+R42)*(1+R43)*(1+R44)*(1+R45)*(1+R46)*(1+R47)*(1+R48)*(1+R49)</f>
        <v>3.3841463414634143</v>
      </c>
      <c r="U27" s="54">
        <v>2005</v>
      </c>
      <c r="V27" s="54">
        <v>16623.925454131688</v>
      </c>
      <c r="W27" s="66">
        <v>16537</v>
      </c>
    </row>
    <row r="28" spans="1:23" ht="30" customHeight="1">
      <c r="A28" s="128">
        <v>5</v>
      </c>
      <c r="C28" s="133" t="s">
        <v>131</v>
      </c>
      <c r="D28" s="108">
        <v>19180</v>
      </c>
      <c r="E28" s="97">
        <f t="shared" si="1"/>
        <v>21772</v>
      </c>
      <c r="F28" s="66">
        <v>5</v>
      </c>
      <c r="H28" s="66">
        <f t="shared" si="2"/>
        <v>0.87196123192759023</v>
      </c>
      <c r="K28" s="66">
        <v>1523951.8134715024</v>
      </c>
      <c r="O28" s="162">
        <v>1993</v>
      </c>
      <c r="P28" s="66">
        <v>46.1</v>
      </c>
      <c r="Q28">
        <f t="shared" si="3"/>
        <v>1.2595628415300546</v>
      </c>
      <c r="R28" s="223">
        <f t="shared" si="0"/>
        <v>0.2595628415300546</v>
      </c>
      <c r="S28" s="162">
        <f>(1+R28)*(1+R29)*(1+R30)*(1+R31)*(1+R32)*(1+R33)*(1+R34)*(1+R35)*(1+R36)*(1+R37)*(1+R38)*(1+R39)*(1+R40)*(1+R41)*(1+R42)*(1+R43)*(1+R44)*(1+R45)*(1+R46)*(1+R47)*(1+R48)*(1+R49)</f>
        <v>3.0327868852459017</v>
      </c>
      <c r="U28" s="54">
        <v>2006</v>
      </c>
      <c r="V28" s="54">
        <v>17671.204335634255</v>
      </c>
      <c r="W28" s="66">
        <v>17632</v>
      </c>
    </row>
    <row r="29" spans="1:23" ht="30" customHeight="1">
      <c r="A29" s="128">
        <v>6</v>
      </c>
      <c r="C29" s="133" t="s">
        <v>132</v>
      </c>
      <c r="D29" s="108">
        <v>20049</v>
      </c>
      <c r="E29" s="97">
        <f t="shared" si="1"/>
        <v>22759</v>
      </c>
      <c r="F29" s="66">
        <v>6</v>
      </c>
      <c r="H29" s="66">
        <f t="shared" si="2"/>
        <v>0.91149024790740518</v>
      </c>
      <c r="K29" s="66">
        <v>2123479.9158569565</v>
      </c>
      <c r="O29" s="162">
        <v>1994</v>
      </c>
      <c r="P29" s="66">
        <v>52.6</v>
      </c>
      <c r="Q29">
        <f t="shared" si="3"/>
        <v>1.140997830802603</v>
      </c>
      <c r="R29" s="223">
        <f t="shared" si="0"/>
        <v>0.14099783080260297</v>
      </c>
      <c r="S29" s="162">
        <f>(1+R29)*(1+R30)*(1+R31)*(1+R32)*(1+R33)*(1+R34)*(1+R35)*(1+R36)*(1+R37)*(1+R38)*(1+R39)*(1+R40)*(1+R41)*(1+R42)*(1+R43)*(1+R44)*(1+R45)*(1+R46)*(1+R47)*(1+R48)*(1+R49)</f>
        <v>2.4078091106290676</v>
      </c>
      <c r="U29" s="54">
        <v>2007</v>
      </c>
      <c r="V29" s="54">
        <v>18846.919500977503</v>
      </c>
      <c r="W29" s="66">
        <v>19041</v>
      </c>
    </row>
    <row r="30" spans="1:23" ht="30" customHeight="1">
      <c r="A30" s="128">
        <v>7</v>
      </c>
      <c r="C30" s="133" t="s">
        <v>133</v>
      </c>
      <c r="D30" s="108">
        <v>20204</v>
      </c>
      <c r="E30" s="97">
        <f t="shared" si="1"/>
        <v>22935</v>
      </c>
      <c r="F30" s="66">
        <v>7</v>
      </c>
      <c r="H30" s="66">
        <f t="shared" si="2"/>
        <v>0.91853898834554848</v>
      </c>
      <c r="K30" s="66">
        <v>2340133.2454283629</v>
      </c>
      <c r="O30" s="162">
        <v>1995</v>
      </c>
      <c r="P30" s="66">
        <v>58.2</v>
      </c>
      <c r="Q30">
        <f t="shared" si="3"/>
        <v>1.1064638783269962</v>
      </c>
      <c r="R30" s="223">
        <f>(Q30-1)</f>
        <v>0.10646387832699622</v>
      </c>
      <c r="S30" s="162">
        <f>(1+R30)*(1+R31)*(1+R32)*(1+R33)*(1+R34)*(1+R35)*(1+R36)*(1+R37)*(1+R38)*(1+R39)*(1+R40)*(1+R41)*(1+R42)*(1+R43)*(1+R44)*(1+R45)*(1+R46)*(1+R47)*(1+R48)*(1+R49)</f>
        <v>2.1102661596958177</v>
      </c>
      <c r="U30" s="54">
        <v>2008</v>
      </c>
      <c r="V30" s="54">
        <v>20705.773939388229</v>
      </c>
      <c r="W30" s="66">
        <v>20847</v>
      </c>
    </row>
    <row r="31" spans="1:23" ht="30" customHeight="1">
      <c r="A31" s="128">
        <v>8</v>
      </c>
      <c r="C31" s="133" t="s">
        <v>134</v>
      </c>
      <c r="D31" s="108">
        <v>19988</v>
      </c>
      <c r="E31" s="97">
        <f t="shared" si="1"/>
        <v>22690</v>
      </c>
      <c r="F31" s="66">
        <v>8</v>
      </c>
      <c r="H31" s="66">
        <f t="shared" si="2"/>
        <v>0.90872682125836035</v>
      </c>
      <c r="K31" s="66">
        <v>1198523.5746530679</v>
      </c>
      <c r="O31" s="162">
        <v>1996</v>
      </c>
      <c r="P31" s="66">
        <v>64.8</v>
      </c>
      <c r="Q31">
        <f t="shared" si="3"/>
        <v>1.1134020618556699</v>
      </c>
      <c r="R31" s="223">
        <f t="shared" ref="R31:R49" si="4">(Q31-1)</f>
        <v>0.11340206185566992</v>
      </c>
      <c r="S31" s="162">
        <f>(1+R31)*(1+R32)*(1+R33)*(1+R34)*(1+R35)*(1+R36)*(1+R37)*(1+R38)*(1+R39)*(1+R40)*(1+R41)*(1+R42)*(1+R43)*(1+R44)*(1+R45)*(1+R46)*(1+R47)*(1+R48)*(1+R49)</f>
        <v>1.9072164948453612</v>
      </c>
      <c r="U31" s="54">
        <v>2009</v>
      </c>
      <c r="V31" s="54">
        <v>21819.300391510718</v>
      </c>
      <c r="W31" s="66">
        <v>22069</v>
      </c>
    </row>
    <row r="32" spans="1:23" ht="30" customHeight="1">
      <c r="A32" s="128">
        <v>9</v>
      </c>
      <c r="C32" s="133" t="s">
        <v>135</v>
      </c>
      <c r="D32" s="108">
        <v>20086</v>
      </c>
      <c r="E32" s="97">
        <f t="shared" si="1"/>
        <v>22801</v>
      </c>
      <c r="F32" s="66">
        <v>9</v>
      </c>
      <c r="H32" s="66">
        <f t="shared" si="2"/>
        <v>0.91317233369378026</v>
      </c>
      <c r="K32" s="66">
        <v>1373981.6189118789</v>
      </c>
      <c r="O32" s="162">
        <v>1997</v>
      </c>
      <c r="P32" s="66">
        <v>72.2</v>
      </c>
      <c r="Q32">
        <f t="shared" si="3"/>
        <v>1.1141975308641976</v>
      </c>
      <c r="R32" s="223">
        <f t="shared" si="4"/>
        <v>0.11419753086419759</v>
      </c>
      <c r="S32" s="162">
        <f>(1+R32)*(1+R33)*(1+R34)*(1+R35)*(1+R36)*(1+R37)*(1+R38)*(1+R39)*(1+R40)*(1+R41)*(1+R42)*(1+R43)*(1+R44)*(1+R45)*(1+R46)*(1+R47)*(1+R48)*(1+R49)</f>
        <v>1.7129629629629637</v>
      </c>
      <c r="U32" s="54">
        <v>2010</v>
      </c>
      <c r="V32" s="54">
        <v>22114.319388217507</v>
      </c>
      <c r="W32" s="66">
        <v>22048</v>
      </c>
    </row>
    <row r="33" spans="1:23" ht="30" customHeight="1">
      <c r="A33" s="128">
        <v>10</v>
      </c>
      <c r="C33" s="133" t="s">
        <v>136</v>
      </c>
      <c r="D33" s="108">
        <v>21546</v>
      </c>
      <c r="E33" s="97">
        <f t="shared" si="1"/>
        <v>24458</v>
      </c>
      <c r="F33" s="66">
        <v>10</v>
      </c>
      <c r="H33" s="66">
        <f t="shared" si="2"/>
        <v>0.97953462293243621</v>
      </c>
      <c r="K33" s="66">
        <v>1264648.7260234756</v>
      </c>
      <c r="O33" s="162">
        <v>1998</v>
      </c>
      <c r="P33" s="66">
        <v>78.8</v>
      </c>
      <c r="Q33">
        <f t="shared" si="3"/>
        <v>1.0914127423822715</v>
      </c>
      <c r="R33" s="223">
        <f t="shared" si="4"/>
        <v>9.1412742382271484E-2</v>
      </c>
      <c r="S33" s="162">
        <f>(1+R33)*(1+R34)*(1+R35)*(1+R36)*(1+R37)*(1+R38)*(1+R39)*(1+R40)*(1+R41)*(1+R42)*(1+R43)*(1+R44)*(1+R45)*(1+R46)*(1+R47)*(1+R48)*(1+R49)</f>
        <v>1.5373961218836574</v>
      </c>
      <c r="U33" s="54">
        <v>2011</v>
      </c>
      <c r="W33" s="66">
        <v>22542</v>
      </c>
    </row>
    <row r="34" spans="1:23" ht="30" customHeight="1">
      <c r="A34" s="128">
        <v>11</v>
      </c>
      <c r="C34" s="133" t="s">
        <v>137</v>
      </c>
      <c r="D34" s="108">
        <v>23087</v>
      </c>
      <c r="E34" s="97">
        <f t="shared" si="1"/>
        <v>26207</v>
      </c>
      <c r="F34" s="66">
        <v>11</v>
      </c>
      <c r="H34" s="66">
        <f t="shared" si="2"/>
        <v>1.0495814810364852</v>
      </c>
      <c r="K34" s="66">
        <v>2201115.2663291874</v>
      </c>
      <c r="O34" s="162">
        <v>1999</v>
      </c>
      <c r="P34" s="66">
        <v>82.6</v>
      </c>
      <c r="Q34">
        <f t="shared" si="3"/>
        <v>1.048223350253807</v>
      </c>
      <c r="R34" s="223">
        <f t="shared" si="4"/>
        <v>4.8223350253806974E-2</v>
      </c>
      <c r="S34" s="162">
        <f>(1+R34)*(1+R35)*(1+R36)*(1+R37)*(1+R38)*(1+R39)*(1+R40)*(1+R41)*(1+R42)*(1+R43)*(1+R44)*(1+R45)*(1+R46)*(1+R47)*(1+R48)*(1+R49)</f>
        <v>1.4086294416243659</v>
      </c>
      <c r="U34" s="54">
        <v>2012</v>
      </c>
      <c r="W34" s="66">
        <v>22619</v>
      </c>
    </row>
    <row r="35" spans="1:23" ht="30" customHeight="1">
      <c r="A35" s="128">
        <v>12</v>
      </c>
      <c r="C35" s="133" t="s">
        <v>138</v>
      </c>
      <c r="D35" s="108">
        <v>20256</v>
      </c>
      <c r="E35" s="97">
        <f t="shared" si="1"/>
        <v>22994</v>
      </c>
      <c r="F35" s="66">
        <v>12</v>
      </c>
      <c r="H35" s="66">
        <f t="shared" si="2"/>
        <v>0.92090191837878965</v>
      </c>
      <c r="K35" s="66">
        <v>1495738.762784326</v>
      </c>
      <c r="O35" s="162">
        <v>2000</v>
      </c>
      <c r="P35" s="66">
        <v>86</v>
      </c>
      <c r="Q35">
        <f t="shared" si="3"/>
        <v>1.0411622276029056</v>
      </c>
      <c r="R35" s="223">
        <f t="shared" si="4"/>
        <v>4.1162227602905554E-2</v>
      </c>
      <c r="S35" s="162">
        <f>(1+R35)*(1+R36)*(1+R37)*(1+R38)*(1+R39)*(1+R40)*(1+R41)*(1+R42)*(1+R43)*(1+R44)*(1+R45)*(1+R46)*(1+R47)*(1+R48)*(1+R49)</f>
        <v>1.3438256658595649</v>
      </c>
      <c r="U35" s="54">
        <v>2013</v>
      </c>
      <c r="W35" s="66">
        <v>21996</v>
      </c>
    </row>
    <row r="36" spans="1:23" ht="30" customHeight="1">
      <c r="A36" s="128">
        <v>13</v>
      </c>
      <c r="C36" s="133" t="s">
        <v>139</v>
      </c>
      <c r="D36" s="108">
        <v>21111</v>
      </c>
      <c r="E36" s="97">
        <f t="shared" si="1"/>
        <v>23964</v>
      </c>
      <c r="F36" s="66">
        <v>13</v>
      </c>
      <c r="H36" s="66">
        <f t="shared" si="2"/>
        <v>0.95975009011173851</v>
      </c>
      <c r="K36" s="66">
        <v>1374174.9849404227</v>
      </c>
      <c r="O36" s="162">
        <v>2001</v>
      </c>
      <c r="P36" s="66">
        <v>89.4</v>
      </c>
      <c r="Q36">
        <f t="shared" si="3"/>
        <v>1.0395348837209304</v>
      </c>
      <c r="R36" s="223">
        <f t="shared" si="4"/>
        <v>3.9534883720930392E-2</v>
      </c>
      <c r="S36" s="162">
        <f>(1+R36)*(1+R37)*(1+R38)*(1+R39)*(1+R40)*(1+R41)*(1+R42)*(1+R43)*(1+R44)*(1+R45)*(1+R46)*(1+R47)*(1+R48)*(1+R49)</f>
        <v>1.2906976744186052</v>
      </c>
    </row>
    <row r="37" spans="1:23" ht="30" customHeight="1">
      <c r="A37" s="128">
        <v>14</v>
      </c>
      <c r="B37" s="66">
        <v>1</v>
      </c>
      <c r="C37" s="133" t="s">
        <v>140</v>
      </c>
      <c r="D37" s="108">
        <v>19770</v>
      </c>
      <c r="E37" s="97">
        <f t="shared" si="1"/>
        <v>22442</v>
      </c>
      <c r="F37" s="66">
        <v>14</v>
      </c>
      <c r="H37" s="66">
        <f t="shared" si="2"/>
        <v>0.89879450518643123</v>
      </c>
      <c r="K37" s="66">
        <v>1410176.9692062449</v>
      </c>
      <c r="O37" s="162">
        <v>2002</v>
      </c>
      <c r="P37" s="66">
        <v>91.8</v>
      </c>
      <c r="Q37">
        <f t="shared" si="3"/>
        <v>1.0268456375838926</v>
      </c>
      <c r="R37" s="223">
        <f t="shared" si="4"/>
        <v>2.6845637583892579E-2</v>
      </c>
      <c r="S37" s="162">
        <f>(1+R37)*(1+R38)*(1+R39)*(1+R40)*(1+R41)*(1+R42)*(1+R43)*(1+R44)*(1+R45)*(1+R46)*(1+R47)*(1+R48)*(1+R49)</f>
        <v>1.2416107382550337</v>
      </c>
    </row>
    <row r="38" spans="1:23">
      <c r="C38" s="54" t="s">
        <v>141</v>
      </c>
      <c r="D38" s="97">
        <f>ROUND(AVERAGE(D25:D37),0)</f>
        <v>20847</v>
      </c>
      <c r="E38" s="97">
        <f>ROUND(AVERAGE(E25:E37),0)</f>
        <v>23665</v>
      </c>
      <c r="O38" s="66">
        <v>2003</v>
      </c>
      <c r="P38" s="66">
        <v>93.8</v>
      </c>
      <c r="Q38">
        <f t="shared" si="3"/>
        <v>1.0217864923747277</v>
      </c>
      <c r="R38" s="223">
        <f t="shared" si="4"/>
        <v>2.1786492374727739E-2</v>
      </c>
      <c r="S38" s="66">
        <f>(1+R38)*(1+R39)*(1+R40)*(1+R41)*(1+R42)*(1+R43)*(1+R44)*(1+R45)*(1+R46)*(1+R47)*(1+R48)*(1+R49)</f>
        <v>1.2091503267973862</v>
      </c>
    </row>
    <row r="39" spans="1:23">
      <c r="C39" s="54" t="s">
        <v>337</v>
      </c>
      <c r="D39" s="97">
        <f>ROUND(MIN(D25:D37),0)</f>
        <v>19180</v>
      </c>
      <c r="E39" s="97">
        <f>ROUND(MIN(E25:E37),0)</f>
        <v>21772</v>
      </c>
      <c r="O39" s="66">
        <v>2004</v>
      </c>
      <c r="P39" s="66">
        <v>97.3</v>
      </c>
      <c r="Q39">
        <f t="shared" si="3"/>
        <v>1.0373134328358209</v>
      </c>
      <c r="R39" s="223">
        <f t="shared" si="4"/>
        <v>3.7313432835820892E-2</v>
      </c>
      <c r="S39" s="66">
        <f>(1+R39)*(1+R40)*(1+R41)*(1+R42)*(1+R43)*(1+R44)*(1+R45)*(1+R46)*(1+R47)*(1+R48)*(1+R49)</f>
        <v>1.1833688699360341</v>
      </c>
    </row>
    <row r="40" spans="1:23">
      <c r="C40" s="54"/>
      <c r="D40" s="54"/>
      <c r="E40" s="54"/>
      <c r="F40" s="54"/>
      <c r="G40" s="66" t="s">
        <v>862</v>
      </c>
      <c r="I40" s="100">
        <f>(E1126+E1128)/2</f>
        <v>143.5</v>
      </c>
      <c r="O40" s="221">
        <v>2005</v>
      </c>
      <c r="P40" s="66">
        <v>100.2</v>
      </c>
      <c r="Q40">
        <f t="shared" si="3"/>
        <v>1.0298047276464544</v>
      </c>
      <c r="R40" s="223">
        <f t="shared" si="4"/>
        <v>2.9804727646454365E-2</v>
      </c>
      <c r="S40" s="66">
        <f>(1+R40)*(1+R41)*(1+R42)*(1+R43)*(1+R44)*(1+R45)*(1+R46)*(1+R47)*(1+R48)*(1+R49)</f>
        <v>1.1408016443987672</v>
      </c>
    </row>
    <row r="41" spans="1:23">
      <c r="C41" s="66" t="s">
        <v>597</v>
      </c>
      <c r="D41" s="109">
        <f>I42/D23</f>
        <v>1.1351609383524277</v>
      </c>
      <c r="F41" s="54"/>
      <c r="G41" s="66" t="s">
        <v>863</v>
      </c>
      <c r="I41" s="122">
        <f>2088/12</f>
        <v>174</v>
      </c>
      <c r="K41" s="122" t="s">
        <v>1275</v>
      </c>
      <c r="O41" s="66">
        <v>2006</v>
      </c>
      <c r="P41" s="66">
        <v>103.1</v>
      </c>
      <c r="Q41">
        <f t="shared" si="3"/>
        <v>1.0289421157684631</v>
      </c>
      <c r="R41" s="223">
        <f t="shared" si="4"/>
        <v>2.8942115768463061E-2</v>
      </c>
      <c r="S41" s="66">
        <f>(1+R41)*(1+R42)*(1+R43)*(1+R44)*(1+R45)*(1+R46)*(1+R47)*(1+R48)*(1+R49)</f>
        <v>1.1077844311377245</v>
      </c>
    </row>
    <row r="42" spans="1:23">
      <c r="C42" s="66" t="s">
        <v>598</v>
      </c>
      <c r="E42" s="90"/>
      <c r="F42" s="54"/>
      <c r="G42" s="66" t="s">
        <v>864</v>
      </c>
      <c r="I42" s="66">
        <f>I40*I41</f>
        <v>24969</v>
      </c>
      <c r="O42" s="66">
        <v>2007</v>
      </c>
      <c r="P42" s="66">
        <v>107.2</v>
      </c>
      <c r="Q42">
        <f t="shared" si="3"/>
        <v>1.0397672162948595</v>
      </c>
      <c r="R42" s="223">
        <f t="shared" si="4"/>
        <v>3.9767216294859464E-2</v>
      </c>
      <c r="S42" s="66">
        <f>(1+R42)*(1+R43)*(1+R44)*(1+R45)*(1+R46)*(1+R47)*(1+R48)*(1+R49)</f>
        <v>1.0766246362754608</v>
      </c>
    </row>
    <row r="43" spans="1:23">
      <c r="C43" s="66" t="s">
        <v>599</v>
      </c>
      <c r="E43" s="66">
        <f>17734/21914</f>
        <v>0.80925435794469291</v>
      </c>
      <c r="F43" s="54"/>
      <c r="G43" s="54"/>
      <c r="H43" s="54"/>
      <c r="O43" s="66">
        <v>2008</v>
      </c>
      <c r="P43" s="66">
        <v>111.9</v>
      </c>
      <c r="Q43">
        <f t="shared" si="3"/>
        <v>1.0438432835820897</v>
      </c>
      <c r="R43" s="223">
        <f t="shared" si="4"/>
        <v>4.3843283582089665E-2</v>
      </c>
      <c r="S43" s="66">
        <f>(1+R43)*(1+R44)*(1+R45)*(1+R46)*(1+R47)*(1+R48)*(1+R49)</f>
        <v>1.0354477611940298</v>
      </c>
    </row>
    <row r="44" spans="1:23">
      <c r="C44" s="110" t="s">
        <v>600</v>
      </c>
      <c r="E44" s="66">
        <f>19479/24448</f>
        <v>0.79675229057591623</v>
      </c>
      <c r="F44" s="54"/>
      <c r="G44" s="54"/>
      <c r="H44" s="54"/>
      <c r="O44" s="66">
        <v>2009</v>
      </c>
      <c r="P44" s="66">
        <v>113.3</v>
      </c>
      <c r="Q44">
        <f t="shared" si="3"/>
        <v>1.0125111706881142</v>
      </c>
      <c r="R44" s="223">
        <f t="shared" si="4"/>
        <v>1.2511170688114248E-2</v>
      </c>
      <c r="S44" s="66">
        <f>(1+R44)*(1+R45)*(1+R46)*(1+R47)*(1+R48)*(1+R49)</f>
        <v>0.99195710455764052</v>
      </c>
    </row>
    <row r="45" spans="1:23">
      <c r="O45" s="66">
        <v>2010</v>
      </c>
      <c r="P45" s="66">
        <v>113</v>
      </c>
      <c r="Q45">
        <f t="shared" si="3"/>
        <v>0.99735216240070612</v>
      </c>
      <c r="R45" s="223">
        <f t="shared" si="4"/>
        <v>-2.6478375992938785E-3</v>
      </c>
      <c r="S45" s="66">
        <f>(1+R45)*(1+R46)*(1+R47)*(1+R48)*(1+R49)</f>
        <v>0.97969991173874671</v>
      </c>
    </row>
    <row r="46" spans="1:23">
      <c r="O46" s="66">
        <v>2011</v>
      </c>
      <c r="P46" s="66">
        <v>112.5</v>
      </c>
      <c r="Q46">
        <f t="shared" si="3"/>
        <v>0.99557522123893805</v>
      </c>
      <c r="R46" s="223">
        <f t="shared" si="4"/>
        <v>-4.4247787610619538E-3</v>
      </c>
      <c r="S46" s="66">
        <f>(1+R46)*(1+R47)*(1+R48)*(1+R49)</f>
        <v>0.9823008849557523</v>
      </c>
    </row>
    <row r="47" spans="1:23">
      <c r="C47" s="70" t="s">
        <v>114</v>
      </c>
      <c r="F47" s="72">
        <f>IF(F12&lt;4,0.6,0.65)</f>
        <v>0.6</v>
      </c>
      <c r="H47" s="206"/>
      <c r="I47" s="207" t="s">
        <v>804</v>
      </c>
      <c r="J47" s="206"/>
      <c r="K47" s="206"/>
      <c r="L47" s="206"/>
      <c r="O47" s="66">
        <v>2012</v>
      </c>
      <c r="P47" s="66">
        <v>111.7</v>
      </c>
      <c r="Q47">
        <f t="shared" si="3"/>
        <v>0.99288888888888893</v>
      </c>
      <c r="R47" s="223">
        <f t="shared" si="4"/>
        <v>-7.1111111111110681E-3</v>
      </c>
      <c r="S47" s="66">
        <f>(1+R47)*(1+R48)*(1+R49)</f>
        <v>0.98666666666666669</v>
      </c>
    </row>
    <row r="48" spans="1:23">
      <c r="C48" s="70" t="s">
        <v>788</v>
      </c>
      <c r="F48" s="76">
        <v>0.5</v>
      </c>
      <c r="H48" s="206"/>
      <c r="I48" s="208" t="s">
        <v>805</v>
      </c>
      <c r="J48" s="208" t="s">
        <v>806</v>
      </c>
      <c r="K48" s="208" t="s">
        <v>807</v>
      </c>
      <c r="L48" s="206"/>
      <c r="O48" s="66">
        <v>2013</v>
      </c>
      <c r="P48" s="66">
        <v>110.5</v>
      </c>
      <c r="Q48">
        <f t="shared" si="3"/>
        <v>0.9892569382273948</v>
      </c>
      <c r="R48" s="223">
        <f t="shared" si="4"/>
        <v>-1.07430617726052E-2</v>
      </c>
      <c r="S48" s="66">
        <f>(1+R48)*(1+R49)</f>
        <v>0.99373321396598024</v>
      </c>
    </row>
    <row r="49" spans="1:23">
      <c r="H49" s="206"/>
      <c r="I49" s="206"/>
      <c r="J49" s="206"/>
      <c r="K49" s="208" t="s">
        <v>122</v>
      </c>
      <c r="L49" s="208" t="s">
        <v>808</v>
      </c>
      <c r="O49" s="66">
        <v>2014</v>
      </c>
      <c r="P49" s="66">
        <v>111</v>
      </c>
      <c r="Q49">
        <f t="shared" si="3"/>
        <v>1.004524886877828</v>
      </c>
      <c r="R49" s="223">
        <f t="shared" si="4"/>
        <v>4.5248868778280382E-3</v>
      </c>
    </row>
    <row r="50" spans="1:23" ht="18.75">
      <c r="C50" s="68" t="s">
        <v>115</v>
      </c>
      <c r="H50" s="206">
        <v>1</v>
      </c>
      <c r="I50" s="206">
        <v>1.1499999999999999</v>
      </c>
      <c r="J50" s="206">
        <f>1</f>
        <v>1</v>
      </c>
      <c r="K50" s="206">
        <v>7.5</v>
      </c>
      <c r="L50" s="206">
        <v>10</v>
      </c>
    </row>
    <row r="51" spans="1:23">
      <c r="H51" s="206">
        <v>2</v>
      </c>
      <c r="I51" s="206">
        <f>1</f>
        <v>1</v>
      </c>
      <c r="J51" s="206">
        <f>1</f>
        <v>1</v>
      </c>
      <c r="K51" s="206">
        <v>3</v>
      </c>
      <c r="L51" s="206">
        <v>10</v>
      </c>
    </row>
    <row r="52" spans="1:23">
      <c r="C52" s="66" t="s">
        <v>116</v>
      </c>
      <c r="H52" s="206">
        <v>3</v>
      </c>
      <c r="I52" s="206">
        <f>J52</f>
        <v>0.96499999999999997</v>
      </c>
      <c r="J52" s="206">
        <f>0.965</f>
        <v>0.96499999999999997</v>
      </c>
      <c r="K52" s="206">
        <v>3</v>
      </c>
      <c r="L52" s="206">
        <v>7.5</v>
      </c>
    </row>
    <row r="53" spans="1:23">
      <c r="H53" s="206">
        <v>4</v>
      </c>
      <c r="I53" s="206">
        <f>J53</f>
        <v>0.92500000000000004</v>
      </c>
      <c r="J53" s="206">
        <v>0.92500000000000004</v>
      </c>
      <c r="K53" s="206">
        <v>3</v>
      </c>
      <c r="L53" s="206">
        <v>5</v>
      </c>
    </row>
    <row r="54" spans="1:23">
      <c r="C54" s="69" t="s">
        <v>117</v>
      </c>
      <c r="H54" s="209">
        <v>5</v>
      </c>
      <c r="I54" s="206">
        <f t="shared" ref="I54:I57" si="5">J54</f>
        <v>0.96499999999999997</v>
      </c>
      <c r="J54" s="209">
        <f>J52</f>
        <v>0.96499999999999997</v>
      </c>
      <c r="K54" s="209"/>
      <c r="L54" s="209"/>
    </row>
    <row r="55" spans="1:23">
      <c r="C55" s="66" t="s">
        <v>118</v>
      </c>
      <c r="E55" s="73">
        <v>0</v>
      </c>
      <c r="H55" s="209">
        <v>6</v>
      </c>
      <c r="I55" s="206">
        <f t="shared" si="5"/>
        <v>0.9</v>
      </c>
      <c r="J55" s="209">
        <v>0.9</v>
      </c>
      <c r="K55" s="209"/>
      <c r="L55" s="209"/>
    </row>
    <row r="56" spans="1:23">
      <c r="C56" s="66" t="s">
        <v>119</v>
      </c>
      <c r="E56" s="73">
        <v>0</v>
      </c>
      <c r="H56" s="209">
        <v>7</v>
      </c>
      <c r="I56" s="206">
        <f t="shared" si="5"/>
        <v>1</v>
      </c>
      <c r="J56" s="209">
        <v>1</v>
      </c>
      <c r="K56" s="209"/>
      <c r="L56" s="209"/>
    </row>
    <row r="57" spans="1:23">
      <c r="C57" s="66" t="s">
        <v>991</v>
      </c>
      <c r="E57" s="73">
        <v>0</v>
      </c>
      <c r="H57" s="209">
        <v>8</v>
      </c>
      <c r="I57" s="206">
        <f t="shared" si="5"/>
        <v>0.8</v>
      </c>
      <c r="J57" s="209">
        <v>0.8</v>
      </c>
      <c r="K57" s="209"/>
      <c r="L57" s="209"/>
    </row>
    <row r="58" spans="1:23">
      <c r="E58" s="219">
        <f>SUM(E55:E57)</f>
        <v>0</v>
      </c>
      <c r="I58"/>
      <c r="P58" s="179" t="s">
        <v>813</v>
      </c>
      <c r="Q58" s="179"/>
      <c r="R58" s="179"/>
      <c r="S58" s="179"/>
      <c r="T58" s="179"/>
    </row>
    <row r="59" spans="1:23">
      <c r="E59" s="74"/>
      <c r="I59"/>
      <c r="P59" s="163" t="s">
        <v>814</v>
      </c>
      <c r="Q59" s="163"/>
      <c r="R59" s="163"/>
      <c r="S59" s="163"/>
      <c r="T59" s="164"/>
      <c r="V59" s="134" t="s">
        <v>1272</v>
      </c>
    </row>
    <row r="60" spans="1:23" ht="15" customHeight="1">
      <c r="B60" s="66">
        <v>1</v>
      </c>
      <c r="C60" s="210" t="s">
        <v>992</v>
      </c>
      <c r="D60" s="211"/>
      <c r="E60" s="212">
        <f>VLOOKUP(B60,G61:H71,2,FALSE)</f>
        <v>0</v>
      </c>
      <c r="G60" s="66" t="s">
        <v>1007</v>
      </c>
      <c r="H60" s="66" t="s">
        <v>648</v>
      </c>
      <c r="L60" s="66" t="s">
        <v>187</v>
      </c>
      <c r="M60" s="66" t="s">
        <v>188</v>
      </c>
      <c r="N60" s="66" t="s">
        <v>189</v>
      </c>
      <c r="P60" s="176" t="s">
        <v>815</v>
      </c>
      <c r="Q60" s="176"/>
      <c r="R60" s="176"/>
      <c r="S60" s="176"/>
      <c r="T60" s="176"/>
      <c r="U60" s="66" t="s">
        <v>1273</v>
      </c>
      <c r="V60" s="183" t="s">
        <v>857</v>
      </c>
    </row>
    <row r="61" spans="1:23" ht="25.15" customHeight="1">
      <c r="A61" s="71"/>
      <c r="B61" s="215"/>
      <c r="C61" s="215" t="s">
        <v>1165</v>
      </c>
      <c r="D61" s="215"/>
      <c r="E61" s="215"/>
      <c r="F61" s="215"/>
      <c r="G61" s="215">
        <v>1</v>
      </c>
      <c r="H61" s="216">
        <v>0</v>
      </c>
      <c r="I61" s="215"/>
      <c r="J61" s="215"/>
      <c r="K61" s="215"/>
      <c r="L61" s="215"/>
      <c r="M61" s="215"/>
      <c r="N61" s="215"/>
      <c r="P61" s="177" t="s">
        <v>816</v>
      </c>
      <c r="Q61" s="177"/>
      <c r="R61" s="177"/>
      <c r="S61" s="177"/>
      <c r="T61" s="177"/>
    </row>
    <row r="62" spans="1:23" ht="25.15" customHeight="1">
      <c r="B62" s="215" t="s">
        <v>179</v>
      </c>
      <c r="C62" s="215" t="s">
        <v>180</v>
      </c>
      <c r="D62" s="215"/>
      <c r="E62" s="215"/>
      <c r="F62" s="215"/>
      <c r="G62" s="215">
        <v>2</v>
      </c>
      <c r="H62" s="215">
        <f t="shared" ref="H62:H71" si="6">ROUND((J$2:J$66136*(1-VLOOKUP(IF(ISNUMBER(A62),A62,100),MATICE_CEN,7,FALSE))+K$2:K$66136+(L$2:L$66136*(1-VLOOKUP(IF(ISNUMBER(A62),A62,100),MATICE_CEN,6,FALSE))+M$2:M$66136+N$2:N$66136*IF(A62=99,sleva_ocel,1)*VLOOKUP(IF(ISNUMBER(A62),A62,100),MATICE_CEN,4,FALSE)*(1+časová_rezerva)*(1+pojistné))*IF(A62=100,(1+STD_HR_HSV),(1+VLOOKUP(IF(ISNUMBER(A62),A62,100),MATICE_CEN,5,FALSE))))*(1+VRN),1)</f>
        <v>285.7</v>
      </c>
      <c r="I62" s="215"/>
      <c r="J62" s="215"/>
      <c r="K62" s="215"/>
      <c r="L62" s="215">
        <v>4.4000000000000004</v>
      </c>
      <c r="M62" s="215">
        <v>0</v>
      </c>
      <c r="N62" s="215">
        <v>0.85199999999999998</v>
      </c>
      <c r="P62" s="165"/>
      <c r="Q62" s="69">
        <v>2007</v>
      </c>
      <c r="R62" s="69">
        <v>2008</v>
      </c>
      <c r="S62" s="69">
        <v>2009</v>
      </c>
      <c r="T62" s="69">
        <v>2010</v>
      </c>
      <c r="U62" s="69">
        <v>2011</v>
      </c>
      <c r="V62" s="69">
        <v>2011</v>
      </c>
      <c r="W62" s="69">
        <v>2013</v>
      </c>
    </row>
    <row r="63" spans="1:23" ht="25.15" customHeight="1">
      <c r="B63" s="215" t="s">
        <v>993</v>
      </c>
      <c r="C63" s="215" t="s">
        <v>994</v>
      </c>
      <c r="D63" s="215"/>
      <c r="E63" s="215"/>
      <c r="F63" s="215"/>
      <c r="G63" s="215">
        <v>3</v>
      </c>
      <c r="H63" s="215">
        <f t="shared" si="6"/>
        <v>259.3</v>
      </c>
      <c r="I63" s="215"/>
      <c r="J63" s="215"/>
      <c r="K63" s="215"/>
      <c r="L63" s="215">
        <v>97.54</v>
      </c>
      <c r="M63" s="215">
        <v>0</v>
      </c>
      <c r="N63" s="215">
        <v>0.307</v>
      </c>
      <c r="P63" s="166" t="s">
        <v>817</v>
      </c>
      <c r="Q63" s="187">
        <v>23738.133209028489</v>
      </c>
      <c r="R63" s="187">
        <v>26633.996716947444</v>
      </c>
      <c r="S63" s="187">
        <v>28021.148496625858</v>
      </c>
      <c r="T63" s="187">
        <v>28613.499611043251</v>
      </c>
      <c r="U63" s="66">
        <v>29184</v>
      </c>
      <c r="V63" s="160">
        <v>22482</v>
      </c>
      <c r="W63" s="66">
        <v>21996</v>
      </c>
    </row>
    <row r="64" spans="1:23" ht="25.15" customHeight="1">
      <c r="B64" s="215" t="s">
        <v>995</v>
      </c>
      <c r="C64" s="215" t="s">
        <v>996</v>
      </c>
      <c r="D64" s="215"/>
      <c r="E64" s="215"/>
      <c r="F64" s="215"/>
      <c r="G64" s="215">
        <v>4</v>
      </c>
      <c r="H64" s="215">
        <f t="shared" si="6"/>
        <v>263.8</v>
      </c>
      <c r="I64" s="215"/>
      <c r="J64" s="215"/>
      <c r="K64" s="215"/>
      <c r="L64" s="215">
        <v>98.3</v>
      </c>
      <c r="M64" s="215">
        <v>0</v>
      </c>
      <c r="N64" s="215">
        <v>0.317</v>
      </c>
      <c r="P64" s="167" t="s">
        <v>818</v>
      </c>
      <c r="Q64" s="187">
        <v>30244.130449914064</v>
      </c>
      <c r="R64" s="187">
        <v>32712.999846180774</v>
      </c>
      <c r="S64" s="187">
        <v>33017.791433521597</v>
      </c>
      <c r="T64" s="187">
        <v>34140.96287593626</v>
      </c>
      <c r="U64" s="66">
        <v>34621</v>
      </c>
      <c r="V64" s="160">
        <v>27394</v>
      </c>
      <c r="W64" s="66">
        <v>25627</v>
      </c>
    </row>
    <row r="65" spans="1:23" ht="25.15" customHeight="1">
      <c r="B65" s="215" t="s">
        <v>997</v>
      </c>
      <c r="C65" s="215" t="s">
        <v>998</v>
      </c>
      <c r="D65" s="215"/>
      <c r="E65" s="215"/>
      <c r="F65" s="215"/>
      <c r="G65" s="215">
        <v>5</v>
      </c>
      <c r="H65" s="215">
        <f t="shared" si="6"/>
        <v>447.1</v>
      </c>
      <c r="I65" s="215"/>
      <c r="J65" s="215"/>
      <c r="K65" s="215"/>
      <c r="L65" s="215">
        <v>20.77</v>
      </c>
      <c r="M65" s="215">
        <v>0</v>
      </c>
      <c r="N65" s="215">
        <v>1.264</v>
      </c>
      <c r="P65" s="167" t="s">
        <v>128</v>
      </c>
      <c r="Q65" s="187">
        <v>21374.758695627042</v>
      </c>
      <c r="R65" s="187">
        <v>24239.158938087163</v>
      </c>
      <c r="S65" s="187">
        <v>27114.077846489632</v>
      </c>
      <c r="T65" s="187">
        <v>26163.394846883839</v>
      </c>
      <c r="U65" s="66">
        <v>26504</v>
      </c>
      <c r="V65" s="160">
        <v>20995</v>
      </c>
      <c r="W65" s="66">
        <v>20701</v>
      </c>
    </row>
    <row r="66" spans="1:23" ht="25.15" customHeight="1">
      <c r="B66" s="215" t="s">
        <v>999</v>
      </c>
      <c r="C66" s="215" t="s">
        <v>1000</v>
      </c>
      <c r="D66" s="215"/>
      <c r="E66" s="215"/>
      <c r="F66" s="215"/>
      <c r="G66" s="215">
        <v>6</v>
      </c>
      <c r="H66" s="215">
        <f t="shared" si="6"/>
        <v>322</v>
      </c>
      <c r="I66" s="215"/>
      <c r="J66" s="215"/>
      <c r="K66" s="215"/>
      <c r="L66" s="215">
        <v>114.34</v>
      </c>
      <c r="M66" s="215">
        <v>0</v>
      </c>
      <c r="N66" s="215">
        <v>0.41499999999999998</v>
      </c>
      <c r="P66" s="167" t="s">
        <v>819</v>
      </c>
      <c r="Q66" s="187">
        <v>21020.103626943004</v>
      </c>
      <c r="R66" s="187">
        <v>24112.703460092056</v>
      </c>
      <c r="S66" s="187">
        <v>25800.682395644282</v>
      </c>
      <c r="T66" s="187">
        <v>29552.984066698486</v>
      </c>
      <c r="U66" s="66">
        <v>31136</v>
      </c>
      <c r="V66" s="160">
        <v>22596</v>
      </c>
      <c r="W66" s="66">
        <v>22662</v>
      </c>
    </row>
    <row r="67" spans="1:23" ht="25.15" customHeight="1">
      <c r="B67" s="215" t="s">
        <v>181</v>
      </c>
      <c r="C67" s="215" t="s">
        <v>182</v>
      </c>
      <c r="D67" s="215"/>
      <c r="E67" s="215"/>
      <c r="F67" s="215"/>
      <c r="G67" s="215">
        <v>7</v>
      </c>
      <c r="H67" s="215">
        <f t="shared" si="6"/>
        <v>397.8</v>
      </c>
      <c r="I67" s="215"/>
      <c r="J67" s="215"/>
      <c r="K67" s="215"/>
      <c r="L67" s="215">
        <v>130.16</v>
      </c>
      <c r="M67" s="215">
        <v>0</v>
      </c>
      <c r="N67" s="215">
        <v>0.56799999999999995</v>
      </c>
      <c r="P67" s="167" t="s">
        <v>130</v>
      </c>
      <c r="Q67" s="187">
        <v>20733.575310633558</v>
      </c>
      <c r="R67" s="187">
        <v>23674.261902650938</v>
      </c>
      <c r="S67" s="187">
        <v>25113.768215248278</v>
      </c>
      <c r="T67" s="187">
        <v>25997.481054541571</v>
      </c>
      <c r="U67" s="66">
        <v>27088</v>
      </c>
      <c r="V67" s="160">
        <v>21617</v>
      </c>
      <c r="W67" s="66">
        <v>22374</v>
      </c>
    </row>
    <row r="68" spans="1:23" ht="25.15" customHeight="1">
      <c r="B68" s="215" t="s">
        <v>1001</v>
      </c>
      <c r="C68" s="215" t="s">
        <v>1002</v>
      </c>
      <c r="D68" s="215"/>
      <c r="E68" s="215"/>
      <c r="F68" s="215"/>
      <c r="G68" s="215">
        <v>8</v>
      </c>
      <c r="H68" s="215">
        <f t="shared" si="6"/>
        <v>553.79999999999995</v>
      </c>
      <c r="I68" s="215"/>
      <c r="J68" s="215"/>
      <c r="K68" s="215"/>
      <c r="L68" s="215">
        <v>240.77</v>
      </c>
      <c r="M68" s="215">
        <v>0</v>
      </c>
      <c r="N68" s="215">
        <v>0.49399999999999999</v>
      </c>
      <c r="P68" s="167" t="s">
        <v>131</v>
      </c>
      <c r="Q68" s="187">
        <v>18121.503652235879</v>
      </c>
      <c r="R68" s="187">
        <v>20060.928433268855</v>
      </c>
      <c r="S68" s="187">
        <v>20077.066965955855</v>
      </c>
      <c r="T68" s="187">
        <v>21637.981136885035</v>
      </c>
      <c r="U68" s="66">
        <v>24324</v>
      </c>
      <c r="V68" s="160">
        <v>19518</v>
      </c>
      <c r="W68" s="66">
        <v>19180</v>
      </c>
    </row>
    <row r="69" spans="1:23" ht="25.15" customHeight="1">
      <c r="B69" s="215" t="s">
        <v>1003</v>
      </c>
      <c r="C69" s="215" t="s">
        <v>1004</v>
      </c>
      <c r="D69" s="215"/>
      <c r="E69" s="215"/>
      <c r="F69" s="215"/>
      <c r="G69" s="215">
        <v>9</v>
      </c>
      <c r="H69" s="215">
        <f t="shared" si="6"/>
        <v>306.8</v>
      </c>
      <c r="I69" s="215"/>
      <c r="J69" s="215"/>
      <c r="K69" s="215"/>
      <c r="L69" s="215">
        <v>0</v>
      </c>
      <c r="M69" s="215">
        <v>0</v>
      </c>
      <c r="N69" s="215">
        <v>0.9385</v>
      </c>
      <c r="P69" s="167" t="s">
        <v>132</v>
      </c>
      <c r="Q69" s="187">
        <v>20906.936729296554</v>
      </c>
      <c r="R69" s="187">
        <v>24435.446287945801</v>
      </c>
      <c r="S69" s="187">
        <v>27891.903641856265</v>
      </c>
      <c r="T69" s="187">
        <v>28007.219823676671</v>
      </c>
      <c r="U69" s="66">
        <v>26634</v>
      </c>
      <c r="V69" s="160">
        <v>21210</v>
      </c>
      <c r="W69" s="66">
        <v>20049</v>
      </c>
    </row>
    <row r="70" spans="1:23" ht="25.15" customHeight="1">
      <c r="B70" s="215" t="s">
        <v>1005</v>
      </c>
      <c r="C70" s="215" t="s">
        <v>1006</v>
      </c>
      <c r="D70" s="215"/>
      <c r="E70" s="215"/>
      <c r="F70" s="215"/>
      <c r="G70" s="215">
        <v>10</v>
      </c>
      <c r="H70" s="215">
        <f t="shared" si="6"/>
        <v>623.70000000000005</v>
      </c>
      <c r="I70" s="215"/>
      <c r="J70" s="215"/>
      <c r="K70" s="215"/>
      <c r="L70" s="215">
        <v>3.17</v>
      </c>
      <c r="M70" s="215">
        <v>0</v>
      </c>
      <c r="N70" s="215">
        <v>1.8919999999999999</v>
      </c>
      <c r="P70" s="167" t="s">
        <v>133</v>
      </c>
      <c r="Q70" s="187">
        <v>24655.871620500911</v>
      </c>
      <c r="R70" s="187">
        <v>27003.613919681651</v>
      </c>
      <c r="S70" s="187">
        <v>25938.53378915018</v>
      </c>
      <c r="T70" s="187">
        <v>27551.78152336249</v>
      </c>
      <c r="U70" s="66">
        <v>27673</v>
      </c>
      <c r="V70" s="160">
        <v>20645</v>
      </c>
      <c r="W70" s="66">
        <v>20204</v>
      </c>
    </row>
    <row r="71" spans="1:23" ht="25.15" customHeight="1">
      <c r="B71" s="215" t="s">
        <v>183</v>
      </c>
      <c r="C71" s="215" t="s">
        <v>989</v>
      </c>
      <c r="D71" s="215"/>
      <c r="E71" s="215"/>
      <c r="F71" s="215"/>
      <c r="G71" s="215">
        <v>11</v>
      </c>
      <c r="H71" s="215">
        <f t="shared" si="6"/>
        <v>939.3</v>
      </c>
      <c r="I71" s="215"/>
      <c r="J71" s="215"/>
      <c r="K71" s="215"/>
      <c r="L71" s="215">
        <v>59.4</v>
      </c>
      <c r="M71" s="215">
        <v>0</v>
      </c>
      <c r="N71" s="215">
        <v>2.577</v>
      </c>
      <c r="P71" s="167" t="s">
        <v>134</v>
      </c>
      <c r="Q71" s="187">
        <v>19433.291371275867</v>
      </c>
      <c r="R71" s="187">
        <v>21277.675315421049</v>
      </c>
      <c r="S71" s="187">
        <v>23462.367825165671</v>
      </c>
      <c r="T71" s="187">
        <v>24207.556903774323</v>
      </c>
      <c r="U71" s="66">
        <v>25382</v>
      </c>
      <c r="V71" s="160">
        <v>20709</v>
      </c>
      <c r="W71" s="66">
        <v>19988</v>
      </c>
    </row>
    <row r="72" spans="1:23">
      <c r="A72" s="215"/>
      <c r="B72" s="215"/>
      <c r="C72" s="215" t="s">
        <v>1167</v>
      </c>
      <c r="D72" s="215"/>
      <c r="E72" s="215"/>
      <c r="F72" s="215"/>
      <c r="G72" s="215"/>
      <c r="H72" s="215">
        <f>IF(B60=G61,0,IF(OR(B60=G62,B60=G65,B60=G69),1,IF(OR(B60=G63,B60=G66,B60=G70),2,3)))</f>
        <v>0</v>
      </c>
      <c r="I72" s="215"/>
      <c r="J72" s="215"/>
      <c r="K72" s="215"/>
      <c r="L72" s="215"/>
      <c r="M72" s="215"/>
      <c r="N72" s="215"/>
      <c r="P72" s="167" t="s">
        <v>135</v>
      </c>
      <c r="Q72" s="187">
        <v>19850.588218436096</v>
      </c>
      <c r="R72" s="187">
        <v>22333.323381896345</v>
      </c>
      <c r="S72" s="187">
        <v>22538.896723623362</v>
      </c>
      <c r="T72" s="187">
        <v>23618.783222893759</v>
      </c>
      <c r="U72" s="66">
        <v>23846</v>
      </c>
      <c r="V72" s="160">
        <v>20339</v>
      </c>
      <c r="W72" s="66">
        <v>20086</v>
      </c>
    </row>
    <row r="73" spans="1:23">
      <c r="P73" s="167" t="s">
        <v>136</v>
      </c>
      <c r="Q73" s="187">
        <v>19280.282637954238</v>
      </c>
      <c r="R73" s="187">
        <v>21862.696841924106</v>
      </c>
      <c r="S73" s="187">
        <v>23451.648316680454</v>
      </c>
      <c r="T73" s="187">
        <v>24913.237968834492</v>
      </c>
      <c r="U73" s="66">
        <v>25139</v>
      </c>
      <c r="V73" s="160">
        <v>21231</v>
      </c>
      <c r="W73" s="66">
        <v>21546</v>
      </c>
    </row>
    <row r="74" spans="1:23">
      <c r="P74" s="167" t="s">
        <v>137</v>
      </c>
      <c r="Q74" s="187">
        <v>24292.775915003633</v>
      </c>
      <c r="R74" s="187">
        <v>27613.532151683616</v>
      </c>
      <c r="S74" s="187">
        <v>28571.419982263371</v>
      </c>
      <c r="T74" s="187">
        <v>27098.100938542291</v>
      </c>
      <c r="U74" s="66">
        <v>29026</v>
      </c>
      <c r="V74" s="160">
        <v>23338</v>
      </c>
      <c r="W74" s="66">
        <v>23087</v>
      </c>
    </row>
    <row r="75" spans="1:23">
      <c r="P75" s="167" t="s">
        <v>138</v>
      </c>
      <c r="Q75" s="187">
        <v>19953.641321783765</v>
      </c>
      <c r="R75" s="187">
        <v>24645.445794999217</v>
      </c>
      <c r="S75" s="187">
        <v>29962.665026262242</v>
      </c>
      <c r="T75" s="187">
        <v>26418.140787653785</v>
      </c>
      <c r="U75" s="66">
        <v>24324</v>
      </c>
      <c r="V75" s="160">
        <v>20320</v>
      </c>
      <c r="W75" s="66">
        <v>20256</v>
      </c>
    </row>
    <row r="76" spans="1:23" ht="18.75">
      <c r="C76" s="68" t="s">
        <v>120</v>
      </c>
      <c r="P76" s="167" t="s">
        <v>139</v>
      </c>
      <c r="Q76" s="187">
        <v>19451.688076297884</v>
      </c>
      <c r="R76" s="187">
        <v>22178.009701602234</v>
      </c>
      <c r="S76" s="187">
        <v>24834.648098364996</v>
      </c>
      <c r="T76" s="187">
        <v>24478.450327186194</v>
      </c>
      <c r="U76" s="66">
        <v>24521</v>
      </c>
      <c r="V76" s="160">
        <v>20488</v>
      </c>
      <c r="W76" s="66">
        <v>21111</v>
      </c>
    </row>
    <row r="77" spans="1:23">
      <c r="E77" s="117" t="s">
        <v>121</v>
      </c>
      <c r="F77" s="118" t="s">
        <v>122</v>
      </c>
      <c r="P77" s="167" t="s">
        <v>820</v>
      </c>
      <c r="Q77" s="187">
        <v>20308.497880304014</v>
      </c>
      <c r="R77" s="187">
        <v>23011.332591318427</v>
      </c>
      <c r="S77" s="187">
        <v>23901.36441399304</v>
      </c>
      <c r="T77" s="187">
        <v>24824.82572109894</v>
      </c>
      <c r="U77" s="66">
        <v>25076</v>
      </c>
      <c r="V77" s="160">
        <v>20764</v>
      </c>
      <c r="W77" s="66">
        <v>19770</v>
      </c>
    </row>
    <row r="78" spans="1:23">
      <c r="C78" s="66" t="s">
        <v>625</v>
      </c>
      <c r="E78" s="116">
        <f>VLOOKUP(DODAVATEL&amp;"HSV",B95:D126,3,FALSE)</f>
        <v>0.62945999999999991</v>
      </c>
      <c r="F78" s="116">
        <f>VLOOKUP(DODAVATEL&amp;"PSV",B95:D126,3,FALSE)</f>
        <v>0.69929399999999964</v>
      </c>
    </row>
    <row r="79" spans="1:23">
      <c r="C79" s="66" t="s">
        <v>123</v>
      </c>
      <c r="E79" s="105">
        <f>ROUND((mzda_HSV*(1+časová_rezerva)*(1+pojistné))*(1+hr_HSV),0)</f>
        <v>327</v>
      </c>
      <c r="F79" s="105">
        <f>ROUND((mzda_PSV*(1+časová_rezerva)*(1+pojistné))*(1+hr_PSV),0)</f>
        <v>363</v>
      </c>
    </row>
    <row r="80" spans="1:23">
      <c r="O80" s="66" t="s">
        <v>721</v>
      </c>
      <c r="P80" s="66" t="s">
        <v>723</v>
      </c>
      <c r="Q80" s="134" t="s">
        <v>722</v>
      </c>
    </row>
    <row r="81" spans="2:27">
      <c r="C81" s="66" t="s">
        <v>124</v>
      </c>
      <c r="E81" s="75">
        <v>0.04</v>
      </c>
      <c r="O81" s="66" t="s">
        <v>719</v>
      </c>
    </row>
    <row r="82" spans="2:27">
      <c r="C82" s="66" t="s">
        <v>125</v>
      </c>
      <c r="E82" s="76">
        <v>0.35</v>
      </c>
    </row>
    <row r="83" spans="2:27">
      <c r="O83" s="66" t="s">
        <v>725</v>
      </c>
      <c r="P83" s="66">
        <f>(281021700-173833246)/(158812-98856)/12</f>
        <v>148.98210632241421</v>
      </c>
    </row>
    <row r="84" spans="2:27">
      <c r="O84" s="66" t="s">
        <v>724</v>
      </c>
      <c r="P84" s="66">
        <f>173833246/98856/12</f>
        <v>146.53742649240647</v>
      </c>
    </row>
    <row r="86" spans="2:27" ht="18.75">
      <c r="C86" s="68" t="s">
        <v>299</v>
      </c>
      <c r="D86" s="69"/>
      <c r="E86" s="69"/>
      <c r="I86" s="114"/>
    </row>
    <row r="87" spans="2:27">
      <c r="D87" s="69"/>
      <c r="E87" s="69"/>
      <c r="I87" s="114"/>
    </row>
    <row r="88" spans="2:27">
      <c r="C88" s="69" t="s">
        <v>694</v>
      </c>
      <c r="D88" s="69"/>
      <c r="E88" s="69"/>
      <c r="I88" s="114"/>
    </row>
    <row r="89" spans="2:27">
      <c r="C89" s="66" t="s">
        <v>690</v>
      </c>
      <c r="D89" s="66">
        <f>(1+E89)*(1+F89)*(1+G89)-1</f>
        <v>0.27296000000000009</v>
      </c>
      <c r="E89" s="73">
        <v>0.2</v>
      </c>
      <c r="F89" s="73">
        <v>0.02</v>
      </c>
      <c r="G89" s="73">
        <v>0.04</v>
      </c>
      <c r="I89" s="184" t="s">
        <v>866</v>
      </c>
    </row>
    <row r="90" spans="2:27">
      <c r="C90" s="66" t="s">
        <v>691</v>
      </c>
      <c r="D90" s="66">
        <f>(1+E90)*(1+F90)*(1+G90)-1</f>
        <v>0.11384000000000016</v>
      </c>
      <c r="E90" s="73">
        <v>0.02</v>
      </c>
      <c r="F90" s="73">
        <v>0.05</v>
      </c>
      <c r="G90" s="73">
        <v>0.04</v>
      </c>
      <c r="I90" s="134" t="s">
        <v>865</v>
      </c>
    </row>
    <row r="91" spans="2:27">
      <c r="C91" s="66" t="s">
        <v>692</v>
      </c>
      <c r="D91" s="66">
        <f>(1+E91)*(1+F91)*(1+G91)-1</f>
        <v>-7.8706000000000054E-2</v>
      </c>
      <c r="E91" s="185">
        <v>-0.01</v>
      </c>
      <c r="F91" s="185">
        <v>-0.01</v>
      </c>
      <c r="G91" s="185">
        <v>-0.06</v>
      </c>
      <c r="I91" s="114"/>
    </row>
    <row r="92" spans="2:27">
      <c r="C92" s="66" t="s">
        <v>693</v>
      </c>
      <c r="D92" s="66">
        <f>(1+E92)*(1+F92)*(1+G92)-1</f>
        <v>-0.15165000000000006</v>
      </c>
      <c r="E92" s="185">
        <v>-0.05</v>
      </c>
      <c r="F92" s="185">
        <v>-0.05</v>
      </c>
      <c r="G92" s="185">
        <v>-0.06</v>
      </c>
      <c r="I92" s="114"/>
    </row>
    <row r="93" spans="2:27">
      <c r="C93" s="66" t="s">
        <v>794</v>
      </c>
      <c r="E93" s="185">
        <v>-0.05</v>
      </c>
      <c r="F93" s="186" t="s">
        <v>795</v>
      </c>
      <c r="G93" s="186" t="s">
        <v>795</v>
      </c>
      <c r="I93" s="114"/>
    </row>
    <row r="94" spans="2:27">
      <c r="I94" s="114"/>
      <c r="O94" s="69" t="s">
        <v>745</v>
      </c>
      <c r="X94" s="69" t="s">
        <v>708</v>
      </c>
    </row>
    <row r="95" spans="2:27">
      <c r="B95" s="66" t="s">
        <v>607</v>
      </c>
      <c r="C95" s="66" t="s">
        <v>300</v>
      </c>
      <c r="D95" s="66">
        <f t="shared" ref="D95:D114" si="7">(1+E95)*(1+F95)*(1+G95)-1</f>
        <v>1.1103879999999995</v>
      </c>
      <c r="E95" s="77">
        <f t="shared" ref="E95:G98" si="8">E103+E$89</f>
        <v>0.61</v>
      </c>
      <c r="F95" s="77">
        <f t="shared" si="8"/>
        <v>0.16</v>
      </c>
      <c r="G95" s="77">
        <f t="shared" si="8"/>
        <v>0.13</v>
      </c>
      <c r="I95" s="114"/>
    </row>
    <row r="96" spans="2:27">
      <c r="B96" s="66" t="s">
        <v>608</v>
      </c>
      <c r="C96" s="66" t="s">
        <v>301</v>
      </c>
      <c r="D96" s="66">
        <f t="shared" si="7"/>
        <v>1.1890359999999998</v>
      </c>
      <c r="E96" s="77">
        <f t="shared" si="8"/>
        <v>0.66999999999999993</v>
      </c>
      <c r="F96" s="77">
        <f t="shared" si="8"/>
        <v>0.16</v>
      </c>
      <c r="G96" s="77">
        <f t="shared" si="8"/>
        <v>0.13</v>
      </c>
      <c r="P96" s="66" t="s">
        <v>730</v>
      </c>
      <c r="S96" s="66" t="s">
        <v>731</v>
      </c>
      <c r="X96" s="66" t="s">
        <v>730</v>
      </c>
      <c r="AA96" s="66" t="s">
        <v>731</v>
      </c>
    </row>
    <row r="97" spans="2:29">
      <c r="B97" s="66" t="s">
        <v>609</v>
      </c>
      <c r="C97" s="66" t="s">
        <v>302</v>
      </c>
      <c r="D97" s="66">
        <f t="shared" si="7"/>
        <v>1.3111889999999993</v>
      </c>
      <c r="E97" s="77">
        <f t="shared" si="8"/>
        <v>0.81</v>
      </c>
      <c r="F97" s="77">
        <f t="shared" si="8"/>
        <v>0.13</v>
      </c>
      <c r="G97" s="77">
        <f t="shared" si="8"/>
        <v>0.13</v>
      </c>
      <c r="P97" s="66" t="s">
        <v>742</v>
      </c>
      <c r="X97" s="66" t="s">
        <v>742</v>
      </c>
    </row>
    <row r="98" spans="2:29">
      <c r="B98" s="66" t="s">
        <v>610</v>
      </c>
      <c r="C98" s="66" t="s">
        <v>303</v>
      </c>
      <c r="D98" s="66">
        <f t="shared" si="7"/>
        <v>1.3725480000000001</v>
      </c>
      <c r="E98" s="77">
        <f t="shared" si="8"/>
        <v>0.81</v>
      </c>
      <c r="F98" s="77">
        <f t="shared" si="8"/>
        <v>0.16</v>
      </c>
      <c r="G98" s="77">
        <f t="shared" si="8"/>
        <v>0.13</v>
      </c>
      <c r="M98" s="66" t="s">
        <v>720</v>
      </c>
      <c r="P98" s="66" t="s">
        <v>711</v>
      </c>
      <c r="Q98" s="66" t="s">
        <v>727</v>
      </c>
      <c r="R98" s="66" t="s">
        <v>728</v>
      </c>
      <c r="S98" s="66" t="s">
        <v>729</v>
      </c>
      <c r="T98" s="66" t="s">
        <v>712</v>
      </c>
      <c r="U98" s="66" t="s">
        <v>726</v>
      </c>
      <c r="X98" s="66" t="s">
        <v>711</v>
      </c>
      <c r="Y98" s="66" t="s">
        <v>727</v>
      </c>
      <c r="Z98" s="66" t="s">
        <v>728</v>
      </c>
      <c r="AA98" s="66" t="s">
        <v>729</v>
      </c>
      <c r="AB98" s="66" t="s">
        <v>712</v>
      </c>
      <c r="AC98" s="66" t="s">
        <v>726</v>
      </c>
    </row>
    <row r="99" spans="2:29">
      <c r="B99" s="66" t="s">
        <v>611</v>
      </c>
      <c r="C99" s="66" t="s">
        <v>304</v>
      </c>
      <c r="D99" s="66">
        <f t="shared" si="7"/>
        <v>0.92292099999999966</v>
      </c>
      <c r="E99" s="74">
        <f>E$90+E103</f>
        <v>0.43</v>
      </c>
      <c r="F99" s="74">
        <f t="shared" ref="F99:G102" si="9">F$90+F103</f>
        <v>0.19</v>
      </c>
      <c r="G99" s="74">
        <f t="shared" si="9"/>
        <v>0.13</v>
      </c>
      <c r="M99" s="66" t="s">
        <v>713</v>
      </c>
      <c r="P99" s="66">
        <f>40000*1.35</f>
        <v>54000</v>
      </c>
      <c r="Q99" s="66">
        <f>30000*1.35</f>
        <v>40500</v>
      </c>
      <c r="R99" s="66">
        <f>25000*1.35</f>
        <v>33750</v>
      </c>
      <c r="S99" s="66">
        <f>75000*1.35</f>
        <v>101250</v>
      </c>
      <c r="T99" s="66">
        <f>25000*1.35</f>
        <v>33750</v>
      </c>
      <c r="U99" s="66">
        <f>(25000+22000)*0.5*1.35</f>
        <v>31725.000000000004</v>
      </c>
      <c r="X99" s="66">
        <f>40000*1.35</f>
        <v>54000</v>
      </c>
      <c r="Y99" s="66">
        <f>30000*1.35</f>
        <v>40500</v>
      </c>
      <c r="Z99" s="66">
        <f>25000*1.35</f>
        <v>33750</v>
      </c>
      <c r="AA99" s="66">
        <f>40000*1.35</f>
        <v>54000</v>
      </c>
      <c r="AB99" s="66">
        <f>25000*1.35</f>
        <v>33750</v>
      </c>
      <c r="AC99" s="66">
        <f>22000*1.35</f>
        <v>29700.000000000004</v>
      </c>
    </row>
    <row r="100" spans="2:29">
      <c r="B100" s="66" t="s">
        <v>612</v>
      </c>
      <c r="C100" s="66" t="s">
        <v>305</v>
      </c>
      <c r="D100" s="66">
        <f t="shared" si="7"/>
        <v>1.0036029999999996</v>
      </c>
      <c r="E100" s="74">
        <f>E$90+E104</f>
        <v>0.49</v>
      </c>
      <c r="F100" s="74">
        <f t="shared" si="9"/>
        <v>0.19</v>
      </c>
      <c r="G100" s="74">
        <f t="shared" si="9"/>
        <v>0.13</v>
      </c>
      <c r="M100" s="66" t="s">
        <v>714</v>
      </c>
      <c r="P100" s="66">
        <v>3000</v>
      </c>
      <c r="Q100" s="66">
        <v>1800</v>
      </c>
      <c r="R100" s="66">
        <v>1500</v>
      </c>
      <c r="S100" s="66">
        <v>5000</v>
      </c>
      <c r="T100" s="66">
        <v>1500</v>
      </c>
      <c r="U100" s="66">
        <v>1500</v>
      </c>
      <c r="X100" s="66">
        <v>3000</v>
      </c>
      <c r="Y100" s="66">
        <v>1800</v>
      </c>
      <c r="Z100" s="66">
        <v>1500</v>
      </c>
      <c r="AA100" s="66">
        <v>5000</v>
      </c>
      <c r="AB100" s="66">
        <v>1500</v>
      </c>
      <c r="AC100" s="66">
        <v>1500</v>
      </c>
    </row>
    <row r="101" spans="2:29">
      <c r="B101" s="66" t="s">
        <v>613</v>
      </c>
      <c r="C101" s="66" t="s">
        <v>306</v>
      </c>
      <c r="D101" s="66">
        <f t="shared" si="7"/>
        <v>1.1366039999999997</v>
      </c>
      <c r="E101" s="74">
        <f>E$90+E105</f>
        <v>0.63</v>
      </c>
      <c r="F101" s="74">
        <f t="shared" si="9"/>
        <v>0.16</v>
      </c>
      <c r="G101" s="74">
        <f t="shared" si="9"/>
        <v>0.13</v>
      </c>
      <c r="M101" s="66" t="s">
        <v>715</v>
      </c>
      <c r="P101" s="66">
        <v>5000</v>
      </c>
      <c r="Q101" s="66">
        <v>4000</v>
      </c>
      <c r="R101" s="66">
        <v>4000</v>
      </c>
      <c r="S101" s="66">
        <v>5000</v>
      </c>
      <c r="X101" s="66">
        <v>5000</v>
      </c>
      <c r="Y101" s="66">
        <v>4000</v>
      </c>
      <c r="Z101" s="66">
        <v>4000</v>
      </c>
      <c r="AA101" s="66">
        <v>5000</v>
      </c>
    </row>
    <row r="102" spans="2:29">
      <c r="B102" s="66" t="s">
        <v>614</v>
      </c>
      <c r="C102" s="66" t="s">
        <v>307</v>
      </c>
      <c r="D102" s="66">
        <f t="shared" si="7"/>
        <v>1.1918609999999994</v>
      </c>
      <c r="E102" s="74">
        <f>E$90+E106</f>
        <v>0.63</v>
      </c>
      <c r="F102" s="74">
        <f t="shared" si="9"/>
        <v>0.19</v>
      </c>
      <c r="G102" s="74">
        <f t="shared" si="9"/>
        <v>0.13</v>
      </c>
      <c r="M102" s="66" t="s">
        <v>716</v>
      </c>
      <c r="P102" s="66">
        <v>5400</v>
      </c>
      <c r="Q102" s="66">
        <v>5400</v>
      </c>
      <c r="R102" s="66">
        <v>5400</v>
      </c>
      <c r="S102" s="66">
        <v>10000</v>
      </c>
      <c r="X102" s="66">
        <v>5400</v>
      </c>
      <c r="Y102" s="66">
        <v>5400</v>
      </c>
      <c r="Z102" s="66">
        <v>5400</v>
      </c>
      <c r="AA102" s="66">
        <v>10000</v>
      </c>
    </row>
    <row r="103" spans="2:29">
      <c r="B103" s="66" t="s">
        <v>615</v>
      </c>
      <c r="C103" s="66" t="s">
        <v>308</v>
      </c>
      <c r="D103" s="91">
        <f t="shared" si="7"/>
        <v>0.75206600000000035</v>
      </c>
      <c r="E103" s="73">
        <v>0.41</v>
      </c>
      <c r="F103" s="73">
        <v>0.14000000000000001</v>
      </c>
      <c r="G103" s="73">
        <v>0.09</v>
      </c>
      <c r="H103" s="66" t="s">
        <v>867</v>
      </c>
      <c r="M103" s="66" t="s">
        <v>717</v>
      </c>
      <c r="P103" s="66">
        <v>20000</v>
      </c>
      <c r="Q103" s="66">
        <v>20000</v>
      </c>
      <c r="R103" s="66">
        <v>15000</v>
      </c>
      <c r="S103" s="66">
        <v>30000</v>
      </c>
      <c r="X103" s="66">
        <v>20000</v>
      </c>
      <c r="Y103" s="66">
        <v>20000</v>
      </c>
      <c r="Z103" s="66">
        <v>15000</v>
      </c>
      <c r="AA103" s="66">
        <v>30000</v>
      </c>
    </row>
    <row r="104" spans="2:29">
      <c r="B104" s="66" t="s">
        <v>616</v>
      </c>
      <c r="C104" s="66" t="s">
        <v>309</v>
      </c>
      <c r="D104" s="91">
        <f t="shared" si="7"/>
        <v>0.82662200000000041</v>
      </c>
      <c r="E104" s="73">
        <v>0.47</v>
      </c>
      <c r="F104" s="73">
        <v>0.14000000000000001</v>
      </c>
      <c r="G104" s="73">
        <v>0.09</v>
      </c>
      <c r="H104" s="66" t="s">
        <v>867</v>
      </c>
      <c r="M104" s="66" t="s">
        <v>718</v>
      </c>
    </row>
    <row r="105" spans="2:29">
      <c r="B105" s="66" t="s">
        <v>617</v>
      </c>
      <c r="C105" s="66" t="s">
        <v>310</v>
      </c>
      <c r="D105" s="66">
        <f t="shared" si="7"/>
        <v>0.94793900000000009</v>
      </c>
      <c r="E105" s="73">
        <f>ROUND(E104*1.3,2)</f>
        <v>0.61</v>
      </c>
      <c r="F105" s="73">
        <f>ROUND(F104/1.3,2)</f>
        <v>0.11</v>
      </c>
      <c r="G105" s="73">
        <f>G104</f>
        <v>0.09</v>
      </c>
      <c r="M105" s="66" t="s">
        <v>664</v>
      </c>
      <c r="P105" s="69">
        <f t="shared" ref="P105:U105" si="10">SUM(P99:P104)</f>
        <v>87400</v>
      </c>
      <c r="Q105" s="69">
        <f t="shared" si="10"/>
        <v>71700</v>
      </c>
      <c r="R105" s="69">
        <f t="shared" si="10"/>
        <v>59650</v>
      </c>
      <c r="S105" s="69">
        <f t="shared" si="10"/>
        <v>151250</v>
      </c>
      <c r="T105" s="69">
        <f t="shared" si="10"/>
        <v>35250</v>
      </c>
      <c r="U105" s="69">
        <f t="shared" si="10"/>
        <v>33225</v>
      </c>
      <c r="X105" s="69">
        <f t="shared" ref="X105:AC105" si="11">SUM(X99:X104)</f>
        <v>87400</v>
      </c>
      <c r="Y105" s="69">
        <f t="shared" si="11"/>
        <v>71700</v>
      </c>
      <c r="Z105" s="69">
        <f t="shared" si="11"/>
        <v>59650</v>
      </c>
      <c r="AA105" s="69">
        <f t="shared" si="11"/>
        <v>104000</v>
      </c>
      <c r="AB105" s="69">
        <f t="shared" si="11"/>
        <v>35250</v>
      </c>
      <c r="AC105" s="69">
        <f t="shared" si="11"/>
        <v>31200.000000000004</v>
      </c>
    </row>
    <row r="106" spans="2:29">
      <c r="B106" s="66" t="s">
        <v>618</v>
      </c>
      <c r="C106" s="66" t="s">
        <v>311</v>
      </c>
      <c r="D106" s="66">
        <f t="shared" si="7"/>
        <v>1.0005860000000002</v>
      </c>
      <c r="E106" s="73">
        <f>E105</f>
        <v>0.61</v>
      </c>
      <c r="F106" s="73">
        <f>F103</f>
        <v>0.14000000000000001</v>
      </c>
      <c r="G106" s="73">
        <f>G104</f>
        <v>0.09</v>
      </c>
      <c r="M106" s="66" t="s">
        <v>647</v>
      </c>
      <c r="P106" s="66">
        <v>1</v>
      </c>
      <c r="R106" s="66">
        <v>4</v>
      </c>
      <c r="S106" s="66">
        <v>1</v>
      </c>
      <c r="T106" s="66">
        <v>1</v>
      </c>
      <c r="U106" s="66">
        <v>1</v>
      </c>
      <c r="Z106" s="66">
        <v>1</v>
      </c>
      <c r="AA106" s="66">
        <v>1</v>
      </c>
      <c r="AC106" s="66">
        <v>1</v>
      </c>
    </row>
    <row r="107" spans="2:29">
      <c r="B107" s="66" t="s">
        <v>619</v>
      </c>
      <c r="C107" s="66" t="s">
        <v>594</v>
      </c>
      <c r="D107" s="66">
        <f t="shared" si="7"/>
        <v>0.62945999999999991</v>
      </c>
      <c r="E107" s="77">
        <f>E103+E$91</f>
        <v>0.39999999999999997</v>
      </c>
      <c r="F107" s="77">
        <f>F103+F$91</f>
        <v>0.13</v>
      </c>
      <c r="G107" s="77">
        <f>G103+G$91</f>
        <v>0.03</v>
      </c>
      <c r="M107" s="66" t="s">
        <v>732</v>
      </c>
      <c r="R107" s="66">
        <f>(Q106+R106)*10</f>
        <v>40</v>
      </c>
      <c r="Z107" s="66">
        <f>(Y106+Z106)*8</f>
        <v>8</v>
      </c>
    </row>
    <row r="108" spans="2:29">
      <c r="B108" s="66" t="s">
        <v>620</v>
      </c>
      <c r="C108" s="66" t="s">
        <v>595</v>
      </c>
      <c r="D108" s="66">
        <f t="shared" si="7"/>
        <v>0.69929399999999964</v>
      </c>
      <c r="E108" s="77">
        <f t="shared" ref="E108:F110" si="12">E104+E$91</f>
        <v>0.45999999999999996</v>
      </c>
      <c r="F108" s="77">
        <f t="shared" si="12"/>
        <v>0.13</v>
      </c>
      <c r="G108" s="77">
        <f>G104+G$91</f>
        <v>0.03</v>
      </c>
      <c r="M108" s="66" t="s">
        <v>664</v>
      </c>
      <c r="P108" s="66">
        <f>P105*P106+Q105*Q106+R105*R106</f>
        <v>326000</v>
      </c>
      <c r="S108" s="66">
        <f>S105*S106+T105*T106+U105*U106</f>
        <v>219725</v>
      </c>
      <c r="X108" s="66">
        <f>X105*X106+Y105*Y106+Z105*Z106</f>
        <v>59650</v>
      </c>
      <c r="AA108" s="66">
        <f>AA105*AA106+AB105*AB106+AC105*AC106</f>
        <v>135200</v>
      </c>
    </row>
    <row r="109" spans="2:29">
      <c r="B109" s="66" t="s">
        <v>684</v>
      </c>
      <c r="C109" s="66" t="s">
        <v>687</v>
      </c>
      <c r="D109" s="66">
        <f t="shared" si="7"/>
        <v>0.81280000000000019</v>
      </c>
      <c r="E109" s="77">
        <f t="shared" si="12"/>
        <v>0.6</v>
      </c>
      <c r="F109" s="77">
        <f t="shared" si="12"/>
        <v>0.1</v>
      </c>
      <c r="G109" s="77">
        <f>G105+G$91</f>
        <v>0.03</v>
      </c>
    </row>
    <row r="110" spans="2:29">
      <c r="B110" s="66" t="s">
        <v>685</v>
      </c>
      <c r="C110" s="66" t="s">
        <v>686</v>
      </c>
      <c r="D110" s="66">
        <f t="shared" si="7"/>
        <v>0.8622399999999999</v>
      </c>
      <c r="E110" s="77">
        <f t="shared" si="12"/>
        <v>0.6</v>
      </c>
      <c r="F110" s="77">
        <f t="shared" si="12"/>
        <v>0.13</v>
      </c>
      <c r="G110" s="77">
        <f>G106+G$91</f>
        <v>0.03</v>
      </c>
      <c r="M110" s="66" t="s">
        <v>733</v>
      </c>
      <c r="P110" s="66">
        <f>250*20*SUM(P106:R106)</f>
        <v>25000</v>
      </c>
      <c r="S110" s="66">
        <f>250*20*(SUM(S106:U106)+2)</f>
        <v>25000</v>
      </c>
      <c r="X110" s="66">
        <f>250*20*SUM(X106:Z106)</f>
        <v>5000</v>
      </c>
      <c r="AA110" s="66">
        <f>250*20*(SUM(AA106:AC106))</f>
        <v>10000</v>
      </c>
    </row>
    <row r="111" spans="2:29">
      <c r="B111" s="66" t="s">
        <v>621</v>
      </c>
      <c r="C111" s="66" t="s">
        <v>312</v>
      </c>
      <c r="D111" s="66">
        <f t="shared" si="7"/>
        <v>0.79289199999999993</v>
      </c>
      <c r="E111" s="77">
        <f t="shared" ref="E111:G114" si="13">E103+E$90+E$91</f>
        <v>0.42</v>
      </c>
      <c r="F111" s="77">
        <f t="shared" si="13"/>
        <v>0.18</v>
      </c>
      <c r="G111" s="77">
        <f t="shared" si="13"/>
        <v>7.0000000000000007E-2</v>
      </c>
      <c r="M111" s="66" t="s">
        <v>734</v>
      </c>
      <c r="P111" s="66">
        <f>65*500</f>
        <v>32500</v>
      </c>
      <c r="W111" s="66" t="s">
        <v>746</v>
      </c>
      <c r="X111" s="66">
        <f>65*50</f>
        <v>3250</v>
      </c>
    </row>
    <row r="112" spans="2:29">
      <c r="B112" s="66" t="s">
        <v>622</v>
      </c>
      <c r="C112" s="66" t="s">
        <v>313</v>
      </c>
      <c r="D112" s="66">
        <f t="shared" si="7"/>
        <v>0.86864800000000009</v>
      </c>
      <c r="E112" s="77">
        <f t="shared" si="13"/>
        <v>0.48</v>
      </c>
      <c r="F112" s="77">
        <f t="shared" si="13"/>
        <v>0.18</v>
      </c>
      <c r="G112" s="77">
        <f t="shared" si="13"/>
        <v>7.0000000000000007E-2</v>
      </c>
      <c r="M112" s="66" t="s">
        <v>735</v>
      </c>
      <c r="P112" s="66">
        <f>SUM(P106:U106)*15000</f>
        <v>120000</v>
      </c>
      <c r="X112" s="66">
        <f>SUM(X106:AC106)*15000</f>
        <v>45000</v>
      </c>
    </row>
    <row r="113" spans="2:27">
      <c r="B113" s="66" t="s">
        <v>623</v>
      </c>
      <c r="C113" s="66" t="s">
        <v>688</v>
      </c>
      <c r="D113" s="66">
        <f t="shared" si="7"/>
        <v>0.99341000000000013</v>
      </c>
      <c r="E113" s="77">
        <f t="shared" si="13"/>
        <v>0.62</v>
      </c>
      <c r="F113" s="77">
        <f t="shared" si="13"/>
        <v>0.15</v>
      </c>
      <c r="G113" s="77">
        <f t="shared" si="13"/>
        <v>7.0000000000000007E-2</v>
      </c>
      <c r="M113" s="66" t="s">
        <v>736</v>
      </c>
      <c r="P113" s="66">
        <f>40*20*SUM(P106:R106)</f>
        <v>4000</v>
      </c>
      <c r="S113" s="66">
        <f>40*20*(SUM(S106:U106)+2)</f>
        <v>4000</v>
      </c>
      <c r="X113" s="66">
        <f>40*20*SUM(X106:Z106)</f>
        <v>800</v>
      </c>
      <c r="AA113" s="66">
        <f>40*20*(SUM(AA106:AC106))</f>
        <v>1600</v>
      </c>
    </row>
    <row r="114" spans="2:27">
      <c r="B114" s="66" t="s">
        <v>624</v>
      </c>
      <c r="C114" s="66" t="s">
        <v>689</v>
      </c>
      <c r="D114" s="66">
        <f t="shared" si="7"/>
        <v>1.0454120000000002</v>
      </c>
      <c r="E114" s="77">
        <f t="shared" si="13"/>
        <v>0.62</v>
      </c>
      <c r="F114" s="77">
        <f t="shared" si="13"/>
        <v>0.18</v>
      </c>
      <c r="G114" s="77">
        <f t="shared" si="13"/>
        <v>7.0000000000000007E-2</v>
      </c>
      <c r="M114" s="66" t="s">
        <v>737</v>
      </c>
      <c r="S114" s="66">
        <v>10000</v>
      </c>
    </row>
    <row r="115" spans="2:27">
      <c r="B115" s="66" t="s">
        <v>626</v>
      </c>
      <c r="C115" s="66" t="s">
        <v>628</v>
      </c>
      <c r="D115" s="66">
        <f>(1+E115)*(1+F115)*(1+G115)-1</f>
        <v>0.52687200000000001</v>
      </c>
      <c r="E115" s="77">
        <f t="shared" ref="E115:G118" si="14">E103+E$92</f>
        <v>0.36</v>
      </c>
      <c r="F115" s="77">
        <f t="shared" si="14"/>
        <v>9.0000000000000011E-2</v>
      </c>
      <c r="G115" s="77">
        <f t="shared" si="14"/>
        <v>0.03</v>
      </c>
    </row>
    <row r="116" spans="2:27">
      <c r="B116" s="66" t="s">
        <v>627</v>
      </c>
      <c r="C116" s="66" t="s">
        <v>695</v>
      </c>
      <c r="D116" s="66">
        <f>(1+E116)*(1+F116)*(1+G116)-1</f>
        <v>0.59423400000000015</v>
      </c>
      <c r="E116" s="77">
        <f t="shared" si="14"/>
        <v>0.42</v>
      </c>
      <c r="F116" s="77">
        <f t="shared" si="14"/>
        <v>9.0000000000000011E-2</v>
      </c>
      <c r="G116" s="77">
        <f t="shared" si="14"/>
        <v>0.03</v>
      </c>
      <c r="M116" s="66" t="s">
        <v>730</v>
      </c>
      <c r="P116" s="66">
        <f>SUM(P108:P115)</f>
        <v>507500</v>
      </c>
      <c r="X116" s="66">
        <f>SUM(X108:X115)</f>
        <v>113700</v>
      </c>
    </row>
    <row r="117" spans="2:27">
      <c r="B117" s="66" t="s">
        <v>696</v>
      </c>
      <c r="C117" s="66" t="s">
        <v>698</v>
      </c>
      <c r="D117" s="66">
        <f>(1+E117)*(1+F117)*(1+G117)-1</f>
        <v>0.70320800000000028</v>
      </c>
      <c r="E117" s="77">
        <f t="shared" si="14"/>
        <v>0.55999999999999994</v>
      </c>
      <c r="F117" s="77">
        <f t="shared" si="14"/>
        <v>0.06</v>
      </c>
      <c r="G117" s="77">
        <f t="shared" si="14"/>
        <v>0.03</v>
      </c>
      <c r="M117" s="66" t="s">
        <v>731</v>
      </c>
      <c r="P117" s="66">
        <f>SUM(S108:S115)</f>
        <v>258725</v>
      </c>
      <c r="X117" s="66">
        <f>SUM(AA108:AA115)</f>
        <v>146800</v>
      </c>
    </row>
    <row r="118" spans="2:27">
      <c r="B118" s="66" t="s">
        <v>697</v>
      </c>
      <c r="C118" s="66" t="s">
        <v>699</v>
      </c>
      <c r="D118" s="66">
        <f>(1+E118)*(1+F118)*(1+G118)-1</f>
        <v>0.75141200000000019</v>
      </c>
      <c r="E118" s="77">
        <f t="shared" si="14"/>
        <v>0.55999999999999994</v>
      </c>
      <c r="F118" s="77">
        <f t="shared" si="14"/>
        <v>9.0000000000000011E-2</v>
      </c>
      <c r="G118" s="77">
        <f t="shared" si="14"/>
        <v>0.03</v>
      </c>
    </row>
    <row r="119" spans="2:27">
      <c r="B119" s="66" t="s">
        <v>700</v>
      </c>
      <c r="C119" s="66" t="s">
        <v>704</v>
      </c>
      <c r="D119" s="66">
        <f>(1+E119)*(1+F119)*(1+G119)-1</f>
        <v>1.4942903330451691</v>
      </c>
      <c r="E119" s="77">
        <f>Q122</f>
        <v>0.76113649789013527</v>
      </c>
      <c r="F119" s="77">
        <f>Q123</f>
        <v>0.29935400114004346</v>
      </c>
      <c r="G119" s="77">
        <f>G103</f>
        <v>0.09</v>
      </c>
      <c r="M119" s="66" t="s">
        <v>739</v>
      </c>
      <c r="P119" s="66">
        <f>P116/($R$107*$P$84)</f>
        <v>86.581976384425332</v>
      </c>
      <c r="X119" s="66">
        <f>X116/($Z$107*$P$84)</f>
        <v>96.988874038513899</v>
      </c>
    </row>
    <row r="120" spans="2:27">
      <c r="B120" s="66" t="s">
        <v>701</v>
      </c>
      <c r="C120" s="66" t="s">
        <v>705</v>
      </c>
      <c r="D120" s="66">
        <f>$D$119</f>
        <v>1.4942903330451691</v>
      </c>
      <c r="E120" s="77"/>
      <c r="F120" s="77"/>
      <c r="G120" s="77"/>
      <c r="M120" s="66" t="s">
        <v>743</v>
      </c>
      <c r="P120" s="66">
        <f>(Q102+Q101)/4/$P$84</f>
        <v>16.0368586800709</v>
      </c>
      <c r="X120" s="66">
        <f>(Y102+Y101)/4/$P$84</f>
        <v>16.0368586800709</v>
      </c>
    </row>
    <row r="121" spans="2:27">
      <c r="B121" s="66" t="s">
        <v>702</v>
      </c>
      <c r="C121" s="66" t="s">
        <v>706</v>
      </c>
      <c r="D121" s="66">
        <f>$D$119</f>
        <v>1.4942903330451691</v>
      </c>
      <c r="E121" s="77"/>
      <c r="F121" s="77"/>
      <c r="G121" s="77"/>
      <c r="M121" s="66" t="s">
        <v>740</v>
      </c>
      <c r="P121" s="66">
        <f>2500/12/$P$84+1200/$P$84</f>
        <v>9.6107415494041923</v>
      </c>
      <c r="X121" s="66">
        <f>2500/12/$P$84+1200/$P$84</f>
        <v>9.6107415494041923</v>
      </c>
    </row>
    <row r="122" spans="2:27">
      <c r="B122" s="66" t="s">
        <v>703</v>
      </c>
      <c r="C122" s="66" t="s">
        <v>707</v>
      </c>
      <c r="D122" s="66">
        <f>$D$119</f>
        <v>1.4942903330451691</v>
      </c>
      <c r="E122" s="77"/>
      <c r="F122" s="77"/>
      <c r="G122" s="77"/>
      <c r="M122" s="66" t="s">
        <v>741</v>
      </c>
      <c r="P122" s="66">
        <f>SUM(P119:P121)</f>
        <v>112.22957661390043</v>
      </c>
      <c r="Q122" s="66">
        <f>P122/((mzda_HSV+mzda_PSV)/2)</f>
        <v>0.76113649789013527</v>
      </c>
      <c r="X122" s="66">
        <f>SUM(X119:X121)</f>
        <v>122.636474267989</v>
      </c>
      <c r="Y122" s="66">
        <f>X122/((mzda_HSV+mzda_PSV)/2)</f>
        <v>0.83171566136309938</v>
      </c>
    </row>
    <row r="123" spans="2:27">
      <c r="B123" s="66" t="s">
        <v>796</v>
      </c>
      <c r="C123" s="66" t="s">
        <v>797</v>
      </c>
      <c r="D123" s="66">
        <f>(1+E123)*(1+F123)*(1+G123)-1</f>
        <v>0.35999999999999988</v>
      </c>
      <c r="E123" s="77">
        <f>E103+E$93</f>
        <v>0.36</v>
      </c>
      <c r="F123" s="73">
        <v>0</v>
      </c>
      <c r="G123" s="73">
        <v>0</v>
      </c>
      <c r="M123" s="66" t="s">
        <v>738</v>
      </c>
      <c r="P123" s="66">
        <f>P117/($R$107*$P$84)</f>
        <v>44.139747468099401</v>
      </c>
      <c r="Q123" s="66">
        <f>P123/((mzda_HSV+mzda_PSV)/2)</f>
        <v>0.29935400114004346</v>
      </c>
    </row>
    <row r="124" spans="2:27">
      <c r="B124" s="66" t="s">
        <v>798</v>
      </c>
      <c r="C124" s="66" t="s">
        <v>799</v>
      </c>
      <c r="D124" s="66">
        <f>(1+E124)*(1+F124)*(1+G124)-1</f>
        <v>0.41999999999999993</v>
      </c>
      <c r="E124" s="77">
        <f>E104+E$93</f>
        <v>0.42</v>
      </c>
      <c r="F124" s="73">
        <v>0</v>
      </c>
      <c r="G124" s="73">
        <v>0</v>
      </c>
    </row>
    <row r="125" spans="2:27">
      <c r="B125" s="66" t="s">
        <v>800</v>
      </c>
      <c r="C125" s="66" t="s">
        <v>801</v>
      </c>
      <c r="D125" s="66">
        <f>(1+E125)*(1+F125)*(1+G125)-1</f>
        <v>0.56000000000000005</v>
      </c>
      <c r="E125" s="77">
        <f>E105+E$93</f>
        <v>0.55999999999999994</v>
      </c>
      <c r="F125" s="73">
        <v>0</v>
      </c>
      <c r="G125" s="73">
        <v>0</v>
      </c>
    </row>
    <row r="126" spans="2:27">
      <c r="B126" s="66" t="s">
        <v>802</v>
      </c>
      <c r="C126" s="66" t="s">
        <v>803</v>
      </c>
      <c r="D126" s="66">
        <f>(1+E126)*(1+F126)*(1+G126)-1</f>
        <v>0.56000000000000005</v>
      </c>
      <c r="E126" s="77">
        <f>E106+E$93</f>
        <v>0.55999999999999994</v>
      </c>
      <c r="F126" s="73">
        <v>0</v>
      </c>
      <c r="G126" s="73">
        <v>0</v>
      </c>
    </row>
    <row r="127" spans="2:27">
      <c r="E127" s="77"/>
      <c r="F127" s="77"/>
      <c r="G127" s="77"/>
    </row>
    <row r="128" spans="2:27">
      <c r="X128" s="66">
        <f>X117/($Z$107*$P$84)</f>
        <v>125.22398160821319</v>
      </c>
      <c r="Y128" s="66">
        <f>X128/((mzda_HSV+mzda_PSV)/2)</f>
        <v>0.84926403260910954</v>
      </c>
    </row>
    <row r="129" spans="1:14" ht="18.75">
      <c r="B129" s="68"/>
      <c r="C129" s="68" t="s">
        <v>314</v>
      </c>
    </row>
    <row r="131" spans="1:14">
      <c r="C131" s="66" t="s">
        <v>315</v>
      </c>
    </row>
    <row r="132" spans="1:14" ht="102">
      <c r="C132" s="78" t="s">
        <v>586</v>
      </c>
    </row>
    <row r="133" spans="1:14">
      <c r="C133" s="79"/>
    </row>
    <row r="135" spans="1:14">
      <c r="D135" s="66" t="s">
        <v>316</v>
      </c>
      <c r="F135" s="66" t="s">
        <v>317</v>
      </c>
      <c r="G135" s="66" t="s">
        <v>318</v>
      </c>
      <c r="H135" s="91" t="s">
        <v>323</v>
      </c>
    </row>
    <row r="136" spans="1:14">
      <c r="D136" s="80" t="s">
        <v>319</v>
      </c>
      <c r="E136" s="81" t="s">
        <v>320</v>
      </c>
      <c r="F136" s="82" t="s">
        <v>321</v>
      </c>
      <c r="G136" s="82" t="s">
        <v>322</v>
      </c>
      <c r="H136" s="81" t="s">
        <v>320</v>
      </c>
      <c r="I136" s="80" t="s">
        <v>630</v>
      </c>
      <c r="M136" s="66" t="s">
        <v>1164</v>
      </c>
      <c r="N136" s="66" t="s">
        <v>1166</v>
      </c>
    </row>
    <row r="137" spans="1:14">
      <c r="A137" s="66" t="s">
        <v>121</v>
      </c>
      <c r="B137" s="66">
        <v>1</v>
      </c>
      <c r="C137" s="91" t="s">
        <v>17</v>
      </c>
      <c r="D137" s="103">
        <f>IF(OR(SLEVY&lt;3,DODAVATEL&gt;3),E1140,E384)*IF(SLEVY&gt;1,F48,1)</f>
        <v>117.5</v>
      </c>
      <c r="E137" s="125">
        <f>IF(DODAVATEL&gt;1,ROUND(D137*VLOOKUP($B$37,$F$24:$H$37,3,FALSE),1),D137)</f>
        <v>117.5</v>
      </c>
      <c r="F137" s="54">
        <f t="shared" ref="F137:F168" si="15">VLOOKUP(DODAVATEL&amp;A137,$B$95:$D$126,3,FALSE)</f>
        <v>0.62945999999999991</v>
      </c>
      <c r="G137" s="146">
        <v>0</v>
      </c>
      <c r="H137" s="122">
        <v>0.25</v>
      </c>
      <c r="I137" s="144"/>
      <c r="J137" s="145"/>
      <c r="K137" s="144"/>
      <c r="L137" s="66" t="str">
        <f>"HZS_"&amp;B137</f>
        <v>HZS_1</v>
      </c>
      <c r="M137" s="66">
        <f t="shared" ref="M137:M170" si="16">ROUND((E137*(1+časová_rezerva)*(1+pojistné))*(1+hr_HSV),0)</f>
        <v>269</v>
      </c>
      <c r="N137" s="213"/>
    </row>
    <row r="138" spans="1:14">
      <c r="A138" s="66" t="s">
        <v>121</v>
      </c>
      <c r="B138" s="66">
        <v>18</v>
      </c>
      <c r="C138" s="91" t="s">
        <v>142</v>
      </c>
      <c r="D138" s="54">
        <f>E402</f>
        <v>124.6</v>
      </c>
      <c r="E138" s="54">
        <f>IF(DODAVATEL&gt;3,ROUND(D138*VLOOKUP($B$37,$F$24:$H$37,3,FALSE),1),D138)</f>
        <v>124.6</v>
      </c>
      <c r="F138" s="54">
        <f t="shared" si="15"/>
        <v>0.62945999999999991</v>
      </c>
      <c r="G138" s="54">
        <f>H138</f>
        <v>0.05</v>
      </c>
      <c r="H138" s="66">
        <f>IF(SLEVY=1,$G$9,IF(SLEVY=2,$G$10+I138,IF(SLEVY=3,$G$11+J138,$G$12+K138)))</f>
        <v>0.05</v>
      </c>
      <c r="I138" s="84">
        <v>0</v>
      </c>
      <c r="J138" s="85">
        <f t="shared" ref="J138:J168" si="17">(I138+K138)/2</f>
        <v>0.05</v>
      </c>
      <c r="K138" s="84">
        <v>0.1</v>
      </c>
      <c r="L138" s="66" t="str">
        <f t="shared" ref="L138:L203" si="18">"HZS_"&amp;B138</f>
        <v>HZS_18</v>
      </c>
      <c r="M138" s="66">
        <f t="shared" si="16"/>
        <v>285</v>
      </c>
      <c r="N138" s="213"/>
    </row>
    <row r="139" spans="1:14">
      <c r="A139" s="66" t="s">
        <v>121</v>
      </c>
      <c r="B139" s="66">
        <v>21</v>
      </c>
      <c r="C139" s="91" t="s">
        <v>143</v>
      </c>
      <c r="D139" s="83">
        <f>IF(OR(SLEVY&lt;3,DODAVATEL&gt;3),$E$1175,E410)</f>
        <v>120</v>
      </c>
      <c r="E139" s="54">
        <f>IF(DODAVATEL&gt;3,ROUND(D139*VLOOKUP($B$37,$F$24:$H$37,3,FALSE),1),D139)</f>
        <v>120</v>
      </c>
      <c r="F139" s="54">
        <f t="shared" si="15"/>
        <v>0.62945999999999991</v>
      </c>
      <c r="G139" s="54">
        <f>H139</f>
        <v>0.1</v>
      </c>
      <c r="H139" s="83">
        <f>IF(SLEVY=1,$G$9+I139,IF(SLEVY=2,$G$10+I139,IF(SLEVY=3,$G$11+J139,$G$12+K139)))</f>
        <v>0.1</v>
      </c>
      <c r="I139" s="120">
        <v>0.05</v>
      </c>
      <c r="J139" s="121">
        <f>(I139+K139)/2</f>
        <v>0.1</v>
      </c>
      <c r="K139" s="120">
        <v>0.15</v>
      </c>
      <c r="L139" s="66" t="str">
        <f t="shared" si="18"/>
        <v>HZS_21</v>
      </c>
      <c r="M139" s="66">
        <f t="shared" si="16"/>
        <v>275</v>
      </c>
      <c r="N139" s="213"/>
    </row>
    <row r="140" spans="1:14">
      <c r="A140" s="66" t="s">
        <v>121</v>
      </c>
      <c r="B140" s="66">
        <v>22</v>
      </c>
      <c r="C140" s="91" t="s">
        <v>15</v>
      </c>
      <c r="D140" s="54">
        <f>E425</f>
        <v>154.30000000000001</v>
      </c>
      <c r="E140" s="125">
        <f>IF(DODAVATEL&gt;1,ROUND(D140*VLOOKUP($B$37,$F$24:$H$37,3,FALSE),1),D140)</f>
        <v>154.30000000000001</v>
      </c>
      <c r="F140" s="54">
        <f t="shared" si="15"/>
        <v>0.62945999999999991</v>
      </c>
      <c r="G140" s="54">
        <f>H140</f>
        <v>0.05</v>
      </c>
      <c r="H140" s="66">
        <f>IF(SLEVY=1,$G$9,IF(SLEVY=2,$G$10+I140,IF(SLEVY=3,$G$11+J140,$G$12+K140)))</f>
        <v>0.05</v>
      </c>
      <c r="I140" s="84">
        <v>0.06</v>
      </c>
      <c r="J140" s="85">
        <f t="shared" si="17"/>
        <v>0.155</v>
      </c>
      <c r="K140" s="84">
        <v>0.25</v>
      </c>
      <c r="L140" s="66" t="str">
        <f t="shared" si="18"/>
        <v>HZS_22</v>
      </c>
      <c r="M140" s="66">
        <f t="shared" si="16"/>
        <v>353</v>
      </c>
      <c r="N140" s="213"/>
    </row>
    <row r="141" spans="1:14">
      <c r="A141" s="66" t="s">
        <v>121</v>
      </c>
      <c r="B141" s="66">
        <v>23</v>
      </c>
      <c r="C141" s="126" t="s">
        <v>593</v>
      </c>
      <c r="D141" s="54">
        <f>E447</f>
        <v>148.6</v>
      </c>
      <c r="E141" s="125">
        <f>IF(DODAVATEL&gt;1,ROUND(D141*VLOOKUP($B$37,$F$24:$H$37,3,FALSE),1),D141)</f>
        <v>148.6</v>
      </c>
      <c r="F141" s="54">
        <f t="shared" si="15"/>
        <v>0.62945999999999991</v>
      </c>
      <c r="G141" s="54">
        <f>H141</f>
        <v>0.05</v>
      </c>
      <c r="H141" s="66">
        <f>IF(SLEVY=1,$G$9,IF(SLEVY=2,$G$10+I141,IF(SLEVY=3,$G$11+J141,$G$12+K141)))</f>
        <v>0.05</v>
      </c>
      <c r="I141" s="84">
        <v>0.06</v>
      </c>
      <c r="J141" s="85">
        <f t="shared" si="17"/>
        <v>0.155</v>
      </c>
      <c r="K141" s="84">
        <v>0.25</v>
      </c>
      <c r="L141" s="66" t="str">
        <f t="shared" si="18"/>
        <v>HZS_23</v>
      </c>
      <c r="M141" s="66">
        <f>ROUND((E141*(1+časová_rezerva)*(1+pojistné))*(1+hr_HSV),0)</f>
        <v>340</v>
      </c>
      <c r="N141" s="213"/>
    </row>
    <row r="142" spans="1:14">
      <c r="A142" s="66" t="s">
        <v>121</v>
      </c>
      <c r="B142" s="66">
        <v>24</v>
      </c>
      <c r="C142" s="91" t="s">
        <v>144</v>
      </c>
      <c r="D142" s="54">
        <f>E465</f>
        <v>150.30000000000001</v>
      </c>
      <c r="E142" s="125">
        <f>IF(DODAVATEL&gt;1,ROUND(D142*VLOOKUP($B$37,$F$24:$H$37,3,FALSE),1),D142)</f>
        <v>150.30000000000001</v>
      </c>
      <c r="F142" s="54">
        <f t="shared" si="15"/>
        <v>0.62945999999999991</v>
      </c>
      <c r="G142" s="86">
        <v>0.35</v>
      </c>
      <c r="H142" s="122">
        <f>$H$141</f>
        <v>0.05</v>
      </c>
      <c r="I142" s="84"/>
      <c r="J142" s="85"/>
      <c r="K142" s="84"/>
      <c r="L142" s="66" t="str">
        <f t="shared" si="18"/>
        <v>HZS_24</v>
      </c>
      <c r="M142" s="66">
        <f t="shared" si="16"/>
        <v>344</v>
      </c>
      <c r="N142" s="213"/>
    </row>
    <row r="143" spans="1:14">
      <c r="A143" s="66" t="s">
        <v>121</v>
      </c>
      <c r="B143" s="66">
        <v>26</v>
      </c>
      <c r="C143" s="91" t="s">
        <v>324</v>
      </c>
      <c r="D143" s="54">
        <f>E481</f>
        <v>145.1</v>
      </c>
      <c r="E143" s="125">
        <f>IF(DODAVATEL&gt;1,ROUND(D143*VLOOKUP($B$37,$F$24:$H$37,3,FALSE),1),D143)</f>
        <v>145.1</v>
      </c>
      <c r="F143" s="54">
        <f t="shared" si="15"/>
        <v>0.62945999999999991</v>
      </c>
      <c r="G143" s="86">
        <v>0.5</v>
      </c>
      <c r="H143" s="122">
        <f>$H$141</f>
        <v>0.05</v>
      </c>
      <c r="I143" s="84"/>
      <c r="J143" s="85"/>
      <c r="K143" s="84"/>
      <c r="L143" s="66" t="str">
        <f t="shared" si="18"/>
        <v>HZS_26</v>
      </c>
      <c r="M143" s="66">
        <f t="shared" si="16"/>
        <v>332</v>
      </c>
      <c r="N143" s="213"/>
    </row>
    <row r="144" spans="1:14">
      <c r="A144" s="66" t="s">
        <v>121</v>
      </c>
      <c r="B144" s="66">
        <v>27</v>
      </c>
      <c r="C144" s="66" t="s">
        <v>145</v>
      </c>
      <c r="D144" s="83">
        <f>IF(OR(SLEVY&lt;3,DODAVATEL&gt;3),$E$1175,E494)</f>
        <v>120</v>
      </c>
      <c r="E144" s="54">
        <f>IF(DODAVATEL&gt;3,ROUND(D144*VLOOKUP($B$37,$F$24:$H$37,3,FALSE),1),D144)</f>
        <v>120</v>
      </c>
      <c r="F144" s="54">
        <f t="shared" si="15"/>
        <v>0.62945999999999991</v>
      </c>
      <c r="G144" s="54"/>
      <c r="H144" s="83">
        <f>IF(SLEVY=1,$G$9+I144,IF(SLEVY=2,$G$10+I144,IF(SLEVY=3,$G$11+J144,$G$12+K144)))</f>
        <v>0.11</v>
      </c>
      <c r="I144" s="120">
        <v>0.06</v>
      </c>
      <c r="J144" s="121">
        <f t="shared" si="17"/>
        <v>0.13</v>
      </c>
      <c r="K144" s="120">
        <v>0.2</v>
      </c>
      <c r="L144" s="66" t="str">
        <f t="shared" si="18"/>
        <v>HZS_27</v>
      </c>
      <c r="M144" s="66">
        <f t="shared" si="16"/>
        <v>275</v>
      </c>
      <c r="N144" s="213"/>
    </row>
    <row r="145" spans="1:14">
      <c r="A145" s="66" t="s">
        <v>121</v>
      </c>
      <c r="B145" s="66">
        <v>28</v>
      </c>
      <c r="C145" s="66" t="s">
        <v>146</v>
      </c>
      <c r="D145" s="54">
        <f>E509</f>
        <v>139.5</v>
      </c>
      <c r="E145" s="54">
        <f>IF(DODAVATEL&gt;3,ROUND(D145*VLOOKUP($B$37,$F$24:$H$37,3,FALSE),1),D145)</f>
        <v>139.5</v>
      </c>
      <c r="F145" s="54">
        <f t="shared" si="15"/>
        <v>0.62945999999999991</v>
      </c>
      <c r="G145" s="54"/>
      <c r="H145" s="66">
        <f t="shared" ref="H145:H158" si="19">IF(SLEVY=1,$G$9,IF(SLEVY=2,$G$10+I145,IF(SLEVY=3,$G$11+J145,$G$12+K145)))</f>
        <v>0.05</v>
      </c>
      <c r="I145" s="84">
        <v>0</v>
      </c>
      <c r="J145" s="85">
        <f t="shared" si="17"/>
        <v>0.05</v>
      </c>
      <c r="K145" s="84">
        <v>0.1</v>
      </c>
      <c r="L145" s="66" t="str">
        <f t="shared" si="18"/>
        <v>HZS_28</v>
      </c>
      <c r="M145" s="66">
        <f t="shared" si="16"/>
        <v>319</v>
      </c>
      <c r="N145" s="213"/>
    </row>
    <row r="146" spans="1:14">
      <c r="A146" s="66" t="s">
        <v>121</v>
      </c>
      <c r="B146" s="66">
        <v>3</v>
      </c>
      <c r="C146" s="66" t="s">
        <v>147</v>
      </c>
      <c r="D146" s="83">
        <f>IF(OR(SLEVY&lt;3,DODAVATEL&gt;3),$E$1175,E523)</f>
        <v>120</v>
      </c>
      <c r="E146" s="54">
        <f>IF(DODAVATEL&gt;3,ROUND(D146*VLOOKUP($B$37,$F$24:$H$37,3,FALSE),1),D146)</f>
        <v>120</v>
      </c>
      <c r="F146" s="54">
        <f t="shared" si="15"/>
        <v>0.62945999999999991</v>
      </c>
      <c r="G146" s="54"/>
      <c r="H146" s="83">
        <f>IF(SLEVY=1,$G$9+I146,IF(SLEVY=2,$G$10+I146,IF(SLEVY=3,$G$11+J146,$G$12+K146)))</f>
        <v>0.1</v>
      </c>
      <c r="I146" s="120">
        <v>0.05</v>
      </c>
      <c r="J146" s="121">
        <f t="shared" si="17"/>
        <v>0.1</v>
      </c>
      <c r="K146" s="120">
        <v>0.15</v>
      </c>
      <c r="L146" s="66" t="str">
        <f t="shared" si="18"/>
        <v>HZS_3</v>
      </c>
      <c r="M146" s="66">
        <f t="shared" si="16"/>
        <v>275</v>
      </c>
      <c r="N146" s="213"/>
    </row>
    <row r="147" spans="1:14">
      <c r="A147" s="66" t="s">
        <v>121</v>
      </c>
      <c r="B147" s="66">
        <v>31</v>
      </c>
      <c r="C147" s="66" t="s">
        <v>148</v>
      </c>
      <c r="D147" s="54">
        <f>E535</f>
        <v>147.1</v>
      </c>
      <c r="E147" s="103">
        <f>IF(DODAVATEL&gt;=5,ROUND(D147*VLOOKUP($B$37,$F$24:$H$37,3,FALSE),1),D147)</f>
        <v>147.1</v>
      </c>
      <c r="F147" s="54">
        <f t="shared" si="15"/>
        <v>0.62945999999999991</v>
      </c>
      <c r="G147" s="54"/>
      <c r="H147" s="66">
        <f t="shared" si="19"/>
        <v>0.05</v>
      </c>
      <c r="I147" s="120">
        <v>0</v>
      </c>
      <c r="J147" s="121">
        <f t="shared" si="17"/>
        <v>0</v>
      </c>
      <c r="K147" s="120">
        <v>0</v>
      </c>
      <c r="L147" s="66" t="str">
        <f t="shared" si="18"/>
        <v>HZS_31</v>
      </c>
      <c r="M147" s="66">
        <f t="shared" si="16"/>
        <v>337</v>
      </c>
      <c r="N147" s="213"/>
    </row>
    <row r="148" spans="1:14">
      <c r="A148" s="66" t="s">
        <v>121</v>
      </c>
      <c r="B148" s="66">
        <v>34</v>
      </c>
      <c r="C148" s="66" t="s">
        <v>149</v>
      </c>
      <c r="D148" s="54">
        <f>E546</f>
        <v>147.19999999999999</v>
      </c>
      <c r="E148" s="54">
        <f t="shared" ref="E148:E159" si="20">IF(DODAVATEL&gt;3,ROUND(D148*VLOOKUP($B$37,$F$24:$H$37,3,FALSE),1),D148)</f>
        <v>147.19999999999999</v>
      </c>
      <c r="F148" s="54">
        <f t="shared" si="15"/>
        <v>0.62945999999999991</v>
      </c>
      <c r="G148" s="54"/>
      <c r="H148" s="66">
        <f t="shared" si="19"/>
        <v>0.05</v>
      </c>
      <c r="I148" s="120">
        <v>0</v>
      </c>
      <c r="J148" s="121">
        <f>(I148+K148)/2</f>
        <v>0.05</v>
      </c>
      <c r="K148" s="120">
        <v>0.1</v>
      </c>
      <c r="L148" s="66" t="str">
        <f t="shared" si="18"/>
        <v>HZS_34</v>
      </c>
      <c r="M148" s="66">
        <f t="shared" si="16"/>
        <v>337</v>
      </c>
      <c r="N148" s="213"/>
    </row>
    <row r="149" spans="1:14">
      <c r="A149" s="66" t="s">
        <v>121</v>
      </c>
      <c r="B149" s="66">
        <v>35</v>
      </c>
      <c r="C149" s="66" t="s">
        <v>150</v>
      </c>
      <c r="D149" s="54">
        <f>E555</f>
        <v>142</v>
      </c>
      <c r="E149" s="54">
        <f t="shared" si="20"/>
        <v>142</v>
      </c>
      <c r="F149" s="54">
        <f t="shared" si="15"/>
        <v>0.62945999999999991</v>
      </c>
      <c r="G149" s="54"/>
      <c r="H149" s="66">
        <f t="shared" si="19"/>
        <v>0.05</v>
      </c>
      <c r="I149" s="84">
        <v>0</v>
      </c>
      <c r="J149" s="85">
        <f t="shared" si="17"/>
        <v>0.05</v>
      </c>
      <c r="K149" s="84">
        <v>0.1</v>
      </c>
      <c r="L149" s="66" t="str">
        <f t="shared" si="18"/>
        <v>HZS_35</v>
      </c>
      <c r="M149" s="66">
        <f t="shared" si="16"/>
        <v>325</v>
      </c>
      <c r="N149" s="213"/>
    </row>
    <row r="150" spans="1:14">
      <c r="A150" s="66" t="s">
        <v>121</v>
      </c>
      <c r="B150" s="66">
        <v>36</v>
      </c>
      <c r="C150" s="66" t="s">
        <v>151</v>
      </c>
      <c r="D150" s="54">
        <f>E562</f>
        <v>143.80000000000001</v>
      </c>
      <c r="E150" s="54">
        <f t="shared" si="20"/>
        <v>143.80000000000001</v>
      </c>
      <c r="F150" s="54">
        <f t="shared" si="15"/>
        <v>0.62945999999999991</v>
      </c>
      <c r="G150" s="54"/>
      <c r="H150" s="66">
        <f t="shared" si="19"/>
        <v>0.05</v>
      </c>
      <c r="I150" s="84">
        <v>0</v>
      </c>
      <c r="J150" s="85">
        <f t="shared" si="17"/>
        <v>0.05</v>
      </c>
      <c r="K150" s="84">
        <v>0.1</v>
      </c>
      <c r="L150" s="66" t="str">
        <f t="shared" si="18"/>
        <v>HZS_36</v>
      </c>
      <c r="M150" s="66">
        <f t="shared" si="16"/>
        <v>329</v>
      </c>
      <c r="N150" s="213"/>
    </row>
    <row r="151" spans="1:14">
      <c r="A151" s="66" t="s">
        <v>121</v>
      </c>
      <c r="B151" s="66">
        <v>38</v>
      </c>
      <c r="C151" s="66" t="s">
        <v>152</v>
      </c>
      <c r="D151" s="54">
        <f>E575</f>
        <v>145.5</v>
      </c>
      <c r="E151" s="54">
        <f t="shared" si="20"/>
        <v>145.5</v>
      </c>
      <c r="F151" s="54">
        <f t="shared" si="15"/>
        <v>0.62945999999999991</v>
      </c>
      <c r="G151" s="54"/>
      <c r="H151" s="66">
        <f t="shared" si="19"/>
        <v>0.05</v>
      </c>
      <c r="I151" s="84">
        <v>0</v>
      </c>
      <c r="J151" s="85">
        <f t="shared" si="17"/>
        <v>0.05</v>
      </c>
      <c r="K151" s="84">
        <v>0.1</v>
      </c>
      <c r="L151" s="66" t="str">
        <f t="shared" si="18"/>
        <v>HZS_38</v>
      </c>
      <c r="M151" s="66">
        <f t="shared" si="16"/>
        <v>333</v>
      </c>
      <c r="N151" s="213"/>
    </row>
    <row r="152" spans="1:14">
      <c r="A152" s="66" t="s">
        <v>121</v>
      </c>
      <c r="B152" s="66">
        <v>4</v>
      </c>
      <c r="C152" s="66" t="s">
        <v>153</v>
      </c>
      <c r="D152" s="54">
        <f>E590</f>
        <v>140.69999999999999</v>
      </c>
      <c r="E152" s="54">
        <f t="shared" si="20"/>
        <v>140.69999999999999</v>
      </c>
      <c r="F152" s="54">
        <f t="shared" si="15"/>
        <v>0.62945999999999991</v>
      </c>
      <c r="G152" s="54"/>
      <c r="H152" s="83">
        <f>IF(SLEVY=1,$G$9+I152,IF(SLEVY=2,$G$10+I152,IF(SLEVY=3,$G$11+J152,$G$12+K152)))</f>
        <v>0.1</v>
      </c>
      <c r="I152" s="120">
        <v>0.05</v>
      </c>
      <c r="J152" s="121">
        <f>(I152+K152)/2</f>
        <v>0.1</v>
      </c>
      <c r="K152" s="120">
        <v>0.15</v>
      </c>
      <c r="L152" s="66" t="str">
        <f t="shared" si="18"/>
        <v>HZS_4</v>
      </c>
      <c r="M152" s="66">
        <f t="shared" si="16"/>
        <v>322</v>
      </c>
      <c r="N152" s="213"/>
    </row>
    <row r="153" spans="1:14">
      <c r="A153" s="66" t="s">
        <v>121</v>
      </c>
      <c r="B153" s="87">
        <v>41</v>
      </c>
      <c r="C153" s="87" t="s">
        <v>325</v>
      </c>
      <c r="D153" s="54">
        <f>E602</f>
        <v>142</v>
      </c>
      <c r="E153" s="54">
        <f t="shared" si="20"/>
        <v>142</v>
      </c>
      <c r="F153" s="54">
        <f t="shared" si="15"/>
        <v>0.62945999999999991</v>
      </c>
      <c r="G153" s="54"/>
      <c r="H153" s="66">
        <f t="shared" si="19"/>
        <v>0.05</v>
      </c>
      <c r="I153" s="84">
        <v>0</v>
      </c>
      <c r="J153" s="85">
        <f t="shared" si="17"/>
        <v>0.05</v>
      </c>
      <c r="K153" s="84">
        <v>0.1</v>
      </c>
      <c r="L153" s="66" t="str">
        <f t="shared" si="18"/>
        <v>HZS_41</v>
      </c>
      <c r="M153" s="66">
        <f t="shared" si="16"/>
        <v>325</v>
      </c>
      <c r="N153" s="213"/>
    </row>
    <row r="154" spans="1:14">
      <c r="A154" s="66" t="s">
        <v>121</v>
      </c>
      <c r="B154" s="87">
        <v>43</v>
      </c>
      <c r="C154" s="87" t="s">
        <v>326</v>
      </c>
      <c r="D154" s="54">
        <f>E622</f>
        <v>136.30000000000001</v>
      </c>
      <c r="E154" s="54">
        <f t="shared" si="20"/>
        <v>136.30000000000001</v>
      </c>
      <c r="F154" s="54">
        <f t="shared" si="15"/>
        <v>0.62945999999999991</v>
      </c>
      <c r="G154" s="54"/>
      <c r="H154" s="66">
        <f t="shared" si="19"/>
        <v>0.05</v>
      </c>
      <c r="I154" s="84">
        <v>0</v>
      </c>
      <c r="J154" s="85">
        <f t="shared" si="17"/>
        <v>0.05</v>
      </c>
      <c r="K154" s="84">
        <v>0.1</v>
      </c>
      <c r="L154" s="66" t="str">
        <f t="shared" si="18"/>
        <v>HZS_43</v>
      </c>
      <c r="M154" s="66">
        <f t="shared" si="16"/>
        <v>312</v>
      </c>
      <c r="N154" s="213"/>
    </row>
    <row r="155" spans="1:14">
      <c r="A155" s="66" t="s">
        <v>121</v>
      </c>
      <c r="B155" s="66">
        <v>5</v>
      </c>
      <c r="C155" s="66" t="s">
        <v>154</v>
      </c>
      <c r="D155" s="54">
        <f>E639</f>
        <v>136.5</v>
      </c>
      <c r="E155" s="54">
        <f t="shared" si="20"/>
        <v>136.5</v>
      </c>
      <c r="F155" s="54">
        <f t="shared" si="15"/>
        <v>0.62945999999999991</v>
      </c>
      <c r="G155" s="54"/>
      <c r="H155" s="66">
        <f t="shared" si="19"/>
        <v>0.05</v>
      </c>
      <c r="I155" s="120">
        <v>0</v>
      </c>
      <c r="J155" s="121">
        <f>(I155+K155)/2</f>
        <v>0.05</v>
      </c>
      <c r="K155" s="120">
        <v>0.1</v>
      </c>
      <c r="L155" s="66" t="str">
        <f t="shared" si="18"/>
        <v>HZS_5</v>
      </c>
      <c r="M155" s="66">
        <f t="shared" si="16"/>
        <v>312</v>
      </c>
      <c r="N155" s="213"/>
    </row>
    <row r="156" spans="1:14">
      <c r="A156" s="66" t="s">
        <v>121</v>
      </c>
      <c r="B156" s="66">
        <v>61</v>
      </c>
      <c r="C156" s="66" t="s">
        <v>155</v>
      </c>
      <c r="D156" s="83">
        <f>IF(DODAVATEL&gt;3,E$1159,IF(DODAVATEL=3,(E$1159+E656)/2,E656))</f>
        <v>152</v>
      </c>
      <c r="E156" s="54">
        <f t="shared" si="20"/>
        <v>152</v>
      </c>
      <c r="F156" s="54">
        <f t="shared" si="15"/>
        <v>0.62945999999999991</v>
      </c>
      <c r="G156" s="54"/>
      <c r="H156" s="66">
        <f>IF(SLEVY=1,$G$9,IF(SLEVY=2,$G$10+I156,IF(SLEVY=3,$G$11+J156,$G$12+K156)))</f>
        <v>0.05</v>
      </c>
      <c r="I156" s="84">
        <v>0</v>
      </c>
      <c r="J156" s="85">
        <f>(I156+K156)/2</f>
        <v>0.05</v>
      </c>
      <c r="K156" s="84">
        <v>0.1</v>
      </c>
      <c r="L156" s="66" t="str">
        <f t="shared" si="18"/>
        <v>HZS_61</v>
      </c>
      <c r="M156" s="66">
        <f t="shared" si="16"/>
        <v>348</v>
      </c>
      <c r="N156" s="213"/>
    </row>
    <row r="157" spans="1:14">
      <c r="A157" s="66" t="s">
        <v>121</v>
      </c>
      <c r="B157" s="66">
        <v>62</v>
      </c>
      <c r="C157" s="66" t="s">
        <v>156</v>
      </c>
      <c r="D157" s="54">
        <f>E667</f>
        <v>165.9</v>
      </c>
      <c r="E157" s="54">
        <f t="shared" si="20"/>
        <v>165.9</v>
      </c>
      <c r="F157" s="54">
        <f t="shared" si="15"/>
        <v>0.62945999999999991</v>
      </c>
      <c r="G157" s="54"/>
      <c r="H157" s="66">
        <f t="shared" si="19"/>
        <v>0.05</v>
      </c>
      <c r="I157" s="84">
        <v>0</v>
      </c>
      <c r="J157" s="85">
        <f t="shared" si="17"/>
        <v>0.05</v>
      </c>
      <c r="K157" s="84">
        <v>0.1</v>
      </c>
      <c r="L157" s="66" t="str">
        <f t="shared" si="18"/>
        <v>HZS_62</v>
      </c>
      <c r="M157" s="66">
        <f t="shared" si="16"/>
        <v>380</v>
      </c>
      <c r="N157" s="213"/>
    </row>
    <row r="158" spans="1:14">
      <c r="A158" s="66" t="s">
        <v>121</v>
      </c>
      <c r="B158" s="66">
        <v>627</v>
      </c>
      <c r="C158" s="66" t="s">
        <v>327</v>
      </c>
      <c r="D158" s="54">
        <f>E679</f>
        <v>154.5</v>
      </c>
      <c r="E158" s="54">
        <f t="shared" si="20"/>
        <v>154.5</v>
      </c>
      <c r="F158" s="54">
        <f t="shared" si="15"/>
        <v>0.62945999999999991</v>
      </c>
      <c r="G158" s="54"/>
      <c r="H158" s="66">
        <f t="shared" si="19"/>
        <v>0.05</v>
      </c>
      <c r="I158" s="84">
        <v>0</v>
      </c>
      <c r="J158" s="85">
        <f t="shared" si="17"/>
        <v>0.05</v>
      </c>
      <c r="K158" s="84">
        <v>0.1</v>
      </c>
      <c r="L158" s="66" t="str">
        <f t="shared" si="18"/>
        <v>HZS_627</v>
      </c>
      <c r="M158" s="66">
        <f t="shared" si="16"/>
        <v>353</v>
      </c>
      <c r="N158" s="213"/>
    </row>
    <row r="159" spans="1:14">
      <c r="A159" s="66" t="s">
        <v>709</v>
      </c>
      <c r="B159" s="66">
        <v>629</v>
      </c>
      <c r="C159" s="66" t="s">
        <v>157</v>
      </c>
      <c r="D159" s="83">
        <f>IF(DODAVATEL&gt;3,E$1159,IF(DODAVATEL=3,(E$1159+E696)/2,E696))</f>
        <v>152</v>
      </c>
      <c r="E159" s="54">
        <f t="shared" si="20"/>
        <v>152</v>
      </c>
      <c r="F159" s="103">
        <f>IF(DODAVATEL=1,D$97,IF(DODAVATEL=2,D$101,IF(DODAVATEL=3,D$105,IF(DODAVATEL=4,D$105,D$113))))</f>
        <v>0.94793900000000009</v>
      </c>
      <c r="G159" s="54"/>
      <c r="H159" s="83">
        <f>IF(SLEVY=1,0,IF(SLEVY=2,I159,IF(SLEVY=3,J159,K159)))</f>
        <v>0</v>
      </c>
      <c r="I159" s="84">
        <v>0</v>
      </c>
      <c r="J159" s="85">
        <f t="shared" si="17"/>
        <v>0.05</v>
      </c>
      <c r="K159" s="84">
        <v>0.1</v>
      </c>
      <c r="L159" s="66" t="str">
        <f t="shared" si="18"/>
        <v>HZS_629</v>
      </c>
      <c r="M159" s="66">
        <f t="shared" si="16"/>
        <v>348</v>
      </c>
      <c r="N159" s="213"/>
    </row>
    <row r="160" spans="1:14">
      <c r="A160" s="66" t="s">
        <v>121</v>
      </c>
      <c r="B160" s="66">
        <v>63</v>
      </c>
      <c r="C160" s="66" t="s">
        <v>31</v>
      </c>
      <c r="D160" s="83">
        <f>ROUND(IF(DODAVATEL&gt;3,E$1144,IF(DODAVATEL=3,(E$1144*2+E722)/3,E722)),2)</f>
        <v>135</v>
      </c>
      <c r="E160" s="54">
        <f>IF(DODAVATEL&gt;3,ROUND(D160*VLOOKUP($B$37,$F$24:$H$37,3,FALSE),1),D160)</f>
        <v>135</v>
      </c>
      <c r="F160" s="54">
        <f t="shared" si="15"/>
        <v>0.62945999999999991</v>
      </c>
      <c r="G160" s="54"/>
      <c r="H160" s="66">
        <f t="shared" ref="H160:H192" si="21">IF(SLEVY=1,$G$9,IF(SLEVY=2,$G$10+I160,IF(SLEVY=3,$G$11+J160,$G$12+K160)))</f>
        <v>0.05</v>
      </c>
      <c r="I160" s="84">
        <v>0</v>
      </c>
      <c r="J160" s="85">
        <f t="shared" si="17"/>
        <v>0.05</v>
      </c>
      <c r="K160" s="84">
        <v>0.1</v>
      </c>
      <c r="L160" s="66" t="str">
        <f t="shared" si="18"/>
        <v>HZS_63</v>
      </c>
      <c r="M160" s="66">
        <f t="shared" si="16"/>
        <v>309</v>
      </c>
      <c r="N160" s="213"/>
    </row>
    <row r="161" spans="1:14">
      <c r="A161" s="66" t="s">
        <v>121</v>
      </c>
      <c r="B161" s="66">
        <v>64</v>
      </c>
      <c r="C161" s="66" t="s">
        <v>158</v>
      </c>
      <c r="D161" s="54">
        <f>E732</f>
        <v>149.6</v>
      </c>
      <c r="E161" s="54">
        <f>IF(DODAVATEL&gt;3,ROUND(D161*VLOOKUP($B$37,$F$24:$H$37,3,FALSE),1),D161)</f>
        <v>149.6</v>
      </c>
      <c r="F161" s="54">
        <f t="shared" si="15"/>
        <v>0.62945999999999991</v>
      </c>
      <c r="G161" s="54"/>
      <c r="H161" s="66">
        <f t="shared" si="21"/>
        <v>0.05</v>
      </c>
      <c r="I161" s="84">
        <v>0</v>
      </c>
      <c r="J161" s="85">
        <f t="shared" si="17"/>
        <v>0.05</v>
      </c>
      <c r="K161" s="84">
        <v>0.1</v>
      </c>
      <c r="L161" s="66" t="str">
        <f t="shared" si="18"/>
        <v>HZS_64</v>
      </c>
      <c r="M161" s="66">
        <f t="shared" si="16"/>
        <v>342</v>
      </c>
      <c r="N161" s="213"/>
    </row>
    <row r="162" spans="1:14">
      <c r="A162" s="66" t="s">
        <v>121</v>
      </c>
      <c r="B162" s="66">
        <v>8</v>
      </c>
      <c r="C162" s="66" t="s">
        <v>159</v>
      </c>
      <c r="D162" s="54">
        <f>E767</f>
        <v>137.19999999999999</v>
      </c>
      <c r="E162" s="54">
        <f>IF(DODAVATEL&gt;3,ROUND(D162*VLOOKUP($B$37,$F$24:$H$37,3,FALSE),1),D162)</f>
        <v>137.19999999999999</v>
      </c>
      <c r="F162" s="54">
        <f t="shared" si="15"/>
        <v>0.62945999999999991</v>
      </c>
      <c r="G162" s="54"/>
      <c r="H162" s="66">
        <f t="shared" si="21"/>
        <v>0.05</v>
      </c>
      <c r="I162" s="84">
        <v>0</v>
      </c>
      <c r="J162" s="85">
        <f t="shared" si="17"/>
        <v>0.05</v>
      </c>
      <c r="K162" s="84">
        <v>0.1</v>
      </c>
      <c r="L162" s="66" t="str">
        <f t="shared" si="18"/>
        <v>HZS_8</v>
      </c>
      <c r="M162" s="66">
        <f t="shared" si="16"/>
        <v>314</v>
      </c>
      <c r="N162" s="213"/>
    </row>
    <row r="163" spans="1:14">
      <c r="A163" s="66" t="s">
        <v>121</v>
      </c>
      <c r="B163" s="66">
        <v>94</v>
      </c>
      <c r="C163" s="66" t="s">
        <v>108</v>
      </c>
      <c r="D163" s="54">
        <f>E772</f>
        <v>152</v>
      </c>
      <c r="E163" s="54">
        <f>IF(DODAVATEL&gt;3,ROUND(D163*VLOOKUP($B$37,$F$24:$H$37,3,FALSE),1),D163)</f>
        <v>152</v>
      </c>
      <c r="F163" s="54">
        <f t="shared" si="15"/>
        <v>0.62945999999999991</v>
      </c>
      <c r="G163" s="54"/>
      <c r="H163" s="66">
        <f t="shared" si="21"/>
        <v>0.05</v>
      </c>
      <c r="I163" s="84">
        <v>0</v>
      </c>
      <c r="J163" s="85">
        <f t="shared" si="17"/>
        <v>0.05</v>
      </c>
      <c r="K163" s="84">
        <v>0.1</v>
      </c>
      <c r="L163" s="66" t="str">
        <f t="shared" si="18"/>
        <v>HZS_94</v>
      </c>
      <c r="M163" s="66">
        <f t="shared" si="16"/>
        <v>348</v>
      </c>
      <c r="N163" s="213"/>
    </row>
    <row r="164" spans="1:14">
      <c r="A164" s="66" t="s">
        <v>121</v>
      </c>
      <c r="B164" s="66">
        <v>95</v>
      </c>
      <c r="C164" s="66" t="s">
        <v>14</v>
      </c>
      <c r="D164" s="54">
        <f>E778</f>
        <v>120</v>
      </c>
      <c r="E164" s="54">
        <f>IF(DODAVATEL&gt;3,ROUND(D164*VLOOKUP($B$37,$F$24:$H$37,3,FALSE),1),D164)</f>
        <v>120</v>
      </c>
      <c r="F164" s="54">
        <f t="shared" si="15"/>
        <v>0.62945999999999991</v>
      </c>
      <c r="G164" s="54"/>
      <c r="H164" s="66">
        <f t="shared" si="21"/>
        <v>0.05</v>
      </c>
      <c r="I164" s="84">
        <v>0</v>
      </c>
      <c r="J164" s="85">
        <f t="shared" si="17"/>
        <v>0.05</v>
      </c>
      <c r="K164" s="84">
        <v>0.1</v>
      </c>
      <c r="L164" s="66" t="str">
        <f t="shared" si="18"/>
        <v>HZS_95</v>
      </c>
      <c r="M164" s="66">
        <f t="shared" si="16"/>
        <v>275</v>
      </c>
      <c r="N164" s="213"/>
    </row>
    <row r="165" spans="1:14">
      <c r="A165" s="66" t="s">
        <v>121</v>
      </c>
      <c r="B165" s="66">
        <v>96</v>
      </c>
      <c r="C165" s="91" t="s">
        <v>160</v>
      </c>
      <c r="D165" s="83">
        <f>IF(OR(SLEVY&lt;3,DODAVATEL&gt;3),E1174,E792)</f>
        <v>105</v>
      </c>
      <c r="E165" s="125">
        <f>IF(DODAVATEL&gt;1,ROUND(D165*VLOOKUP($B$37,$F$24:$H$37,3,FALSE),1),D165)</f>
        <v>105</v>
      </c>
      <c r="F165" s="54">
        <f t="shared" si="15"/>
        <v>0.62945999999999991</v>
      </c>
      <c r="G165" s="54"/>
      <c r="H165" s="66">
        <f t="shared" si="21"/>
        <v>0.05</v>
      </c>
      <c r="I165" s="84">
        <v>0</v>
      </c>
      <c r="J165" s="85">
        <f t="shared" si="17"/>
        <v>0.05</v>
      </c>
      <c r="K165" s="84">
        <v>0.1</v>
      </c>
      <c r="L165" s="66" t="str">
        <f t="shared" si="18"/>
        <v>HZS_96</v>
      </c>
      <c r="M165" s="66">
        <f t="shared" si="16"/>
        <v>240</v>
      </c>
      <c r="N165" s="213"/>
    </row>
    <row r="166" spans="1:14">
      <c r="A166" s="66" t="s">
        <v>121</v>
      </c>
      <c r="B166" s="66">
        <v>97</v>
      </c>
      <c r="C166" s="91" t="s">
        <v>161</v>
      </c>
      <c r="D166" s="54">
        <f>E799</f>
        <v>164.6</v>
      </c>
      <c r="E166" s="125">
        <f>IF(DODAVATEL&gt;1,ROUND(D166*VLOOKUP($B$37,$F$24:$H$37,3,FALSE),1),D166)</f>
        <v>164.6</v>
      </c>
      <c r="F166" s="54">
        <f t="shared" si="15"/>
        <v>0.62945999999999991</v>
      </c>
      <c r="G166" s="54"/>
      <c r="H166" s="66">
        <f t="shared" si="21"/>
        <v>0.05</v>
      </c>
      <c r="I166" s="84">
        <v>0</v>
      </c>
      <c r="J166" s="85">
        <f t="shared" si="17"/>
        <v>0.05</v>
      </c>
      <c r="K166" s="84">
        <v>0.1</v>
      </c>
      <c r="L166" s="66" t="str">
        <f t="shared" si="18"/>
        <v>HZS_97</v>
      </c>
      <c r="M166" s="66">
        <f t="shared" si="16"/>
        <v>377</v>
      </c>
      <c r="N166" s="213"/>
    </row>
    <row r="167" spans="1:14">
      <c r="A167" s="66" t="s">
        <v>121</v>
      </c>
      <c r="B167" s="66">
        <v>98</v>
      </c>
      <c r="C167" s="91" t="s">
        <v>44</v>
      </c>
      <c r="D167" s="83">
        <f>IF(OR(SLEVY&lt;3,DODAVATEL&gt;3),E1174,E815)</f>
        <v>105</v>
      </c>
      <c r="E167" s="125">
        <f>IF(DODAVATEL&gt;1,ROUND(D167*VLOOKUP($B$37,$F$24:$H$37,3,FALSE),1),D167)</f>
        <v>105</v>
      </c>
      <c r="F167" s="54">
        <f t="shared" si="15"/>
        <v>0.62945999999999991</v>
      </c>
      <c r="G167" s="54"/>
      <c r="H167" s="66">
        <f t="shared" si="21"/>
        <v>0.05</v>
      </c>
      <c r="I167" s="84">
        <v>0</v>
      </c>
      <c r="J167" s="85">
        <f t="shared" si="17"/>
        <v>0.05</v>
      </c>
      <c r="K167" s="84">
        <v>0.1</v>
      </c>
      <c r="L167" s="66" t="str">
        <f t="shared" si="18"/>
        <v>HZS_98</v>
      </c>
      <c r="M167" s="66">
        <f t="shared" si="16"/>
        <v>240</v>
      </c>
      <c r="N167" s="213"/>
    </row>
    <row r="168" spans="1:14">
      <c r="A168" s="66" t="s">
        <v>121</v>
      </c>
      <c r="B168" s="66">
        <v>99</v>
      </c>
      <c r="C168" s="66" t="s">
        <v>328</v>
      </c>
      <c r="D168" s="54">
        <f>E823</f>
        <v>151.5</v>
      </c>
      <c r="E168" s="103">
        <f>IF(DODAVATEL&gt;=5,ROUND(D168*VLOOKUP($B$37,$F$24:$H$37,3,FALSE),1),D168)</f>
        <v>151.5</v>
      </c>
      <c r="F168" s="54">
        <f t="shared" si="15"/>
        <v>0.62945999999999991</v>
      </c>
      <c r="G168" s="84">
        <v>0.5</v>
      </c>
      <c r="H168" s="83">
        <f>IF(SLEVY=1,$G$9+I168,IF(SLEVY=2,$G$10+I168,IF(SLEVY=3,$G$11+J168,$G$12+K168)))</f>
        <v>0.15000000000000002</v>
      </c>
      <c r="I168" s="84">
        <v>0.1</v>
      </c>
      <c r="J168" s="85">
        <f t="shared" si="17"/>
        <v>0.15000000000000002</v>
      </c>
      <c r="K168" s="84">
        <v>0.2</v>
      </c>
      <c r="L168" s="66" t="str">
        <f t="shared" si="18"/>
        <v>HZS_99</v>
      </c>
      <c r="M168" s="66">
        <f t="shared" si="16"/>
        <v>347</v>
      </c>
      <c r="N168" s="213"/>
    </row>
    <row r="169" spans="1:14">
      <c r="A169" s="66" t="s">
        <v>121</v>
      </c>
      <c r="B169" s="66">
        <v>6</v>
      </c>
      <c r="C169" s="66" t="s">
        <v>868</v>
      </c>
      <c r="D169" s="103">
        <f>AVERAGE(D148,D156,D174,D181,D184,D187,D190)</f>
        <v>148.65714285714284</v>
      </c>
      <c r="E169" s="103">
        <f>AVERAGE(E148,E156,E174,E181,E184,E187,E190)</f>
        <v>148.65714285714284</v>
      </c>
      <c r="F169" s="103">
        <f>AVERAGE(F148,F156,F174,F182,F185,F188,F191)</f>
        <v>0.67934142857142832</v>
      </c>
      <c r="G169" s="84"/>
      <c r="H169" s="83"/>
      <c r="I169" s="84"/>
      <c r="J169" s="85"/>
      <c r="K169" s="84"/>
      <c r="L169" s="66" t="str">
        <f t="shared" si="18"/>
        <v>HZS_6</v>
      </c>
      <c r="N169" s="213"/>
    </row>
    <row r="170" spans="1:14" ht="30">
      <c r="A170" s="66" t="s">
        <v>121</v>
      </c>
      <c r="B170" s="66">
        <v>100</v>
      </c>
      <c r="C170" s="175" t="s">
        <v>850</v>
      </c>
      <c r="D170" s="54">
        <f>ROUND(MEDIAN(D137:D168),1)</f>
        <v>142.9</v>
      </c>
      <c r="E170" s="54">
        <f t="shared" ref="E170:E182" si="22">IF(DODAVATEL&gt;3,ROUND(D170*VLOOKUP($B$37,$F$24:$H$37,3,FALSE),1),D170)</f>
        <v>142.9</v>
      </c>
      <c r="F170" s="54">
        <f t="shared" ref="F170:F206" si="23">VLOOKUP(DODAVATEL&amp;A170,$B$95:$D$126,3,FALSE)</f>
        <v>0.62945999999999991</v>
      </c>
      <c r="G170" s="54"/>
      <c r="H170" s="66">
        <f t="shared" si="21"/>
        <v>0.05</v>
      </c>
      <c r="I170" s="90">
        <f>ROUND(AVERAGE(I137:I168),2)</f>
        <v>0.01</v>
      </c>
      <c r="J170" s="90">
        <f>ROUND(AVERAGE(J137:J168),2)</f>
        <v>7.0000000000000007E-2</v>
      </c>
      <c r="K170" s="90">
        <f>ROUND(AVERAGE(K137:K168),2)</f>
        <v>0.12</v>
      </c>
      <c r="L170" s="66" t="str">
        <f t="shared" si="18"/>
        <v>HZS_100</v>
      </c>
      <c r="M170" s="66">
        <f t="shared" si="16"/>
        <v>327</v>
      </c>
      <c r="N170" s="213"/>
    </row>
    <row r="171" spans="1:14">
      <c r="A171" s="66" t="s">
        <v>122</v>
      </c>
      <c r="B171" s="66">
        <v>700</v>
      </c>
      <c r="C171" s="66" t="s">
        <v>122</v>
      </c>
      <c r="D171" s="54">
        <f>ROUND(MEDIAN(D172:D200),0)</f>
        <v>152</v>
      </c>
      <c r="E171" s="54">
        <f t="shared" si="22"/>
        <v>152</v>
      </c>
      <c r="F171" s="54">
        <f t="shared" si="23"/>
        <v>0.69929399999999964</v>
      </c>
      <c r="G171" s="54"/>
      <c r="H171" s="66">
        <f t="shared" si="21"/>
        <v>0.05</v>
      </c>
      <c r="I171" s="90">
        <f>ROUND(AVERAGE(I172:I202),2)</f>
        <v>0.05</v>
      </c>
      <c r="J171" s="90">
        <f>ROUND(AVERAGE(J172:J202),2)</f>
        <v>0.1</v>
      </c>
      <c r="K171" s="90">
        <f>ROUND(AVERAGE(K172:K202),2)</f>
        <v>0.15</v>
      </c>
      <c r="L171" s="66" t="str">
        <f t="shared" si="18"/>
        <v>HZS_700</v>
      </c>
      <c r="M171" s="66">
        <f t="shared" ref="M171:M200" si="24">ROUND((E171*(1+časová_rezerva)*(1+pojistné))*(1+hr_PSV),0)</f>
        <v>363</v>
      </c>
      <c r="N171" s="213">
        <f>IF(koef&gt;0,VLOOKUP(B171&amp;koef,$A$211:$D$312,4,FALSE),0)</f>
        <v>0</v>
      </c>
    </row>
    <row r="172" spans="1:14">
      <c r="A172" s="66" t="s">
        <v>122</v>
      </c>
      <c r="B172" s="66">
        <v>711</v>
      </c>
      <c r="C172" s="66" t="s">
        <v>162</v>
      </c>
      <c r="D172" s="83">
        <f>ROUND(IF(DODAVATEL&gt;3,E$1199,IF(DODAVATEL=3,(E1199*2+E836)/3,E836)),2)</f>
        <v>142</v>
      </c>
      <c r="E172" s="54">
        <f t="shared" si="22"/>
        <v>142</v>
      </c>
      <c r="F172" s="54">
        <f t="shared" si="23"/>
        <v>0.69929399999999964</v>
      </c>
      <c r="G172" s="54"/>
      <c r="H172" s="66">
        <f t="shared" si="21"/>
        <v>0.05</v>
      </c>
      <c r="I172" s="84">
        <v>0.05</v>
      </c>
      <c r="J172" s="85">
        <f t="shared" ref="J172:J192" si="25">(I172+K172)/2</f>
        <v>0.1</v>
      </c>
      <c r="K172" s="84">
        <v>0.15</v>
      </c>
      <c r="L172" s="66" t="str">
        <f t="shared" si="18"/>
        <v>HZS_711</v>
      </c>
      <c r="M172" s="66">
        <f t="shared" si="24"/>
        <v>339</v>
      </c>
      <c r="N172" s="213">
        <f>IF(koef&gt;0,VLOOKUP(B172&amp;koef,$A$211:$D$312,4,FALSE),0)</f>
        <v>0</v>
      </c>
    </row>
    <row r="173" spans="1:14">
      <c r="A173" s="66" t="s">
        <v>122</v>
      </c>
      <c r="B173" s="66">
        <v>712</v>
      </c>
      <c r="C173" s="66" t="s">
        <v>18</v>
      </c>
      <c r="D173" s="54">
        <f>E849</f>
        <v>151.80000000000001</v>
      </c>
      <c r="E173" s="54">
        <f t="shared" si="22"/>
        <v>151.80000000000001</v>
      </c>
      <c r="F173" s="54">
        <f t="shared" si="23"/>
        <v>0.69929399999999964</v>
      </c>
      <c r="G173" s="54"/>
      <c r="H173" s="66">
        <f t="shared" si="21"/>
        <v>0.05</v>
      </c>
      <c r="I173" s="84">
        <v>0.05</v>
      </c>
      <c r="J173" s="85">
        <f t="shared" si="25"/>
        <v>0.1</v>
      </c>
      <c r="K173" s="84">
        <v>0.15</v>
      </c>
      <c r="L173" s="66" t="str">
        <f t="shared" si="18"/>
        <v>HZS_712</v>
      </c>
      <c r="M173" s="66">
        <f t="shared" si="24"/>
        <v>362</v>
      </c>
      <c r="N173" s="213">
        <f>IF(koef&gt;0,VLOOKUP(B173&amp;koef,$A$211:$D$312,4,FALSE),0)</f>
        <v>0</v>
      </c>
    </row>
    <row r="174" spans="1:14">
      <c r="A174" s="66" t="s">
        <v>122</v>
      </c>
      <c r="B174" s="66">
        <v>713</v>
      </c>
      <c r="C174" s="66" t="s">
        <v>163</v>
      </c>
      <c r="D174" s="54">
        <f>E866</f>
        <v>139.1</v>
      </c>
      <c r="E174" s="54">
        <f t="shared" si="22"/>
        <v>139.1</v>
      </c>
      <c r="F174" s="54">
        <f t="shared" si="23"/>
        <v>0.69929399999999964</v>
      </c>
      <c r="G174" s="54"/>
      <c r="H174" s="66">
        <f t="shared" si="21"/>
        <v>0.05</v>
      </c>
      <c r="I174" s="120">
        <v>0.05</v>
      </c>
      <c r="J174" s="121">
        <f t="shared" si="25"/>
        <v>0.1</v>
      </c>
      <c r="K174" s="120">
        <v>0.15</v>
      </c>
      <c r="L174" s="66" t="str">
        <f t="shared" si="18"/>
        <v>HZS_713</v>
      </c>
      <c r="M174" s="66">
        <f t="shared" si="24"/>
        <v>332</v>
      </c>
      <c r="N174" s="213">
        <f>IF(koef&gt;0,VLOOKUP(B174&amp;koef,$A$211:$D$312,4,FALSE),0)</f>
        <v>0</v>
      </c>
    </row>
    <row r="175" spans="1:14">
      <c r="A175" s="66" t="s">
        <v>122</v>
      </c>
      <c r="B175" s="66">
        <v>761</v>
      </c>
      <c r="C175" s="66" t="s">
        <v>164</v>
      </c>
      <c r="D175" s="54">
        <f>E873</f>
        <v>119.8</v>
      </c>
      <c r="E175" s="54">
        <f t="shared" si="22"/>
        <v>119.8</v>
      </c>
      <c r="F175" s="54">
        <f t="shared" si="23"/>
        <v>0.69929399999999964</v>
      </c>
      <c r="G175" s="54"/>
      <c r="H175" s="66">
        <f t="shared" si="21"/>
        <v>0.05</v>
      </c>
      <c r="I175" s="84">
        <v>0.05</v>
      </c>
      <c r="J175" s="85">
        <f t="shared" si="25"/>
        <v>0.1</v>
      </c>
      <c r="K175" s="84">
        <v>0.15</v>
      </c>
      <c r="L175" s="66" t="str">
        <f t="shared" si="18"/>
        <v>HZS_761</v>
      </c>
      <c r="M175" s="66">
        <f t="shared" si="24"/>
        <v>286</v>
      </c>
      <c r="N175" s="214">
        <f>IF(koef&gt;0,2%,0)</f>
        <v>0</v>
      </c>
    </row>
    <row r="176" spans="1:14">
      <c r="A176" s="66" t="s">
        <v>122</v>
      </c>
      <c r="B176" s="66">
        <v>762</v>
      </c>
      <c r="C176" s="66" t="s">
        <v>19</v>
      </c>
      <c r="D176" s="54">
        <f>E897</f>
        <v>154.80000000000001</v>
      </c>
      <c r="E176" s="54">
        <f t="shared" si="22"/>
        <v>154.80000000000001</v>
      </c>
      <c r="F176" s="54">
        <f t="shared" si="23"/>
        <v>0.69929399999999964</v>
      </c>
      <c r="G176" s="54"/>
      <c r="H176" s="66">
        <f t="shared" si="21"/>
        <v>0.05</v>
      </c>
      <c r="I176" s="84">
        <v>0.05</v>
      </c>
      <c r="J176" s="85">
        <f t="shared" si="25"/>
        <v>0.1</v>
      </c>
      <c r="K176" s="84">
        <v>0.15</v>
      </c>
      <c r="L176" s="66" t="str">
        <f t="shared" si="18"/>
        <v>HZS_762</v>
      </c>
      <c r="M176" s="66">
        <f t="shared" si="24"/>
        <v>369</v>
      </c>
      <c r="N176" s="213">
        <f t="shared" ref="N176:N197" si="26">IF(koef&gt;0,VLOOKUP(B176&amp;koef,$A$211:$D$312,4,FALSE),0)</f>
        <v>0</v>
      </c>
    </row>
    <row r="177" spans="1:14">
      <c r="A177" s="66" t="s">
        <v>122</v>
      </c>
      <c r="B177" s="66">
        <v>763</v>
      </c>
      <c r="C177" s="66" t="s">
        <v>632</v>
      </c>
      <c r="D177" s="103">
        <f>(D176+D181)/2</f>
        <v>152.15</v>
      </c>
      <c r="E177" s="54">
        <f t="shared" si="22"/>
        <v>152.19999999999999</v>
      </c>
      <c r="F177" s="54">
        <f t="shared" si="23"/>
        <v>0.69929399999999964</v>
      </c>
      <c r="G177" s="54"/>
      <c r="H177" s="66">
        <f>IF(SLEVY=1,$G$9,IF(SLEVY=2,$G$10+I177,IF(SLEVY=3,$G$11+J177,$G$12+K177)))</f>
        <v>0.05</v>
      </c>
      <c r="I177" s="84">
        <v>0.05</v>
      </c>
      <c r="J177" s="85">
        <f>(I177+K177)/2</f>
        <v>0.1</v>
      </c>
      <c r="K177" s="84">
        <v>0.15</v>
      </c>
      <c r="L177" s="66" t="str">
        <f t="shared" si="18"/>
        <v>HZS_763</v>
      </c>
      <c r="M177" s="66">
        <f t="shared" si="24"/>
        <v>363</v>
      </c>
      <c r="N177" s="213">
        <f t="shared" si="26"/>
        <v>0</v>
      </c>
    </row>
    <row r="178" spans="1:14">
      <c r="A178" s="66" t="s">
        <v>122</v>
      </c>
      <c r="B178" s="66">
        <v>764</v>
      </c>
      <c r="C178" s="66" t="s">
        <v>20</v>
      </c>
      <c r="D178" s="54">
        <f>E905</f>
        <v>139</v>
      </c>
      <c r="E178" s="54">
        <f t="shared" si="22"/>
        <v>139</v>
      </c>
      <c r="F178" s="54">
        <f t="shared" si="23"/>
        <v>0.69929399999999964</v>
      </c>
      <c r="G178" s="54"/>
      <c r="H178" s="66">
        <f t="shared" si="21"/>
        <v>0.05</v>
      </c>
      <c r="I178" s="84">
        <v>0.05</v>
      </c>
      <c r="J178" s="85">
        <f t="shared" si="25"/>
        <v>0.1</v>
      </c>
      <c r="K178" s="84">
        <v>0.15</v>
      </c>
      <c r="L178" s="66" t="str">
        <f t="shared" si="18"/>
        <v>HZS_764</v>
      </c>
      <c r="M178" s="66">
        <f t="shared" si="24"/>
        <v>332</v>
      </c>
      <c r="N178" s="213">
        <f t="shared" si="26"/>
        <v>0</v>
      </c>
    </row>
    <row r="179" spans="1:14">
      <c r="A179" s="66" t="s">
        <v>122</v>
      </c>
      <c r="B179" s="66">
        <v>765</v>
      </c>
      <c r="C179" s="66" t="s">
        <v>165</v>
      </c>
      <c r="D179" s="54">
        <f>E927</f>
        <v>147.30000000000001</v>
      </c>
      <c r="E179" s="54">
        <f t="shared" si="22"/>
        <v>147.30000000000001</v>
      </c>
      <c r="F179" s="54">
        <f t="shared" si="23"/>
        <v>0.69929399999999964</v>
      </c>
      <c r="G179" s="54"/>
      <c r="H179" s="66">
        <f t="shared" si="21"/>
        <v>0.05</v>
      </c>
      <c r="I179" s="84">
        <v>0.05</v>
      </c>
      <c r="J179" s="85">
        <f t="shared" si="25"/>
        <v>0.1</v>
      </c>
      <c r="K179" s="84">
        <v>0.15</v>
      </c>
      <c r="L179" s="66" t="str">
        <f t="shared" si="18"/>
        <v>HZS_765</v>
      </c>
      <c r="M179" s="66">
        <f t="shared" si="24"/>
        <v>351</v>
      </c>
      <c r="N179" s="213">
        <f t="shared" si="26"/>
        <v>0</v>
      </c>
    </row>
    <row r="180" spans="1:14">
      <c r="A180" s="66" t="s">
        <v>122</v>
      </c>
      <c r="B180" s="66">
        <v>766</v>
      </c>
      <c r="C180" s="66" t="s">
        <v>166</v>
      </c>
      <c r="D180" s="54">
        <f>E944</f>
        <v>143.19999999999999</v>
      </c>
      <c r="E180" s="54">
        <f t="shared" si="22"/>
        <v>143.19999999999999</v>
      </c>
      <c r="F180" s="54">
        <f t="shared" si="23"/>
        <v>0.69929399999999964</v>
      </c>
      <c r="G180" s="54"/>
      <c r="H180" s="66">
        <f t="shared" si="21"/>
        <v>0.05</v>
      </c>
      <c r="I180" s="84">
        <v>0.05</v>
      </c>
      <c r="J180" s="85">
        <f t="shared" si="25"/>
        <v>0.1</v>
      </c>
      <c r="K180" s="84">
        <v>0.15</v>
      </c>
      <c r="L180" s="66" t="str">
        <f t="shared" si="18"/>
        <v>HZS_766</v>
      </c>
      <c r="M180" s="66">
        <f t="shared" si="24"/>
        <v>342</v>
      </c>
      <c r="N180" s="213">
        <f t="shared" si="26"/>
        <v>0</v>
      </c>
    </row>
    <row r="181" spans="1:14">
      <c r="A181" s="66" t="s">
        <v>122</v>
      </c>
      <c r="B181" s="66">
        <v>767</v>
      </c>
      <c r="C181" s="66" t="s">
        <v>167</v>
      </c>
      <c r="D181" s="54">
        <f>E966</f>
        <v>149.5</v>
      </c>
      <c r="E181" s="54">
        <f t="shared" si="22"/>
        <v>149.5</v>
      </c>
      <c r="F181" s="54">
        <f t="shared" si="23"/>
        <v>0.69929399999999964</v>
      </c>
      <c r="G181" s="54"/>
      <c r="H181" s="66">
        <f t="shared" si="21"/>
        <v>0.05</v>
      </c>
      <c r="I181" s="84">
        <v>0.05</v>
      </c>
      <c r="J181" s="85">
        <f t="shared" si="25"/>
        <v>0.1</v>
      </c>
      <c r="K181" s="84">
        <v>0.15</v>
      </c>
      <c r="L181" s="66" t="str">
        <f t="shared" si="18"/>
        <v>HZS_767</v>
      </c>
      <c r="M181" s="66">
        <f t="shared" si="24"/>
        <v>357</v>
      </c>
      <c r="N181" s="213">
        <f t="shared" si="26"/>
        <v>0</v>
      </c>
    </row>
    <row r="182" spans="1:14">
      <c r="A182" s="66" t="s">
        <v>122</v>
      </c>
      <c r="B182" s="66">
        <v>771</v>
      </c>
      <c r="C182" s="66" t="s">
        <v>33</v>
      </c>
      <c r="D182" s="54">
        <f>E971</f>
        <v>152</v>
      </c>
      <c r="E182" s="54">
        <f t="shared" si="22"/>
        <v>152</v>
      </c>
      <c r="F182" s="54">
        <f t="shared" si="23"/>
        <v>0.69929399999999964</v>
      </c>
      <c r="G182" s="54"/>
      <c r="H182" s="66">
        <f t="shared" si="21"/>
        <v>0.05</v>
      </c>
      <c r="I182" s="84">
        <v>0.05</v>
      </c>
      <c r="J182" s="85">
        <f t="shared" si="25"/>
        <v>0.1</v>
      </c>
      <c r="K182" s="84">
        <v>0.15</v>
      </c>
      <c r="L182" s="66" t="str">
        <f t="shared" si="18"/>
        <v>HZS_771</v>
      </c>
      <c r="M182" s="66">
        <f t="shared" si="24"/>
        <v>363</v>
      </c>
      <c r="N182" s="213">
        <f t="shared" si="26"/>
        <v>0</v>
      </c>
    </row>
    <row r="183" spans="1:14">
      <c r="A183" s="66" t="s">
        <v>709</v>
      </c>
      <c r="B183" s="66">
        <v>772</v>
      </c>
      <c r="C183" s="66" t="s">
        <v>168</v>
      </c>
      <c r="D183" s="54">
        <f>E978</f>
        <v>158.30000000000001</v>
      </c>
      <c r="E183" s="103">
        <f>IF(DODAVATEL&gt;=5,ROUND(D183*VLOOKUP($B$37,$F$24:$H$37,3,FALSE),1),D183)</f>
        <v>158.30000000000001</v>
      </c>
      <c r="F183" s="103">
        <f>IF(DODAVATEL=1,D$97,IF(DODAVATEL=2,D$101,IF(DODAVATEL=3,D$105,IF(DODAVATEL=4,D$105,D$113))))</f>
        <v>0.94793900000000009</v>
      </c>
      <c r="G183" s="54"/>
      <c r="H183" s="66">
        <f t="shared" si="21"/>
        <v>0.05</v>
      </c>
      <c r="I183" s="84">
        <v>0.05</v>
      </c>
      <c r="J183" s="85">
        <f t="shared" si="25"/>
        <v>0.1</v>
      </c>
      <c r="K183" s="84">
        <v>0.15</v>
      </c>
      <c r="L183" s="66" t="str">
        <f t="shared" si="18"/>
        <v>HZS_772</v>
      </c>
      <c r="M183" s="66">
        <f t="shared" si="24"/>
        <v>378</v>
      </c>
      <c r="N183" s="213">
        <f t="shared" si="26"/>
        <v>0</v>
      </c>
    </row>
    <row r="184" spans="1:14">
      <c r="A184" s="66" t="s">
        <v>709</v>
      </c>
      <c r="B184" s="66">
        <v>773</v>
      </c>
      <c r="C184" s="66" t="s">
        <v>169</v>
      </c>
      <c r="D184" s="54">
        <f>E983</f>
        <v>152</v>
      </c>
      <c r="E184" s="103">
        <f>IF(DODAVATEL&gt;=5,ROUND(D184*VLOOKUP($B$37,$F$24:$H$37,3,FALSE),1),D184)</f>
        <v>152</v>
      </c>
      <c r="F184" s="103">
        <f>IF(DODAVATEL=1,D$97,IF(DODAVATEL=2,D$101,IF(DODAVATEL=3,D$105,IF(DODAVATEL=4,D$105,D$113))))</f>
        <v>0.94793900000000009</v>
      </c>
      <c r="G184" s="54"/>
      <c r="H184" s="66">
        <f t="shared" si="21"/>
        <v>0.05</v>
      </c>
      <c r="I184" s="84">
        <v>0.05</v>
      </c>
      <c r="J184" s="85">
        <f t="shared" si="25"/>
        <v>0.1</v>
      </c>
      <c r="K184" s="84">
        <v>0.15</v>
      </c>
      <c r="L184" s="66" t="str">
        <f t="shared" si="18"/>
        <v>HZS_773</v>
      </c>
      <c r="M184" s="66">
        <f t="shared" si="24"/>
        <v>363</v>
      </c>
      <c r="N184" s="213">
        <f t="shared" si="26"/>
        <v>0</v>
      </c>
    </row>
    <row r="185" spans="1:14">
      <c r="A185" s="66" t="s">
        <v>122</v>
      </c>
      <c r="B185" s="66">
        <v>775</v>
      </c>
      <c r="C185" s="66" t="s">
        <v>170</v>
      </c>
      <c r="D185" s="54">
        <f>E988</f>
        <v>152</v>
      </c>
      <c r="E185" s="54">
        <f>IF(DODAVATEL&gt;3,ROUND(D185*VLOOKUP($B$37,$F$24:$H$37,3,FALSE),1),D185)</f>
        <v>152</v>
      </c>
      <c r="F185" s="54">
        <f t="shared" si="23"/>
        <v>0.69929399999999964</v>
      </c>
      <c r="G185" s="54"/>
      <c r="H185" s="66">
        <f t="shared" si="21"/>
        <v>0.05</v>
      </c>
      <c r="I185" s="84">
        <v>0.05</v>
      </c>
      <c r="J185" s="85">
        <f t="shared" si="25"/>
        <v>0.1</v>
      </c>
      <c r="K185" s="84">
        <v>0.15</v>
      </c>
      <c r="L185" s="66" t="str">
        <f t="shared" si="18"/>
        <v>HZS_775</v>
      </c>
      <c r="M185" s="66">
        <f t="shared" si="24"/>
        <v>363</v>
      </c>
      <c r="N185" s="213">
        <f t="shared" si="26"/>
        <v>0</v>
      </c>
    </row>
    <row r="186" spans="1:14">
      <c r="A186" s="66" t="s">
        <v>122</v>
      </c>
      <c r="B186" s="66">
        <v>776</v>
      </c>
      <c r="C186" s="66" t="s">
        <v>36</v>
      </c>
      <c r="D186" s="54">
        <f>E993</f>
        <v>135</v>
      </c>
      <c r="E186" s="54">
        <f>IF(DODAVATEL&gt;3,ROUND(D186*VLOOKUP($B$37,$F$24:$H$37,3,FALSE),1),D186)</f>
        <v>135</v>
      </c>
      <c r="F186" s="54">
        <f t="shared" si="23"/>
        <v>0.69929399999999964</v>
      </c>
      <c r="G186" s="54"/>
      <c r="H186" s="66">
        <f t="shared" si="21"/>
        <v>0.05</v>
      </c>
      <c r="I186" s="84">
        <v>0.05</v>
      </c>
      <c r="J186" s="85">
        <f t="shared" si="25"/>
        <v>0.1</v>
      </c>
      <c r="K186" s="84">
        <v>0.15</v>
      </c>
      <c r="L186" s="66" t="str">
        <f t="shared" si="18"/>
        <v>HZS_776</v>
      </c>
      <c r="M186" s="66">
        <f t="shared" si="24"/>
        <v>322</v>
      </c>
      <c r="N186" s="213">
        <f t="shared" si="26"/>
        <v>0</v>
      </c>
    </row>
    <row r="187" spans="1:14">
      <c r="A187" s="66" t="s">
        <v>122</v>
      </c>
      <c r="B187" s="66">
        <v>777</v>
      </c>
      <c r="C187" s="66" t="s">
        <v>37</v>
      </c>
      <c r="D187" s="54">
        <f>E999</f>
        <v>152</v>
      </c>
      <c r="E187" s="54">
        <f>IF(DODAVATEL&gt;3,ROUND(D187*VLOOKUP($B$37,$F$24:$H$37,3,FALSE),1),D187)</f>
        <v>152</v>
      </c>
      <c r="F187" s="54">
        <f t="shared" si="23"/>
        <v>0.69929399999999964</v>
      </c>
      <c r="G187" s="54"/>
      <c r="H187" s="66">
        <f t="shared" si="21"/>
        <v>0.05</v>
      </c>
      <c r="I187" s="84">
        <v>0.05</v>
      </c>
      <c r="J187" s="85">
        <f t="shared" si="25"/>
        <v>0.1</v>
      </c>
      <c r="K187" s="84">
        <v>0.15</v>
      </c>
      <c r="L187" s="66" t="str">
        <f t="shared" si="18"/>
        <v>HZS_777</v>
      </c>
      <c r="M187" s="66">
        <f t="shared" si="24"/>
        <v>363</v>
      </c>
      <c r="N187" s="213">
        <f t="shared" si="26"/>
        <v>0</v>
      </c>
    </row>
    <row r="188" spans="1:14">
      <c r="A188" s="66" t="s">
        <v>122</v>
      </c>
      <c r="B188" s="66">
        <v>781</v>
      </c>
      <c r="C188" s="66" t="s">
        <v>171</v>
      </c>
      <c r="D188" s="54">
        <f>E1007</f>
        <v>153.4</v>
      </c>
      <c r="E188" s="54">
        <f>IF(DODAVATEL&gt;3,ROUND(D188*VLOOKUP($B$37,$F$24:$H$37,3,FALSE),1),D188)</f>
        <v>153.4</v>
      </c>
      <c r="F188" s="54">
        <f t="shared" si="23"/>
        <v>0.69929399999999964</v>
      </c>
      <c r="G188" s="54"/>
      <c r="H188" s="66">
        <f t="shared" si="21"/>
        <v>0.05</v>
      </c>
      <c r="I188" s="84">
        <v>0.05</v>
      </c>
      <c r="J188" s="85">
        <f t="shared" si="25"/>
        <v>0.1</v>
      </c>
      <c r="K188" s="84">
        <v>0.15</v>
      </c>
      <c r="L188" s="66" t="str">
        <f t="shared" si="18"/>
        <v>HZS_781</v>
      </c>
      <c r="M188" s="66">
        <f t="shared" si="24"/>
        <v>366</v>
      </c>
      <c r="N188" s="213">
        <f t="shared" si="26"/>
        <v>0</v>
      </c>
    </row>
    <row r="189" spans="1:14">
      <c r="A189" s="66" t="s">
        <v>709</v>
      </c>
      <c r="B189" s="66">
        <v>782</v>
      </c>
      <c r="C189" s="66" t="s">
        <v>172</v>
      </c>
      <c r="D189" s="54">
        <f>E1016</f>
        <v>168.3</v>
      </c>
      <c r="E189" s="103">
        <f>IF(DODAVATEL&gt;=5,ROUND(D189*VLOOKUP($B$37,$F$24:$H$37,3,FALSE),1),D189)</f>
        <v>168.3</v>
      </c>
      <c r="F189" s="103">
        <f>IF(DODAVATEL=1,D$97,IF(DODAVATEL=2,D$101,IF(DODAVATEL=3,D$105,IF(DODAVATEL=4,D$105,D$113))))</f>
        <v>0.94793900000000009</v>
      </c>
      <c r="G189" s="54"/>
      <c r="H189" s="66">
        <f t="shared" si="21"/>
        <v>0.05</v>
      </c>
      <c r="I189" s="84">
        <v>0.05</v>
      </c>
      <c r="J189" s="85">
        <f t="shared" si="25"/>
        <v>0.1</v>
      </c>
      <c r="K189" s="84">
        <v>0.15</v>
      </c>
      <c r="L189" s="66" t="str">
        <f t="shared" si="18"/>
        <v>HZS_782</v>
      </c>
      <c r="M189" s="66">
        <f t="shared" si="24"/>
        <v>402</v>
      </c>
      <c r="N189" s="213">
        <f t="shared" si="26"/>
        <v>0</v>
      </c>
    </row>
    <row r="190" spans="1:14">
      <c r="A190" s="66" t="s">
        <v>122</v>
      </c>
      <c r="B190" s="66">
        <v>783</v>
      </c>
      <c r="C190" s="66" t="s">
        <v>12</v>
      </c>
      <c r="D190" s="54">
        <f>E1025</f>
        <v>148.80000000000001</v>
      </c>
      <c r="E190" s="54">
        <f>IF(DODAVATEL&gt;3,ROUND(D190*VLOOKUP($B$37,$F$24:$H$37,3,FALSE),1),D190)</f>
        <v>148.80000000000001</v>
      </c>
      <c r="F190" s="54">
        <f t="shared" si="23"/>
        <v>0.69929399999999964</v>
      </c>
      <c r="G190" s="54"/>
      <c r="H190" s="66">
        <f t="shared" si="21"/>
        <v>0.05</v>
      </c>
      <c r="I190" s="84">
        <v>0.05</v>
      </c>
      <c r="J190" s="85">
        <f t="shared" si="25"/>
        <v>0.1</v>
      </c>
      <c r="K190" s="84">
        <v>0.15</v>
      </c>
      <c r="L190" s="66" t="str">
        <f t="shared" si="18"/>
        <v>HZS_783</v>
      </c>
      <c r="M190" s="66">
        <f t="shared" si="24"/>
        <v>355</v>
      </c>
      <c r="N190" s="213">
        <f t="shared" si="26"/>
        <v>0</v>
      </c>
    </row>
    <row r="191" spans="1:14">
      <c r="A191" s="66" t="s">
        <v>122</v>
      </c>
      <c r="B191" s="66">
        <v>784</v>
      </c>
      <c r="C191" s="66" t="s">
        <v>173</v>
      </c>
      <c r="D191" s="54">
        <f>E1030</f>
        <v>147</v>
      </c>
      <c r="E191" s="54">
        <f>IF(DODAVATEL&gt;3,ROUND(D191*VLOOKUP($B$37,$F$24:$H$37,3,FALSE),1),D191)</f>
        <v>147</v>
      </c>
      <c r="F191" s="54">
        <f t="shared" si="23"/>
        <v>0.69929399999999964</v>
      </c>
      <c r="G191" s="54"/>
      <c r="H191" s="66">
        <f t="shared" si="21"/>
        <v>0.05</v>
      </c>
      <c r="I191" s="84">
        <v>0.05</v>
      </c>
      <c r="J191" s="85">
        <f t="shared" si="25"/>
        <v>0.1</v>
      </c>
      <c r="K191" s="84">
        <v>0.15</v>
      </c>
      <c r="L191" s="66" t="str">
        <f t="shared" si="18"/>
        <v>HZS_784</v>
      </c>
      <c r="M191" s="66">
        <f t="shared" si="24"/>
        <v>351</v>
      </c>
      <c r="N191" s="213">
        <f t="shared" si="26"/>
        <v>0</v>
      </c>
    </row>
    <row r="192" spans="1:14">
      <c r="A192" s="66" t="s">
        <v>122</v>
      </c>
      <c r="B192" s="66">
        <v>787</v>
      </c>
      <c r="C192" s="66" t="s">
        <v>174</v>
      </c>
      <c r="D192" s="54">
        <f>E1035</f>
        <v>135</v>
      </c>
      <c r="E192" s="54">
        <f>IF(DODAVATEL&gt;3,ROUND(D192*VLOOKUP($B$37,$F$24:$H$37,3,FALSE),1),D192)</f>
        <v>135</v>
      </c>
      <c r="F192" s="54">
        <f t="shared" si="23"/>
        <v>0.69929399999999964</v>
      </c>
      <c r="G192" s="54"/>
      <c r="H192" s="66">
        <f t="shared" si="21"/>
        <v>0.05</v>
      </c>
      <c r="I192" s="84">
        <v>0.05</v>
      </c>
      <c r="J192" s="85">
        <f t="shared" si="25"/>
        <v>0.1</v>
      </c>
      <c r="K192" s="84">
        <v>0.15</v>
      </c>
      <c r="L192" s="66" t="str">
        <f t="shared" si="18"/>
        <v>HZS_787</v>
      </c>
      <c r="M192" s="66">
        <f t="shared" si="24"/>
        <v>322</v>
      </c>
      <c r="N192" s="213">
        <f t="shared" si="26"/>
        <v>0</v>
      </c>
    </row>
    <row r="193" spans="1:18">
      <c r="A193" s="66" t="s">
        <v>122</v>
      </c>
      <c r="B193" s="66">
        <v>799</v>
      </c>
      <c r="C193" s="83" t="s">
        <v>644</v>
      </c>
      <c r="D193" s="54"/>
      <c r="E193" s="135">
        <f>mzda_PSV</f>
        <v>152</v>
      </c>
      <c r="F193" s="54">
        <f t="shared" si="23"/>
        <v>0.69929399999999964</v>
      </c>
      <c r="G193" s="54"/>
      <c r="H193" s="91"/>
      <c r="I193" s="92"/>
      <c r="J193" s="92"/>
      <c r="K193" s="92"/>
      <c r="L193" s="66" t="str">
        <f t="shared" si="18"/>
        <v>HZS_799</v>
      </c>
      <c r="M193" s="66">
        <f t="shared" si="24"/>
        <v>363</v>
      </c>
      <c r="N193" s="213">
        <f t="shared" si="26"/>
        <v>0</v>
      </c>
    </row>
    <row r="194" spans="1:18">
      <c r="A194" s="66" t="s">
        <v>122</v>
      </c>
      <c r="B194" s="66">
        <v>721</v>
      </c>
      <c r="C194" s="66" t="s">
        <v>58</v>
      </c>
      <c r="D194" s="54">
        <f>E1044</f>
        <v>151.80000000000001</v>
      </c>
      <c r="E194" s="54">
        <f t="shared" ref="E194:E200" si="27">IF(DODAVATEL&gt;3,ROUND(D194*VLOOKUP($B$37,$F$24:$H$37,3,FALSE),1),D194)</f>
        <v>151.80000000000001</v>
      </c>
      <c r="F194" s="54">
        <f t="shared" si="23"/>
        <v>0.69929399999999964</v>
      </c>
      <c r="G194" s="54"/>
      <c r="H194" s="66">
        <f t="shared" ref="H194:H200" si="28">IF(SLEVY=1,$G$9,IF(SLEVY=2,$G$10+I194,IF(SLEVY=3,$G$11+J194,$G$12+K194)))</f>
        <v>0.05</v>
      </c>
      <c r="I194" s="84">
        <v>0.05</v>
      </c>
      <c r="J194" s="85">
        <f t="shared" ref="J194:J200" si="29">(I194+K194)/2</f>
        <v>0.1</v>
      </c>
      <c r="K194" s="84">
        <v>0.15</v>
      </c>
      <c r="L194" s="66" t="str">
        <f t="shared" si="18"/>
        <v>HZS_721</v>
      </c>
      <c r="M194" s="66">
        <f t="shared" si="24"/>
        <v>362</v>
      </c>
      <c r="N194" s="213">
        <f t="shared" si="26"/>
        <v>0</v>
      </c>
    </row>
    <row r="195" spans="1:18">
      <c r="A195" s="66" t="s">
        <v>122</v>
      </c>
      <c r="B195" s="66">
        <v>722</v>
      </c>
      <c r="C195" s="66" t="s">
        <v>59</v>
      </c>
      <c r="D195" s="54">
        <f>E1059</f>
        <v>153.30000000000001</v>
      </c>
      <c r="E195" s="54">
        <f t="shared" si="27"/>
        <v>153.30000000000001</v>
      </c>
      <c r="F195" s="54">
        <f t="shared" si="23"/>
        <v>0.69929399999999964</v>
      </c>
      <c r="G195" s="54"/>
      <c r="H195" s="66">
        <f t="shared" si="28"/>
        <v>0.05</v>
      </c>
      <c r="I195" s="84">
        <v>0.05</v>
      </c>
      <c r="J195" s="85">
        <f t="shared" si="29"/>
        <v>0.1</v>
      </c>
      <c r="K195" s="84">
        <v>0.15</v>
      </c>
      <c r="L195" s="66" t="str">
        <f t="shared" si="18"/>
        <v>HZS_722</v>
      </c>
      <c r="M195" s="66">
        <f t="shared" si="24"/>
        <v>366</v>
      </c>
      <c r="N195" s="213">
        <f t="shared" si="26"/>
        <v>0</v>
      </c>
    </row>
    <row r="196" spans="1:18">
      <c r="A196" s="66" t="s">
        <v>122</v>
      </c>
      <c r="B196" s="66">
        <v>723</v>
      </c>
      <c r="C196" s="66" t="s">
        <v>110</v>
      </c>
      <c r="D196" s="54">
        <f>E1072</f>
        <v>145.69999999999999</v>
      </c>
      <c r="E196" s="54">
        <f t="shared" si="27"/>
        <v>145.69999999999999</v>
      </c>
      <c r="F196" s="54">
        <f t="shared" si="23"/>
        <v>0.69929399999999964</v>
      </c>
      <c r="G196" s="54"/>
      <c r="H196" s="66">
        <f t="shared" si="28"/>
        <v>0.05</v>
      </c>
      <c r="I196" s="84">
        <v>0.05</v>
      </c>
      <c r="J196" s="85">
        <f t="shared" si="29"/>
        <v>0.1</v>
      </c>
      <c r="K196" s="84">
        <v>0.15</v>
      </c>
      <c r="L196" s="66" t="str">
        <f t="shared" si="18"/>
        <v>HZS_723</v>
      </c>
      <c r="M196" s="66">
        <f t="shared" si="24"/>
        <v>348</v>
      </c>
      <c r="N196" s="213">
        <f t="shared" si="26"/>
        <v>0</v>
      </c>
    </row>
    <row r="197" spans="1:18">
      <c r="A197" s="66" t="s">
        <v>122</v>
      </c>
      <c r="B197" s="66">
        <v>725</v>
      </c>
      <c r="C197" s="66" t="s">
        <v>61</v>
      </c>
      <c r="D197" s="83">
        <f>IF(OR(SLEVY&lt;3,DODAVATEL&gt;3),$E$1189,E1093)</f>
        <v>152</v>
      </c>
      <c r="E197" s="54">
        <f t="shared" si="27"/>
        <v>152</v>
      </c>
      <c r="F197" s="54">
        <f t="shared" si="23"/>
        <v>0.69929399999999964</v>
      </c>
      <c r="G197" s="54"/>
      <c r="H197" s="66">
        <f t="shared" si="28"/>
        <v>0.05</v>
      </c>
      <c r="I197" s="84">
        <v>0.05</v>
      </c>
      <c r="J197" s="85">
        <f t="shared" si="29"/>
        <v>0.125</v>
      </c>
      <c r="K197" s="84">
        <v>0.2</v>
      </c>
      <c r="L197" s="66" t="str">
        <f t="shared" si="18"/>
        <v>HZS_725</v>
      </c>
      <c r="M197" s="66">
        <f t="shared" si="24"/>
        <v>363</v>
      </c>
      <c r="N197" s="213">
        <f t="shared" si="26"/>
        <v>0</v>
      </c>
    </row>
    <row r="198" spans="1:18">
      <c r="A198" s="66" t="s">
        <v>122</v>
      </c>
      <c r="B198" s="66">
        <v>730</v>
      </c>
      <c r="C198" s="66" t="s">
        <v>175</v>
      </c>
      <c r="D198" s="54">
        <f>E1105</f>
        <v>160.6</v>
      </c>
      <c r="E198" s="54">
        <f t="shared" si="27"/>
        <v>160.6</v>
      </c>
      <c r="F198" s="54">
        <f t="shared" si="23"/>
        <v>0.69929399999999964</v>
      </c>
      <c r="G198" s="54"/>
      <c r="H198" s="66">
        <f t="shared" si="28"/>
        <v>0.05</v>
      </c>
      <c r="I198" s="84">
        <v>0.05</v>
      </c>
      <c r="J198" s="85">
        <f t="shared" si="29"/>
        <v>0.125</v>
      </c>
      <c r="K198" s="84">
        <v>0.2</v>
      </c>
      <c r="L198" s="66" t="str">
        <f t="shared" si="18"/>
        <v>HZS_730</v>
      </c>
      <c r="M198" s="66">
        <f t="shared" si="24"/>
        <v>383</v>
      </c>
      <c r="N198" s="214">
        <f>IF(koef&gt;0,2%,0)</f>
        <v>0</v>
      </c>
    </row>
    <row r="199" spans="1:18">
      <c r="A199" s="66" t="s">
        <v>710</v>
      </c>
      <c r="B199" s="66">
        <v>748</v>
      </c>
      <c r="C199" s="66" t="s">
        <v>176</v>
      </c>
      <c r="D199" s="54">
        <f>E1111</f>
        <v>170</v>
      </c>
      <c r="E199" s="54">
        <f t="shared" si="27"/>
        <v>170</v>
      </c>
      <c r="F199" s="54">
        <f t="shared" si="23"/>
        <v>0.8622399999999999</v>
      </c>
      <c r="G199" s="54"/>
      <c r="H199" s="66">
        <f t="shared" si="28"/>
        <v>0.05</v>
      </c>
      <c r="I199" s="84">
        <v>0.05</v>
      </c>
      <c r="J199" s="85">
        <f t="shared" si="29"/>
        <v>0.1</v>
      </c>
      <c r="K199" s="84">
        <v>0.15</v>
      </c>
      <c r="L199" s="66" t="str">
        <f t="shared" si="18"/>
        <v>HZS_748</v>
      </c>
      <c r="M199" s="66">
        <f t="shared" si="24"/>
        <v>406</v>
      </c>
      <c r="N199" s="214">
        <f>IF(koef&gt;0,2%,0)</f>
        <v>0</v>
      </c>
    </row>
    <row r="200" spans="1:18">
      <c r="A200" s="66" t="s">
        <v>710</v>
      </c>
      <c r="B200" s="66">
        <v>330</v>
      </c>
      <c r="C200" s="66" t="s">
        <v>88</v>
      </c>
      <c r="D200" s="54">
        <f>E1117</f>
        <v>163</v>
      </c>
      <c r="E200" s="54">
        <f t="shared" si="27"/>
        <v>163</v>
      </c>
      <c r="F200" s="54">
        <f t="shared" si="23"/>
        <v>0.8622399999999999</v>
      </c>
      <c r="G200" s="54"/>
      <c r="H200" s="66">
        <f t="shared" si="28"/>
        <v>0.05</v>
      </c>
      <c r="I200" s="84">
        <v>0</v>
      </c>
      <c r="J200" s="85">
        <f t="shared" si="29"/>
        <v>0.05</v>
      </c>
      <c r="K200" s="84">
        <v>0.1</v>
      </c>
      <c r="L200" s="66" t="str">
        <f t="shared" si="18"/>
        <v>HZS_330</v>
      </c>
      <c r="M200" s="66">
        <f t="shared" si="24"/>
        <v>389</v>
      </c>
      <c r="N200" s="214">
        <f>IF(koef&gt;0,2%,0)</f>
        <v>0</v>
      </c>
    </row>
    <row r="201" spans="1:18">
      <c r="A201" s="66" t="s">
        <v>121</v>
      </c>
      <c r="B201" s="66">
        <v>111</v>
      </c>
      <c r="C201" s="83" t="s">
        <v>645</v>
      </c>
      <c r="D201" s="54"/>
      <c r="E201" s="135">
        <f>mzda_HSV</f>
        <v>142.9</v>
      </c>
      <c r="F201" s="54">
        <f t="shared" si="23"/>
        <v>0.62945999999999991</v>
      </c>
      <c r="G201" s="54"/>
      <c r="L201" s="66" t="str">
        <f t="shared" si="18"/>
        <v>HZS_111</v>
      </c>
      <c r="M201" s="66">
        <f>ROUND((E201*(1+časová_rezerva)*(1+pojistné))*(1+hr_HSV),0)</f>
        <v>327</v>
      </c>
      <c r="N201" s="213"/>
    </row>
    <row r="202" spans="1:18">
      <c r="A202" s="66" t="s">
        <v>709</v>
      </c>
      <c r="B202" s="87">
        <v>800</v>
      </c>
      <c r="C202" s="87" t="s">
        <v>177</v>
      </c>
      <c r="D202" s="54">
        <f>E1195</f>
        <v>230</v>
      </c>
      <c r="E202" s="103">
        <f>IF(DODAVATEL&gt;=5,ROUND(D202*VLOOKUP($B$37,$F$24:$H$37,3,FALSE),1),D202)</f>
        <v>230</v>
      </c>
      <c r="F202" s="54">
        <f t="shared" si="23"/>
        <v>0.81280000000000019</v>
      </c>
      <c r="G202" s="54"/>
      <c r="H202" s="83">
        <f>IF(SLEVY=1,0,IF(SLEVY=2,I202,IF(SLEVY=3,J202,K202)))</f>
        <v>0</v>
      </c>
      <c r="I202" s="88">
        <v>0</v>
      </c>
      <c r="J202" s="89">
        <f>(I202+K202)/2</f>
        <v>0</v>
      </c>
      <c r="K202" s="88">
        <v>0</v>
      </c>
      <c r="L202" s="66" t="str">
        <f t="shared" si="18"/>
        <v>HZS_800</v>
      </c>
      <c r="M202" s="66">
        <f>ROUND((E202*(1+časová_rezerva)*(1+pojistné))*(1+hr_PSV),0)</f>
        <v>549</v>
      </c>
      <c r="N202" s="213"/>
      <c r="R202" s="66" t="s">
        <v>987</v>
      </c>
    </row>
    <row r="203" spans="1:18">
      <c r="A203" s="66" t="s">
        <v>709</v>
      </c>
      <c r="B203" s="87">
        <v>801</v>
      </c>
      <c r="C203" s="87" t="s">
        <v>983</v>
      </c>
      <c r="D203" s="146">
        <v>180</v>
      </c>
      <c r="E203" s="54">
        <f>D203</f>
        <v>180</v>
      </c>
      <c r="F203" s="54">
        <f t="shared" si="23"/>
        <v>0.81280000000000019</v>
      </c>
      <c r="G203" s="54"/>
      <c r="H203" s="83"/>
      <c r="I203" s="88"/>
      <c r="J203" s="89"/>
      <c r="K203" s="88"/>
      <c r="L203" s="66" t="str">
        <f t="shared" si="18"/>
        <v>HZS_801</v>
      </c>
      <c r="M203" s="66">
        <f>ROUND((E203*(1+časová_rezerva)*(1+pojistné))*(1+hr_PSV),0)</f>
        <v>429</v>
      </c>
      <c r="N203" s="213"/>
      <c r="R203" s="66">
        <f>D203*160</f>
        <v>28800</v>
      </c>
    </row>
    <row r="204" spans="1:18">
      <c r="A204" s="66" t="s">
        <v>709</v>
      </c>
      <c r="B204" s="87">
        <v>802</v>
      </c>
      <c r="C204" s="87" t="s">
        <v>984</v>
      </c>
      <c r="D204" s="146">
        <v>250</v>
      </c>
      <c r="E204" s="54">
        <f t="shared" ref="E204:E206" si="30">D204</f>
        <v>250</v>
      </c>
      <c r="F204" s="54">
        <f t="shared" si="23"/>
        <v>0.81280000000000019</v>
      </c>
      <c r="G204" s="54"/>
      <c r="H204" s="83"/>
      <c r="I204" s="88"/>
      <c r="J204" s="89"/>
      <c r="K204" s="88"/>
      <c r="L204" s="66" t="str">
        <f t="shared" ref="L204:L206" si="31">"HZS_"&amp;B204</f>
        <v>HZS_802</v>
      </c>
      <c r="M204" s="66">
        <f>ROUND((E204*(1+časová_rezerva)*(1+pojistné))*(1+hr_PSV),0)</f>
        <v>596</v>
      </c>
      <c r="N204" s="213"/>
      <c r="R204" s="66">
        <f>D204*160</f>
        <v>40000</v>
      </c>
    </row>
    <row r="205" spans="1:18">
      <c r="A205" s="66" t="s">
        <v>709</v>
      </c>
      <c r="B205" s="66">
        <v>803</v>
      </c>
      <c r="C205" s="87" t="s">
        <v>985</v>
      </c>
      <c r="D205" s="146">
        <v>315</v>
      </c>
      <c r="E205" s="54">
        <f t="shared" si="30"/>
        <v>315</v>
      </c>
      <c r="F205" s="54">
        <f t="shared" si="23"/>
        <v>0.81280000000000019</v>
      </c>
      <c r="G205" s="54"/>
      <c r="H205" s="83"/>
      <c r="I205" s="88"/>
      <c r="J205" s="89"/>
      <c r="K205" s="88"/>
      <c r="L205" s="66" t="str">
        <f t="shared" si="31"/>
        <v>HZS_803</v>
      </c>
      <c r="M205" s="66">
        <f>ROUND((E205*(1+časová_rezerva)*(1+pojistné))*(1+hr_PSV),0)</f>
        <v>752</v>
      </c>
      <c r="N205" s="213"/>
      <c r="R205" s="66">
        <f>D205*160</f>
        <v>50400</v>
      </c>
    </row>
    <row r="206" spans="1:18">
      <c r="A206" s="66" t="s">
        <v>709</v>
      </c>
      <c r="B206" s="66">
        <v>804</v>
      </c>
      <c r="C206" s="87" t="s">
        <v>986</v>
      </c>
      <c r="D206" s="146">
        <v>500</v>
      </c>
      <c r="E206" s="54">
        <f t="shared" si="30"/>
        <v>500</v>
      </c>
      <c r="F206" s="54">
        <f t="shared" si="23"/>
        <v>0.81280000000000019</v>
      </c>
      <c r="G206" s="54"/>
      <c r="H206" s="83"/>
      <c r="I206" s="88"/>
      <c r="J206" s="89"/>
      <c r="K206" s="88"/>
      <c r="L206" s="66" t="str">
        <f t="shared" si="31"/>
        <v>HZS_804</v>
      </c>
      <c r="M206" s="66">
        <f>ROUND((E206*(1+časová_rezerva)*(1+pojistné))*(1+hr_PSV),0)</f>
        <v>1193</v>
      </c>
      <c r="N206" s="213"/>
      <c r="R206" s="66">
        <f>D206*160</f>
        <v>80000</v>
      </c>
    </row>
    <row r="208" spans="1:18">
      <c r="C208" s="93" t="s">
        <v>178</v>
      </c>
    </row>
    <row r="210" spans="1:4">
      <c r="C210" s="69" t="s">
        <v>1270</v>
      </c>
    </row>
    <row r="211" spans="1:4">
      <c r="A211" s="213" t="s">
        <v>1168</v>
      </c>
      <c r="B211" s="213" t="s">
        <v>1008</v>
      </c>
      <c r="C211" s="213" t="s">
        <v>1009</v>
      </c>
      <c r="D211" s="213">
        <v>3.7499999999999999E-2</v>
      </c>
    </row>
    <row r="212" spans="1:4">
      <c r="A212" s="213" t="s">
        <v>1169</v>
      </c>
      <c r="B212" s="213" t="s">
        <v>1010</v>
      </c>
      <c r="C212" s="213" t="s">
        <v>1011</v>
      </c>
      <c r="D212" s="213">
        <v>0.04</v>
      </c>
    </row>
    <row r="213" spans="1:4">
      <c r="A213" s="213" t="s">
        <v>1170</v>
      </c>
      <c r="B213" s="213" t="s">
        <v>1012</v>
      </c>
      <c r="C213" s="213" t="s">
        <v>1013</v>
      </c>
      <c r="D213" s="213">
        <v>4.3499999999999997E-2</v>
      </c>
    </row>
    <row r="214" spans="1:4">
      <c r="A214" s="213" t="s">
        <v>1171</v>
      </c>
      <c r="B214" s="213" t="s">
        <v>1014</v>
      </c>
      <c r="C214" s="213" t="s">
        <v>1015</v>
      </c>
      <c r="D214" s="213">
        <v>3.3500000000000002E-2</v>
      </c>
    </row>
    <row r="215" spans="1:4">
      <c r="A215" s="213" t="s">
        <v>1172</v>
      </c>
      <c r="B215" s="213" t="s">
        <v>1016</v>
      </c>
      <c r="C215" s="213" t="s">
        <v>1017</v>
      </c>
      <c r="D215" s="213">
        <v>3.5999999999999997E-2</v>
      </c>
    </row>
    <row r="216" spans="1:4">
      <c r="A216" s="213" t="s">
        <v>1173</v>
      </c>
      <c r="B216" s="213" t="s">
        <v>1018</v>
      </c>
      <c r="C216" s="213" t="s">
        <v>1019</v>
      </c>
      <c r="D216" s="213">
        <v>4.1000000000000002E-2</v>
      </c>
    </row>
    <row r="217" spans="1:4">
      <c r="A217" s="213" t="s">
        <v>1174</v>
      </c>
      <c r="B217" s="213" t="s">
        <v>1020</v>
      </c>
      <c r="C217" s="213" t="s">
        <v>1021</v>
      </c>
      <c r="D217" s="213">
        <v>1.9E-2</v>
      </c>
    </row>
    <row r="218" spans="1:4">
      <c r="A218" s="213" t="s">
        <v>1175</v>
      </c>
      <c r="B218" s="213" t="s">
        <v>1022</v>
      </c>
      <c r="C218" s="213" t="s">
        <v>1023</v>
      </c>
      <c r="D218" s="213">
        <v>0.02</v>
      </c>
    </row>
    <row r="219" spans="1:4">
      <c r="A219" s="213" t="s">
        <v>1176</v>
      </c>
      <c r="B219" s="213" t="s">
        <v>1024</v>
      </c>
      <c r="C219" s="213" t="s">
        <v>1025</v>
      </c>
      <c r="D219" s="213">
        <v>2.3E-2</v>
      </c>
    </row>
    <row r="220" spans="1:4">
      <c r="A220" s="213" t="s">
        <v>1177</v>
      </c>
      <c r="B220" s="213" t="s">
        <v>1026</v>
      </c>
      <c r="C220" s="213" t="s">
        <v>1027</v>
      </c>
      <c r="D220" s="213">
        <v>1.6500000000000001E-2</v>
      </c>
    </row>
    <row r="221" spans="1:4">
      <c r="A221" s="213" t="s">
        <v>1178</v>
      </c>
      <c r="B221" s="213" t="s">
        <v>1028</v>
      </c>
      <c r="C221" s="213" t="s">
        <v>1029</v>
      </c>
      <c r="D221" s="213">
        <v>1.7500000000000002E-2</v>
      </c>
    </row>
    <row r="222" spans="1:4">
      <c r="A222" s="213" t="s">
        <v>1179</v>
      </c>
      <c r="B222" s="213" t="s">
        <v>1030</v>
      </c>
      <c r="C222" s="213" t="s">
        <v>1031</v>
      </c>
      <c r="D222" s="213">
        <v>1.8499999999999999E-2</v>
      </c>
    </row>
    <row r="223" spans="1:4">
      <c r="A223" s="213" t="s">
        <v>1180</v>
      </c>
      <c r="B223" s="213" t="s">
        <v>1032</v>
      </c>
      <c r="C223" s="213" t="s">
        <v>1033</v>
      </c>
      <c r="D223" s="213">
        <v>1.15E-2</v>
      </c>
    </row>
    <row r="224" spans="1:4">
      <c r="A224" s="213" t="s">
        <v>1181</v>
      </c>
      <c r="B224" s="213" t="s">
        <v>1034</v>
      </c>
      <c r="C224" s="213" t="s">
        <v>1035</v>
      </c>
      <c r="D224" s="213">
        <v>1.2E-2</v>
      </c>
    </row>
    <row r="225" spans="1:4">
      <c r="A225" s="213" t="s">
        <v>1182</v>
      </c>
      <c r="B225" s="213" t="s">
        <v>1036</v>
      </c>
      <c r="C225" s="213" t="s">
        <v>1037</v>
      </c>
      <c r="D225" s="213">
        <v>1.2500000000000001E-2</v>
      </c>
    </row>
    <row r="226" spans="1:4">
      <c r="A226" s="213" t="s">
        <v>1183</v>
      </c>
      <c r="B226" s="213" t="s">
        <v>1038</v>
      </c>
      <c r="C226" s="213" t="s">
        <v>1039</v>
      </c>
      <c r="D226" s="213">
        <v>1.15E-2</v>
      </c>
    </row>
    <row r="227" spans="1:4">
      <c r="A227" s="213" t="s">
        <v>1184</v>
      </c>
      <c r="B227" s="213" t="s">
        <v>1040</v>
      </c>
      <c r="C227" s="213" t="s">
        <v>1041</v>
      </c>
      <c r="D227" s="213">
        <v>1.2E-2</v>
      </c>
    </row>
    <row r="228" spans="1:4">
      <c r="A228" s="213" t="s">
        <v>1185</v>
      </c>
      <c r="B228" s="213" t="s">
        <v>1042</v>
      </c>
      <c r="C228" s="213" t="s">
        <v>1043</v>
      </c>
      <c r="D228" s="213">
        <v>1.2500000000000001E-2</v>
      </c>
    </row>
    <row r="229" spans="1:4">
      <c r="A229" s="213" t="s">
        <v>1186</v>
      </c>
      <c r="B229" s="213" t="s">
        <v>1044</v>
      </c>
      <c r="C229" s="213" t="s">
        <v>1045</v>
      </c>
      <c r="D229" s="213">
        <v>6.7999999999999996E-3</v>
      </c>
    </row>
    <row r="230" spans="1:4">
      <c r="A230" s="213" t="s">
        <v>1187</v>
      </c>
      <c r="B230" s="213" t="s">
        <v>1046</v>
      </c>
      <c r="C230" s="213" t="s">
        <v>1047</v>
      </c>
      <c r="D230" s="213">
        <v>7.0000000000000001E-3</v>
      </c>
    </row>
    <row r="231" spans="1:4">
      <c r="A231" s="213" t="s">
        <v>1188</v>
      </c>
      <c r="B231" s="213" t="s">
        <v>1048</v>
      </c>
      <c r="C231" s="213" t="s">
        <v>1049</v>
      </c>
      <c r="D231" s="213">
        <v>7.1999999999999998E-3</v>
      </c>
    </row>
    <row r="232" spans="1:4">
      <c r="A232" s="213" t="s">
        <v>1189</v>
      </c>
      <c r="B232" s="213" t="s">
        <v>1050</v>
      </c>
      <c r="C232" s="213" t="s">
        <v>1051</v>
      </c>
      <c r="D232" s="213">
        <v>2.8E-3</v>
      </c>
    </row>
    <row r="233" spans="1:4">
      <c r="A233" s="213" t="s">
        <v>1190</v>
      </c>
      <c r="B233" s="213" t="s">
        <v>1052</v>
      </c>
      <c r="C233" s="213" t="s">
        <v>1053</v>
      </c>
      <c r="D233" s="213">
        <v>3.0999999999999999E-3</v>
      </c>
    </row>
    <row r="234" spans="1:4">
      <c r="A234" s="213" t="s">
        <v>1191</v>
      </c>
      <c r="B234" s="213" t="s">
        <v>1054</v>
      </c>
      <c r="C234" s="213" t="s">
        <v>1055</v>
      </c>
      <c r="D234" s="213">
        <v>3.3E-3</v>
      </c>
    </row>
    <row r="235" spans="1:4">
      <c r="A235" s="213" t="s">
        <v>1192</v>
      </c>
      <c r="B235" s="213" t="s">
        <v>1056</v>
      </c>
      <c r="C235" s="213" t="s">
        <v>1057</v>
      </c>
      <c r="D235" s="213">
        <v>4.0500000000000001E-2</v>
      </c>
    </row>
    <row r="236" spans="1:4">
      <c r="A236" s="213" t="s">
        <v>1193</v>
      </c>
      <c r="B236" s="213" t="s">
        <v>1058</v>
      </c>
      <c r="C236" s="213" t="s">
        <v>1059</v>
      </c>
      <c r="D236" s="213">
        <v>4.5499999999999999E-2</v>
      </c>
    </row>
    <row r="237" spans="1:4">
      <c r="A237" s="213" t="s">
        <v>1194</v>
      </c>
      <c r="B237" s="213" t="s">
        <v>1058</v>
      </c>
      <c r="C237" s="213" t="s">
        <v>1059</v>
      </c>
      <c r="D237" s="213">
        <v>4.5499999999999999E-2</v>
      </c>
    </row>
    <row r="238" spans="1:4">
      <c r="A238" s="213" t="s">
        <v>1195</v>
      </c>
      <c r="B238" s="213" t="s">
        <v>1060</v>
      </c>
      <c r="C238" s="213" t="s">
        <v>1061</v>
      </c>
      <c r="D238" s="213">
        <v>1.7500000000000002E-2</v>
      </c>
    </row>
    <row r="239" spans="1:4">
      <c r="A239" s="213" t="s">
        <v>1196</v>
      </c>
      <c r="B239" s="213" t="s">
        <v>1062</v>
      </c>
      <c r="C239" s="213" t="s">
        <v>1063</v>
      </c>
      <c r="D239" s="213">
        <v>1.7999999999999999E-2</v>
      </c>
    </row>
    <row r="240" spans="1:4">
      <c r="A240" s="213" t="s">
        <v>1197</v>
      </c>
      <c r="B240" s="213" t="s">
        <v>1062</v>
      </c>
      <c r="C240" s="213" t="s">
        <v>1063</v>
      </c>
      <c r="D240" s="213">
        <v>1.7999999999999999E-2</v>
      </c>
    </row>
    <row r="241" spans="1:4">
      <c r="A241" s="213" t="s">
        <v>1198</v>
      </c>
      <c r="B241" s="213" t="s">
        <v>1064</v>
      </c>
      <c r="C241" s="213" t="s">
        <v>1065</v>
      </c>
      <c r="D241" s="213">
        <v>3.2000000000000001E-2</v>
      </c>
    </row>
    <row r="242" spans="1:4">
      <c r="A242" s="213" t="s">
        <v>1199</v>
      </c>
      <c r="B242" s="213" t="s">
        <v>1066</v>
      </c>
      <c r="C242" s="213" t="s">
        <v>1067</v>
      </c>
      <c r="D242" s="213">
        <v>3.5499999999999997E-2</v>
      </c>
    </row>
    <row r="243" spans="1:4">
      <c r="A243" s="213" t="s">
        <v>1200</v>
      </c>
      <c r="B243" s="213" t="s">
        <v>1066</v>
      </c>
      <c r="C243" s="213" t="s">
        <v>1067</v>
      </c>
      <c r="D243" s="213">
        <v>3.5499999999999997E-2</v>
      </c>
    </row>
    <row r="244" spans="1:4">
      <c r="A244" s="213" t="s">
        <v>1201</v>
      </c>
      <c r="B244" s="213" t="s">
        <v>1068</v>
      </c>
      <c r="C244" s="213" t="s">
        <v>1069</v>
      </c>
      <c r="D244" s="213">
        <v>3.7000000000000002E-3</v>
      </c>
    </row>
    <row r="245" spans="1:4">
      <c r="A245" s="213" t="s">
        <v>1202</v>
      </c>
      <c r="B245" s="213" t="s">
        <v>1070</v>
      </c>
      <c r="C245" s="213" t="s">
        <v>1071</v>
      </c>
      <c r="D245" s="213">
        <v>4.0000000000000001E-3</v>
      </c>
    </row>
    <row r="246" spans="1:4">
      <c r="A246" s="213" t="s">
        <v>1203</v>
      </c>
      <c r="B246" s="213" t="s">
        <v>1070</v>
      </c>
      <c r="C246" s="213" t="s">
        <v>1071</v>
      </c>
      <c r="D246" s="213">
        <v>4.0000000000000001E-3</v>
      </c>
    </row>
    <row r="247" spans="1:4">
      <c r="A247" s="213" t="s">
        <v>1204</v>
      </c>
      <c r="B247" s="213" t="s">
        <v>1072</v>
      </c>
      <c r="C247" s="213" t="s">
        <v>1073</v>
      </c>
      <c r="D247" s="213">
        <v>2.75E-2</v>
      </c>
    </row>
    <row r="248" spans="1:4">
      <c r="A248" s="213" t="s">
        <v>1205</v>
      </c>
      <c r="B248" s="213" t="s">
        <v>1074</v>
      </c>
      <c r="C248" s="213" t="s">
        <v>1075</v>
      </c>
      <c r="D248" s="213">
        <v>2.8500000000000001E-2</v>
      </c>
    </row>
    <row r="249" spans="1:4">
      <c r="A249" s="213" t="s">
        <v>1206</v>
      </c>
      <c r="B249" s="213" t="s">
        <v>1076</v>
      </c>
      <c r="C249" s="213" t="s">
        <v>1077</v>
      </c>
      <c r="D249" s="213">
        <v>2.9000000000000001E-2</v>
      </c>
    </row>
    <row r="250" spans="1:4">
      <c r="A250" s="213" t="s">
        <v>1207</v>
      </c>
      <c r="B250" s="213" t="s">
        <v>1078</v>
      </c>
      <c r="C250" s="213" t="s">
        <v>1079</v>
      </c>
      <c r="D250" s="213">
        <v>1.0999999999999999E-2</v>
      </c>
    </row>
    <row r="251" spans="1:4">
      <c r="A251" s="213" t="s">
        <v>1208</v>
      </c>
      <c r="B251" s="213" t="s">
        <v>1080</v>
      </c>
      <c r="C251" s="213" t="s">
        <v>1081</v>
      </c>
      <c r="D251" s="213">
        <v>1.15E-2</v>
      </c>
    </row>
    <row r="252" spans="1:4">
      <c r="A252" s="213" t="s">
        <v>1209</v>
      </c>
      <c r="B252" s="213" t="s">
        <v>1082</v>
      </c>
      <c r="C252" s="213" t="s">
        <v>1083</v>
      </c>
      <c r="D252" s="213">
        <v>1.2500000000000001E-2</v>
      </c>
    </row>
    <row r="253" spans="1:4">
      <c r="A253" s="213" t="s">
        <v>1210</v>
      </c>
      <c r="B253" s="213" t="s">
        <v>1082</v>
      </c>
      <c r="C253" s="213" t="s">
        <v>1084</v>
      </c>
      <c r="D253" s="213">
        <v>6.7999999999999996E-3</v>
      </c>
    </row>
    <row r="254" spans="1:4">
      <c r="A254" s="213" t="s">
        <v>1211</v>
      </c>
      <c r="B254" s="213" t="s">
        <v>1082</v>
      </c>
      <c r="C254" s="213" t="s">
        <v>1085</v>
      </c>
      <c r="D254" s="213">
        <v>7.0000000000000001E-3</v>
      </c>
    </row>
    <row r="255" spans="1:4">
      <c r="A255" s="213" t="s">
        <v>1212</v>
      </c>
      <c r="B255" s="213" t="s">
        <v>1082</v>
      </c>
      <c r="C255" s="213" t="s">
        <v>1086</v>
      </c>
      <c r="D255" s="213">
        <v>7.1999999999999998E-3</v>
      </c>
    </row>
    <row r="256" spans="1:4">
      <c r="A256" s="213" t="s">
        <v>1213</v>
      </c>
      <c r="B256" s="213" t="s">
        <v>1087</v>
      </c>
      <c r="C256" s="213" t="s">
        <v>1088</v>
      </c>
      <c r="D256" s="213">
        <v>6.6000000000000003E-2</v>
      </c>
    </row>
    <row r="257" spans="1:4">
      <c r="A257" s="213" t="s">
        <v>1214</v>
      </c>
      <c r="B257" s="213" t="s">
        <v>1087</v>
      </c>
      <c r="C257" s="213" t="s">
        <v>1089</v>
      </c>
      <c r="D257" s="213">
        <v>6.6000000000000003E-2</v>
      </c>
    </row>
    <row r="258" spans="1:4">
      <c r="A258" s="213" t="s">
        <v>1215</v>
      </c>
      <c r="B258" s="213" t="s">
        <v>1090</v>
      </c>
      <c r="C258" s="213" t="s">
        <v>1091</v>
      </c>
      <c r="D258" s="213">
        <v>7.0000000000000007E-2</v>
      </c>
    </row>
    <row r="259" spans="1:4">
      <c r="A259" s="213" t="s">
        <v>1216</v>
      </c>
      <c r="B259" s="213" t="s">
        <v>1092</v>
      </c>
      <c r="C259" s="213" t="s">
        <v>1093</v>
      </c>
      <c r="D259" s="213">
        <v>1.8499999999999999E-2</v>
      </c>
    </row>
    <row r="260" spans="1:4">
      <c r="A260" s="213" t="s">
        <v>1217</v>
      </c>
      <c r="B260" s="213" t="s">
        <v>1094</v>
      </c>
      <c r="C260" s="213" t="s">
        <v>1095</v>
      </c>
      <c r="D260" s="213">
        <v>1.95E-2</v>
      </c>
    </row>
    <row r="261" spans="1:4">
      <c r="A261" s="213" t="s">
        <v>1218</v>
      </c>
      <c r="B261" s="213" t="s">
        <v>1096</v>
      </c>
      <c r="C261" s="213" t="s">
        <v>1097</v>
      </c>
      <c r="D261" s="213">
        <v>0.02</v>
      </c>
    </row>
    <row r="262" spans="1:4">
      <c r="A262" s="213" t="s">
        <v>1219</v>
      </c>
      <c r="B262" s="213" t="s">
        <v>1098</v>
      </c>
      <c r="C262" s="213" t="s">
        <v>1099</v>
      </c>
      <c r="D262" s="213">
        <v>0.06</v>
      </c>
    </row>
    <row r="263" spans="1:4">
      <c r="A263" s="213" t="s">
        <v>1220</v>
      </c>
      <c r="B263" s="213" t="s">
        <v>1100</v>
      </c>
      <c r="C263" s="213" t="s">
        <v>1101</v>
      </c>
      <c r="D263" s="213">
        <v>6.8000000000000005E-2</v>
      </c>
    </row>
    <row r="264" spans="1:4">
      <c r="A264" s="213" t="s">
        <v>1221</v>
      </c>
      <c r="B264" s="213" t="s">
        <v>1102</v>
      </c>
      <c r="C264" s="213" t="s">
        <v>1103</v>
      </c>
      <c r="D264" s="213">
        <v>7.5999999999999998E-2</v>
      </c>
    </row>
    <row r="265" spans="1:4">
      <c r="A265" s="213" t="s">
        <v>1222</v>
      </c>
      <c r="B265" s="213" t="s">
        <v>1104</v>
      </c>
      <c r="C265" s="213" t="s">
        <v>1105</v>
      </c>
      <c r="D265" s="213">
        <v>9.9000000000000008E-3</v>
      </c>
    </row>
    <row r="266" spans="1:4">
      <c r="A266" s="213" t="s">
        <v>1223</v>
      </c>
      <c r="B266" s="213" t="s">
        <v>1106</v>
      </c>
      <c r="C266" s="213" t="s">
        <v>1107</v>
      </c>
      <c r="D266" s="213">
        <v>1.4E-2</v>
      </c>
    </row>
    <row r="267" spans="1:4">
      <c r="A267" s="213" t="s">
        <v>1224</v>
      </c>
      <c r="B267" s="213" t="s">
        <v>1108</v>
      </c>
      <c r="C267" s="213" t="s">
        <v>1109</v>
      </c>
      <c r="D267" s="213">
        <v>1.55E-2</v>
      </c>
    </row>
    <row r="268" spans="1:4">
      <c r="A268" s="213" t="s">
        <v>1225</v>
      </c>
      <c r="B268" s="213" t="s">
        <v>1110</v>
      </c>
      <c r="C268" s="213" t="s">
        <v>1111</v>
      </c>
      <c r="D268" s="213">
        <v>1.7000000000000001E-2</v>
      </c>
    </row>
    <row r="269" spans="1:4">
      <c r="A269" s="213" t="s">
        <v>1226</v>
      </c>
      <c r="B269" s="213" t="s">
        <v>1112</v>
      </c>
      <c r="C269" s="213" t="s">
        <v>1113</v>
      </c>
      <c r="D269" s="213">
        <v>1.9E-2</v>
      </c>
    </row>
    <row r="270" spans="1:4">
      <c r="A270" s="213" t="s">
        <v>1227</v>
      </c>
      <c r="B270" s="213" t="s">
        <v>1114</v>
      </c>
      <c r="C270" s="213" t="s">
        <v>1115</v>
      </c>
      <c r="D270" s="213">
        <v>2.1000000000000001E-2</v>
      </c>
    </row>
    <row r="271" spans="1:4">
      <c r="A271" s="213" t="s">
        <v>1228</v>
      </c>
      <c r="B271" s="213" t="s">
        <v>1116</v>
      </c>
      <c r="C271" s="213" t="s">
        <v>1117</v>
      </c>
      <c r="D271" s="213">
        <v>0.06</v>
      </c>
    </row>
    <row r="272" spans="1:4">
      <c r="A272" s="213" t="s">
        <v>1229</v>
      </c>
      <c r="B272" s="213" t="s">
        <v>1118</v>
      </c>
      <c r="C272" s="213" t="s">
        <v>1119</v>
      </c>
      <c r="D272" s="213">
        <v>6.6000000000000003E-2</v>
      </c>
    </row>
    <row r="273" spans="1:4">
      <c r="A273" s="213" t="s">
        <v>1230</v>
      </c>
      <c r="B273" s="213" t="s">
        <v>1120</v>
      </c>
      <c r="C273" s="213" t="s">
        <v>1121</v>
      </c>
      <c r="D273" s="213">
        <v>7.8E-2</v>
      </c>
    </row>
    <row r="274" spans="1:4">
      <c r="A274" s="213" t="s">
        <v>1231</v>
      </c>
      <c r="B274" s="213" t="s">
        <v>1122</v>
      </c>
      <c r="C274" s="213" t="s">
        <v>1123</v>
      </c>
      <c r="D274" s="213">
        <v>4.1500000000000002E-2</v>
      </c>
    </row>
    <row r="275" spans="1:4">
      <c r="A275" s="213" t="s">
        <v>1232</v>
      </c>
      <c r="B275" s="213" t="s">
        <v>1124</v>
      </c>
      <c r="C275" s="213" t="s">
        <v>1125</v>
      </c>
      <c r="D275" s="213">
        <v>5.8000000000000003E-2</v>
      </c>
    </row>
    <row r="276" spans="1:4">
      <c r="A276" s="213" t="s">
        <v>1233</v>
      </c>
      <c r="B276" s="213" t="s">
        <v>1126</v>
      </c>
      <c r="C276" s="213" t="s">
        <v>1127</v>
      </c>
      <c r="D276" s="213">
        <v>8.2000000000000003E-2</v>
      </c>
    </row>
    <row r="277" spans="1:4">
      <c r="A277" s="213" t="s">
        <v>1234</v>
      </c>
      <c r="B277" s="213" t="s">
        <v>1128</v>
      </c>
      <c r="C277" s="213" t="s">
        <v>1129</v>
      </c>
      <c r="D277" s="213">
        <v>3.5000000000000003E-2</v>
      </c>
    </row>
    <row r="278" spans="1:4">
      <c r="A278" s="213" t="s">
        <v>1235</v>
      </c>
      <c r="B278" s="213" t="s">
        <v>1130</v>
      </c>
      <c r="C278" s="213" t="s">
        <v>1131</v>
      </c>
      <c r="D278" s="213">
        <v>4.3999999999999997E-2</v>
      </c>
    </row>
    <row r="279" spans="1:4">
      <c r="A279" s="213" t="s">
        <v>1236</v>
      </c>
      <c r="B279" s="213" t="s">
        <v>1132</v>
      </c>
      <c r="C279" s="213" t="s">
        <v>1133</v>
      </c>
      <c r="D279" s="213">
        <v>4.9500000000000002E-2</v>
      </c>
    </row>
    <row r="280" spans="1:4">
      <c r="A280" s="213" t="s">
        <v>1237</v>
      </c>
      <c r="B280" s="213" t="s">
        <v>1134</v>
      </c>
      <c r="C280" s="213" t="s">
        <v>1135</v>
      </c>
      <c r="D280" s="213">
        <v>1.55E-2</v>
      </c>
    </row>
    <row r="281" spans="1:4">
      <c r="A281" s="213" t="s">
        <v>1238</v>
      </c>
      <c r="B281" s="213" t="s">
        <v>1136</v>
      </c>
      <c r="C281" s="213" t="s">
        <v>1137</v>
      </c>
      <c r="D281" s="213">
        <v>1.55E-2</v>
      </c>
    </row>
    <row r="282" spans="1:4">
      <c r="A282" s="213" t="s">
        <v>1239</v>
      </c>
      <c r="B282" s="213" t="s">
        <v>1138</v>
      </c>
      <c r="C282" s="213" t="s">
        <v>1139</v>
      </c>
      <c r="D282" s="213">
        <v>1.6E-2</v>
      </c>
    </row>
    <row r="283" spans="1:4">
      <c r="A283" s="213" t="s">
        <v>1240</v>
      </c>
      <c r="B283" s="213" t="s">
        <v>1140</v>
      </c>
      <c r="C283" s="213" t="s">
        <v>1141</v>
      </c>
      <c r="D283" s="213">
        <v>7.7000000000000002E-3</v>
      </c>
    </row>
    <row r="284" spans="1:4">
      <c r="A284" s="213" t="s">
        <v>1241</v>
      </c>
      <c r="B284" s="213" t="s">
        <v>1142</v>
      </c>
      <c r="C284" s="213" t="s">
        <v>1143</v>
      </c>
      <c r="D284" s="213">
        <v>7.9000000000000008E-3</v>
      </c>
    </row>
    <row r="285" spans="1:4">
      <c r="A285" s="213" t="s">
        <v>1242</v>
      </c>
      <c r="B285" s="213" t="s">
        <v>1144</v>
      </c>
      <c r="C285" s="213" t="s">
        <v>1145</v>
      </c>
      <c r="D285" s="213">
        <v>8.0999999999999996E-3</v>
      </c>
    </row>
    <row r="286" spans="1:4">
      <c r="A286" s="213" t="s">
        <v>1243</v>
      </c>
      <c r="B286" s="213" t="s">
        <v>1146</v>
      </c>
      <c r="C286" s="213" t="s">
        <v>1147</v>
      </c>
      <c r="D286" s="213">
        <v>9.5999999999999992E-3</v>
      </c>
    </row>
    <row r="287" spans="1:4">
      <c r="A287" s="213" t="s">
        <v>1244</v>
      </c>
      <c r="B287" s="213" t="s">
        <v>1148</v>
      </c>
      <c r="C287" s="213" t="s">
        <v>1149</v>
      </c>
      <c r="D287" s="213">
        <v>1.15E-2</v>
      </c>
    </row>
    <row r="288" spans="1:4">
      <c r="A288" s="213" t="s">
        <v>1245</v>
      </c>
      <c r="B288" s="213" t="s">
        <v>1150</v>
      </c>
      <c r="C288" s="213" t="s">
        <v>1151</v>
      </c>
      <c r="D288" s="213">
        <v>1.2E-2</v>
      </c>
    </row>
    <row r="289" spans="1:4">
      <c r="A289" s="213" t="s">
        <v>1246</v>
      </c>
      <c r="B289" s="213" t="s">
        <v>1152</v>
      </c>
      <c r="C289" s="213" t="s">
        <v>1153</v>
      </c>
      <c r="D289" s="213">
        <v>3.3000000000000002E-2</v>
      </c>
    </row>
    <row r="290" spans="1:4">
      <c r="A290" s="213" t="s">
        <v>1247</v>
      </c>
      <c r="B290" s="213" t="s">
        <v>1154</v>
      </c>
      <c r="C290" s="213" t="s">
        <v>1155</v>
      </c>
      <c r="D290" s="213">
        <v>3.6999999999999998E-2</v>
      </c>
    </row>
    <row r="291" spans="1:4">
      <c r="A291" s="213" t="s">
        <v>1248</v>
      </c>
      <c r="B291" s="213" t="s">
        <v>1156</v>
      </c>
      <c r="C291" s="213" t="s">
        <v>1157</v>
      </c>
      <c r="D291" s="213">
        <v>4.1500000000000002E-2</v>
      </c>
    </row>
    <row r="292" spans="1:4">
      <c r="A292" s="213" t="s">
        <v>1249</v>
      </c>
      <c r="B292" s="213" t="s">
        <v>1158</v>
      </c>
      <c r="C292" s="213" t="s">
        <v>1159</v>
      </c>
      <c r="D292" s="213">
        <v>2.9499999999999998E-2</v>
      </c>
    </row>
    <row r="293" spans="1:4">
      <c r="A293" s="213" t="s">
        <v>1250</v>
      </c>
      <c r="B293" s="213" t="s">
        <v>1160</v>
      </c>
      <c r="C293" s="213" t="s">
        <v>1161</v>
      </c>
      <c r="D293" s="213">
        <v>3.4000000000000002E-2</v>
      </c>
    </row>
    <row r="294" spans="1:4">
      <c r="A294" s="213" t="s">
        <v>1251</v>
      </c>
      <c r="B294" s="213" t="s">
        <v>1162</v>
      </c>
      <c r="C294" s="213" t="s">
        <v>1163</v>
      </c>
      <c r="D294" s="213">
        <v>4.3499999999999997E-2</v>
      </c>
    </row>
    <row r="295" spans="1:4">
      <c r="A295" s="213" t="s">
        <v>1252</v>
      </c>
      <c r="B295" s="213"/>
      <c r="C295" s="213"/>
      <c r="D295" s="213">
        <v>0</v>
      </c>
    </row>
    <row r="296" spans="1:4">
      <c r="A296" s="213" t="s">
        <v>1253</v>
      </c>
      <c r="B296" s="213"/>
      <c r="C296" s="213"/>
      <c r="D296" s="213">
        <v>0</v>
      </c>
    </row>
    <row r="297" spans="1:4">
      <c r="A297" s="213" t="s">
        <v>1254</v>
      </c>
      <c r="B297" s="213"/>
      <c r="C297" s="213"/>
      <c r="D297" s="213">
        <v>0</v>
      </c>
    </row>
    <row r="298" spans="1:4">
      <c r="A298" s="213" t="s">
        <v>1255</v>
      </c>
      <c r="B298" s="213"/>
      <c r="C298" s="213"/>
      <c r="D298" s="213">
        <v>0</v>
      </c>
    </row>
    <row r="299" spans="1:4">
      <c r="A299" s="213" t="s">
        <v>1256</v>
      </c>
      <c r="B299" s="213"/>
      <c r="C299" s="213"/>
      <c r="D299" s="213">
        <v>0</v>
      </c>
    </row>
    <row r="300" spans="1:4">
      <c r="A300" s="213" t="s">
        <v>1257</v>
      </c>
      <c r="B300" s="213"/>
      <c r="C300" s="213"/>
      <c r="D300" s="213">
        <v>0</v>
      </c>
    </row>
    <row r="301" spans="1:4">
      <c r="A301" s="213" t="s">
        <v>1258</v>
      </c>
      <c r="B301" s="213"/>
      <c r="C301" s="213"/>
      <c r="D301" s="213">
        <v>0</v>
      </c>
    </row>
    <row r="302" spans="1:4">
      <c r="A302" s="213" t="s">
        <v>1259</v>
      </c>
      <c r="B302" s="213"/>
      <c r="C302" s="213"/>
      <c r="D302" s="213">
        <v>0</v>
      </c>
    </row>
    <row r="303" spans="1:4">
      <c r="A303" s="213" t="s">
        <v>1260</v>
      </c>
      <c r="B303" s="213"/>
      <c r="C303" s="213"/>
      <c r="D303" s="213">
        <v>0</v>
      </c>
    </row>
    <row r="304" spans="1:4">
      <c r="A304" s="213" t="s">
        <v>1261</v>
      </c>
      <c r="B304" s="213"/>
      <c r="C304" s="213"/>
      <c r="D304" s="213">
        <v>0</v>
      </c>
    </row>
    <row r="305" spans="1:4">
      <c r="A305" s="213" t="s">
        <v>1262</v>
      </c>
      <c r="B305" s="213"/>
      <c r="C305" s="213"/>
      <c r="D305" s="213">
        <v>0</v>
      </c>
    </row>
    <row r="306" spans="1:4">
      <c r="A306" s="213" t="s">
        <v>1263</v>
      </c>
      <c r="B306" s="213"/>
      <c r="C306" s="213"/>
      <c r="D306" s="213">
        <v>0</v>
      </c>
    </row>
    <row r="307" spans="1:4">
      <c r="A307" s="213" t="s">
        <v>1264</v>
      </c>
      <c r="B307" s="213"/>
      <c r="C307" s="213"/>
      <c r="D307" s="217">
        <f>ROUND(AVERAGE(D211,D214,D217,D220,D223,D226,D229,D232,D235,D238,D241,D244,D247,D250,D253,D256,D259,D262,D265,D268,D271,D274,D277,D280,D283,D286,D289,D292),3)</f>
        <v>2.4E-2</v>
      </c>
    </row>
    <row r="308" spans="1:4">
      <c r="A308" s="213" t="s">
        <v>1265</v>
      </c>
      <c r="B308" s="213"/>
      <c r="C308" s="213"/>
      <c r="D308" s="217">
        <f t="shared" ref="D308:D309" si="32">ROUND(AVERAGE(D212,D215,D218,D221,D224,D227,D230,D233,D236,D239,D242,D245,D248,D251,D254,D257,D260,D263,D266,D269,D272,D275,D278,D281,D284,D287,D290,D293),3)</f>
        <v>2.7E-2</v>
      </c>
    </row>
    <row r="309" spans="1:4">
      <c r="A309" s="213" t="s">
        <v>1266</v>
      </c>
      <c r="B309" s="213"/>
      <c r="C309" s="213"/>
      <c r="D309" s="217">
        <f t="shared" si="32"/>
        <v>0.03</v>
      </c>
    </row>
    <row r="310" spans="1:4">
      <c r="A310" s="213" t="s">
        <v>1267</v>
      </c>
      <c r="B310" s="213"/>
      <c r="C310" s="213"/>
      <c r="D310" s="213">
        <f>D307</f>
        <v>2.4E-2</v>
      </c>
    </row>
    <row r="311" spans="1:4">
      <c r="A311" s="213" t="s">
        <v>1268</v>
      </c>
      <c r="B311" s="213"/>
      <c r="C311" s="213"/>
      <c r="D311" s="213">
        <f t="shared" ref="D311:D312" si="33">D308</f>
        <v>2.7E-2</v>
      </c>
    </row>
    <row r="312" spans="1:4">
      <c r="A312" s="213" t="s">
        <v>1269</v>
      </c>
      <c r="B312" s="213"/>
      <c r="C312" s="213"/>
      <c r="D312" s="213">
        <f t="shared" si="33"/>
        <v>0.03</v>
      </c>
    </row>
    <row r="313" spans="1:4">
      <c r="A313" s="213"/>
      <c r="B313" s="213"/>
      <c r="C313" s="218" t="s">
        <v>1271</v>
      </c>
      <c r="D313" s="213"/>
    </row>
    <row r="320" spans="1:4" ht="18.75">
      <c r="A320" s="68" t="s">
        <v>789</v>
      </c>
    </row>
    <row r="322" spans="1:10" s="19" customFormat="1">
      <c r="A322" s="10"/>
      <c r="B322" s="10"/>
      <c r="C322" s="1" t="s">
        <v>760</v>
      </c>
      <c r="D322" s="19" t="s">
        <v>43</v>
      </c>
      <c r="E322" s="22">
        <v>1</v>
      </c>
      <c r="F322" s="124"/>
      <c r="G322" s="8">
        <f>ROUND(E322*F322,0)</f>
        <v>0</v>
      </c>
    </row>
    <row r="323" spans="1:10" s="19" customFormat="1">
      <c r="A323" s="10"/>
      <c r="B323" s="10"/>
      <c r="C323" s="1" t="s">
        <v>761</v>
      </c>
      <c r="D323" s="19" t="s">
        <v>43</v>
      </c>
      <c r="E323" s="22">
        <v>1</v>
      </c>
      <c r="F323" s="124"/>
      <c r="G323" s="8">
        <f>ROUND(E323*F323,0)</f>
        <v>0</v>
      </c>
    </row>
    <row r="324" spans="1:10" s="19" customFormat="1">
      <c r="A324" s="10"/>
      <c r="B324" s="10"/>
      <c r="C324" s="1"/>
      <c r="E324" s="22"/>
      <c r="F324" s="4"/>
      <c r="G324" s="8"/>
    </row>
    <row r="325" spans="1:10" s="19" customFormat="1">
      <c r="A325" s="10"/>
      <c r="B325" s="10"/>
      <c r="C325" s="14" t="s">
        <v>751</v>
      </c>
      <c r="E325" s="22"/>
      <c r="F325" s="148" t="s">
        <v>752</v>
      </c>
      <c r="G325" s="8"/>
    </row>
    <row r="326" spans="1:10" s="19" customFormat="1">
      <c r="A326" s="10"/>
      <c r="B326" s="10"/>
      <c r="C326" s="1" t="s">
        <v>762</v>
      </c>
      <c r="D326" s="18" t="s">
        <v>754</v>
      </c>
      <c r="E326" s="147">
        <v>0.05</v>
      </c>
      <c r="F326" s="156"/>
      <c r="G326" s="8">
        <f>ROUND(E326*F326,-3)</f>
        <v>0</v>
      </c>
      <c r="J326" s="22"/>
    </row>
    <row r="327" spans="1:10" s="19" customFormat="1" ht="30">
      <c r="A327" s="10"/>
      <c r="B327" s="10"/>
      <c r="C327" s="1" t="s">
        <v>763</v>
      </c>
      <c r="D327" s="18" t="s">
        <v>754</v>
      </c>
      <c r="E327" s="147">
        <v>0.12</v>
      </c>
      <c r="F327" s="4"/>
      <c r="G327" s="8">
        <f>ROUND(E327*$F$326,-3)</f>
        <v>0</v>
      </c>
    </row>
    <row r="328" spans="1:10" s="19" customFormat="1" ht="30">
      <c r="A328" s="10"/>
      <c r="B328" s="10"/>
      <c r="C328" s="1" t="s">
        <v>764</v>
      </c>
      <c r="D328" s="18" t="s">
        <v>754</v>
      </c>
      <c r="E328" s="147">
        <v>0.23</v>
      </c>
      <c r="F328" s="4"/>
      <c r="G328" s="8">
        <f>ROUND(E328*$F$326,-3)</f>
        <v>0</v>
      </c>
    </row>
    <row r="329" spans="1:10" s="19" customFormat="1" ht="30">
      <c r="A329" s="10"/>
      <c r="B329" s="10"/>
      <c r="C329" s="1" t="s">
        <v>765</v>
      </c>
      <c r="D329" s="18"/>
      <c r="E329" s="147"/>
      <c r="F329" s="4"/>
      <c r="G329" s="8"/>
    </row>
    <row r="330" spans="1:10" s="19" customFormat="1" ht="30" customHeight="1">
      <c r="A330" s="10"/>
      <c r="B330" s="10"/>
      <c r="C330" s="1" t="s">
        <v>756</v>
      </c>
      <c r="D330" s="18" t="s">
        <v>754</v>
      </c>
      <c r="E330" s="147">
        <v>0.24</v>
      </c>
      <c r="F330" s="4"/>
      <c r="G330" s="8">
        <f>IF($F$331=1,ROUND(E330*$F$326,-3),0)</f>
        <v>0</v>
      </c>
    </row>
    <row r="331" spans="1:10" s="19" customFormat="1" ht="30" customHeight="1">
      <c r="A331" s="10"/>
      <c r="B331" s="10"/>
      <c r="C331" s="1" t="s">
        <v>757</v>
      </c>
      <c r="D331" s="18" t="s">
        <v>755</v>
      </c>
      <c r="E331" s="147">
        <v>0.16</v>
      </c>
      <c r="F331" s="151">
        <v>1</v>
      </c>
      <c r="G331" s="8">
        <f>IF($F$331=2,ROUND(E331*$F$326,-3),0)</f>
        <v>0</v>
      </c>
    </row>
    <row r="332" spans="1:10" s="19" customFormat="1">
      <c r="A332" s="10"/>
      <c r="B332" s="10"/>
      <c r="C332" s="1"/>
      <c r="E332" s="147"/>
      <c r="F332" s="4"/>
      <c r="G332" s="8"/>
    </row>
    <row r="333" spans="1:10" s="19" customFormat="1">
      <c r="A333" s="10"/>
      <c r="B333" s="10"/>
      <c r="C333" s="14" t="s">
        <v>766</v>
      </c>
      <c r="E333" s="147"/>
      <c r="F333" s="4"/>
      <c r="G333" s="8"/>
    </row>
    <row r="334" spans="1:10" s="19" customFormat="1">
      <c r="A334" s="10"/>
      <c r="B334" s="10"/>
      <c r="C334" s="1" t="s">
        <v>767</v>
      </c>
      <c r="D334" s="18" t="s">
        <v>754</v>
      </c>
      <c r="E334" s="147">
        <v>0.05</v>
      </c>
      <c r="F334" s="4"/>
      <c r="G334" s="8">
        <f>ROUND(E334*$F$326,-3)</f>
        <v>0</v>
      </c>
    </row>
    <row r="335" spans="1:10" s="19" customFormat="1">
      <c r="A335" s="10"/>
      <c r="B335" s="10"/>
      <c r="C335" s="1" t="s">
        <v>768</v>
      </c>
      <c r="E335" s="147"/>
      <c r="F335" s="4" t="e">
        <f>ROUND((J$322:J$338*(1-VLOOKUP(IF(ISNUMBER(B335),B335,900),MATICE_CEN,7,FALSE))+K$322:K$338+(L$322:L$338*(1-VLOOKUP(IF(ISNUMBER(B335),B335,900),MATICE_CEN,6,FALSE))+M$322:M$338+N$322:N$338*IF(B335=99,sleva_ocel,1)*VLOOKUP(IF(ISNUMBER(B335),B335,900),MATICE_CEN,4,FALSE)*(1+časová_rezerva)*(1+pojistné))*(1+VLOOKUP(IF(ISNUMBER(B335),B335,900),MATICE_CEN,5,FALSE)))*(1+VRN),1)</f>
        <v>#N/A</v>
      </c>
      <c r="G335" s="8" t="e">
        <f>ROUND(E335*F335,0)</f>
        <v>#N/A</v>
      </c>
    </row>
    <row r="336" spans="1:10" s="19" customFormat="1">
      <c r="A336" s="10"/>
      <c r="B336" s="10"/>
      <c r="C336" s="1" t="s">
        <v>769</v>
      </c>
      <c r="E336" s="147"/>
      <c r="F336" s="4" t="e">
        <f>ROUND((J$322:J$338*(1-VLOOKUP(IF(ISNUMBER(B336),B336,900),MATICE_CEN,7,FALSE))+K$322:K$338+(L$322:L$338*(1-VLOOKUP(IF(ISNUMBER(B336),B336,900),MATICE_CEN,6,FALSE))+M$322:M$338+N$322:N$338*IF(B336=99,sleva_ocel,1)*VLOOKUP(IF(ISNUMBER(B336),B336,900),MATICE_CEN,4,FALSE)*(1+časová_rezerva)*(1+pojistné))*(1+VLOOKUP(IF(ISNUMBER(B336),B336,900),MATICE_CEN,5,FALSE)))*(1+VRN),1)</f>
        <v>#N/A</v>
      </c>
      <c r="G336" s="8" t="e">
        <f>ROUND(E336*F336,0)</f>
        <v>#N/A</v>
      </c>
    </row>
    <row r="337" spans="1:7" s="19" customFormat="1">
      <c r="A337" s="10"/>
      <c r="B337" s="10"/>
      <c r="C337" s="1" t="s">
        <v>770</v>
      </c>
      <c r="E337" s="147"/>
      <c r="F337" s="4" t="e">
        <f>ROUND((J$322:J$338*(1-VLOOKUP(IF(ISNUMBER(B337),B337,900),MATICE_CEN,7,FALSE))+K$322:K$338+(L$322:L$338*(1-VLOOKUP(IF(ISNUMBER(B337),B337,900),MATICE_CEN,6,FALSE))+M$322:M$338+N$322:N$338*IF(B337=99,sleva_ocel,1)*VLOOKUP(IF(ISNUMBER(B337),B337,900),MATICE_CEN,4,FALSE)*(1+časová_rezerva)*(1+pojistné))*(1+VLOOKUP(IF(ISNUMBER(B337),B337,900),MATICE_CEN,5,FALSE)))*(1+VRN),1)</f>
        <v>#N/A</v>
      </c>
      <c r="G337" s="8" t="e">
        <f>ROUND(E337*F337,0)</f>
        <v>#N/A</v>
      </c>
    </row>
    <row r="338" spans="1:7" s="19" customFormat="1">
      <c r="A338" s="10"/>
      <c r="B338" s="10"/>
      <c r="C338" s="1" t="s">
        <v>771</v>
      </c>
      <c r="E338" s="147"/>
      <c r="F338" s="4" t="e">
        <f>ROUND((J$322:J$338*(1-VLOOKUP(IF(ISNUMBER(B338),B338,900),MATICE_CEN,7,FALSE))+K$322:K$338+(L$322:L$338*(1-VLOOKUP(IF(ISNUMBER(B338),B338,900),MATICE_CEN,6,FALSE))+M$322:M$338+N$322:N$338*IF(B338=99,sleva_ocel,1)*VLOOKUP(IF(ISNUMBER(B338),B338,900),MATICE_CEN,4,FALSE)*(1+časová_rezerva)*(1+pojistné))*(1+VLOOKUP(IF(ISNUMBER(B338),B338,900),MATICE_CEN,5,FALSE)))*(1+VRN),1)</f>
        <v>#N/A</v>
      </c>
      <c r="G338" s="8" t="e">
        <f>ROUND(E338*F338,0)</f>
        <v>#N/A</v>
      </c>
    </row>
    <row r="340" spans="1:7">
      <c r="C340" s="69" t="s">
        <v>778</v>
      </c>
    </row>
    <row r="341" spans="1:7">
      <c r="C341" s="1" t="s">
        <v>780</v>
      </c>
      <c r="D341" s="19"/>
      <c r="E341" s="9"/>
      <c r="F341" s="4"/>
      <c r="G341" s="152" t="s">
        <v>779</v>
      </c>
    </row>
    <row r="342" spans="1:7">
      <c r="C342" s="1" t="s">
        <v>781</v>
      </c>
      <c r="D342" s="18" t="s">
        <v>754</v>
      </c>
      <c r="E342" s="147">
        <f>0.02+0.04+0.02+0.02+0.01</f>
        <v>0.11</v>
      </c>
      <c r="F342" s="4"/>
      <c r="G342" s="8">
        <f>ROUND(E342*Design!$F$326,-3)</f>
        <v>0</v>
      </c>
    </row>
    <row r="343" spans="1:7">
      <c r="C343" s="1" t="s">
        <v>782</v>
      </c>
      <c r="D343" s="18" t="s">
        <v>754</v>
      </c>
      <c r="E343" s="147">
        <f>0.05+0.17+0.03</f>
        <v>0.25</v>
      </c>
      <c r="F343" s="4"/>
      <c r="G343" s="8">
        <f>ROUND(E343*Design!$F$326,-3)</f>
        <v>0</v>
      </c>
    </row>
    <row r="344" spans="1:7">
      <c r="C344" s="1" t="s">
        <v>784</v>
      </c>
      <c r="D344" s="19"/>
      <c r="E344" s="9"/>
      <c r="F344" s="4"/>
      <c r="G344" s="237" t="s">
        <v>779</v>
      </c>
    </row>
    <row r="345" spans="1:7">
      <c r="C345" s="1" t="s">
        <v>783</v>
      </c>
      <c r="D345" s="19"/>
      <c r="E345" s="9"/>
      <c r="F345" s="4"/>
      <c r="G345" s="238"/>
    </row>
    <row r="347" spans="1:7">
      <c r="C347" s="69" t="s">
        <v>772</v>
      </c>
    </row>
    <row r="348" spans="1:7" ht="45">
      <c r="C348" s="1" t="s">
        <v>773</v>
      </c>
      <c r="D348" s="19" t="s">
        <v>43</v>
      </c>
      <c r="E348" s="9">
        <v>1</v>
      </c>
      <c r="F348" s="143"/>
      <c r="G348" s="8">
        <f>ROUND(E348*F348,0)</f>
        <v>0</v>
      </c>
    </row>
    <row r="349" spans="1:7">
      <c r="C349" s="1" t="s">
        <v>774</v>
      </c>
      <c r="D349" s="18"/>
      <c r="E349" s="150"/>
      <c r="F349" s="4"/>
      <c r="G349" s="104"/>
    </row>
    <row r="350" spans="1:7">
      <c r="C350" s="1" t="s">
        <v>786</v>
      </c>
      <c r="D350" s="18"/>
      <c r="E350" s="150">
        <v>0.12</v>
      </c>
      <c r="F350" s="4"/>
      <c r="G350" s="8">
        <f>IF(Design!$F$331=1,ROUND(E350*Design!$F$326,-3),0)</f>
        <v>0</v>
      </c>
    </row>
    <row r="351" spans="1:7">
      <c r="C351" s="1" t="s">
        <v>787</v>
      </c>
      <c r="D351" s="18"/>
      <c r="E351" s="150">
        <v>0.2</v>
      </c>
      <c r="F351" s="4"/>
      <c r="G351" s="8">
        <f>IF(Design!$F$331=2,ROUND(E351*Design!$F$326,-3),0)</f>
        <v>0</v>
      </c>
    </row>
    <row r="352" spans="1:7">
      <c r="C352" s="1"/>
      <c r="D352" s="18"/>
      <c r="E352" s="150"/>
      <c r="F352" s="4"/>
      <c r="G352" s="104"/>
    </row>
    <row r="353" spans="1:7" ht="30">
      <c r="C353" s="1" t="s">
        <v>775</v>
      </c>
      <c r="D353" s="18"/>
      <c r="E353" s="9"/>
      <c r="F353" s="4"/>
      <c r="G353" s="155" t="s">
        <v>758</v>
      </c>
    </row>
    <row r="354" spans="1:7">
      <c r="C354" s="1" t="s">
        <v>776</v>
      </c>
      <c r="D354" s="18"/>
      <c r="E354" s="9"/>
      <c r="F354" s="4"/>
      <c r="G354" s="154" t="s">
        <v>753</v>
      </c>
    </row>
    <row r="355" spans="1:7" ht="30">
      <c r="C355" s="1" t="s">
        <v>785</v>
      </c>
      <c r="D355" s="18" t="s">
        <v>43</v>
      </c>
      <c r="E355" s="9">
        <v>1</v>
      </c>
      <c r="F355" s="153"/>
      <c r="G355" s="8">
        <f>ROUND(E355*F355,0)</f>
        <v>0</v>
      </c>
    </row>
    <row r="356" spans="1:7" ht="30">
      <c r="C356" s="1" t="s">
        <v>777</v>
      </c>
      <c r="D356" s="18"/>
      <c r="E356" s="9"/>
      <c r="F356" s="4"/>
      <c r="G356" s="155" t="s">
        <v>758</v>
      </c>
    </row>
    <row r="358" spans="1:7">
      <c r="A358" s="190" t="s">
        <v>875</v>
      </c>
    </row>
    <row r="361" spans="1:7" ht="18.75">
      <c r="C361" s="68" t="s">
        <v>329</v>
      </c>
    </row>
    <row r="363" spans="1:7">
      <c r="E363" s="94"/>
      <c r="F363" s="95"/>
    </row>
    <row r="364" spans="1:7">
      <c r="C364" s="66" t="s">
        <v>330</v>
      </c>
      <c r="D364" s="66" t="s">
        <v>331</v>
      </c>
      <c r="E364" s="66" t="s">
        <v>332</v>
      </c>
      <c r="F364" s="66" t="s">
        <v>333</v>
      </c>
    </row>
    <row r="365" spans="1:7">
      <c r="C365" s="66" t="s">
        <v>121</v>
      </c>
      <c r="D365" s="66">
        <v>47</v>
      </c>
      <c r="E365" s="66">
        <v>26</v>
      </c>
      <c r="F365" s="66">
        <v>20</v>
      </c>
    </row>
    <row r="366" spans="1:7">
      <c r="C366" s="66" t="s">
        <v>122</v>
      </c>
      <c r="D366" s="66">
        <v>70</v>
      </c>
      <c r="E366" s="66">
        <v>39</v>
      </c>
      <c r="F366" s="66">
        <v>20</v>
      </c>
    </row>
    <row r="367" spans="1:7">
      <c r="C367" s="66" t="s">
        <v>334</v>
      </c>
      <c r="D367" s="66">
        <v>76</v>
      </c>
      <c r="E367" s="66">
        <v>46</v>
      </c>
      <c r="F367" s="66">
        <v>20</v>
      </c>
    </row>
    <row r="369" spans="1:17">
      <c r="A369" s="79"/>
    </row>
    <row r="370" spans="1:17">
      <c r="A370" s="79"/>
    </row>
    <row r="371" spans="1:17" ht="18.75">
      <c r="C371" s="68" t="s">
        <v>338</v>
      </c>
    </row>
    <row r="374" spans="1:17">
      <c r="B374" s="98">
        <v>1</v>
      </c>
      <c r="C374" s="98" t="s">
        <v>916</v>
      </c>
      <c r="D374" s="98" t="s">
        <v>272</v>
      </c>
    </row>
    <row r="375" spans="1:17">
      <c r="A375" s="91"/>
      <c r="B375" s="91"/>
      <c r="C375" s="91"/>
      <c r="D375" s="91"/>
      <c r="E375" s="91"/>
      <c r="F375" s="91"/>
      <c r="G375" s="91"/>
      <c r="H375" s="91"/>
      <c r="I375" s="91"/>
      <c r="J375" s="127"/>
      <c r="K375" s="127"/>
      <c r="L375" s="127"/>
      <c r="M375" s="127"/>
      <c r="N375" s="127"/>
      <c r="O375" s="91"/>
      <c r="P375" s="91"/>
      <c r="Q375" s="91"/>
    </row>
    <row r="376" spans="1:17">
      <c r="A376" s="66">
        <v>1</v>
      </c>
      <c r="B376" s="66" t="s">
        <v>869</v>
      </c>
      <c r="C376" s="66" t="s">
        <v>870</v>
      </c>
      <c r="D376" s="66" t="s">
        <v>272</v>
      </c>
      <c r="E376" s="66">
        <v>1</v>
      </c>
      <c r="H376" s="66">
        <f>ROUND((J$2:J$66136*(1-VLOOKUP(IF(ISNUMBER(A376),A376,900),MATICE_CEN,7,FALSE))+K$2:K$66136+(L$2:L$66136*(1-VLOOKUP(IF(ISNUMBER(A376),A376,900),MATICE_CEN,6,FALSE))+M$2:M$66136+N$2:N$66136*IF(A376=99,sleva_ocel,1)*VLOOKUP(IF(ISNUMBER(A376),A376,900),MATICE_CEN,4,FALSE)*(1+časová_rezerva)*(1+pojistné))*IF(A376=900,(1+STD_HR_HSV),(1+VLOOKUP(IF(ISNUMBER(A376),A376,900),MATICE_CEN,5,FALSE))))*(1+VRN),1)</f>
        <v>161.6</v>
      </c>
      <c r="I376" s="188">
        <v>161</v>
      </c>
      <c r="J376" s="123">
        <v>0</v>
      </c>
      <c r="K376" s="123">
        <v>0</v>
      </c>
      <c r="L376" s="127">
        <v>22.15</v>
      </c>
      <c r="M376" s="127">
        <v>0</v>
      </c>
      <c r="N376" s="123">
        <v>0.46700000000000003</v>
      </c>
    </row>
    <row r="377" spans="1:17">
      <c r="A377" s="66">
        <v>1</v>
      </c>
      <c r="B377" s="66" t="s">
        <v>871</v>
      </c>
      <c r="C377" s="66" t="s">
        <v>872</v>
      </c>
      <c r="D377" s="66" t="s">
        <v>272</v>
      </c>
      <c r="E377" s="66">
        <v>1</v>
      </c>
      <c r="H377" s="66">
        <f>ROUND((J$2:J$66136*(1-VLOOKUP(IF(ISNUMBER(A377),A377,900),MATICE_CEN,7,FALSE))+K$2:K$66136+(L$2:L$66136*(1-VLOOKUP(IF(ISNUMBER(A377),A377,900),MATICE_CEN,6,FALSE))+M$2:M$66136+N$2:N$66136*IF(A377=99,sleva_ocel,1)*VLOOKUP(IF(ISNUMBER(A377),A377,900),MATICE_CEN,4,FALSE)*(1+časová_rezerva)*(1+pojistné))*IF(A377=900,(1+STD_HR_HSV),(1+VLOOKUP(IF(ISNUMBER(A377),A377,900),MATICE_CEN,5,FALSE))))*(1+VRN),1)</f>
        <v>231.7</v>
      </c>
      <c r="I377" s="188">
        <v>235</v>
      </c>
      <c r="J377" s="123">
        <v>0</v>
      </c>
      <c r="K377" s="123">
        <v>0</v>
      </c>
      <c r="L377" s="127">
        <v>4.72</v>
      </c>
      <c r="M377" s="127">
        <v>135.65</v>
      </c>
      <c r="N377" s="123">
        <v>1.0999999999999999E-2</v>
      </c>
    </row>
    <row r="378" spans="1:17">
      <c r="A378" s="66">
        <v>1</v>
      </c>
      <c r="B378" s="66" t="s">
        <v>873</v>
      </c>
      <c r="C378" s="66" t="s">
        <v>874</v>
      </c>
      <c r="D378" s="66" t="s">
        <v>272</v>
      </c>
      <c r="E378" s="66">
        <v>1</v>
      </c>
      <c r="H378" s="66">
        <f>ROUND((J$2:J$66136*(1-VLOOKUP(IF(ISNUMBER(A378),A378,900),MATICE_CEN,7,FALSE))+K$2:K$66136+(L$2:L$66136*(1-VLOOKUP(IF(ISNUMBER(A378),A378,900),MATICE_CEN,6,FALSE))+M$2:M$66136+N$2:N$66136*IF(A378=99,sleva_ocel,1)*VLOOKUP(IF(ISNUMBER(A378),A378,900),MATICE_CEN,4,FALSE)*(1+časová_rezerva)*(1+pojistné))*IF(A378=900,(1+STD_HR_HSV),(1+VLOOKUP(IF(ISNUMBER(A378),A378,900),MATICE_CEN,5,FALSE))))*(1+VRN),1)</f>
        <v>238.8</v>
      </c>
      <c r="I378" s="188">
        <v>242</v>
      </c>
      <c r="J378" s="123">
        <v>0</v>
      </c>
      <c r="K378" s="123">
        <v>0</v>
      </c>
      <c r="L378" s="127">
        <v>0</v>
      </c>
      <c r="M378" s="127">
        <v>146.56</v>
      </c>
      <c r="N378" s="123">
        <v>0</v>
      </c>
    </row>
    <row r="379" spans="1:17">
      <c r="I379" s="168"/>
      <c r="J379" s="123"/>
      <c r="K379" s="123"/>
      <c r="L379" s="127"/>
      <c r="M379" s="127"/>
      <c r="N379" s="123"/>
    </row>
    <row r="380" spans="1:17">
      <c r="B380" s="97">
        <v>220006</v>
      </c>
      <c r="C380" s="66" t="s">
        <v>341</v>
      </c>
      <c r="D380" s="66" t="s">
        <v>340</v>
      </c>
      <c r="E380" s="83">
        <f t="shared" ref="E380:E383" si="34">VLOOKUP(B380,SEZNAM_POUŽITÝCH_MEZD,4,FALSE)</f>
        <v>152</v>
      </c>
      <c r="F380" s="66">
        <v>4.7E-2</v>
      </c>
      <c r="G380" s="66">
        <f t="shared" ref="G380:G383" si="35">E380*F380</f>
        <v>7.1440000000000001</v>
      </c>
      <c r="I380" s="168"/>
      <c r="J380" s="123"/>
      <c r="K380" s="123"/>
    </row>
    <row r="381" spans="1:17">
      <c r="B381" s="97">
        <v>411106</v>
      </c>
      <c r="C381" s="66" t="s">
        <v>342</v>
      </c>
      <c r="D381" s="66" t="s">
        <v>340</v>
      </c>
      <c r="E381" s="83">
        <f t="shared" si="34"/>
        <v>145</v>
      </c>
      <c r="F381" s="66">
        <v>0.36899999999999999</v>
      </c>
      <c r="G381" s="66">
        <f t="shared" si="35"/>
        <v>53.505000000000003</v>
      </c>
      <c r="I381" s="168"/>
      <c r="J381" s="123"/>
      <c r="K381" s="123"/>
    </row>
    <row r="382" spans="1:17">
      <c r="B382" s="97">
        <v>419004</v>
      </c>
      <c r="C382" s="66" t="s">
        <v>343</v>
      </c>
      <c r="D382" s="66" t="s">
        <v>340</v>
      </c>
      <c r="E382" s="83">
        <f t="shared" si="34"/>
        <v>120</v>
      </c>
      <c r="F382" s="66">
        <v>5.0999999999999997E-2</v>
      </c>
      <c r="G382" s="66">
        <f t="shared" si="35"/>
        <v>6.1199999999999992</v>
      </c>
      <c r="I382" s="168"/>
      <c r="J382" s="123"/>
      <c r="K382" s="123"/>
    </row>
    <row r="383" spans="1:17">
      <c r="B383" s="97">
        <v>441006</v>
      </c>
      <c r="C383" s="66" t="s">
        <v>345</v>
      </c>
      <c r="D383" s="66" t="s">
        <v>340</v>
      </c>
      <c r="E383" s="83">
        <f t="shared" si="34"/>
        <v>152</v>
      </c>
      <c r="F383" s="66">
        <v>1.0999999999999999E-2</v>
      </c>
      <c r="G383" s="66">
        <f t="shared" si="35"/>
        <v>1.6719999999999999</v>
      </c>
      <c r="I383" s="168"/>
      <c r="J383" s="123"/>
      <c r="K383" s="123"/>
      <c r="N383" s="189"/>
    </row>
    <row r="384" spans="1:17">
      <c r="E384" s="98">
        <f>ROUND(G384/F384,1)</f>
        <v>143.19999999999999</v>
      </c>
      <c r="F384" s="98">
        <f>SUM(F380:F383)</f>
        <v>0.47799999999999998</v>
      </c>
      <c r="G384" s="98">
        <f>SUM(G380:G383)</f>
        <v>68.441000000000003</v>
      </c>
      <c r="I384" s="168"/>
    </row>
    <row r="385" spans="2:9">
      <c r="I385" s="168"/>
    </row>
    <row r="386" spans="2:9">
      <c r="B386" s="98">
        <v>18</v>
      </c>
      <c r="C386" s="98" t="s">
        <v>346</v>
      </c>
      <c r="D386" s="98" t="s">
        <v>0</v>
      </c>
      <c r="I386" s="168"/>
    </row>
    <row r="387" spans="2:9">
      <c r="I387" s="168"/>
    </row>
    <row r="388" spans="2:9">
      <c r="B388" s="66">
        <v>215200</v>
      </c>
      <c r="C388" s="66" t="s">
        <v>347</v>
      </c>
      <c r="D388" s="66" t="s">
        <v>340</v>
      </c>
      <c r="E388" s="83">
        <f t="shared" ref="E388:E401" si="36">VLOOKUP(B388,SEZNAM_POUŽITÝCH_MEZD,4,FALSE)</f>
        <v>135</v>
      </c>
      <c r="F388" s="66">
        <v>9.9469190000000002E-3</v>
      </c>
      <c r="G388" s="66">
        <f t="shared" ref="G388:G401" si="37">E388*F388</f>
        <v>1.3428340650000001</v>
      </c>
      <c r="I388" s="168"/>
    </row>
    <row r="389" spans="2:9">
      <c r="B389" s="66">
        <v>220006</v>
      </c>
      <c r="C389" s="66" t="s">
        <v>341</v>
      </c>
      <c r="D389" s="66" t="s">
        <v>340</v>
      </c>
      <c r="E389" s="83">
        <f t="shared" si="36"/>
        <v>152</v>
      </c>
      <c r="F389" s="66">
        <v>1.1399999999999999E-2</v>
      </c>
      <c r="G389" s="66">
        <f t="shared" si="37"/>
        <v>1.7327999999999999</v>
      </c>
      <c r="I389" s="168"/>
    </row>
    <row r="390" spans="2:9">
      <c r="B390" s="66">
        <v>411100</v>
      </c>
      <c r="C390" s="66" t="s">
        <v>348</v>
      </c>
      <c r="D390" s="66" t="s">
        <v>340</v>
      </c>
      <c r="E390" s="83">
        <f t="shared" si="36"/>
        <v>130</v>
      </c>
      <c r="F390" s="66">
        <v>0.1008</v>
      </c>
      <c r="G390" s="66">
        <f t="shared" si="37"/>
        <v>13.103999999999999</v>
      </c>
      <c r="I390" s="168"/>
    </row>
    <row r="391" spans="2:9">
      <c r="B391" s="66">
        <v>411104</v>
      </c>
      <c r="C391" s="66" t="s">
        <v>349</v>
      </c>
      <c r="D391" s="66" t="s">
        <v>340</v>
      </c>
      <c r="E391" s="83">
        <f t="shared" si="36"/>
        <v>117.5</v>
      </c>
      <c r="F391" s="66">
        <v>0.1278</v>
      </c>
      <c r="G391" s="66">
        <f t="shared" si="37"/>
        <v>15.016499999999999</v>
      </c>
      <c r="I391" s="168"/>
    </row>
    <row r="392" spans="2:9">
      <c r="B392" s="66">
        <v>419000</v>
      </c>
      <c r="C392" s="66" t="s">
        <v>350</v>
      </c>
      <c r="D392" s="66" t="s">
        <v>340</v>
      </c>
      <c r="E392" s="83">
        <f t="shared" si="36"/>
        <v>135</v>
      </c>
      <c r="F392" s="66">
        <v>0.27830873100000003</v>
      </c>
      <c r="G392" s="66">
        <f t="shared" si="37"/>
        <v>37.571678685000002</v>
      </c>
      <c r="I392" s="168"/>
    </row>
    <row r="393" spans="2:9">
      <c r="B393" s="66">
        <v>419003</v>
      </c>
      <c r="C393" s="66" t="s">
        <v>351</v>
      </c>
      <c r="D393" s="66" t="s">
        <v>340</v>
      </c>
      <c r="E393" s="83">
        <f t="shared" si="36"/>
        <v>105</v>
      </c>
      <c r="F393" s="66">
        <v>4.7843999999999998E-2</v>
      </c>
      <c r="G393" s="66">
        <f t="shared" si="37"/>
        <v>5.0236199999999993</v>
      </c>
      <c r="I393" s="168"/>
    </row>
    <row r="394" spans="2:9">
      <c r="B394" s="66">
        <v>419004</v>
      </c>
      <c r="C394" s="66" t="s">
        <v>343</v>
      </c>
      <c r="D394" s="66" t="s">
        <v>340</v>
      </c>
      <c r="E394" s="83">
        <f t="shared" si="36"/>
        <v>120</v>
      </c>
      <c r="F394" s="66">
        <v>0.75727125699999998</v>
      </c>
      <c r="G394" s="66">
        <f t="shared" si="37"/>
        <v>90.872550840000002</v>
      </c>
      <c r="I394" s="168"/>
    </row>
    <row r="395" spans="2:9">
      <c r="B395" s="66">
        <v>419006</v>
      </c>
      <c r="C395" s="66" t="s">
        <v>352</v>
      </c>
      <c r="D395" s="66" t="s">
        <v>340</v>
      </c>
      <c r="E395" s="83">
        <f t="shared" si="36"/>
        <v>152</v>
      </c>
      <c r="F395" s="66">
        <v>3.0000000000000001E-3</v>
      </c>
      <c r="G395" s="66">
        <f t="shared" si="37"/>
        <v>0.45600000000000002</v>
      </c>
      <c r="I395" s="168"/>
    </row>
    <row r="396" spans="2:9">
      <c r="B396" s="66">
        <v>441000</v>
      </c>
      <c r="C396" s="66" t="s">
        <v>344</v>
      </c>
      <c r="D396" s="66" t="s">
        <v>340</v>
      </c>
      <c r="E396" s="83">
        <f t="shared" si="36"/>
        <v>135</v>
      </c>
      <c r="F396" s="66">
        <v>4.72354E-3</v>
      </c>
      <c r="G396" s="66">
        <f t="shared" si="37"/>
        <v>0.63767790000000002</v>
      </c>
      <c r="I396" s="168"/>
    </row>
    <row r="397" spans="2:9">
      <c r="B397" s="66">
        <v>441006</v>
      </c>
      <c r="C397" s="66" t="s">
        <v>345</v>
      </c>
      <c r="D397" s="66" t="s">
        <v>340</v>
      </c>
      <c r="E397" s="83">
        <f t="shared" si="36"/>
        <v>152</v>
      </c>
      <c r="F397" s="66">
        <v>2.0696918999999998E-2</v>
      </c>
      <c r="G397" s="66">
        <f t="shared" si="37"/>
        <v>3.1459316879999997</v>
      </c>
      <c r="I397" s="168"/>
    </row>
    <row r="398" spans="2:9">
      <c r="B398" s="66">
        <v>441007</v>
      </c>
      <c r="C398" s="66" t="s">
        <v>353</v>
      </c>
      <c r="D398" s="66" t="s">
        <v>340</v>
      </c>
      <c r="E398" s="83">
        <f t="shared" si="36"/>
        <v>170</v>
      </c>
      <c r="F398" s="66">
        <v>5.9691900000000001E-4</v>
      </c>
      <c r="G398" s="66">
        <f t="shared" si="37"/>
        <v>0.10147623</v>
      </c>
      <c r="I398" s="168"/>
    </row>
    <row r="399" spans="2:9">
      <c r="B399" s="66">
        <v>510000</v>
      </c>
      <c r="C399" s="66" t="s">
        <v>354</v>
      </c>
      <c r="D399" s="66" t="s">
        <v>340</v>
      </c>
      <c r="E399" s="83">
        <f t="shared" si="36"/>
        <v>135</v>
      </c>
      <c r="F399" s="66">
        <v>4.0000000000000001E-3</v>
      </c>
      <c r="G399" s="66">
        <f t="shared" si="37"/>
        <v>0.54</v>
      </c>
      <c r="I399" s="168"/>
    </row>
    <row r="400" spans="2:9">
      <c r="B400" s="66">
        <v>510006</v>
      </c>
      <c r="C400" s="66" t="s">
        <v>355</v>
      </c>
      <c r="D400" s="66" t="s">
        <v>340</v>
      </c>
      <c r="E400" s="83">
        <f t="shared" si="36"/>
        <v>152</v>
      </c>
      <c r="F400" s="66">
        <v>1.0274E-2</v>
      </c>
      <c r="G400" s="66">
        <f t="shared" si="37"/>
        <v>1.5616479999999999</v>
      </c>
      <c r="I400" s="168"/>
    </row>
    <row r="401" spans="2:9">
      <c r="B401" s="66">
        <v>510007</v>
      </c>
      <c r="C401" s="66" t="s">
        <v>356</v>
      </c>
      <c r="D401" s="66" t="s">
        <v>340</v>
      </c>
      <c r="E401" s="83">
        <f t="shared" si="36"/>
        <v>170</v>
      </c>
      <c r="F401" s="66">
        <v>9.3500000000000007E-3</v>
      </c>
      <c r="G401" s="66">
        <f t="shared" si="37"/>
        <v>1.5895000000000001</v>
      </c>
      <c r="I401" s="168"/>
    </row>
    <row r="402" spans="2:9">
      <c r="E402" s="98">
        <f>ROUND(G402/F402,1)</f>
        <v>124.6</v>
      </c>
      <c r="F402" s="98">
        <f>SUM(F388:F401)</f>
        <v>1.3860122849999996</v>
      </c>
      <c r="G402" s="98">
        <f>SUM(G388:G401)</f>
        <v>172.69621740799994</v>
      </c>
      <c r="I402" s="168"/>
    </row>
    <row r="403" spans="2:9">
      <c r="I403" s="168"/>
    </row>
    <row r="404" spans="2:9">
      <c r="B404" s="98">
        <v>21</v>
      </c>
      <c r="C404" s="98" t="s">
        <v>357</v>
      </c>
      <c r="D404" s="98" t="s">
        <v>0</v>
      </c>
      <c r="I404" s="168"/>
    </row>
    <row r="405" spans="2:9">
      <c r="I405" s="168"/>
    </row>
    <row r="406" spans="2:9">
      <c r="B406" s="97">
        <v>411500</v>
      </c>
      <c r="C406" s="66" t="s">
        <v>358</v>
      </c>
      <c r="D406" s="66" t="s">
        <v>340</v>
      </c>
      <c r="E406" s="83">
        <f>VLOOKUP(B406,SEZNAM_POUŽITÝCH_MEZD,4,FALSE)</f>
        <v>135</v>
      </c>
      <c r="F406" s="66">
        <v>1.9400000000000001E-2</v>
      </c>
      <c r="G406" s="66">
        <f>E406*F406</f>
        <v>2.6190000000000002</v>
      </c>
      <c r="I406" s="168"/>
    </row>
    <row r="407" spans="2:9">
      <c r="B407" s="97">
        <v>412206</v>
      </c>
      <c r="C407" s="66" t="s">
        <v>359</v>
      </c>
      <c r="D407" s="66" t="s">
        <v>340</v>
      </c>
      <c r="E407" s="83">
        <f>VLOOKUP(B407,SEZNAM_POUŽITÝCH_MEZD,4,FALSE)</f>
        <v>152</v>
      </c>
      <c r="F407" s="66">
        <v>2.3E-3</v>
      </c>
      <c r="G407" s="66">
        <f>E407*F407</f>
        <v>0.34960000000000002</v>
      </c>
      <c r="I407" s="168"/>
    </row>
    <row r="408" spans="2:9">
      <c r="B408" s="97">
        <v>419000</v>
      </c>
      <c r="C408" s="66" t="s">
        <v>350</v>
      </c>
      <c r="D408" s="66" t="s">
        <v>340</v>
      </c>
      <c r="E408" s="83">
        <f>VLOOKUP(B408,SEZNAM_POUŽITÝCH_MEZD,4,FALSE)</f>
        <v>135</v>
      </c>
      <c r="F408" s="66">
        <v>5.4000000000000006E-2</v>
      </c>
      <c r="G408" s="66">
        <f>E408*F408</f>
        <v>7.2900000000000009</v>
      </c>
      <c r="I408" s="168"/>
    </row>
    <row r="409" spans="2:9">
      <c r="B409" s="97">
        <v>419004</v>
      </c>
      <c r="C409" s="66" t="s">
        <v>343</v>
      </c>
      <c r="D409" s="66" t="s">
        <v>340</v>
      </c>
      <c r="E409" s="83">
        <f>VLOOKUP(B409,SEZNAM_POUŽITÝCH_MEZD,4,FALSE)</f>
        <v>120</v>
      </c>
      <c r="F409" s="66">
        <v>6.8500000000000005E-2</v>
      </c>
      <c r="G409" s="66">
        <f>E409*F409</f>
        <v>8.2200000000000006</v>
      </c>
      <c r="I409" s="168"/>
    </row>
    <row r="410" spans="2:9">
      <c r="E410" s="98">
        <f>ROUND(G410/F410,1)</f>
        <v>128.1</v>
      </c>
      <c r="F410" s="98">
        <f>SUM(F406:F409)</f>
        <v>0.14419999999999999</v>
      </c>
      <c r="G410" s="98">
        <f>SUM(G406:G409)</f>
        <v>18.4786</v>
      </c>
      <c r="I410" s="168"/>
    </row>
    <row r="411" spans="2:9">
      <c r="I411" s="168"/>
    </row>
    <row r="412" spans="2:9">
      <c r="I412" s="168"/>
    </row>
    <row r="413" spans="2:9">
      <c r="B413" s="98">
        <v>22</v>
      </c>
      <c r="C413" s="98" t="s">
        <v>360</v>
      </c>
      <c r="D413" s="98" t="s">
        <v>1</v>
      </c>
      <c r="I413" s="168"/>
    </row>
    <row r="414" spans="2:9">
      <c r="I414" s="168"/>
    </row>
    <row r="415" spans="2:9">
      <c r="B415" s="97">
        <v>226006</v>
      </c>
      <c r="C415" s="66" t="s">
        <v>361</v>
      </c>
      <c r="D415" s="66" t="s">
        <v>340</v>
      </c>
      <c r="E415" s="83">
        <f t="shared" ref="E415:E424" si="38">VLOOKUP(B415,SEZNAM_POUŽITÝCH_MEZD,4,FALSE)</f>
        <v>152</v>
      </c>
      <c r="F415" s="66">
        <v>0.374</v>
      </c>
      <c r="G415" s="66">
        <f t="shared" ref="G415:G424" si="39">E415*F415</f>
        <v>56.847999999999999</v>
      </c>
      <c r="I415" s="168"/>
    </row>
    <row r="416" spans="2:9">
      <c r="B416" s="97">
        <v>411406</v>
      </c>
      <c r="C416" s="66" t="s">
        <v>362</v>
      </c>
      <c r="D416" s="66" t="s">
        <v>340</v>
      </c>
      <c r="E416" s="83">
        <f t="shared" si="38"/>
        <v>152</v>
      </c>
      <c r="F416" s="66">
        <v>0.1616410295407994</v>
      </c>
      <c r="G416" s="66">
        <f t="shared" si="39"/>
        <v>24.569436490201507</v>
      </c>
      <c r="I416" s="168"/>
    </row>
    <row r="417" spans="2:9">
      <c r="B417" s="97">
        <v>411506</v>
      </c>
      <c r="C417" s="66" t="s">
        <v>363</v>
      </c>
      <c r="D417" s="66" t="s">
        <v>340</v>
      </c>
      <c r="E417" s="83">
        <f t="shared" si="38"/>
        <v>152</v>
      </c>
      <c r="F417" s="66">
        <v>0.128</v>
      </c>
      <c r="G417" s="66">
        <f t="shared" si="39"/>
        <v>19.456</v>
      </c>
      <c r="I417" s="168"/>
    </row>
    <row r="418" spans="2:9">
      <c r="B418" s="97">
        <v>412200</v>
      </c>
      <c r="C418" s="66" t="s">
        <v>364</v>
      </c>
      <c r="D418" s="66" t="s">
        <v>340</v>
      </c>
      <c r="E418" s="83">
        <f t="shared" si="38"/>
        <v>135</v>
      </c>
      <c r="F418" s="66">
        <v>2.0830851244308085E-2</v>
      </c>
      <c r="G418" s="66">
        <f t="shared" si="39"/>
        <v>2.8121649179815913</v>
      </c>
      <c r="I418" s="168"/>
    </row>
    <row r="419" spans="2:9">
      <c r="B419" s="97">
        <v>419000</v>
      </c>
      <c r="C419" s="66" t="s">
        <v>350</v>
      </c>
      <c r="D419" s="66" t="s">
        <v>340</v>
      </c>
      <c r="E419" s="83">
        <f t="shared" si="38"/>
        <v>135</v>
      </c>
      <c r="F419" s="66">
        <v>6.4000000000000001E-2</v>
      </c>
      <c r="G419" s="66">
        <f t="shared" si="39"/>
        <v>8.64</v>
      </c>
      <c r="I419" s="168"/>
    </row>
    <row r="420" spans="2:9">
      <c r="B420" s="97">
        <v>419004</v>
      </c>
      <c r="C420" s="66" t="s">
        <v>343</v>
      </c>
      <c r="D420" s="66" t="s">
        <v>340</v>
      </c>
      <c r="E420" s="83">
        <f t="shared" si="38"/>
        <v>120</v>
      </c>
      <c r="F420" s="66">
        <v>1.0029669117629817E-2</v>
      </c>
      <c r="G420" s="66">
        <f t="shared" si="39"/>
        <v>1.2035602941155781</v>
      </c>
      <c r="I420" s="168"/>
    </row>
    <row r="421" spans="2:9">
      <c r="B421" s="97">
        <v>441006</v>
      </c>
      <c r="C421" s="66" t="s">
        <v>345</v>
      </c>
      <c r="D421" s="66" t="s">
        <v>340</v>
      </c>
      <c r="E421" s="83">
        <f t="shared" si="38"/>
        <v>152</v>
      </c>
      <c r="F421" s="66">
        <v>0.15639249792942878</v>
      </c>
      <c r="G421" s="66">
        <f t="shared" si="39"/>
        <v>23.771659685273175</v>
      </c>
      <c r="I421" s="168"/>
    </row>
    <row r="422" spans="2:9">
      <c r="B422" s="97">
        <v>441007</v>
      </c>
      <c r="C422" s="66" t="s">
        <v>353</v>
      </c>
      <c r="D422" s="66" t="s">
        <v>340</v>
      </c>
      <c r="E422" s="83">
        <f t="shared" si="38"/>
        <v>170</v>
      </c>
      <c r="F422" s="66">
        <v>0.188</v>
      </c>
      <c r="G422" s="66">
        <f t="shared" si="39"/>
        <v>31.96</v>
      </c>
      <c r="I422" s="168"/>
    </row>
    <row r="423" spans="2:9">
      <c r="B423" s="97">
        <v>510006</v>
      </c>
      <c r="C423" s="66" t="s">
        <v>355</v>
      </c>
      <c r="D423" s="66" t="s">
        <v>340</v>
      </c>
      <c r="E423" s="83">
        <f t="shared" si="38"/>
        <v>152</v>
      </c>
      <c r="F423" s="66">
        <v>4.1430260180968952E-2</v>
      </c>
      <c r="G423" s="66">
        <f t="shared" si="39"/>
        <v>6.2973995475072808</v>
      </c>
      <c r="I423" s="168"/>
    </row>
    <row r="424" spans="2:9">
      <c r="B424" s="97">
        <v>510007</v>
      </c>
      <c r="C424" s="66" t="s">
        <v>356</v>
      </c>
      <c r="D424" s="66" t="s">
        <v>340</v>
      </c>
      <c r="E424" s="83">
        <f t="shared" si="38"/>
        <v>170</v>
      </c>
      <c r="F424" s="66">
        <v>6.8196825785645704E-2</v>
      </c>
      <c r="G424" s="66">
        <f t="shared" si="39"/>
        <v>11.593460383559769</v>
      </c>
      <c r="I424" s="168"/>
    </row>
    <row r="425" spans="2:9">
      <c r="E425" s="98">
        <f>ROUND(G425/F425,1)</f>
        <v>154.30000000000001</v>
      </c>
      <c r="F425" s="98">
        <f>SUM(F415:F424)</f>
        <v>1.2125211337987807</v>
      </c>
      <c r="G425" s="98">
        <f>SUM(G415:G424)</f>
        <v>187.15168131863891</v>
      </c>
      <c r="I425" s="168"/>
    </row>
    <row r="426" spans="2:9">
      <c r="I426" s="168"/>
    </row>
    <row r="427" spans="2:9">
      <c r="I427" s="168"/>
    </row>
    <row r="428" spans="2:9">
      <c r="B428" s="98">
        <v>23</v>
      </c>
      <c r="C428" s="98" t="s">
        <v>365</v>
      </c>
      <c r="D428" s="98" t="s">
        <v>0</v>
      </c>
      <c r="I428" s="168"/>
    </row>
    <row r="429" spans="2:9">
      <c r="I429" s="168"/>
    </row>
    <row r="430" spans="2:9">
      <c r="B430" s="97">
        <v>226000</v>
      </c>
      <c r="C430" s="66" t="s">
        <v>366</v>
      </c>
      <c r="D430" s="66" t="s">
        <v>340</v>
      </c>
      <c r="E430" s="83">
        <f t="shared" ref="E430:E446" si="40">VLOOKUP(B430,SEZNAM_POUŽITÝCH_MEZD,4,FALSE)</f>
        <v>135</v>
      </c>
      <c r="F430" s="66">
        <v>0.29475000000000001</v>
      </c>
      <c r="G430" s="66">
        <f t="shared" ref="G430:G446" si="41">E430*F430</f>
        <v>39.791250000000005</v>
      </c>
      <c r="I430" s="168"/>
    </row>
    <row r="431" spans="2:9">
      <c r="B431" s="97">
        <v>226006</v>
      </c>
      <c r="C431" s="66" t="s">
        <v>361</v>
      </c>
      <c r="D431" s="66" t="s">
        <v>340</v>
      </c>
      <c r="E431" s="83">
        <f t="shared" si="40"/>
        <v>152</v>
      </c>
      <c r="F431" s="66">
        <v>8.3556345123245064E-3</v>
      </c>
      <c r="G431" s="66">
        <f t="shared" si="41"/>
        <v>1.270056445873325</v>
      </c>
      <c r="I431" s="168"/>
    </row>
    <row r="432" spans="2:9">
      <c r="B432" s="97">
        <v>321006</v>
      </c>
      <c r="C432" s="66" t="s">
        <v>367</v>
      </c>
      <c r="D432" s="66" t="s">
        <v>340</v>
      </c>
      <c r="E432" s="83">
        <f t="shared" si="40"/>
        <v>157.5</v>
      </c>
      <c r="F432" s="66">
        <v>0.19350000000000001</v>
      </c>
      <c r="G432" s="66">
        <f t="shared" si="41"/>
        <v>30.47625</v>
      </c>
      <c r="I432" s="168"/>
    </row>
    <row r="433" spans="2:9">
      <c r="B433" s="97">
        <v>411406</v>
      </c>
      <c r="C433" s="66" t="s">
        <v>362</v>
      </c>
      <c r="D433" s="66" t="s">
        <v>340</v>
      </c>
      <c r="E433" s="83">
        <f t="shared" si="40"/>
        <v>152</v>
      </c>
      <c r="F433" s="66">
        <v>2.5464790894703257E-2</v>
      </c>
      <c r="G433" s="66">
        <f t="shared" si="41"/>
        <v>3.8706482159948949</v>
      </c>
      <c r="I433" s="168"/>
    </row>
    <row r="434" spans="2:9">
      <c r="B434" s="97">
        <v>411506</v>
      </c>
      <c r="C434" s="66" t="s">
        <v>363</v>
      </c>
      <c r="D434" s="66" t="s">
        <v>340</v>
      </c>
      <c r="E434" s="83">
        <f t="shared" si="40"/>
        <v>152</v>
      </c>
      <c r="F434" s="66">
        <v>5.0929581789406514E-2</v>
      </c>
      <c r="G434" s="66">
        <f t="shared" si="41"/>
        <v>7.7412964319897899</v>
      </c>
      <c r="I434" s="168"/>
    </row>
    <row r="435" spans="2:9">
      <c r="B435" s="97">
        <v>412200</v>
      </c>
      <c r="C435" s="66" t="s">
        <v>364</v>
      </c>
      <c r="D435" s="66" t="s">
        <v>340</v>
      </c>
      <c r="E435" s="83">
        <f t="shared" si="40"/>
        <v>135</v>
      </c>
      <c r="F435" s="66">
        <v>0.30590000000000001</v>
      </c>
      <c r="G435" s="66">
        <f t="shared" si="41"/>
        <v>41.296500000000002</v>
      </c>
      <c r="I435" s="168"/>
    </row>
    <row r="436" spans="2:9">
      <c r="B436" s="97">
        <v>413100</v>
      </c>
      <c r="C436" s="66" t="s">
        <v>368</v>
      </c>
      <c r="D436" s="66" t="s">
        <v>340</v>
      </c>
      <c r="E436" s="83">
        <f t="shared" si="40"/>
        <v>135</v>
      </c>
      <c r="F436" s="66">
        <v>0.19920000000000002</v>
      </c>
      <c r="G436" s="66">
        <f t="shared" si="41"/>
        <v>26.892000000000003</v>
      </c>
      <c r="I436" s="168"/>
    </row>
    <row r="437" spans="2:9">
      <c r="B437" s="97">
        <v>413106</v>
      </c>
      <c r="C437" s="66" t="s">
        <v>369</v>
      </c>
      <c r="D437" s="66" t="s">
        <v>340</v>
      </c>
      <c r="E437" s="83">
        <f t="shared" si="40"/>
        <v>152</v>
      </c>
      <c r="F437" s="66">
        <v>0.16800000000000001</v>
      </c>
      <c r="G437" s="66">
        <f t="shared" si="41"/>
        <v>25.536000000000001</v>
      </c>
      <c r="I437" s="168"/>
    </row>
    <row r="438" spans="2:9">
      <c r="B438" s="97">
        <v>413116</v>
      </c>
      <c r="C438" s="66" t="s">
        <v>370</v>
      </c>
      <c r="D438" s="66" t="s">
        <v>340</v>
      </c>
      <c r="E438" s="83">
        <f t="shared" si="40"/>
        <v>152</v>
      </c>
      <c r="F438" s="66">
        <v>0.17</v>
      </c>
      <c r="G438" s="66">
        <f t="shared" si="41"/>
        <v>25.840000000000003</v>
      </c>
      <c r="I438" s="168"/>
    </row>
    <row r="439" spans="2:9">
      <c r="B439" s="97">
        <v>413210</v>
      </c>
      <c r="C439" s="66" t="s">
        <v>371</v>
      </c>
      <c r="D439" s="66" t="s">
        <v>340</v>
      </c>
      <c r="E439" s="83">
        <f t="shared" si="40"/>
        <v>135</v>
      </c>
      <c r="F439" s="66">
        <v>6.0000000000000001E-3</v>
      </c>
      <c r="G439" s="66">
        <f t="shared" si="41"/>
        <v>0.81</v>
      </c>
      <c r="I439" s="168"/>
    </row>
    <row r="440" spans="2:9">
      <c r="B440" s="97">
        <v>419000</v>
      </c>
      <c r="C440" s="66" t="s">
        <v>350</v>
      </c>
      <c r="D440" s="66" t="s">
        <v>340</v>
      </c>
      <c r="E440" s="83">
        <f t="shared" si="40"/>
        <v>135</v>
      </c>
      <c r="F440" s="66">
        <v>0.21596479089470327</v>
      </c>
      <c r="G440" s="66">
        <f t="shared" si="41"/>
        <v>29.155246770784942</v>
      </c>
      <c r="I440" s="168"/>
    </row>
    <row r="441" spans="2:9">
      <c r="B441" s="97">
        <v>419004</v>
      </c>
      <c r="C441" s="66" t="s">
        <v>343</v>
      </c>
      <c r="D441" s="66" t="s">
        <v>340</v>
      </c>
      <c r="E441" s="83">
        <f t="shared" si="40"/>
        <v>120</v>
      </c>
      <c r="F441" s="66">
        <v>9.4999999999999998E-3</v>
      </c>
      <c r="G441" s="66">
        <f t="shared" si="41"/>
        <v>1.1399999999999999</v>
      </c>
      <c r="I441" s="168"/>
    </row>
    <row r="442" spans="2:9">
      <c r="B442" s="97">
        <v>422600</v>
      </c>
      <c r="C442" s="66" t="s">
        <v>372</v>
      </c>
      <c r="D442" s="66" t="s">
        <v>340</v>
      </c>
      <c r="E442" s="83">
        <f t="shared" si="40"/>
        <v>147</v>
      </c>
      <c r="F442" s="66">
        <v>0.15825</v>
      </c>
      <c r="G442" s="66">
        <f t="shared" si="41"/>
        <v>23.26275</v>
      </c>
      <c r="I442" s="168"/>
    </row>
    <row r="443" spans="2:9">
      <c r="B443" s="97">
        <v>441006</v>
      </c>
      <c r="C443" s="66" t="s">
        <v>345</v>
      </c>
      <c r="D443" s="66" t="s">
        <v>340</v>
      </c>
      <c r="E443" s="83">
        <f t="shared" si="40"/>
        <v>152</v>
      </c>
      <c r="F443" s="66">
        <v>0.21198591731740588</v>
      </c>
      <c r="G443" s="66">
        <f t="shared" si="41"/>
        <v>32.221859432245694</v>
      </c>
      <c r="I443" s="168"/>
    </row>
    <row r="444" spans="2:9">
      <c r="B444" s="97">
        <v>441007</v>
      </c>
      <c r="C444" s="66" t="s">
        <v>353</v>
      </c>
      <c r="D444" s="66" t="s">
        <v>340</v>
      </c>
      <c r="E444" s="83">
        <f t="shared" si="40"/>
        <v>170</v>
      </c>
      <c r="F444" s="66">
        <v>5.6126760935027123E-2</v>
      </c>
      <c r="G444" s="66">
        <f t="shared" si="41"/>
        <v>9.5415493589546116</v>
      </c>
      <c r="I444" s="168"/>
    </row>
    <row r="445" spans="2:9">
      <c r="B445" s="97">
        <v>510006</v>
      </c>
      <c r="C445" s="66" t="s">
        <v>355</v>
      </c>
      <c r="D445" s="66" t="s">
        <v>340</v>
      </c>
      <c r="E445" s="83">
        <f t="shared" si="40"/>
        <v>152</v>
      </c>
      <c r="F445" s="66">
        <v>0.37259507130097319</v>
      </c>
      <c r="G445" s="66">
        <f t="shared" si="41"/>
        <v>56.634450837747927</v>
      </c>
      <c r="I445" s="168"/>
    </row>
    <row r="446" spans="2:9">
      <c r="B446" s="97">
        <v>510007</v>
      </c>
      <c r="C446" s="66" t="s">
        <v>356</v>
      </c>
      <c r="D446" s="66" t="s">
        <v>340</v>
      </c>
      <c r="E446" s="83">
        <f t="shared" si="40"/>
        <v>170</v>
      </c>
      <c r="F446" s="66">
        <v>0.38373591731740586</v>
      </c>
      <c r="G446" s="66">
        <f t="shared" si="41"/>
        <v>65.235105943958999</v>
      </c>
      <c r="I446" s="168"/>
    </row>
    <row r="447" spans="2:9">
      <c r="E447" s="98">
        <f>ROUND(G447/F447,1)</f>
        <v>148.6</v>
      </c>
      <c r="F447" s="98">
        <f>SUM(F430:F446)</f>
        <v>2.8302584649619495</v>
      </c>
      <c r="G447" s="98">
        <f>SUM(G430:G446)</f>
        <v>420.71496343755018</v>
      </c>
      <c r="I447" s="168"/>
    </row>
    <row r="448" spans="2:9">
      <c r="I448" s="168"/>
    </row>
    <row r="449" spans="2:9">
      <c r="I449" s="168"/>
    </row>
    <row r="450" spans="2:9">
      <c r="B450" s="98">
        <v>24</v>
      </c>
      <c r="C450" s="98" t="s">
        <v>144</v>
      </c>
      <c r="D450" s="98" t="s">
        <v>0</v>
      </c>
      <c r="I450" s="168"/>
    </row>
    <row r="451" spans="2:9">
      <c r="I451" s="168"/>
    </row>
    <row r="452" spans="2:9">
      <c r="B452" s="97">
        <v>220007</v>
      </c>
      <c r="C452" s="66" t="s">
        <v>373</v>
      </c>
      <c r="D452" s="66" t="s">
        <v>340</v>
      </c>
      <c r="E452" s="83">
        <f t="shared" ref="E452:E464" si="42">VLOOKUP(B452,SEZNAM_POUŽITÝCH_MEZD,4,FALSE)</f>
        <v>170</v>
      </c>
      <c r="F452" s="66">
        <v>1.2666666666666666E-2</v>
      </c>
      <c r="G452" s="66">
        <f t="shared" ref="G452:G464" si="43">E452*F452</f>
        <v>2.1533333333333333</v>
      </c>
      <c r="I452" s="168"/>
    </row>
    <row r="453" spans="2:9">
      <c r="B453" s="97">
        <v>321006</v>
      </c>
      <c r="C453" s="66" t="s">
        <v>367</v>
      </c>
      <c r="D453" s="66" t="s">
        <v>340</v>
      </c>
      <c r="E453" s="83">
        <f t="shared" si="42"/>
        <v>157.5</v>
      </c>
      <c r="F453" s="66">
        <v>5.16E-2</v>
      </c>
      <c r="G453" s="66">
        <f t="shared" si="43"/>
        <v>8.1270000000000007</v>
      </c>
      <c r="I453" s="168"/>
    </row>
    <row r="454" spans="2:9">
      <c r="B454" s="97">
        <v>321007</v>
      </c>
      <c r="C454" s="66" t="s">
        <v>374</v>
      </c>
      <c r="D454" s="66" t="s">
        <v>340</v>
      </c>
      <c r="E454" s="83">
        <f t="shared" si="42"/>
        <v>170</v>
      </c>
      <c r="F454" s="66">
        <v>3.1200000000000002E-2</v>
      </c>
      <c r="G454" s="66">
        <f t="shared" si="43"/>
        <v>5.3040000000000003</v>
      </c>
      <c r="I454" s="168"/>
    </row>
    <row r="455" spans="2:9">
      <c r="B455" s="97">
        <v>411100</v>
      </c>
      <c r="C455" s="66" t="s">
        <v>348</v>
      </c>
      <c r="D455" s="66" t="s">
        <v>340</v>
      </c>
      <c r="E455" s="83">
        <f t="shared" si="42"/>
        <v>130</v>
      </c>
      <c r="F455" s="66">
        <v>5.2666666666666667E-2</v>
      </c>
      <c r="G455" s="66">
        <f t="shared" si="43"/>
        <v>6.8466666666666667</v>
      </c>
      <c r="I455" s="168"/>
    </row>
    <row r="456" spans="2:9">
      <c r="B456" s="97">
        <v>411400</v>
      </c>
      <c r="C456" s="66" t="s">
        <v>375</v>
      </c>
      <c r="D456" s="66" t="s">
        <v>340</v>
      </c>
      <c r="E456" s="83">
        <f t="shared" si="42"/>
        <v>135</v>
      </c>
      <c r="F456" s="66">
        <v>0.12666666666666665</v>
      </c>
      <c r="G456" s="66">
        <f t="shared" si="43"/>
        <v>17.099999999999998</v>
      </c>
      <c r="I456" s="168"/>
    </row>
    <row r="457" spans="2:9">
      <c r="B457" s="97">
        <v>411406</v>
      </c>
      <c r="C457" s="66" t="s">
        <v>362</v>
      </c>
      <c r="D457" s="66" t="s">
        <v>340</v>
      </c>
      <c r="E457" s="83">
        <f t="shared" si="42"/>
        <v>152</v>
      </c>
      <c r="F457" s="66">
        <v>1.26E-2</v>
      </c>
      <c r="G457" s="66">
        <f t="shared" si="43"/>
        <v>1.9152</v>
      </c>
      <c r="I457" s="168"/>
    </row>
    <row r="458" spans="2:9">
      <c r="B458" s="97">
        <v>411506</v>
      </c>
      <c r="C458" s="66" t="s">
        <v>363</v>
      </c>
      <c r="D458" s="66" t="s">
        <v>340</v>
      </c>
      <c r="E458" s="83">
        <f t="shared" si="42"/>
        <v>152</v>
      </c>
      <c r="F458" s="66">
        <v>1.2716666666666667</v>
      </c>
      <c r="G458" s="66">
        <f t="shared" si="43"/>
        <v>193.29333333333335</v>
      </c>
      <c r="I458" s="168"/>
    </row>
    <row r="459" spans="2:9">
      <c r="B459" s="97">
        <v>413100</v>
      </c>
      <c r="C459" s="66" t="s">
        <v>368</v>
      </c>
      <c r="D459" s="66" t="s">
        <v>340</v>
      </c>
      <c r="E459" s="83">
        <f t="shared" si="42"/>
        <v>135</v>
      </c>
      <c r="F459" s="66">
        <v>4.4000000000000004E-2</v>
      </c>
      <c r="G459" s="66">
        <f t="shared" si="43"/>
        <v>5.94</v>
      </c>
      <c r="I459" s="168"/>
    </row>
    <row r="460" spans="2:9">
      <c r="B460" s="97">
        <v>413106</v>
      </c>
      <c r="C460" s="66" t="s">
        <v>369</v>
      </c>
      <c r="D460" s="66" t="s">
        <v>340</v>
      </c>
      <c r="E460" s="83">
        <f t="shared" si="42"/>
        <v>152</v>
      </c>
      <c r="F460" s="66">
        <v>0.11199999999999999</v>
      </c>
      <c r="G460" s="66">
        <f t="shared" si="43"/>
        <v>17.023999999999997</v>
      </c>
      <c r="I460" s="168"/>
    </row>
    <row r="461" spans="2:9">
      <c r="B461" s="97">
        <v>419000</v>
      </c>
      <c r="C461" s="66" t="s">
        <v>350</v>
      </c>
      <c r="D461" s="66" t="s">
        <v>340</v>
      </c>
      <c r="E461" s="83">
        <f t="shared" si="42"/>
        <v>135</v>
      </c>
      <c r="F461" s="66">
        <v>3.2492000000000001</v>
      </c>
      <c r="G461" s="66">
        <f t="shared" si="43"/>
        <v>438.642</v>
      </c>
      <c r="I461" s="168"/>
    </row>
    <row r="462" spans="2:9">
      <c r="B462" s="97">
        <v>419004</v>
      </c>
      <c r="C462" s="66" t="s">
        <v>343</v>
      </c>
      <c r="D462" s="66" t="s">
        <v>340</v>
      </c>
      <c r="E462" s="83">
        <f t="shared" si="42"/>
        <v>120</v>
      </c>
      <c r="F462" s="66">
        <v>0.17666666666666667</v>
      </c>
      <c r="G462" s="66">
        <f t="shared" si="43"/>
        <v>21.2</v>
      </c>
      <c r="I462" s="168"/>
    </row>
    <row r="463" spans="2:9">
      <c r="B463" s="97">
        <v>441006</v>
      </c>
      <c r="C463" s="66" t="s">
        <v>345</v>
      </c>
      <c r="D463" s="66" t="s">
        <v>340</v>
      </c>
      <c r="E463" s="83">
        <f t="shared" si="42"/>
        <v>152</v>
      </c>
      <c r="F463" s="66">
        <v>1.3276666666666666</v>
      </c>
      <c r="G463" s="66">
        <f t="shared" si="43"/>
        <v>201.80533333333332</v>
      </c>
      <c r="I463" s="168"/>
    </row>
    <row r="464" spans="2:9">
      <c r="B464" s="97">
        <v>441007</v>
      </c>
      <c r="C464" s="66" t="s">
        <v>353</v>
      </c>
      <c r="D464" s="66" t="s">
        <v>340</v>
      </c>
      <c r="E464" s="83">
        <f t="shared" si="42"/>
        <v>170</v>
      </c>
      <c r="F464" s="66">
        <v>2.6882000000000001</v>
      </c>
      <c r="G464" s="66">
        <f t="shared" si="43"/>
        <v>456.99400000000003</v>
      </c>
      <c r="I464" s="168"/>
    </row>
    <row r="465" spans="2:9">
      <c r="E465" s="98">
        <f>ROUND(G465/F465,1)</f>
        <v>150.30000000000001</v>
      </c>
      <c r="F465" s="98">
        <f>SUM(F452:F464)</f>
        <v>9.1568000000000005</v>
      </c>
      <c r="G465" s="98">
        <f>SUM(G452:G464)</f>
        <v>1376.3448666666668</v>
      </c>
      <c r="I465" s="168"/>
    </row>
    <row r="466" spans="2:9">
      <c r="I466" s="168"/>
    </row>
    <row r="467" spans="2:9">
      <c r="I467" s="168"/>
    </row>
    <row r="468" spans="2:9">
      <c r="B468" s="98">
        <v>26</v>
      </c>
      <c r="C468" s="98" t="s">
        <v>324</v>
      </c>
      <c r="D468" s="98" t="s">
        <v>0</v>
      </c>
      <c r="I468" s="168"/>
    </row>
    <row r="469" spans="2:9">
      <c r="I469" s="168"/>
    </row>
    <row r="470" spans="2:9">
      <c r="I470" s="168"/>
    </row>
    <row r="471" spans="2:9">
      <c r="B471" s="97">
        <v>329007</v>
      </c>
      <c r="C471" s="66" t="s">
        <v>376</v>
      </c>
      <c r="D471" s="66" t="s">
        <v>340</v>
      </c>
      <c r="E471" s="83">
        <f t="shared" ref="E471:E480" si="44">VLOOKUP(B471,SEZNAM_POUŽITÝCH_MEZD,4,FALSE)</f>
        <v>163</v>
      </c>
      <c r="F471" s="66">
        <v>0.15029000000000001</v>
      </c>
      <c r="G471" s="66">
        <f t="shared" ref="G471:G480" si="45">E471*F471</f>
        <v>24.49727</v>
      </c>
      <c r="I471" s="168"/>
    </row>
    <row r="472" spans="2:9">
      <c r="B472" s="97">
        <v>411506</v>
      </c>
      <c r="C472" s="66" t="s">
        <v>363</v>
      </c>
      <c r="D472" s="66" t="s">
        <v>340</v>
      </c>
      <c r="E472" s="83">
        <f t="shared" si="44"/>
        <v>152</v>
      </c>
      <c r="F472" s="66">
        <v>0.39683875000000002</v>
      </c>
      <c r="G472" s="66">
        <f t="shared" si="45"/>
        <v>60.319490000000002</v>
      </c>
      <c r="I472" s="168"/>
    </row>
    <row r="473" spans="2:9">
      <c r="B473" s="97">
        <v>411507</v>
      </c>
      <c r="C473" s="66" t="s">
        <v>377</v>
      </c>
      <c r="D473" s="66" t="s">
        <v>340</v>
      </c>
      <c r="E473" s="83">
        <f t="shared" si="44"/>
        <v>170</v>
      </c>
      <c r="F473" s="66">
        <v>0.39683875000000002</v>
      </c>
      <c r="G473" s="66">
        <f t="shared" si="45"/>
        <v>67.462587499999998</v>
      </c>
      <c r="I473" s="168"/>
    </row>
    <row r="474" spans="2:9">
      <c r="B474" s="97">
        <v>412200</v>
      </c>
      <c r="C474" s="66" t="s">
        <v>364</v>
      </c>
      <c r="D474" s="66" t="s">
        <v>340</v>
      </c>
      <c r="E474" s="83">
        <f t="shared" si="44"/>
        <v>135</v>
      </c>
      <c r="F474" s="66">
        <v>4.7879999999999999E-2</v>
      </c>
      <c r="G474" s="66">
        <f t="shared" si="45"/>
        <v>6.4638</v>
      </c>
      <c r="I474" s="168"/>
    </row>
    <row r="475" spans="2:9">
      <c r="B475" s="97">
        <v>419000</v>
      </c>
      <c r="C475" s="66" t="s">
        <v>350</v>
      </c>
      <c r="D475" s="66" t="s">
        <v>340</v>
      </c>
      <c r="E475" s="83">
        <f t="shared" si="44"/>
        <v>135</v>
      </c>
      <c r="F475" s="66">
        <v>2.5826937500000002</v>
      </c>
      <c r="G475" s="66">
        <f t="shared" si="45"/>
        <v>348.66365625000003</v>
      </c>
      <c r="I475" s="168"/>
    </row>
    <row r="476" spans="2:9">
      <c r="B476" s="97">
        <v>419006</v>
      </c>
      <c r="C476" s="66" t="s">
        <v>352</v>
      </c>
      <c r="D476" s="66" t="s">
        <v>340</v>
      </c>
      <c r="E476" s="83">
        <f t="shared" si="44"/>
        <v>152</v>
      </c>
      <c r="F476" s="66">
        <v>0.22477000000000003</v>
      </c>
      <c r="G476" s="66">
        <f t="shared" si="45"/>
        <v>34.165040000000005</v>
      </c>
      <c r="I476" s="168"/>
    </row>
    <row r="477" spans="2:9">
      <c r="B477" s="97">
        <v>441000</v>
      </c>
      <c r="C477" s="66" t="s">
        <v>344</v>
      </c>
      <c r="D477" s="66" t="s">
        <v>340</v>
      </c>
      <c r="E477" s="83">
        <f t="shared" si="44"/>
        <v>135</v>
      </c>
      <c r="F477" s="66">
        <v>1.59866</v>
      </c>
      <c r="G477" s="66">
        <f t="shared" si="45"/>
        <v>215.81909999999999</v>
      </c>
      <c r="I477" s="168"/>
    </row>
    <row r="478" spans="2:9">
      <c r="B478" s="97">
        <v>441006</v>
      </c>
      <c r="C478" s="66" t="s">
        <v>345</v>
      </c>
      <c r="D478" s="66" t="s">
        <v>340</v>
      </c>
      <c r="E478" s="83">
        <f t="shared" si="44"/>
        <v>152</v>
      </c>
      <c r="F478" s="66">
        <v>1.68777</v>
      </c>
      <c r="G478" s="66">
        <f t="shared" si="45"/>
        <v>256.54104000000001</v>
      </c>
      <c r="I478" s="168"/>
    </row>
    <row r="479" spans="2:9">
      <c r="B479" s="97">
        <v>441007</v>
      </c>
      <c r="C479" s="66" t="s">
        <v>353</v>
      </c>
      <c r="D479" s="66" t="s">
        <v>340</v>
      </c>
      <c r="E479" s="83">
        <f t="shared" si="44"/>
        <v>170</v>
      </c>
      <c r="F479" s="66">
        <v>8.9110000000000009E-2</v>
      </c>
      <c r="G479" s="66">
        <f t="shared" si="45"/>
        <v>15.148700000000002</v>
      </c>
      <c r="I479" s="168"/>
    </row>
    <row r="480" spans="2:9">
      <c r="B480" s="97">
        <v>510007</v>
      </c>
      <c r="C480" s="66" t="s">
        <v>356</v>
      </c>
      <c r="D480" s="66" t="s">
        <v>340</v>
      </c>
      <c r="E480" s="83">
        <f t="shared" si="44"/>
        <v>170</v>
      </c>
      <c r="F480" s="66">
        <v>0.47131875000000001</v>
      </c>
      <c r="G480" s="66">
        <f t="shared" si="45"/>
        <v>80.124187500000005</v>
      </c>
      <c r="I480" s="168"/>
    </row>
    <row r="481" spans="1:14">
      <c r="E481" s="98">
        <f>ROUND(G481/F481,1)</f>
        <v>145.1</v>
      </c>
      <c r="F481" s="98">
        <f>SUM(F471:F480)</f>
        <v>7.6461699999999997</v>
      </c>
      <c r="G481" s="98">
        <f>SUM(G471:G480)</f>
        <v>1109.20487125</v>
      </c>
      <c r="I481" s="168"/>
    </row>
    <row r="482" spans="1:14">
      <c r="I482" s="168"/>
    </row>
    <row r="483" spans="1:14">
      <c r="I483" s="168"/>
    </row>
    <row r="484" spans="1:14">
      <c r="B484" s="98">
        <v>27</v>
      </c>
      <c r="C484" s="98" t="s">
        <v>378</v>
      </c>
      <c r="D484" s="98" t="s">
        <v>272</v>
      </c>
      <c r="I484" s="168"/>
    </row>
    <row r="485" spans="1:14">
      <c r="I485" s="168"/>
    </row>
    <row r="486" spans="1:14">
      <c r="A486" s="66">
        <v>27</v>
      </c>
      <c r="B486" s="66" t="s">
        <v>876</v>
      </c>
      <c r="C486" s="66" t="s">
        <v>877</v>
      </c>
      <c r="D486" s="66" t="s">
        <v>272</v>
      </c>
      <c r="E486" s="66">
        <v>1</v>
      </c>
      <c r="H486" s="66">
        <f>ROUND((J$2:J$66136*(1-VLOOKUP(IF(ISNUMBER(A486),A486,900),MATICE_CEN,7,FALSE))+K$2:K$66136+(L$2:L$66136*(1-VLOOKUP(IF(ISNUMBER(A486),A486,900),MATICE_CEN,6,FALSE))+M$2:M$66136+N$2:N$66136*IF(A486=99,sleva_ocel,1)*VLOOKUP(IF(ISNUMBER(A486),A486,900),MATICE_CEN,4,FALSE)*(1+časová_rezerva)*(1+pojistné))*IF(A486=900,(1+STD_HR_HSV),(1+VLOOKUP(IF(ISNUMBER(A486),A486,900),MATICE_CEN,5,FALSE))))*(1+VRN),1)</f>
        <v>2339.6</v>
      </c>
      <c r="I486" s="188">
        <v>2550</v>
      </c>
      <c r="J486" s="66">
        <v>1976.04</v>
      </c>
      <c r="K486" s="66">
        <v>373.72</v>
      </c>
      <c r="L486" s="66">
        <v>46.31</v>
      </c>
      <c r="M486" s="66">
        <v>0</v>
      </c>
      <c r="N486" s="66">
        <v>0.48</v>
      </c>
    </row>
    <row r="487" spans="1:14">
      <c r="A487" s="66">
        <v>27</v>
      </c>
      <c r="B487" s="66" t="s">
        <v>878</v>
      </c>
      <c r="C487" s="66" t="s">
        <v>879</v>
      </c>
      <c r="D487" s="66" t="s">
        <v>0</v>
      </c>
      <c r="E487" s="66">
        <v>0.42</v>
      </c>
      <c r="H487" s="66">
        <f>ROUND((J$2:J$66136*(1-VLOOKUP(IF(ISNUMBER(A487),A487,900),MATICE_CEN,7,FALSE))+K$2:K$66136+(L$2:L$66136*(1-VLOOKUP(IF(ISNUMBER(A487),A487,900),MATICE_CEN,6,FALSE))+M$2:M$66136+N$2:N$66136*IF(A487=99,sleva_ocel,1)*VLOOKUP(IF(ISNUMBER(A487),A487,900),MATICE_CEN,4,FALSE)*(1+časová_rezerva)*(1+pojistné))*IF(A487=900,(1+STD_HR_HSV),(1+VLOOKUP(IF(ISNUMBER(A487),A487,900),MATICE_CEN,5,FALSE))))*(1+VRN),1)</f>
        <v>554.79999999999995</v>
      </c>
      <c r="I487" s="188">
        <v>520</v>
      </c>
      <c r="J487" s="66">
        <v>125.46</v>
      </c>
      <c r="K487" s="66">
        <v>3.94</v>
      </c>
      <c r="L487" s="66">
        <v>0</v>
      </c>
      <c r="M487" s="66">
        <v>0</v>
      </c>
      <c r="N487" s="66">
        <v>1.6</v>
      </c>
    </row>
    <row r="488" spans="1:14">
      <c r="A488" s="66">
        <v>27</v>
      </c>
      <c r="B488" s="66" t="s">
        <v>880</v>
      </c>
      <c r="C488" s="66" t="s">
        <v>881</v>
      </c>
      <c r="D488" s="66" t="s">
        <v>0</v>
      </c>
      <c r="E488" s="66">
        <v>0.42</v>
      </c>
      <c r="H488" s="66">
        <f>ROUND((J$2:J$66136*(1-VLOOKUP(IF(ISNUMBER(A488),A488,900),MATICE_CEN,7,FALSE))+K$2:K$66136+(L$2:L$66136*(1-VLOOKUP(IF(ISNUMBER(A488),A488,900),MATICE_CEN,6,FALSE))+M$2:M$66136+N$2:N$66136*IF(A488=99,sleva_ocel,1)*VLOOKUP(IF(ISNUMBER(A488),A488,900),MATICE_CEN,4,FALSE)*(1+časová_rezerva)*(1+pojistné))*IF(A488=900,(1+STD_HR_HSV),(1+VLOOKUP(IF(ISNUMBER(A488),A488,900),MATICE_CEN,5,FALSE))))*(1+VRN),1)</f>
        <v>87.9</v>
      </c>
      <c r="I488" s="188">
        <v>78.8</v>
      </c>
      <c r="J488" s="66">
        <v>0</v>
      </c>
      <c r="K488" s="66">
        <v>0</v>
      </c>
      <c r="L488" s="66">
        <v>0</v>
      </c>
      <c r="M488" s="66">
        <v>0</v>
      </c>
      <c r="N488" s="66">
        <v>0.32</v>
      </c>
    </row>
    <row r="489" spans="1:14">
      <c r="I489" s="168"/>
    </row>
    <row r="490" spans="1:14">
      <c r="B490" s="97">
        <v>411500</v>
      </c>
      <c r="C490" s="66" t="s">
        <v>358</v>
      </c>
      <c r="D490" s="66" t="s">
        <v>340</v>
      </c>
      <c r="E490" s="83">
        <f>VLOOKUP(B490,SEZNAM_POUŽITÝCH_MEZD,4,FALSE)</f>
        <v>135</v>
      </c>
      <c r="F490" s="66">
        <v>0.21099999999999999</v>
      </c>
      <c r="G490" s="66">
        <f>E490*F490</f>
        <v>28.484999999999999</v>
      </c>
      <c r="I490" s="168"/>
    </row>
    <row r="491" spans="1:14">
      <c r="B491" s="97">
        <v>412206</v>
      </c>
      <c r="C491" s="66" t="s">
        <v>359</v>
      </c>
      <c r="D491" s="66" t="s">
        <v>340</v>
      </c>
      <c r="E491" s="83">
        <f>VLOOKUP(B491,SEZNAM_POUŽITÝCH_MEZD,4,FALSE)</f>
        <v>152</v>
      </c>
      <c r="F491" s="66">
        <v>2.3E-2</v>
      </c>
      <c r="G491" s="66">
        <f>E491*F491</f>
        <v>3.496</v>
      </c>
      <c r="I491" s="168"/>
    </row>
    <row r="492" spans="1:14">
      <c r="B492" s="97">
        <v>413100</v>
      </c>
      <c r="C492" s="66" t="s">
        <v>368</v>
      </c>
      <c r="D492" s="66" t="s">
        <v>340</v>
      </c>
      <c r="E492" s="83">
        <f>VLOOKUP(B492,SEZNAM_POUŽITÝCH_MEZD,4,FALSE)</f>
        <v>135</v>
      </c>
      <c r="F492" s="66">
        <v>0.26039999999999996</v>
      </c>
      <c r="G492" s="66">
        <f>E492*F492</f>
        <v>35.153999999999996</v>
      </c>
      <c r="I492" s="168"/>
    </row>
    <row r="493" spans="1:14">
      <c r="B493" s="97">
        <v>419004</v>
      </c>
      <c r="C493" s="66" t="s">
        <v>343</v>
      </c>
      <c r="D493" s="66" t="s">
        <v>340</v>
      </c>
      <c r="E493" s="83">
        <f>VLOOKUP(B493,SEZNAM_POUŽITÝCH_MEZD,4,FALSE)</f>
        <v>120</v>
      </c>
      <c r="F493" s="66">
        <v>0.79199999999999993</v>
      </c>
      <c r="G493" s="66">
        <f>E493*F493</f>
        <v>95.039999999999992</v>
      </c>
      <c r="I493" s="168"/>
    </row>
    <row r="494" spans="1:14">
      <c r="E494" s="98">
        <f>ROUND(G494/F494,1)</f>
        <v>126.1</v>
      </c>
      <c r="F494" s="98">
        <f>SUM(F490:F493)</f>
        <v>1.2864</v>
      </c>
      <c r="G494" s="98">
        <f>SUM(G490:G493)</f>
        <v>162.17499999999998</v>
      </c>
      <c r="I494" s="168"/>
    </row>
    <row r="495" spans="1:14">
      <c r="I495" s="168"/>
    </row>
    <row r="496" spans="1:14">
      <c r="I496" s="168"/>
    </row>
    <row r="497" spans="2:9">
      <c r="I497" s="168"/>
    </row>
    <row r="498" spans="2:9">
      <c r="B498" s="98">
        <v>28</v>
      </c>
      <c r="C498" s="98" t="s">
        <v>379</v>
      </c>
      <c r="D498" s="98"/>
      <c r="I498" s="168"/>
    </row>
    <row r="499" spans="2:9">
      <c r="I499" s="168"/>
    </row>
    <row r="500" spans="2:9">
      <c r="B500" s="66" t="s">
        <v>380</v>
      </c>
      <c r="C500" s="66" t="s">
        <v>381</v>
      </c>
      <c r="D500" s="66" t="s">
        <v>0</v>
      </c>
      <c r="E500" s="66">
        <v>1</v>
      </c>
      <c r="I500" s="168"/>
    </row>
    <row r="501" spans="2:9">
      <c r="B501" s="66" t="s">
        <v>382</v>
      </c>
      <c r="C501" s="66" t="s">
        <v>383</v>
      </c>
      <c r="D501" s="66" t="s">
        <v>384</v>
      </c>
      <c r="E501" s="66">
        <v>1</v>
      </c>
      <c r="I501" s="168"/>
    </row>
    <row r="502" spans="2:9">
      <c r="I502" s="168"/>
    </row>
    <row r="503" spans="2:9">
      <c r="B503" s="97">
        <v>412106</v>
      </c>
      <c r="C503" s="66" t="s">
        <v>385</v>
      </c>
      <c r="D503" s="66" t="s">
        <v>340</v>
      </c>
      <c r="E503" s="83">
        <f t="shared" ref="E503:E508" si="46">VLOOKUP(B503,SEZNAM_POUŽITÝCH_MEZD,4,FALSE)</f>
        <v>152</v>
      </c>
      <c r="F503" s="66">
        <v>0.14000000000000001</v>
      </c>
      <c r="G503" s="66">
        <f t="shared" ref="G503:G508" si="47">E503*F503</f>
        <v>21.28</v>
      </c>
      <c r="I503" s="168"/>
    </row>
    <row r="504" spans="2:9">
      <c r="B504" s="97">
        <v>412204</v>
      </c>
      <c r="C504" s="66" t="s">
        <v>386</v>
      </c>
      <c r="D504" s="66" t="s">
        <v>340</v>
      </c>
      <c r="E504" s="83">
        <f t="shared" si="46"/>
        <v>120</v>
      </c>
      <c r="F504" s="66">
        <v>0.14000000000000001</v>
      </c>
      <c r="G504" s="66">
        <f t="shared" si="47"/>
        <v>16.8</v>
      </c>
      <c r="I504" s="168"/>
    </row>
    <row r="505" spans="2:9">
      <c r="B505" s="97">
        <v>413100</v>
      </c>
      <c r="C505" s="66" t="s">
        <v>368</v>
      </c>
      <c r="D505" s="66" t="s">
        <v>340</v>
      </c>
      <c r="E505" s="83">
        <f t="shared" si="46"/>
        <v>135</v>
      </c>
      <c r="F505" s="66">
        <v>6.4000000000000001E-2</v>
      </c>
      <c r="G505" s="66">
        <f t="shared" si="47"/>
        <v>8.64</v>
      </c>
      <c r="I505" s="168"/>
    </row>
    <row r="506" spans="2:9">
      <c r="B506" s="97">
        <v>419000</v>
      </c>
      <c r="C506" s="66" t="s">
        <v>350</v>
      </c>
      <c r="D506" s="66" t="s">
        <v>340</v>
      </c>
      <c r="E506" s="83">
        <f t="shared" si="46"/>
        <v>135</v>
      </c>
      <c r="F506" s="66">
        <v>0.21199999999999999</v>
      </c>
      <c r="G506" s="66">
        <f t="shared" si="47"/>
        <v>28.619999999999997</v>
      </c>
      <c r="I506" s="168"/>
    </row>
    <row r="507" spans="2:9">
      <c r="B507" s="97">
        <v>419004</v>
      </c>
      <c r="C507" s="66" t="s">
        <v>343</v>
      </c>
      <c r="D507" s="66" t="s">
        <v>340</v>
      </c>
      <c r="E507" s="83">
        <f t="shared" si="46"/>
        <v>120</v>
      </c>
      <c r="F507" s="66">
        <v>0.61099999999999999</v>
      </c>
      <c r="G507" s="66">
        <f t="shared" si="47"/>
        <v>73.319999999999993</v>
      </c>
      <c r="I507" s="168"/>
    </row>
    <row r="508" spans="2:9">
      <c r="B508" s="97">
        <v>421206</v>
      </c>
      <c r="C508" s="66" t="s">
        <v>387</v>
      </c>
      <c r="D508" s="66" t="s">
        <v>340</v>
      </c>
      <c r="E508" s="83">
        <f t="shared" si="46"/>
        <v>152</v>
      </c>
      <c r="F508" s="66">
        <v>1.13636</v>
      </c>
      <c r="G508" s="66">
        <f t="shared" si="47"/>
        <v>172.72672</v>
      </c>
      <c r="I508" s="168"/>
    </row>
    <row r="509" spans="2:9">
      <c r="E509" s="98">
        <f>ROUND(G509/F509,1)</f>
        <v>139.5</v>
      </c>
      <c r="F509" s="98">
        <f>SUM(F503:F508)</f>
        <v>2.3033600000000001</v>
      </c>
      <c r="G509" s="98">
        <f>SUM(G503:G508)</f>
        <v>321.38671999999997</v>
      </c>
      <c r="I509" s="168"/>
    </row>
    <row r="510" spans="2:9">
      <c r="I510" s="168"/>
    </row>
    <row r="511" spans="2:9">
      <c r="I511" s="168"/>
    </row>
    <row r="512" spans="2:9">
      <c r="B512" s="98">
        <v>3</v>
      </c>
      <c r="C512" s="98" t="s">
        <v>388</v>
      </c>
      <c r="D512" s="98" t="s">
        <v>272</v>
      </c>
      <c r="I512" s="168"/>
    </row>
    <row r="513" spans="1:15">
      <c r="I513" s="168"/>
    </row>
    <row r="514" spans="1:15">
      <c r="A514" s="66">
        <v>3</v>
      </c>
      <c r="B514" s="66" t="s">
        <v>882</v>
      </c>
      <c r="C514" s="66" t="s">
        <v>883</v>
      </c>
      <c r="D514" s="66" t="s">
        <v>272</v>
      </c>
      <c r="E514" s="66">
        <v>1</v>
      </c>
      <c r="H514" s="66">
        <f>ROUND((J$2:J$66136*(1-VLOOKUP(IF(ISNUMBER(A514),A514,900),MATICE_CEN,7,FALSE))+K$2:K$66136+(L$2:L$66136*(1-VLOOKUP(IF(ISNUMBER(A514),A514,900),MATICE_CEN,6,FALSE))+M$2:M$66136+N$2:N$66136*IF(A514=99,sleva_ocel,1)*VLOOKUP(IF(ISNUMBER(A514),A514,900),MATICE_CEN,4,FALSE)*(1+časová_rezerva)*(1+pojistné))*IF(A514=900,(1+STD_HR_HSV),(1+VLOOKUP(IF(ISNUMBER(A514),A514,900),MATICE_CEN,5,FALSE))))*(1+VRN),1)</f>
        <v>2589.4</v>
      </c>
      <c r="I514" s="168">
        <v>2785</v>
      </c>
      <c r="J514" s="66">
        <v>2036.76</v>
      </c>
      <c r="K514" s="66">
        <v>375.32</v>
      </c>
      <c r="L514" s="66">
        <v>49.69</v>
      </c>
      <c r="M514" s="66">
        <v>0</v>
      </c>
      <c r="N514" s="66">
        <v>1.093</v>
      </c>
      <c r="O514" s="66">
        <v>2.4489999999999998</v>
      </c>
    </row>
    <row r="515" spans="1:15">
      <c r="A515" s="66">
        <v>3</v>
      </c>
      <c r="B515" s="66" t="s">
        <v>884</v>
      </c>
      <c r="C515" s="66" t="s">
        <v>885</v>
      </c>
      <c r="D515" s="66" t="s">
        <v>0</v>
      </c>
      <c r="E515" s="66">
        <f>E514/0.2*2</f>
        <v>10</v>
      </c>
      <c r="H515" s="66">
        <f>ROUND((J$2:J$66136*(1-VLOOKUP(IF(ISNUMBER(A515),A515,900),MATICE_CEN,7,FALSE))+K$2:K$66136+(L$2:L$66136*(1-VLOOKUP(IF(ISNUMBER(A515),A515,900),MATICE_CEN,6,FALSE))+M$2:M$66136+N$2:N$66136*IF(A515=99,sleva_ocel,1)*VLOOKUP(IF(ISNUMBER(A515),A515,900),MATICE_CEN,4,FALSE)*(1+časová_rezerva)*(1+pojistné))*IF(A515=900,(1+STD_HR_HSV),(1+VLOOKUP(IF(ISNUMBER(A515),A515,900),MATICE_CEN,5,FALSE))))*(1+VRN),1)</f>
        <v>376.7</v>
      </c>
      <c r="I515" s="168">
        <v>386</v>
      </c>
      <c r="J515" s="66">
        <v>129.6</v>
      </c>
      <c r="K515" s="66">
        <v>4.07</v>
      </c>
      <c r="L515" s="66">
        <v>47.6</v>
      </c>
      <c r="M515" s="66">
        <v>0</v>
      </c>
      <c r="N515" s="66">
        <v>0.65</v>
      </c>
      <c r="O515" s="66">
        <v>3.9350000000000003E-2</v>
      </c>
    </row>
    <row r="516" spans="1:15">
      <c r="A516" s="66">
        <v>3</v>
      </c>
      <c r="B516" s="66" t="s">
        <v>886</v>
      </c>
      <c r="C516" s="66" t="s">
        <v>887</v>
      </c>
      <c r="D516" s="66" t="s">
        <v>0</v>
      </c>
      <c r="E516" s="66">
        <f>E515</f>
        <v>10</v>
      </c>
      <c r="H516" s="66">
        <f>ROUND((J$2:J$66136*(1-VLOOKUP(IF(ISNUMBER(A516),A516,900),MATICE_CEN,7,FALSE))+K$2:K$66136+(L$2:L$66136*(1-VLOOKUP(IF(ISNUMBER(A516),A516,900),MATICE_CEN,6,FALSE))+M$2:M$66136+N$2:N$66136*IF(A516=99,sleva_ocel,1)*VLOOKUP(IF(ISNUMBER(A516),A516,900),MATICE_CEN,4,FALSE)*(1+časová_rezerva)*(1+pojistné))*IF(A516=900,(1+STD_HR_HSV),(1+VLOOKUP(IF(ISNUMBER(A516),A516,900),MATICE_CEN,5,FALSE))))*(1+VRN),1)</f>
        <v>173.6</v>
      </c>
      <c r="I516" s="168">
        <v>174.5</v>
      </c>
      <c r="J516" s="66">
        <v>0</v>
      </c>
      <c r="K516" s="66">
        <v>0</v>
      </c>
      <c r="L516" s="66">
        <v>47.6</v>
      </c>
      <c r="M516" s="66">
        <v>0</v>
      </c>
      <c r="N516" s="66">
        <v>0.35</v>
      </c>
      <c r="O516" s="66">
        <v>0</v>
      </c>
    </row>
    <row r="517" spans="1:15">
      <c r="I517" s="168"/>
    </row>
    <row r="518" spans="1:15">
      <c r="B518" s="66">
        <v>411506</v>
      </c>
      <c r="C518" s="66" t="s">
        <v>363</v>
      </c>
      <c r="D518" s="66" t="s">
        <v>340</v>
      </c>
      <c r="E518" s="83">
        <f>VLOOKUP(B518,SEZNAM_POUŽITÝCH_MEZD,4,FALSE)</f>
        <v>152</v>
      </c>
      <c r="F518" s="66">
        <v>0.26200000000000001</v>
      </c>
      <c r="G518" s="66">
        <f>E518*F518</f>
        <v>39.823999999999998</v>
      </c>
      <c r="I518" s="168"/>
    </row>
    <row r="519" spans="1:15">
      <c r="B519" s="66">
        <v>412206</v>
      </c>
      <c r="C519" s="66" t="s">
        <v>359</v>
      </c>
      <c r="D519" s="66" t="s">
        <v>340</v>
      </c>
      <c r="E519" s="83">
        <f>VLOOKUP(B519,SEZNAM_POUŽITÝCH_MEZD,4,FALSE)</f>
        <v>152</v>
      </c>
      <c r="F519" s="66">
        <v>2.3E-2</v>
      </c>
      <c r="G519" s="66">
        <f>E519*F519</f>
        <v>3.496</v>
      </c>
      <c r="I519" s="168"/>
    </row>
    <row r="520" spans="1:15">
      <c r="B520" s="66">
        <v>413100</v>
      </c>
      <c r="C520" s="66" t="s">
        <v>368</v>
      </c>
      <c r="D520" s="66" t="s">
        <v>340</v>
      </c>
      <c r="E520" s="83">
        <f>VLOOKUP(B520,SEZNAM_POUŽITÝCH_MEZD,4,FALSE)</f>
        <v>135</v>
      </c>
      <c r="F520" s="66">
        <v>4.742</v>
      </c>
      <c r="G520" s="66">
        <f>E520*F520</f>
        <v>640.16999999999996</v>
      </c>
      <c r="I520" s="168"/>
    </row>
    <row r="521" spans="1:15">
      <c r="B521" s="66">
        <v>419004</v>
      </c>
      <c r="C521" s="66" t="s">
        <v>343</v>
      </c>
      <c r="D521" s="66" t="s">
        <v>340</v>
      </c>
      <c r="E521" s="83">
        <f>VLOOKUP(B521,SEZNAM_POUŽITÝCH_MEZD,4,FALSE)</f>
        <v>120</v>
      </c>
      <c r="F521" s="66">
        <v>5.0659999999999998</v>
      </c>
      <c r="G521" s="66">
        <f>E521*F521</f>
        <v>607.91999999999996</v>
      </c>
      <c r="I521" s="168"/>
    </row>
    <row r="522" spans="1:15">
      <c r="B522" s="66">
        <v>441007</v>
      </c>
      <c r="C522" s="66" t="s">
        <v>353</v>
      </c>
      <c r="D522" s="66" t="s">
        <v>340</v>
      </c>
      <c r="E522" s="83">
        <f>VLOOKUP(B522,SEZNAM_POUŽITÝCH_MEZD,4,FALSE)</f>
        <v>170</v>
      </c>
      <c r="F522" s="66">
        <v>1</v>
      </c>
      <c r="G522" s="66">
        <f>E522*F522</f>
        <v>170</v>
      </c>
      <c r="I522" s="168"/>
    </row>
    <row r="523" spans="1:15">
      <c r="E523" s="98">
        <f>ROUND(G523/F523,1)</f>
        <v>131.69999999999999</v>
      </c>
      <c r="F523" s="98">
        <f>SUM(F518:F522)</f>
        <v>11.093</v>
      </c>
      <c r="G523" s="98">
        <f>SUM(G518:G522)</f>
        <v>1461.4099999999999</v>
      </c>
      <c r="I523" s="168"/>
    </row>
    <row r="524" spans="1:15">
      <c r="I524" s="168"/>
    </row>
    <row r="525" spans="1:15">
      <c r="I525" s="168"/>
    </row>
    <row r="526" spans="1:15">
      <c r="I526" s="168"/>
    </row>
    <row r="527" spans="1:15">
      <c r="B527" s="98">
        <v>31</v>
      </c>
      <c r="C527" s="98" t="s">
        <v>389</v>
      </c>
      <c r="D527" s="98" t="s">
        <v>272</v>
      </c>
      <c r="I527" s="168"/>
    </row>
    <row r="528" spans="1:15">
      <c r="I528" s="168"/>
    </row>
    <row r="529" spans="1:15">
      <c r="A529" s="66">
        <v>31</v>
      </c>
      <c r="B529" s="66" t="s">
        <v>888</v>
      </c>
      <c r="C529" s="66" t="s">
        <v>389</v>
      </c>
      <c r="D529" s="66" t="s">
        <v>0</v>
      </c>
      <c r="E529" s="66">
        <v>1</v>
      </c>
      <c r="H529" s="66">
        <f>ROUND((J$2:J$66136*(1-VLOOKUP(IF(ISNUMBER(A529),A529,900),MATICE_CEN,7,FALSE))+K$2:K$66136+(L$2:L$66136*(1-VLOOKUP(IF(ISNUMBER(A529),A529,900),MATICE_CEN,6,FALSE))+M$2:M$66136+N$2:N$66136*IF(A529=99,sleva_ocel,1)*VLOOKUP(IF(ISNUMBER(A529),A529,900),MATICE_CEN,4,FALSE)*(1+časová_rezerva)*(1+pojistné))*IF(A529=900,(1+STD_HR_HSV),(1+VLOOKUP(IF(ISNUMBER(A529),A529,900),MATICE_CEN,5,FALSE))))*(1+VRN),1)</f>
        <v>789.6</v>
      </c>
      <c r="I529" s="168">
        <v>776</v>
      </c>
      <c r="J529" s="66">
        <v>427.11</v>
      </c>
      <c r="K529" s="66">
        <v>107.05</v>
      </c>
      <c r="L529" s="66">
        <v>2.6</v>
      </c>
      <c r="M529" s="66">
        <v>0</v>
      </c>
      <c r="N529" s="66">
        <v>0.81</v>
      </c>
      <c r="O529" s="66">
        <v>0.28788000000000002</v>
      </c>
    </row>
    <row r="530" spans="1:15">
      <c r="I530" s="168"/>
    </row>
    <row r="531" spans="1:15">
      <c r="B531" s="97">
        <v>412106</v>
      </c>
      <c r="C531" s="66" t="s">
        <v>385</v>
      </c>
      <c r="D531" s="66" t="s">
        <v>340</v>
      </c>
      <c r="E531" s="83">
        <f>VLOOKUP(B531,SEZNAM_POUŽITÝCH_MEZD,4,FALSE)</f>
        <v>152</v>
      </c>
      <c r="F531" s="66">
        <v>0.4</v>
      </c>
      <c r="G531" s="66">
        <f>E531*F531</f>
        <v>60.800000000000004</v>
      </c>
      <c r="I531" s="168"/>
    </row>
    <row r="532" spans="1:15">
      <c r="B532" s="97">
        <v>412108</v>
      </c>
      <c r="C532" s="66" t="s">
        <v>390</v>
      </c>
      <c r="D532" s="66" t="s">
        <v>340</v>
      </c>
      <c r="E532" s="83">
        <f>VLOOKUP(B532,SEZNAM_POUŽITÝCH_MEZD,4,FALSE)</f>
        <v>185</v>
      </c>
      <c r="F532" s="66">
        <v>0.06</v>
      </c>
      <c r="G532" s="66">
        <f>E532*F532</f>
        <v>11.1</v>
      </c>
      <c r="I532" s="168"/>
    </row>
    <row r="533" spans="1:15">
      <c r="B533" s="97">
        <v>413100</v>
      </c>
      <c r="C533" s="66" t="s">
        <v>368</v>
      </c>
      <c r="D533" s="66" t="s">
        <v>340</v>
      </c>
      <c r="E533" s="83">
        <f>VLOOKUP(B533,SEZNAM_POUŽITÝCH_MEZD,4,FALSE)</f>
        <v>135</v>
      </c>
      <c r="F533" s="66">
        <v>0.11</v>
      </c>
      <c r="G533" s="66">
        <f>E533*F533</f>
        <v>14.85</v>
      </c>
      <c r="I533" s="168"/>
    </row>
    <row r="534" spans="1:15">
      <c r="B534" s="97">
        <v>419110</v>
      </c>
      <c r="C534" s="66" t="s">
        <v>391</v>
      </c>
      <c r="D534" s="66" t="s">
        <v>340</v>
      </c>
      <c r="E534" s="83">
        <f>VLOOKUP(B534,SEZNAM_POUŽITÝCH_MEZD,4,FALSE)</f>
        <v>135</v>
      </c>
      <c r="F534" s="66">
        <v>0.24</v>
      </c>
      <c r="G534" s="66">
        <f>E534*F534</f>
        <v>32.4</v>
      </c>
      <c r="I534" s="168"/>
    </row>
    <row r="535" spans="1:15">
      <c r="E535" s="98">
        <f>ROUND(G535/F535,1)</f>
        <v>147.1</v>
      </c>
      <c r="F535" s="98">
        <f>SUM(F528:F534)</f>
        <v>0.81</v>
      </c>
      <c r="G535" s="98">
        <f>SUM(G528:G534)</f>
        <v>119.15</v>
      </c>
      <c r="I535" s="168"/>
    </row>
    <row r="536" spans="1:15">
      <c r="I536" s="168"/>
    </row>
    <row r="537" spans="1:15">
      <c r="I537" s="168"/>
    </row>
    <row r="538" spans="1:15">
      <c r="B538" s="98">
        <v>34</v>
      </c>
      <c r="C538" s="98" t="s">
        <v>392</v>
      </c>
      <c r="D538" s="98" t="s">
        <v>0</v>
      </c>
      <c r="I538" s="168"/>
    </row>
    <row r="539" spans="1:15">
      <c r="B539" s="98"/>
      <c r="C539" s="98"/>
      <c r="D539" s="98"/>
      <c r="I539" s="168"/>
    </row>
    <row r="540" spans="1:15">
      <c r="A540" s="66">
        <v>34</v>
      </c>
      <c r="B540" s="191" t="s">
        <v>891</v>
      </c>
      <c r="C540" s="191" t="s">
        <v>392</v>
      </c>
      <c r="D540" s="66" t="s">
        <v>0</v>
      </c>
      <c r="E540" s="66">
        <v>1</v>
      </c>
      <c r="H540" s="66">
        <f>ROUND((J$2:J$66136*(1-VLOOKUP(IF(ISNUMBER(A540),A540,900),MATICE_CEN,7,FALSE))+K$2:K$66136+(L$2:L$66136*(1-VLOOKUP(IF(ISNUMBER(A540),A540,900),MATICE_CEN,6,FALSE))+M$2:M$66136+N$2:N$66136*IF(A540=99,sleva_ocel,1)*VLOOKUP(IF(ISNUMBER(A540),A540,900),MATICE_CEN,4,FALSE)*(1+časová_rezerva)*(1+pojistné))*IF(A540=900,(1+STD_HR_HSV),(1+VLOOKUP(IF(ISNUMBER(A540),A540,900),MATICE_CEN,5,FALSE))))*(1+VRN),1)</f>
        <v>471.6</v>
      </c>
      <c r="I540" s="168">
        <v>462.5</v>
      </c>
      <c r="J540" s="66">
        <v>256.26</v>
      </c>
      <c r="K540" s="66">
        <v>49.44</v>
      </c>
      <c r="L540" s="66">
        <v>1.77</v>
      </c>
      <c r="M540" s="66">
        <v>0</v>
      </c>
      <c r="N540" s="66">
        <v>0.52200000000000002</v>
      </c>
      <c r="O540" s="66">
        <v>0.124</v>
      </c>
    </row>
    <row r="541" spans="1:15">
      <c r="I541" s="168"/>
    </row>
    <row r="542" spans="1:15">
      <c r="B542" s="97">
        <v>412106</v>
      </c>
      <c r="C542" s="66" t="s">
        <v>385</v>
      </c>
      <c r="D542" s="66" t="s">
        <v>340</v>
      </c>
      <c r="E542" s="83">
        <f>VLOOKUP(B542,SEZNAM_POUŽITÝCH_MEZD,4,FALSE)</f>
        <v>152</v>
      </c>
      <c r="F542" s="66">
        <v>0.3</v>
      </c>
      <c r="G542" s="66">
        <f>E542*F542</f>
        <v>45.6</v>
      </c>
      <c r="I542" s="168"/>
    </row>
    <row r="543" spans="1:15">
      <c r="B543" s="97">
        <v>412108</v>
      </c>
      <c r="C543" s="66" t="s">
        <v>390</v>
      </c>
      <c r="D543" s="66" t="s">
        <v>340</v>
      </c>
      <c r="E543" s="83">
        <f>VLOOKUP(B543,SEZNAM_POUŽITÝCH_MEZD,4,FALSE)</f>
        <v>185</v>
      </c>
      <c r="F543" s="66">
        <v>0.03</v>
      </c>
      <c r="G543" s="66">
        <f>E543*F543</f>
        <v>5.55</v>
      </c>
      <c r="I543" s="168"/>
    </row>
    <row r="544" spans="1:15">
      <c r="B544" s="97">
        <v>413100</v>
      </c>
      <c r="C544" s="66" t="s">
        <v>368</v>
      </c>
      <c r="D544" s="66" t="s">
        <v>340</v>
      </c>
      <c r="E544" s="83">
        <f>VLOOKUP(B544,SEZNAM_POUŽITÝCH_MEZD,4,FALSE)</f>
        <v>135</v>
      </c>
      <c r="F544" s="66">
        <v>7.0000000000000007E-2</v>
      </c>
      <c r="G544" s="66">
        <f>E544*F544</f>
        <v>9.4500000000000011</v>
      </c>
      <c r="I544" s="168"/>
    </row>
    <row r="545" spans="2:9">
      <c r="B545" s="97">
        <v>419110</v>
      </c>
      <c r="C545" s="66" t="s">
        <v>391</v>
      </c>
      <c r="D545" s="66" t="s">
        <v>340</v>
      </c>
      <c r="E545" s="83">
        <f>VLOOKUP(B545,SEZNAM_POUŽITÝCH_MEZD,4,FALSE)</f>
        <v>135</v>
      </c>
      <c r="F545" s="66">
        <v>0.14000000000000001</v>
      </c>
      <c r="G545" s="66">
        <f>E545*F545</f>
        <v>18.900000000000002</v>
      </c>
      <c r="I545" s="168"/>
    </row>
    <row r="546" spans="2:9">
      <c r="E546" s="98">
        <f>ROUND(G546/F546,1)</f>
        <v>147.19999999999999</v>
      </c>
      <c r="F546" s="98">
        <f>SUM(F541:F545)</f>
        <v>0.54</v>
      </c>
      <c r="G546" s="98">
        <f>SUM(G541:G545)</f>
        <v>79.5</v>
      </c>
      <c r="I546" s="168"/>
    </row>
    <row r="547" spans="2:9">
      <c r="I547" s="168"/>
    </row>
    <row r="548" spans="2:9">
      <c r="I548" s="168"/>
    </row>
    <row r="549" spans="2:9">
      <c r="B549" s="98">
        <v>35</v>
      </c>
      <c r="C549" s="98" t="s">
        <v>393</v>
      </c>
      <c r="D549" s="98" t="s">
        <v>0</v>
      </c>
      <c r="I549" s="168"/>
    </row>
    <row r="550" spans="2:9">
      <c r="I550" s="168"/>
    </row>
    <row r="551" spans="2:9">
      <c r="B551" s="97">
        <v>412110</v>
      </c>
      <c r="C551" s="66" t="s">
        <v>394</v>
      </c>
      <c r="D551" s="66" t="s">
        <v>340</v>
      </c>
      <c r="E551" s="83">
        <f>VLOOKUP(B551,SEZNAM_POUŽITÝCH_MEZD,4,FALSE)</f>
        <v>135</v>
      </c>
      <c r="F551" s="66">
        <v>0.41399999999999998</v>
      </c>
      <c r="G551" s="66">
        <f>E551*F551</f>
        <v>55.89</v>
      </c>
      <c r="I551" s="168"/>
    </row>
    <row r="552" spans="2:9">
      <c r="B552" s="97">
        <v>421230</v>
      </c>
      <c r="C552" s="66" t="s">
        <v>395</v>
      </c>
      <c r="D552" s="66" t="s">
        <v>340</v>
      </c>
      <c r="E552" s="83">
        <f>VLOOKUP(B552,SEZNAM_POUŽITÝCH_MEZD,4,FALSE)</f>
        <v>135</v>
      </c>
      <c r="F552" s="66">
        <v>0.33100000000000002</v>
      </c>
      <c r="G552" s="66">
        <f>E552*F552</f>
        <v>44.685000000000002</v>
      </c>
      <c r="I552" s="168"/>
    </row>
    <row r="553" spans="2:9">
      <c r="B553" s="97">
        <v>421236</v>
      </c>
      <c r="C553" s="66" t="s">
        <v>387</v>
      </c>
      <c r="D553" s="66" t="s">
        <v>340</v>
      </c>
      <c r="E553" s="83">
        <f>VLOOKUP(B553,SEZNAM_POUŽITÝCH_MEZD,4,FALSE)</f>
        <v>152</v>
      </c>
      <c r="F553" s="66">
        <v>0.58499999999999996</v>
      </c>
      <c r="G553" s="66">
        <f>E553*F553</f>
        <v>88.919999999999987</v>
      </c>
      <c r="I553" s="168"/>
    </row>
    <row r="554" spans="2:9">
      <c r="B554" s="97">
        <v>422220</v>
      </c>
      <c r="C554" s="66" t="s">
        <v>396</v>
      </c>
      <c r="D554" s="66" t="s">
        <v>340</v>
      </c>
      <c r="E554" s="83">
        <f>VLOOKUP(B554,SEZNAM_POUŽITÝCH_MEZD,4,FALSE)</f>
        <v>135</v>
      </c>
      <c r="F554" s="66">
        <v>9.5000000000000001E-2</v>
      </c>
      <c r="G554" s="66">
        <f>E554*F554</f>
        <v>12.824999999999999</v>
      </c>
      <c r="I554" s="168"/>
    </row>
    <row r="555" spans="2:9">
      <c r="E555" s="98">
        <f>ROUND(G555/F555,1)</f>
        <v>142</v>
      </c>
      <c r="F555" s="98">
        <f>SUM(F550:F554)</f>
        <v>1.425</v>
      </c>
      <c r="G555" s="98">
        <f>SUM(G550:G554)</f>
        <v>202.32</v>
      </c>
      <c r="I555" s="168"/>
    </row>
    <row r="556" spans="2:9">
      <c r="I556" s="168"/>
    </row>
    <row r="557" spans="2:9">
      <c r="I557" s="168"/>
    </row>
    <row r="558" spans="2:9">
      <c r="B558" s="98">
        <v>36</v>
      </c>
      <c r="C558" s="98" t="s">
        <v>397</v>
      </c>
      <c r="D558" s="98" t="s">
        <v>0</v>
      </c>
      <c r="I558" s="168"/>
    </row>
    <row r="559" spans="2:9">
      <c r="I559" s="168"/>
    </row>
    <row r="560" spans="2:9">
      <c r="B560" s="97">
        <v>421230</v>
      </c>
      <c r="C560" s="66" t="s">
        <v>395</v>
      </c>
      <c r="D560" s="66" t="s">
        <v>340</v>
      </c>
      <c r="E560" s="83">
        <f>VLOOKUP(B560,SEZNAM_POUŽITÝCH_MEZD,4,FALSE)</f>
        <v>135</v>
      </c>
      <c r="F560" s="66">
        <v>0.48499999999999999</v>
      </c>
      <c r="G560" s="66">
        <f>E560*F560</f>
        <v>65.474999999999994</v>
      </c>
      <c r="I560" s="168"/>
    </row>
    <row r="561" spans="2:9">
      <c r="B561" s="97">
        <v>421236</v>
      </c>
      <c r="C561" s="66" t="s">
        <v>387</v>
      </c>
      <c r="D561" s="66" t="s">
        <v>340</v>
      </c>
      <c r="E561" s="83">
        <f>VLOOKUP(B561,SEZNAM_POUŽITÝCH_MEZD,4,FALSE)</f>
        <v>152</v>
      </c>
      <c r="F561" s="66">
        <v>0.52600000000000002</v>
      </c>
      <c r="G561" s="66">
        <f>E561*F561</f>
        <v>79.951999999999998</v>
      </c>
      <c r="I561" s="168"/>
    </row>
    <row r="562" spans="2:9">
      <c r="E562" s="98">
        <f>ROUND(G562/F562,1)</f>
        <v>143.80000000000001</v>
      </c>
      <c r="F562" s="98">
        <f>SUM(F560:F561)</f>
        <v>1.0110000000000001</v>
      </c>
      <c r="G562" s="98">
        <f>SUM(G560:G561)</f>
        <v>145.42699999999999</v>
      </c>
      <c r="I562" s="168"/>
    </row>
    <row r="563" spans="2:9">
      <c r="I563" s="168"/>
    </row>
    <row r="564" spans="2:9">
      <c r="I564" s="168"/>
    </row>
    <row r="565" spans="2:9">
      <c r="I565" s="168"/>
    </row>
    <row r="566" spans="2:9">
      <c r="B566" s="98">
        <v>38</v>
      </c>
      <c r="C566" s="98" t="s">
        <v>398</v>
      </c>
      <c r="D566" s="98" t="s">
        <v>1</v>
      </c>
      <c r="I566" s="168"/>
    </row>
    <row r="567" spans="2:9">
      <c r="I567" s="168"/>
    </row>
    <row r="568" spans="2:9">
      <c r="B568" s="97">
        <v>411500</v>
      </c>
      <c r="C568" s="66" t="s">
        <v>358</v>
      </c>
      <c r="D568" s="66" t="s">
        <v>340</v>
      </c>
      <c r="E568" s="83">
        <f t="shared" ref="E568:E574" si="48">VLOOKUP(B568,SEZNAM_POUŽITÝCH_MEZD,4,FALSE)</f>
        <v>135</v>
      </c>
      <c r="F568" s="66">
        <v>6.2E-2</v>
      </c>
      <c r="G568" s="66">
        <f t="shared" ref="G568:G574" si="49">E568*F568</f>
        <v>8.3699999999999992</v>
      </c>
      <c r="I568" s="168"/>
    </row>
    <row r="569" spans="2:9">
      <c r="B569" s="97">
        <v>412106</v>
      </c>
      <c r="C569" s="66" t="s">
        <v>385</v>
      </c>
      <c r="D569" s="66" t="s">
        <v>340</v>
      </c>
      <c r="E569" s="83">
        <f t="shared" si="48"/>
        <v>152</v>
      </c>
      <c r="F569" s="66">
        <v>0.61099999999999999</v>
      </c>
      <c r="G569" s="66">
        <f t="shared" si="49"/>
        <v>92.872</v>
      </c>
      <c r="I569" s="168"/>
    </row>
    <row r="570" spans="2:9">
      <c r="B570" s="97">
        <v>412108</v>
      </c>
      <c r="C570" s="66" t="s">
        <v>390</v>
      </c>
      <c r="D570" s="66" t="s">
        <v>340</v>
      </c>
      <c r="E570" s="83">
        <f t="shared" si="48"/>
        <v>185</v>
      </c>
      <c r="F570" s="66">
        <v>4.4999999999999998E-2</v>
      </c>
      <c r="G570" s="66">
        <f t="shared" si="49"/>
        <v>8.3249999999999993</v>
      </c>
      <c r="I570" s="168"/>
    </row>
    <row r="571" spans="2:9">
      <c r="B571" s="97">
        <v>412300</v>
      </c>
      <c r="C571" s="66" t="s">
        <v>399</v>
      </c>
      <c r="D571" s="66" t="s">
        <v>340</v>
      </c>
      <c r="E571" s="83">
        <f t="shared" si="48"/>
        <v>135</v>
      </c>
      <c r="F571" s="66">
        <v>0.156</v>
      </c>
      <c r="G571" s="66">
        <f t="shared" si="49"/>
        <v>21.06</v>
      </c>
      <c r="I571" s="168"/>
    </row>
    <row r="572" spans="2:9">
      <c r="B572" s="97">
        <v>413100</v>
      </c>
      <c r="C572" s="66" t="s">
        <v>368</v>
      </c>
      <c r="D572" s="66" t="s">
        <v>340</v>
      </c>
      <c r="E572" s="83">
        <f t="shared" si="48"/>
        <v>135</v>
      </c>
      <c r="F572" s="66">
        <v>7.6999999999999999E-2</v>
      </c>
      <c r="G572" s="66">
        <f t="shared" si="49"/>
        <v>10.395</v>
      </c>
      <c r="I572" s="168"/>
    </row>
    <row r="573" spans="2:9">
      <c r="B573" s="97">
        <v>419000</v>
      </c>
      <c r="C573" s="66" t="s">
        <v>350</v>
      </c>
      <c r="D573" s="66" t="s">
        <v>340</v>
      </c>
      <c r="E573" s="83">
        <f t="shared" si="48"/>
        <v>135</v>
      </c>
      <c r="F573" s="66">
        <v>0.22700000000000001</v>
      </c>
      <c r="G573" s="66">
        <f t="shared" si="49"/>
        <v>30.645</v>
      </c>
      <c r="I573" s="168"/>
    </row>
    <row r="574" spans="2:9">
      <c r="B574" s="97">
        <v>419004</v>
      </c>
      <c r="C574" s="66" t="s">
        <v>343</v>
      </c>
      <c r="D574" s="66" t="s">
        <v>340</v>
      </c>
      <c r="E574" s="83">
        <f t="shared" si="48"/>
        <v>120</v>
      </c>
      <c r="F574" s="66">
        <v>0.01</v>
      </c>
      <c r="G574" s="66">
        <f t="shared" si="49"/>
        <v>1.2</v>
      </c>
      <c r="I574" s="168"/>
    </row>
    <row r="575" spans="2:9">
      <c r="E575" s="98">
        <f>ROUND(G575/F575,1)</f>
        <v>145.5</v>
      </c>
      <c r="F575" s="98">
        <f>SUM(F568:F574)</f>
        <v>1.1880000000000002</v>
      </c>
      <c r="G575" s="98">
        <f>SUM(G568:G574)</f>
        <v>172.86700000000002</v>
      </c>
      <c r="I575" s="168"/>
    </row>
    <row r="576" spans="2:9">
      <c r="I576" s="168"/>
    </row>
    <row r="577" spans="1:15">
      <c r="I577" s="168"/>
    </row>
    <row r="578" spans="1:15">
      <c r="B578" s="98">
        <v>4</v>
      </c>
      <c r="C578" s="98" t="s">
        <v>400</v>
      </c>
      <c r="D578" s="98" t="s">
        <v>272</v>
      </c>
      <c r="I578" s="168"/>
    </row>
    <row r="579" spans="1:15">
      <c r="I579" s="168"/>
    </row>
    <row r="580" spans="1:15">
      <c r="A580" s="66">
        <v>4</v>
      </c>
      <c r="B580" s="66" t="s">
        <v>892</v>
      </c>
      <c r="C580" s="66" t="s">
        <v>893</v>
      </c>
      <c r="D580" s="66" t="s">
        <v>272</v>
      </c>
      <c r="E580" s="66">
        <v>1</v>
      </c>
      <c r="H580" s="66">
        <f>ROUND((J$2:J$66136*(1-VLOOKUP(IF(ISNUMBER(A580),A580,900),MATICE_CEN,7,FALSE))+K$2:K$66136+(L$2:L$66136*(1-VLOOKUP(IF(ISNUMBER(A580),A580,900),MATICE_CEN,6,FALSE))+M$2:M$66136+N$2:N$66136*IF(A580=99,sleva_ocel,1)*VLOOKUP(IF(ISNUMBER(A580),A580,900),MATICE_CEN,4,FALSE)*(1+časová_rezerva)*(1+pojistné))*IF(A580=900,(1+STD_HR_HSV),(1+VLOOKUP(IF(ISNUMBER(A580),A580,900),MATICE_CEN,5,FALSE))))*(1+VRN),1)</f>
        <v>2564.6999999999998</v>
      </c>
      <c r="I580" s="168">
        <v>2705</v>
      </c>
      <c r="J580" s="66">
        <v>1992.01</v>
      </c>
      <c r="K580" s="66">
        <v>374.69</v>
      </c>
      <c r="L580" s="66">
        <v>48.79</v>
      </c>
      <c r="M580" s="66">
        <v>0</v>
      </c>
      <c r="N580" s="66">
        <v>0.98699999999999999</v>
      </c>
      <c r="O580" s="66">
        <v>2.4464399999999999</v>
      </c>
    </row>
    <row r="581" spans="1:15">
      <c r="A581" s="66">
        <v>4</v>
      </c>
      <c r="B581" s="66" t="s">
        <v>894</v>
      </c>
      <c r="C581" s="66" t="s">
        <v>895</v>
      </c>
      <c r="D581" s="66" t="s">
        <v>0</v>
      </c>
      <c r="E581" s="66">
        <f>E580/0.2</f>
        <v>5</v>
      </c>
      <c r="H581" s="66">
        <f>ROUND((J$2:J$66136*(1-VLOOKUP(IF(ISNUMBER(A581),A581,900),MATICE_CEN,7,FALSE))+K$2:K$66136+(L$2:L$66136*(1-VLOOKUP(IF(ISNUMBER(A581),A581,900),MATICE_CEN,6,FALSE))+M$2:M$66136+N$2:N$66136*IF(A581=99,sleva_ocel,1)*VLOOKUP(IF(ISNUMBER(A581),A581,900),MATICE_CEN,4,FALSE)*(1+časová_rezerva)*(1+pojistné))*IF(A581=900,(1+STD_HR_HSV),(1+VLOOKUP(IF(ISNUMBER(A581),A581,900),MATICE_CEN,5,FALSE))))*(1+VRN),1)</f>
        <v>518.5</v>
      </c>
      <c r="I581" s="168">
        <v>516</v>
      </c>
      <c r="J581" s="66">
        <v>223.55</v>
      </c>
      <c r="K581" s="66">
        <v>9.9700000000000006</v>
      </c>
      <c r="L581" s="66">
        <v>32.369999999999997</v>
      </c>
      <c r="M581" s="66">
        <v>0</v>
      </c>
      <c r="N581" s="66">
        <v>0.79100000000000004</v>
      </c>
      <c r="O581" s="66">
        <v>4.3049999999993802E-2</v>
      </c>
    </row>
    <row r="582" spans="1:15">
      <c r="A582" s="66">
        <v>4</v>
      </c>
      <c r="B582" s="66" t="s">
        <v>896</v>
      </c>
      <c r="C582" s="66" t="s">
        <v>897</v>
      </c>
      <c r="D582" s="66" t="s">
        <v>0</v>
      </c>
      <c r="E582" s="66">
        <f>E581</f>
        <v>5</v>
      </c>
      <c r="H582" s="66">
        <f>ROUND((J$2:J$66136*(1-VLOOKUP(IF(ISNUMBER(A582),A582,900),MATICE_CEN,7,FALSE))+K$2:K$66136+(L$2:L$66136*(1-VLOOKUP(IF(ISNUMBER(A582),A582,900),MATICE_CEN,6,FALSE))+M$2:M$66136+N$2:N$66136*IF(A582=99,sleva_ocel,1)*VLOOKUP(IF(ISNUMBER(A582),A582,900),MATICE_CEN,4,FALSE)*(1+časová_rezerva)*(1+pojistné))*IF(A582=900,(1+STD_HR_HSV),(1+VLOOKUP(IF(ISNUMBER(A582),A582,900),MATICE_CEN,5,FALSE))))*(1+VRN),1)</f>
        <v>167.8</v>
      </c>
      <c r="I582" s="168">
        <v>154.5</v>
      </c>
      <c r="J582" s="66">
        <v>0</v>
      </c>
      <c r="K582" s="66">
        <v>0</v>
      </c>
      <c r="L582" s="66">
        <v>24.75</v>
      </c>
      <c r="M582" s="66">
        <v>0</v>
      </c>
      <c r="N582" s="66">
        <v>0.39600000000000002</v>
      </c>
      <c r="O582" s="66">
        <v>0</v>
      </c>
    </row>
    <row r="583" spans="1:15">
      <c r="I583" s="168"/>
    </row>
    <row r="584" spans="1:15">
      <c r="B584" s="97">
        <v>411506</v>
      </c>
      <c r="C584" s="66" t="s">
        <v>363</v>
      </c>
      <c r="D584" s="66" t="s">
        <v>340</v>
      </c>
      <c r="E584" s="83">
        <f t="shared" ref="E584:E589" si="50">VLOOKUP(B584,SEZNAM_POUŽITÝCH_MEZD,4,FALSE)</f>
        <v>152</v>
      </c>
      <c r="F584" s="66">
        <v>0.29399999999999998</v>
      </c>
      <c r="G584" s="66">
        <f t="shared" ref="G584:G589" si="51">E584*F584</f>
        <v>44.687999999999995</v>
      </c>
    </row>
    <row r="585" spans="1:15">
      <c r="B585" s="97">
        <v>412206</v>
      </c>
      <c r="C585" s="66" t="s">
        <v>359</v>
      </c>
      <c r="D585" s="66" t="s">
        <v>340</v>
      </c>
      <c r="E585" s="83">
        <f t="shared" si="50"/>
        <v>152</v>
      </c>
      <c r="F585" s="66">
        <v>2.3E-2</v>
      </c>
      <c r="G585" s="66">
        <f t="shared" si="51"/>
        <v>3.496</v>
      </c>
      <c r="I585" s="168"/>
    </row>
    <row r="586" spans="1:15">
      <c r="B586" s="97">
        <v>413100</v>
      </c>
      <c r="C586" s="66" t="s">
        <v>368</v>
      </c>
      <c r="D586" s="66" t="s">
        <v>340</v>
      </c>
      <c r="E586" s="83">
        <f t="shared" si="50"/>
        <v>135</v>
      </c>
      <c r="F586" s="66">
        <v>2.91</v>
      </c>
      <c r="G586" s="66">
        <f t="shared" si="51"/>
        <v>392.85</v>
      </c>
      <c r="I586" s="168"/>
    </row>
    <row r="587" spans="1:15">
      <c r="B587" s="97">
        <v>419004</v>
      </c>
      <c r="C587" s="66" t="s">
        <v>343</v>
      </c>
      <c r="D587" s="66" t="s">
        <v>340</v>
      </c>
      <c r="E587" s="83">
        <f t="shared" si="50"/>
        <v>120</v>
      </c>
      <c r="F587" s="66">
        <v>1.105</v>
      </c>
      <c r="G587" s="66">
        <f t="shared" si="51"/>
        <v>132.6</v>
      </c>
      <c r="I587" s="168"/>
    </row>
    <row r="588" spans="1:15">
      <c r="B588" s="97">
        <v>421236</v>
      </c>
      <c r="C588" s="66" t="s">
        <v>387</v>
      </c>
      <c r="D588" s="66" t="s">
        <v>340</v>
      </c>
      <c r="E588" s="83">
        <f t="shared" ref="E588" si="52">VLOOKUP(B588,SEZNAM_POUŽITÝCH_MEZD,4,FALSE)</f>
        <v>152</v>
      </c>
      <c r="F588" s="66">
        <v>2.2050000000000001</v>
      </c>
      <c r="G588" s="66">
        <f t="shared" si="51"/>
        <v>335.16</v>
      </c>
      <c r="I588" s="168"/>
    </row>
    <row r="589" spans="1:15">
      <c r="B589" s="97">
        <v>441007</v>
      </c>
      <c r="C589" s="66" t="s">
        <v>353</v>
      </c>
      <c r="D589" s="66" t="s">
        <v>340</v>
      </c>
      <c r="E589" s="83">
        <f t="shared" si="50"/>
        <v>170</v>
      </c>
      <c r="F589" s="66">
        <v>0.38500000000000001</v>
      </c>
      <c r="G589" s="66">
        <f t="shared" si="51"/>
        <v>65.45</v>
      </c>
      <c r="I589" s="168"/>
    </row>
    <row r="590" spans="1:15">
      <c r="E590" s="98">
        <f>ROUND(G590/F590,1)</f>
        <v>140.69999999999999</v>
      </c>
      <c r="F590" s="98">
        <f>SUM(F584:F589)</f>
        <v>6.9220000000000006</v>
      </c>
      <c r="G590" s="98">
        <f>SUM(G584:G589)</f>
        <v>974.24400000000014</v>
      </c>
    </row>
    <row r="591" spans="1:15">
      <c r="I591" s="168"/>
    </row>
    <row r="592" spans="1:15">
      <c r="I592" s="168"/>
    </row>
    <row r="593" spans="1:15">
      <c r="B593" s="98">
        <v>41</v>
      </c>
      <c r="C593" s="98" t="s">
        <v>402</v>
      </c>
      <c r="D593" s="98" t="s">
        <v>272</v>
      </c>
      <c r="I593" s="168"/>
    </row>
    <row r="594" spans="1:15">
      <c r="I594" s="168"/>
    </row>
    <row r="595" spans="1:15">
      <c r="B595" s="97">
        <v>411506</v>
      </c>
      <c r="C595" s="66" t="s">
        <v>363</v>
      </c>
      <c r="D595" s="66" t="s">
        <v>340</v>
      </c>
      <c r="E595" s="83">
        <f t="shared" ref="E595:E601" si="53">VLOOKUP(B595,SEZNAM_POUŽITÝCH_MEZD,4,FALSE)</f>
        <v>152</v>
      </c>
      <c r="F595" s="66">
        <v>4.1000000000000002E-2</v>
      </c>
      <c r="G595" s="66">
        <f t="shared" ref="G595:G601" si="54">E595*F595</f>
        <v>6.2320000000000002</v>
      </c>
      <c r="I595" s="168"/>
    </row>
    <row r="596" spans="1:15">
      <c r="B596" s="97">
        <v>412106</v>
      </c>
      <c r="C596" s="66" t="s">
        <v>385</v>
      </c>
      <c r="D596" s="66" t="s">
        <v>340</v>
      </c>
      <c r="E596" s="83">
        <f t="shared" si="53"/>
        <v>152</v>
      </c>
      <c r="F596" s="66">
        <v>0.26</v>
      </c>
      <c r="G596" s="66">
        <f t="shared" si="54"/>
        <v>39.520000000000003</v>
      </c>
      <c r="I596" s="168"/>
    </row>
    <row r="597" spans="1:15">
      <c r="B597" s="97">
        <v>412146</v>
      </c>
      <c r="C597" s="66" t="s">
        <v>403</v>
      </c>
      <c r="D597" s="66" t="s">
        <v>340</v>
      </c>
      <c r="E597" s="83">
        <f t="shared" si="53"/>
        <v>152</v>
      </c>
      <c r="F597" s="66">
        <v>0.152</v>
      </c>
      <c r="G597" s="66">
        <f t="shared" si="54"/>
        <v>23.103999999999999</v>
      </c>
      <c r="I597" s="168"/>
    </row>
    <row r="598" spans="1:15">
      <c r="B598" s="97">
        <v>413100</v>
      </c>
      <c r="C598" s="66" t="s">
        <v>368</v>
      </c>
      <c r="D598" s="66" t="s">
        <v>340</v>
      </c>
      <c r="E598" s="83">
        <f t="shared" si="53"/>
        <v>135</v>
      </c>
      <c r="F598" s="66">
        <v>0.33200000000000002</v>
      </c>
      <c r="G598" s="66">
        <f t="shared" si="54"/>
        <v>44.82</v>
      </c>
      <c r="I598" s="168"/>
    </row>
    <row r="599" spans="1:15">
      <c r="B599" s="97">
        <v>419000</v>
      </c>
      <c r="C599" s="66" t="s">
        <v>350</v>
      </c>
      <c r="D599" s="66" t="s">
        <v>340</v>
      </c>
      <c r="E599" s="83">
        <f t="shared" si="53"/>
        <v>135</v>
      </c>
      <c r="F599" s="66">
        <v>0.40799999999999997</v>
      </c>
      <c r="G599" s="66">
        <f t="shared" si="54"/>
        <v>55.08</v>
      </c>
      <c r="I599" s="168"/>
    </row>
    <row r="600" spans="1:15">
      <c r="B600" s="97">
        <v>419146</v>
      </c>
      <c r="C600" s="66" t="s">
        <v>404</v>
      </c>
      <c r="D600" s="66" t="s">
        <v>340</v>
      </c>
      <c r="E600" s="83">
        <f t="shared" si="53"/>
        <v>152</v>
      </c>
      <c r="F600" s="66">
        <v>0.01</v>
      </c>
      <c r="G600" s="66">
        <f t="shared" si="54"/>
        <v>1.52</v>
      </c>
      <c r="I600" s="168"/>
    </row>
    <row r="601" spans="1:15">
      <c r="B601" s="97">
        <v>516316</v>
      </c>
      <c r="C601" s="66" t="s">
        <v>405</v>
      </c>
      <c r="D601" s="66" t="s">
        <v>340</v>
      </c>
      <c r="E601" s="83">
        <f t="shared" si="53"/>
        <v>152</v>
      </c>
      <c r="F601" s="66">
        <v>5.0999999999999997E-2</v>
      </c>
      <c r="G601" s="66">
        <f t="shared" si="54"/>
        <v>7.7519999999999998</v>
      </c>
      <c r="I601" s="168"/>
    </row>
    <row r="602" spans="1:15">
      <c r="E602" s="98">
        <f>ROUND(G602/F602,1)</f>
        <v>142</v>
      </c>
      <c r="F602" s="98">
        <f>SUM(F595:F601)</f>
        <v>1.2539999999999998</v>
      </c>
      <c r="G602" s="98">
        <f>SUM(G595:G601)</f>
        <v>178.02799999999999</v>
      </c>
      <c r="I602" s="168"/>
    </row>
    <row r="603" spans="1:15">
      <c r="I603" s="168"/>
    </row>
    <row r="604" spans="1:15">
      <c r="I604" s="168"/>
    </row>
    <row r="605" spans="1:15">
      <c r="B605" s="98">
        <v>43</v>
      </c>
      <c r="C605" s="98" t="s">
        <v>406</v>
      </c>
      <c r="D605" s="98" t="s">
        <v>272</v>
      </c>
      <c r="I605" s="168"/>
    </row>
    <row r="606" spans="1:15">
      <c r="I606" s="168"/>
    </row>
    <row r="607" spans="1:15">
      <c r="A607" s="66">
        <v>43</v>
      </c>
      <c r="B607" s="66" t="s">
        <v>898</v>
      </c>
      <c r="C607" s="66" t="s">
        <v>899</v>
      </c>
      <c r="D607" s="66" t="s">
        <v>272</v>
      </c>
      <c r="E607" s="66">
        <v>1</v>
      </c>
      <c r="H607" s="66">
        <f t="shared" ref="H607:H615" si="55">ROUND((J$2:J$66136*(1-VLOOKUP(IF(ISNUMBER(A607),A607,900),MATICE_CEN,7,FALSE))+K$2:K$66136+(L$2:L$66136*(1-VLOOKUP(IF(ISNUMBER(A607),A607,900),MATICE_CEN,6,FALSE))+M$2:M$66136+N$2:N$66136*IF(A607=99,sleva_ocel,1)*VLOOKUP(IF(ISNUMBER(A607),A607,900),MATICE_CEN,4,FALSE)*(1+časová_rezerva)*(1+pojistné))*IF(A607=900,(1+STD_HR_HSV),(1+VLOOKUP(IF(ISNUMBER(A607),A607,900),MATICE_CEN,5,FALSE))))*(1+VRN),1)</f>
        <v>3433.1</v>
      </c>
      <c r="I607" s="168">
        <v>3470</v>
      </c>
      <c r="J607" s="66">
        <v>1982.55</v>
      </c>
      <c r="K607" s="66">
        <v>374.23</v>
      </c>
      <c r="L607" s="66">
        <v>0</v>
      </c>
      <c r="M607" s="66">
        <v>0</v>
      </c>
      <c r="N607" s="66">
        <v>3.7694999999999999</v>
      </c>
      <c r="O607" s="66">
        <v>2.4529999999999998</v>
      </c>
    </row>
    <row r="608" spans="1:15">
      <c r="A608" s="66">
        <v>43</v>
      </c>
      <c r="B608" s="66" t="s">
        <v>900</v>
      </c>
      <c r="C608" s="66" t="s">
        <v>901</v>
      </c>
      <c r="D608" s="66" t="s">
        <v>0</v>
      </c>
      <c r="E608" s="66">
        <v>4.4554</v>
      </c>
      <c r="H608" s="66">
        <f t="shared" si="55"/>
        <v>1084.4000000000001</v>
      </c>
      <c r="I608" s="168">
        <v>987</v>
      </c>
      <c r="J608" s="66">
        <v>367.77</v>
      </c>
      <c r="K608" s="66">
        <v>17.87</v>
      </c>
      <c r="L608" s="66">
        <v>0</v>
      </c>
      <c r="M608" s="66">
        <v>0</v>
      </c>
      <c r="N608" s="66">
        <v>2.2999999999999998</v>
      </c>
      <c r="O608" s="66">
        <v>3.449E-2</v>
      </c>
    </row>
    <row r="609" spans="1:15">
      <c r="A609" s="66">
        <v>43</v>
      </c>
      <c r="B609" s="66" t="s">
        <v>902</v>
      </c>
      <c r="C609" s="66" t="s">
        <v>903</v>
      </c>
      <c r="D609" s="66" t="s">
        <v>0</v>
      </c>
      <c r="E609" s="66">
        <v>4.4554</v>
      </c>
      <c r="H609" s="66">
        <f t="shared" si="55"/>
        <v>105.4</v>
      </c>
      <c r="I609" s="168">
        <v>97.9</v>
      </c>
      <c r="J609" s="66">
        <v>0</v>
      </c>
      <c r="K609" s="66">
        <v>0</v>
      </c>
      <c r="L609" s="66">
        <v>0</v>
      </c>
      <c r="M609" s="66">
        <v>0</v>
      </c>
      <c r="N609" s="66">
        <v>0.33800000000000002</v>
      </c>
      <c r="O609" s="66">
        <v>0</v>
      </c>
    </row>
    <row r="610" spans="1:15">
      <c r="A610" s="66">
        <v>43</v>
      </c>
      <c r="B610" s="66" t="s">
        <v>904</v>
      </c>
      <c r="C610" s="66" t="s">
        <v>905</v>
      </c>
      <c r="D610" s="66" t="s">
        <v>0</v>
      </c>
      <c r="E610" s="66">
        <v>0.44550000000000001</v>
      </c>
      <c r="H610" s="66">
        <f t="shared" si="55"/>
        <v>69.7</v>
      </c>
      <c r="I610" s="168">
        <v>69</v>
      </c>
      <c r="J610" s="66">
        <v>13.03</v>
      </c>
      <c r="K610" s="66">
        <v>1.29</v>
      </c>
      <c r="L610" s="66">
        <v>0</v>
      </c>
      <c r="M610" s="66">
        <v>1.07</v>
      </c>
      <c r="N610" s="66">
        <v>0.17399999999999999</v>
      </c>
      <c r="O610" s="66">
        <v>2E-3</v>
      </c>
    </row>
    <row r="611" spans="1:15">
      <c r="A611" s="66">
        <v>43</v>
      </c>
      <c r="B611" s="66" t="s">
        <v>906</v>
      </c>
      <c r="C611" s="66" t="s">
        <v>907</v>
      </c>
      <c r="D611" s="66" t="s">
        <v>0</v>
      </c>
      <c r="E611" s="66">
        <v>0.44550000000000001</v>
      </c>
      <c r="H611" s="66">
        <f t="shared" si="55"/>
        <v>12.5</v>
      </c>
      <c r="I611" s="168">
        <v>10.6</v>
      </c>
      <c r="J611" s="66">
        <v>0</v>
      </c>
      <c r="K611" s="66">
        <v>0</v>
      </c>
      <c r="L611" s="66">
        <v>0</v>
      </c>
      <c r="M611" s="66">
        <v>0</v>
      </c>
      <c r="N611" s="66">
        <v>0.04</v>
      </c>
      <c r="O611" s="66">
        <v>0</v>
      </c>
    </row>
    <row r="612" spans="1:15">
      <c r="A612" s="66">
        <v>43</v>
      </c>
      <c r="B612" s="66" t="s">
        <v>908</v>
      </c>
      <c r="C612" s="66" t="s">
        <v>909</v>
      </c>
      <c r="D612" s="66" t="s">
        <v>0</v>
      </c>
      <c r="E612" s="66">
        <v>6.0279999999999996</v>
      </c>
      <c r="H612" s="66">
        <f t="shared" si="55"/>
        <v>1078.0999999999999</v>
      </c>
      <c r="I612" s="168">
        <v>979</v>
      </c>
      <c r="J612" s="66">
        <v>346.75</v>
      </c>
      <c r="K612" s="66">
        <v>16.91</v>
      </c>
      <c r="L612" s="66">
        <v>0</v>
      </c>
      <c r="M612" s="66">
        <v>7.03</v>
      </c>
      <c r="N612" s="66">
        <v>2.31</v>
      </c>
      <c r="O612" s="66">
        <v>7.0000000000000001E-3</v>
      </c>
    </row>
    <row r="613" spans="1:15">
      <c r="A613" s="66">
        <v>43</v>
      </c>
      <c r="B613" s="66" t="s">
        <v>910</v>
      </c>
      <c r="C613" s="66" t="s">
        <v>911</v>
      </c>
      <c r="D613" s="66" t="s">
        <v>0</v>
      </c>
      <c r="E613" s="66">
        <v>6.0279999999999996</v>
      </c>
      <c r="H613" s="66">
        <f t="shared" si="55"/>
        <v>120.1</v>
      </c>
      <c r="I613" s="168">
        <v>112</v>
      </c>
      <c r="J613" s="66">
        <v>0</v>
      </c>
      <c r="K613" s="66">
        <v>0</v>
      </c>
      <c r="L613" s="66">
        <v>0</v>
      </c>
      <c r="M613" s="66">
        <v>0</v>
      </c>
      <c r="N613" s="66">
        <v>0.38500000000000001</v>
      </c>
      <c r="O613" s="66">
        <v>0</v>
      </c>
    </row>
    <row r="614" spans="1:15">
      <c r="A614" s="66">
        <v>43</v>
      </c>
      <c r="B614" s="66" t="s">
        <v>912</v>
      </c>
      <c r="C614" s="66" t="s">
        <v>913</v>
      </c>
      <c r="D614" s="66" t="s">
        <v>0</v>
      </c>
      <c r="E614" s="66">
        <v>0.6028</v>
      </c>
      <c r="H614" s="66">
        <f t="shared" si="55"/>
        <v>75.900000000000006</v>
      </c>
      <c r="I614" s="168">
        <v>75.099999999999994</v>
      </c>
      <c r="J614" s="66">
        <v>13.03</v>
      </c>
      <c r="K614" s="66">
        <v>1.29</v>
      </c>
      <c r="L614" s="66">
        <v>0</v>
      </c>
      <c r="M614" s="66">
        <v>1.07</v>
      </c>
      <c r="N614" s="66">
        <v>0.19400000000000001</v>
      </c>
      <c r="O614" s="66">
        <v>2E-3</v>
      </c>
    </row>
    <row r="615" spans="1:15">
      <c r="A615" s="66">
        <v>43</v>
      </c>
      <c r="B615" s="66" t="s">
        <v>914</v>
      </c>
      <c r="C615" s="66" t="s">
        <v>915</v>
      </c>
      <c r="D615" s="66" t="s">
        <v>0</v>
      </c>
      <c r="E615" s="66">
        <v>0.6028</v>
      </c>
      <c r="H615" s="66">
        <f t="shared" si="55"/>
        <v>12.5</v>
      </c>
      <c r="I615" s="168">
        <v>10.6</v>
      </c>
      <c r="J615" s="66">
        <v>0</v>
      </c>
      <c r="K615" s="66">
        <v>0</v>
      </c>
      <c r="L615" s="66">
        <v>0</v>
      </c>
      <c r="M615" s="66">
        <v>0</v>
      </c>
      <c r="N615" s="66">
        <v>0.04</v>
      </c>
      <c r="O615" s="66">
        <v>0</v>
      </c>
    </row>
    <row r="616" spans="1:15">
      <c r="I616" s="168"/>
    </row>
    <row r="617" spans="1:15">
      <c r="I617" s="168"/>
    </row>
    <row r="618" spans="1:15">
      <c r="B618" s="97">
        <v>411506</v>
      </c>
      <c r="C618" s="66" t="s">
        <v>363</v>
      </c>
      <c r="D618" s="66" t="s">
        <v>340</v>
      </c>
      <c r="E618" s="83">
        <f>VLOOKUP(B618,SEZNAM_POUŽITÝCH_MEZD,4,FALSE)</f>
        <v>152</v>
      </c>
      <c r="F618" s="66">
        <v>3.2145000000000001</v>
      </c>
      <c r="G618" s="66">
        <f>E618*F618</f>
        <v>488.60400000000004</v>
      </c>
      <c r="I618" s="168"/>
    </row>
    <row r="619" spans="1:15">
      <c r="B619" s="97">
        <v>413100</v>
      </c>
      <c r="C619" s="66" t="s">
        <v>368</v>
      </c>
      <c r="D619" s="66" t="s">
        <v>340</v>
      </c>
      <c r="E619" s="83">
        <f>VLOOKUP(B619,SEZNAM_POUŽITÝCH_MEZD,4,FALSE)</f>
        <v>135</v>
      </c>
      <c r="F619" s="66">
        <v>21.008731999999998</v>
      </c>
      <c r="G619" s="66">
        <f>E619*F619</f>
        <v>2836.1788199999996</v>
      </c>
      <c r="I619" s="168"/>
    </row>
    <row r="620" spans="1:15">
      <c r="B620" s="97">
        <v>413106</v>
      </c>
      <c r="C620" s="66" t="s">
        <v>369</v>
      </c>
      <c r="D620" s="66" t="s">
        <v>340</v>
      </c>
      <c r="E620" s="83">
        <f>VLOOKUP(B620,SEZNAM_POUŽITÝCH_MEZD,4,FALSE)</f>
        <v>152</v>
      </c>
      <c r="F620" s="66">
        <v>3.23019305</v>
      </c>
      <c r="G620" s="66">
        <f>E620*F620</f>
        <v>490.98934359999998</v>
      </c>
      <c r="I620" s="168"/>
    </row>
    <row r="621" spans="1:15">
      <c r="B621" s="97">
        <v>419004</v>
      </c>
      <c r="C621" s="66" t="s">
        <v>343</v>
      </c>
      <c r="D621" s="66" t="s">
        <v>340</v>
      </c>
      <c r="E621" s="83">
        <f>VLOOKUP(B621,SEZNAM_POUŽITÝCH_MEZD,4,FALSE)</f>
        <v>120</v>
      </c>
      <c r="F621" s="66">
        <v>4.5512723499999996</v>
      </c>
      <c r="G621" s="66">
        <f>E621*F621</f>
        <v>546.15268199999991</v>
      </c>
      <c r="I621" s="168"/>
    </row>
    <row r="622" spans="1:15">
      <c r="E622" s="98">
        <f>ROUND(G622/F622,1)</f>
        <v>136.30000000000001</v>
      </c>
      <c r="F622" s="98">
        <f>SUM(F618:F621)</f>
        <v>32.004697399999998</v>
      </c>
      <c r="G622" s="98">
        <f>SUM(G618:G621)</f>
        <v>4361.9248455999996</v>
      </c>
      <c r="I622" s="168"/>
    </row>
    <row r="623" spans="1:15">
      <c r="I623" s="168"/>
    </row>
    <row r="624" spans="1:15">
      <c r="I624" s="168"/>
    </row>
    <row r="625" spans="2:9">
      <c r="B625" s="98">
        <v>5</v>
      </c>
      <c r="C625" s="98" t="s">
        <v>407</v>
      </c>
      <c r="D625" s="98" t="s">
        <v>0</v>
      </c>
      <c r="I625" s="168"/>
    </row>
    <row r="626" spans="2:9">
      <c r="I626" s="168"/>
    </row>
    <row r="627" spans="2:9">
      <c r="I627" s="168"/>
    </row>
    <row r="628" spans="2:9">
      <c r="B628" s="97">
        <v>220006</v>
      </c>
      <c r="C628" s="66" t="s">
        <v>341</v>
      </c>
      <c r="D628" s="66" t="s">
        <v>340</v>
      </c>
      <c r="E628" s="83">
        <f t="shared" ref="E628:E638" si="56">VLOOKUP(B628,SEZNAM_POUŽITÝCH_MEZD,4,FALSE)</f>
        <v>152</v>
      </c>
      <c r="F628" s="91">
        <v>1.1440000000000001E-2</v>
      </c>
      <c r="G628" s="66">
        <f t="shared" ref="G628:G638" si="57">E628*F628</f>
        <v>1.73888</v>
      </c>
      <c r="I628" s="168"/>
    </row>
    <row r="629" spans="2:9">
      <c r="B629" s="97">
        <v>411100</v>
      </c>
      <c r="C629" s="66" t="s">
        <v>348</v>
      </c>
      <c r="D629" s="66" t="s">
        <v>340</v>
      </c>
      <c r="E629" s="83">
        <f t="shared" si="56"/>
        <v>130</v>
      </c>
      <c r="F629" s="91">
        <v>0.14716000000000001</v>
      </c>
      <c r="G629" s="66">
        <f t="shared" si="57"/>
        <v>19.130800000000001</v>
      </c>
      <c r="I629" s="168"/>
    </row>
    <row r="630" spans="2:9">
      <c r="B630" s="97">
        <v>419000</v>
      </c>
      <c r="C630" s="66" t="s">
        <v>350</v>
      </c>
      <c r="D630" s="66" t="s">
        <v>340</v>
      </c>
      <c r="E630" s="83">
        <f t="shared" si="56"/>
        <v>135</v>
      </c>
      <c r="F630" s="91">
        <v>1.190601E-2</v>
      </c>
      <c r="G630" s="66">
        <f t="shared" si="57"/>
        <v>1.60731135</v>
      </c>
      <c r="I630" s="168"/>
    </row>
    <row r="631" spans="2:9">
      <c r="B631" s="97">
        <v>419004</v>
      </c>
      <c r="C631" s="66" t="s">
        <v>343</v>
      </c>
      <c r="D631" s="66" t="s">
        <v>340</v>
      </c>
      <c r="E631" s="83">
        <f t="shared" si="56"/>
        <v>120</v>
      </c>
      <c r="F631" s="91">
        <v>3.9038029999999994E-2</v>
      </c>
      <c r="G631" s="66">
        <f t="shared" si="57"/>
        <v>4.6845635999999997</v>
      </c>
      <c r="I631" s="168"/>
    </row>
    <row r="632" spans="2:9">
      <c r="B632" s="97">
        <v>431000</v>
      </c>
      <c r="C632" s="66" t="s">
        <v>408</v>
      </c>
      <c r="D632" s="66" t="s">
        <v>340</v>
      </c>
      <c r="E632" s="83">
        <f t="shared" si="56"/>
        <v>135</v>
      </c>
      <c r="F632" s="91">
        <v>0.13532</v>
      </c>
      <c r="G632" s="66">
        <f t="shared" si="57"/>
        <v>18.2682</v>
      </c>
      <c r="I632" s="168"/>
    </row>
    <row r="633" spans="2:9">
      <c r="B633" s="97">
        <v>431004</v>
      </c>
      <c r="C633" s="66" t="s">
        <v>409</v>
      </c>
      <c r="D633" s="66" t="s">
        <v>340</v>
      </c>
      <c r="E633" s="83">
        <f t="shared" si="56"/>
        <v>120</v>
      </c>
      <c r="F633" s="66">
        <v>1.056E-2</v>
      </c>
      <c r="G633" s="66">
        <f t="shared" si="57"/>
        <v>1.2671999999999999</v>
      </c>
      <c r="I633" s="168"/>
    </row>
    <row r="634" spans="2:9">
      <c r="B634" s="97">
        <v>431006</v>
      </c>
      <c r="C634" s="66" t="s">
        <v>410</v>
      </c>
      <c r="D634" s="66" t="s">
        <v>340</v>
      </c>
      <c r="E634" s="83">
        <f t="shared" si="56"/>
        <v>152</v>
      </c>
      <c r="F634" s="66">
        <v>4.8840000000000001E-2</v>
      </c>
      <c r="G634" s="66">
        <f t="shared" si="57"/>
        <v>7.4236800000000001</v>
      </c>
      <c r="I634" s="168"/>
    </row>
    <row r="635" spans="2:9">
      <c r="B635" s="97">
        <v>441000</v>
      </c>
      <c r="C635" s="66" t="s">
        <v>344</v>
      </c>
      <c r="D635" s="66" t="s">
        <v>340</v>
      </c>
      <c r="E635" s="83">
        <f t="shared" si="56"/>
        <v>135</v>
      </c>
      <c r="F635" s="91">
        <v>2.269202E-2</v>
      </c>
      <c r="G635" s="66">
        <f t="shared" si="57"/>
        <v>3.0634226999999998</v>
      </c>
      <c r="I635" s="168"/>
    </row>
    <row r="636" spans="2:9">
      <c r="B636" s="97">
        <v>441006</v>
      </c>
      <c r="C636" s="66" t="s">
        <v>345</v>
      </c>
      <c r="D636" s="66" t="s">
        <v>340</v>
      </c>
      <c r="E636" s="83">
        <f t="shared" si="56"/>
        <v>152</v>
      </c>
      <c r="F636" s="91">
        <v>5.4634090000000003E-2</v>
      </c>
      <c r="G636" s="66">
        <f t="shared" si="57"/>
        <v>8.3043816800000005</v>
      </c>
      <c r="I636" s="168"/>
    </row>
    <row r="637" spans="2:9">
      <c r="B637" s="97">
        <v>441007</v>
      </c>
      <c r="C637" s="66" t="s">
        <v>353</v>
      </c>
      <c r="D637" s="66" t="s">
        <v>340</v>
      </c>
      <c r="E637" s="83">
        <f t="shared" si="56"/>
        <v>170</v>
      </c>
      <c r="F637" s="91">
        <v>6.0000000000000001E-3</v>
      </c>
      <c r="G637" s="66">
        <f t="shared" si="57"/>
        <v>1.02</v>
      </c>
      <c r="I637" s="168"/>
    </row>
    <row r="638" spans="2:9">
      <c r="B638" s="97">
        <v>510007</v>
      </c>
      <c r="C638" s="66" t="s">
        <v>356</v>
      </c>
      <c r="D638" s="66" t="s">
        <v>340</v>
      </c>
      <c r="E638" s="83">
        <f t="shared" si="56"/>
        <v>170</v>
      </c>
      <c r="F638" s="66">
        <v>1.3460099999999999E-3</v>
      </c>
      <c r="G638" s="66">
        <f t="shared" si="57"/>
        <v>0.22882169999999999</v>
      </c>
      <c r="I638" s="168"/>
    </row>
    <row r="639" spans="2:9">
      <c r="E639" s="98">
        <f>ROUND(G639/F639,1)</f>
        <v>136.5</v>
      </c>
      <c r="F639" s="98">
        <f>SUM(F628:F638)</f>
        <v>0.48893616000000006</v>
      </c>
      <c r="G639" s="98">
        <f>SUM(G628:G638)</f>
        <v>66.737261029999999</v>
      </c>
      <c r="I639" s="168"/>
    </row>
    <row r="640" spans="2:9">
      <c r="G640" s="91"/>
      <c r="I640" s="168"/>
    </row>
    <row r="641" spans="1:15">
      <c r="G641" s="91"/>
      <c r="I641" s="168"/>
    </row>
    <row r="642" spans="1:15">
      <c r="B642" s="98">
        <v>61</v>
      </c>
      <c r="C642" s="98" t="s">
        <v>155</v>
      </c>
      <c r="D642" s="98" t="s">
        <v>0</v>
      </c>
      <c r="G642" s="91"/>
      <c r="I642" s="168"/>
    </row>
    <row r="643" spans="1:15">
      <c r="G643" s="91"/>
    </row>
    <row r="644" spans="1:15">
      <c r="C644" s="66" t="s">
        <v>411</v>
      </c>
      <c r="G644" s="91"/>
      <c r="I644" s="168"/>
    </row>
    <row r="645" spans="1:15">
      <c r="A645" s="66">
        <v>61</v>
      </c>
      <c r="B645" s="66" t="s">
        <v>412</v>
      </c>
      <c r="C645" s="66" t="s">
        <v>413</v>
      </c>
      <c r="D645" s="66" t="s">
        <v>0</v>
      </c>
      <c r="E645" s="95">
        <v>0.1</v>
      </c>
      <c r="G645" s="91"/>
      <c r="H645" s="66">
        <f t="shared" ref="H645:H650" si="58">ROUND((J$2:J$66136*(1-VLOOKUP(IF(ISNUMBER(A645),A645,900),MATICE_CEN,7,FALSE))+K$2:K$66136+(L$2:L$66136*(1-VLOOKUP(IF(ISNUMBER(A645),A645,900),MATICE_CEN,6,FALSE))+M$2:M$66136+N$2:N$66136*IF(A645=99,sleva_ocel,1)*VLOOKUP(IF(ISNUMBER(A645),A645,900),MATICE_CEN,4,FALSE)*(1+časová_rezerva)*(1+pojistné))*IF(A645=900,(1+STD_HR_HSV),(1+VLOOKUP(IF(ISNUMBER(A645),A645,900),MATICE_CEN,5,FALSE))))*(1+VRN),1)</f>
        <v>568.20000000000005</v>
      </c>
      <c r="I645" s="168">
        <v>543</v>
      </c>
      <c r="J645" s="66">
        <v>79.27</v>
      </c>
      <c r="K645" s="66">
        <v>7.79</v>
      </c>
      <c r="L645" s="66">
        <v>0</v>
      </c>
      <c r="M645" s="66">
        <v>0</v>
      </c>
      <c r="N645" s="66">
        <v>1.395</v>
      </c>
      <c r="O645" s="66">
        <v>4.8000000000000001E-2</v>
      </c>
    </row>
    <row r="646" spans="1:15">
      <c r="A646" s="66">
        <v>61</v>
      </c>
      <c r="B646" s="66" t="s">
        <v>414</v>
      </c>
      <c r="C646" s="66" t="s">
        <v>415</v>
      </c>
      <c r="D646" s="66" t="s">
        <v>0</v>
      </c>
      <c r="E646" s="95">
        <v>0.22</v>
      </c>
      <c r="G646" s="91"/>
      <c r="H646" s="66">
        <f t="shared" si="58"/>
        <v>411.8</v>
      </c>
      <c r="I646" s="168">
        <v>395.5</v>
      </c>
      <c r="J646" s="66">
        <v>110.55</v>
      </c>
      <c r="K646" s="66">
        <v>5.17</v>
      </c>
      <c r="L646" s="66">
        <v>7.57</v>
      </c>
      <c r="M646" s="66">
        <v>0</v>
      </c>
      <c r="N646" s="66">
        <v>0.83199999999999996</v>
      </c>
      <c r="O646" s="66">
        <v>2.911E-2</v>
      </c>
    </row>
    <row r="647" spans="1:15">
      <c r="A647" s="66">
        <v>61</v>
      </c>
      <c r="B647" s="66" t="s">
        <v>416</v>
      </c>
      <c r="C647" s="66" t="s">
        <v>417</v>
      </c>
      <c r="D647" s="66" t="s">
        <v>0</v>
      </c>
      <c r="E647" s="95">
        <v>0.45</v>
      </c>
      <c r="G647" s="91"/>
      <c r="H647" s="66">
        <f t="shared" si="58"/>
        <v>271.39999999999998</v>
      </c>
      <c r="I647" s="168">
        <v>266.5</v>
      </c>
      <c r="J647" s="66">
        <v>38.58</v>
      </c>
      <c r="K647" s="66">
        <v>6.62</v>
      </c>
      <c r="L647" s="66">
        <v>0</v>
      </c>
      <c r="M647" s="66">
        <v>0</v>
      </c>
      <c r="N647" s="66">
        <v>0.65600000000000003</v>
      </c>
      <c r="O647" s="66">
        <v>4.9660000000000003E-2</v>
      </c>
    </row>
    <row r="648" spans="1:15">
      <c r="A648" s="66">
        <v>61</v>
      </c>
      <c r="B648" s="66" t="s">
        <v>418</v>
      </c>
      <c r="C648" s="66" t="s">
        <v>419</v>
      </c>
      <c r="D648" s="66" t="s">
        <v>0</v>
      </c>
      <c r="E648" s="95">
        <v>0.1</v>
      </c>
      <c r="G648" s="91"/>
      <c r="H648" s="66">
        <f t="shared" si="58"/>
        <v>632.70000000000005</v>
      </c>
      <c r="I648" s="168">
        <v>637</v>
      </c>
      <c r="J648" s="66">
        <v>383.41</v>
      </c>
      <c r="K648" s="66">
        <v>4.97</v>
      </c>
      <c r="L648" s="66">
        <v>0.02</v>
      </c>
      <c r="M648" s="66">
        <v>0</v>
      </c>
      <c r="N648" s="66">
        <v>0.75756000000000001</v>
      </c>
      <c r="O648" s="66">
        <v>2.8850000000000001E-2</v>
      </c>
    </row>
    <row r="649" spans="1:15">
      <c r="A649" s="66">
        <v>61</v>
      </c>
      <c r="B649" s="66" t="s">
        <v>420</v>
      </c>
      <c r="C649" s="66" t="s">
        <v>421</v>
      </c>
      <c r="D649" s="66" t="s">
        <v>0</v>
      </c>
      <c r="E649" s="95">
        <v>0.1</v>
      </c>
      <c r="G649" s="91"/>
      <c r="H649" s="66">
        <f t="shared" si="58"/>
        <v>391.8</v>
      </c>
      <c r="I649" s="168">
        <v>377</v>
      </c>
      <c r="J649" s="66">
        <v>50.02</v>
      </c>
      <c r="K649" s="66">
        <v>6.99</v>
      </c>
      <c r="L649" s="66">
        <v>0</v>
      </c>
      <c r="M649" s="66">
        <v>0</v>
      </c>
      <c r="N649" s="66">
        <v>0.97</v>
      </c>
      <c r="O649" s="66">
        <v>0.05</v>
      </c>
    </row>
    <row r="650" spans="1:15">
      <c r="A650" s="66">
        <v>61</v>
      </c>
      <c r="B650" s="66" t="s">
        <v>422</v>
      </c>
      <c r="C650" s="66" t="s">
        <v>423</v>
      </c>
      <c r="D650" s="66" t="s">
        <v>1</v>
      </c>
      <c r="E650" s="95">
        <v>0.03</v>
      </c>
      <c r="G650" s="91"/>
      <c r="H650" s="66">
        <f t="shared" si="58"/>
        <v>719.4</v>
      </c>
      <c r="I650" s="168">
        <v>717</v>
      </c>
      <c r="J650" s="66">
        <v>164.02</v>
      </c>
      <c r="K650" s="66">
        <v>14.13</v>
      </c>
      <c r="L650" s="66">
        <v>0</v>
      </c>
      <c r="M650" s="66">
        <v>0</v>
      </c>
      <c r="N650" s="66">
        <v>1.58</v>
      </c>
      <c r="O650" s="66">
        <v>4.8000000000000001E-2</v>
      </c>
    </row>
    <row r="651" spans="1:15">
      <c r="G651" s="91"/>
      <c r="I651" s="168"/>
    </row>
    <row r="652" spans="1:15">
      <c r="B652" s="97">
        <v>412307</v>
      </c>
      <c r="C652" s="66" t="s">
        <v>424</v>
      </c>
      <c r="D652" s="66" t="s">
        <v>340</v>
      </c>
      <c r="E652" s="83">
        <f>VLOOKUP(B652,SEZNAM_POUŽITÝCH_MEZD,4,FALSE)</f>
        <v>170</v>
      </c>
      <c r="F652" s="91">
        <v>0.66362099999999991</v>
      </c>
      <c r="G652" s="66">
        <f>E652*F652</f>
        <v>112.81556999999998</v>
      </c>
      <c r="I652" s="168"/>
    </row>
    <row r="653" spans="1:15">
      <c r="B653" s="97">
        <v>413100</v>
      </c>
      <c r="C653" s="66" t="s">
        <v>368</v>
      </c>
      <c r="D653" s="66" t="s">
        <v>340</v>
      </c>
      <c r="E653" s="83">
        <f>VLOOKUP(B653,SEZNAM_POUŽITÝCH_MEZD,4,FALSE)</f>
        <v>135</v>
      </c>
      <c r="F653" s="91">
        <v>3.8120000000000001E-2</v>
      </c>
      <c r="G653" s="66">
        <f>E653*F653</f>
        <v>5.1462000000000003</v>
      </c>
      <c r="I653" s="168"/>
    </row>
    <row r="654" spans="1:15">
      <c r="B654" s="97">
        <v>419000</v>
      </c>
      <c r="C654" s="66" t="s">
        <v>350</v>
      </c>
      <c r="D654" s="66" t="s">
        <v>340</v>
      </c>
      <c r="E654" s="83">
        <f>VLOOKUP(B654,SEZNAM_POUŽITÝCH_MEZD,4,FALSE)</f>
        <v>135</v>
      </c>
      <c r="F654" s="91">
        <v>0.13569999999999999</v>
      </c>
      <c r="G654" s="66">
        <f>E654*F654</f>
        <v>18.319499999999998</v>
      </c>
      <c r="I654" s="168"/>
    </row>
    <row r="655" spans="1:15">
      <c r="B655" s="97">
        <v>419140</v>
      </c>
      <c r="C655" s="66" t="s">
        <v>425</v>
      </c>
      <c r="D655" s="66" t="s">
        <v>340</v>
      </c>
      <c r="E655" s="83">
        <f>VLOOKUP(B655,SEZNAM_POUŽITÝCH_MEZD,4,FALSE)</f>
        <v>135</v>
      </c>
      <c r="F655" s="91">
        <v>4.5500000000000006E-4</v>
      </c>
      <c r="G655" s="66">
        <f>E655*F655</f>
        <v>6.1425000000000007E-2</v>
      </c>
      <c r="I655" s="168"/>
    </row>
    <row r="656" spans="1:15">
      <c r="E656" s="98">
        <f>ROUND(G656/F656,1)</f>
        <v>162.69999999999999</v>
      </c>
      <c r="F656" s="98">
        <f>SUM(F652:F655)</f>
        <v>0.83789599999999986</v>
      </c>
      <c r="G656" s="98">
        <f>SUM(G652:G655)</f>
        <v>136.34269499999999</v>
      </c>
      <c r="I656" s="168"/>
    </row>
    <row r="657" spans="1:15">
      <c r="I657" s="168"/>
    </row>
    <row r="658" spans="1:15">
      <c r="I658" s="168"/>
    </row>
    <row r="659" spans="1:15">
      <c r="B659" s="98">
        <v>62</v>
      </c>
      <c r="C659" s="98" t="s">
        <v>156</v>
      </c>
      <c r="D659" s="98" t="s">
        <v>0</v>
      </c>
      <c r="I659" s="168"/>
    </row>
    <row r="660" spans="1:15">
      <c r="I660" s="168"/>
    </row>
    <row r="661" spans="1:15">
      <c r="C661" s="66" t="s">
        <v>411</v>
      </c>
    </row>
    <row r="662" spans="1:15">
      <c r="A662" s="66">
        <v>62</v>
      </c>
      <c r="B662" s="66" t="s">
        <v>426</v>
      </c>
      <c r="C662" s="66" t="s">
        <v>427</v>
      </c>
      <c r="D662" s="66" t="s">
        <v>0</v>
      </c>
      <c r="E662" s="95">
        <v>0.7</v>
      </c>
      <c r="H662" s="66">
        <f>ROUND((J$2:J$66136*(1-VLOOKUP(IF(ISNUMBER(A662),A662,900),MATICE_CEN,7,FALSE))+K$2:K$66136+(L$2:L$66136*(1-VLOOKUP(IF(ISNUMBER(A662),A662,900),MATICE_CEN,6,FALSE))+M$2:M$66136+N$2:N$66136*IF(A662=99,sleva_ocel,1)*VLOOKUP(IF(ISNUMBER(A662),A662,900),MATICE_CEN,4,FALSE)*(1+časová_rezerva)*(1+pojistné))*IF(A662=900,(1+STD_HR_HSV),(1+VLOOKUP(IF(ISNUMBER(A662),A662,900),MATICE_CEN,5,FALSE))))*(1+VRN),1)</f>
        <v>395.7</v>
      </c>
      <c r="I662" s="168">
        <v>359.5</v>
      </c>
      <c r="J662" s="66">
        <v>42.51</v>
      </c>
      <c r="K662" s="66">
        <v>7.25</v>
      </c>
      <c r="L662" s="66">
        <v>0</v>
      </c>
      <c r="M662" s="66">
        <v>0</v>
      </c>
      <c r="N662" s="66">
        <v>0.91700000000000004</v>
      </c>
      <c r="O662" s="66">
        <v>5.3220000000000003E-2</v>
      </c>
    </row>
    <row r="663" spans="1:15">
      <c r="A663" s="66">
        <v>62</v>
      </c>
      <c r="B663" s="66" t="s">
        <v>428</v>
      </c>
      <c r="C663" s="66" t="s">
        <v>429</v>
      </c>
      <c r="D663" s="66" t="s">
        <v>0</v>
      </c>
      <c r="E663" s="95">
        <v>0.3</v>
      </c>
      <c r="H663" s="66">
        <f>ROUND((J$2:J$66136*(1-VLOOKUP(IF(ISNUMBER(A663),A663,900),MATICE_CEN,7,FALSE))+K$2:K$66136+(L$2:L$66136*(1-VLOOKUP(IF(ISNUMBER(A663),A663,900),MATICE_CEN,6,FALSE))+M$2:M$66136+N$2:N$66136*IF(A663=99,sleva_ocel,1)*VLOOKUP(IF(ISNUMBER(A663),A663,900),MATICE_CEN,4,FALSE)*(1+časová_rezerva)*(1+pojistné))*IF(A663=900,(1+STD_HR_HSV),(1+VLOOKUP(IF(ISNUMBER(A663),A663,900),MATICE_CEN,5,FALSE))))*(1+VRN),1)</f>
        <v>1025.5</v>
      </c>
      <c r="I663" s="168">
        <v>937</v>
      </c>
      <c r="J663" s="66">
        <v>142.86000000000001</v>
      </c>
      <c r="K663" s="66">
        <v>8.4700000000000006</v>
      </c>
      <c r="L663" s="66">
        <v>0</v>
      </c>
      <c r="M663" s="66">
        <v>0</v>
      </c>
      <c r="N663" s="66">
        <v>2.3220000000000001</v>
      </c>
      <c r="O663" s="66">
        <v>4.6399999999999997E-2</v>
      </c>
    </row>
    <row r="664" spans="1:15">
      <c r="I664" s="168"/>
    </row>
    <row r="665" spans="1:15">
      <c r="B665" s="97">
        <v>412307</v>
      </c>
      <c r="C665" s="66" t="s">
        <v>424</v>
      </c>
      <c r="D665" s="66" t="s">
        <v>340</v>
      </c>
      <c r="E665" s="83">
        <f>VLOOKUP(B665,SEZNAM_POUŽITÝCH_MEZD,4,FALSE)</f>
        <v>170</v>
      </c>
      <c r="F665" s="66">
        <v>1.1835</v>
      </c>
      <c r="G665" s="66">
        <f>E665*F665</f>
        <v>201.19499999999999</v>
      </c>
      <c r="I665" s="168"/>
    </row>
    <row r="666" spans="1:15">
      <c r="B666" s="97">
        <v>419000</v>
      </c>
      <c r="C666" s="66" t="s">
        <v>350</v>
      </c>
      <c r="D666" s="66" t="s">
        <v>340</v>
      </c>
      <c r="E666" s="83">
        <f>VLOOKUP(B666,SEZNAM_POUŽITÝCH_MEZD,4,FALSE)</f>
        <v>135</v>
      </c>
      <c r="F666" s="66">
        <v>0.155</v>
      </c>
      <c r="G666" s="66">
        <f>E666*F666</f>
        <v>20.925000000000001</v>
      </c>
      <c r="I666" s="168"/>
    </row>
    <row r="667" spans="1:15">
      <c r="E667" s="98">
        <f>ROUND(G667/F667,1)</f>
        <v>165.9</v>
      </c>
      <c r="F667" s="98">
        <f>SUM(F665:F666)</f>
        <v>1.3385</v>
      </c>
      <c r="G667" s="98">
        <f>SUM(G665:G666)</f>
        <v>222.12</v>
      </c>
      <c r="I667" s="168"/>
    </row>
    <row r="668" spans="1:15">
      <c r="I668" s="168"/>
    </row>
    <row r="669" spans="1:15">
      <c r="I669" s="168"/>
    </row>
    <row r="670" spans="1:15">
      <c r="B670" s="98">
        <v>627</v>
      </c>
      <c r="C670" s="98" t="s">
        <v>920</v>
      </c>
      <c r="D670" s="98" t="s">
        <v>0</v>
      </c>
      <c r="I670" s="168"/>
    </row>
    <row r="672" spans="1:15">
      <c r="A672" s="66">
        <v>627</v>
      </c>
      <c r="B672" s="66" t="s">
        <v>918</v>
      </c>
      <c r="C672" s="66" t="s">
        <v>919</v>
      </c>
      <c r="D672" s="66" t="s">
        <v>0</v>
      </c>
      <c r="H672" s="66">
        <f>ROUND((J$2:J$66136*(1-VLOOKUP(IF(ISNUMBER(A672),A672,900),MATICE_CEN,7,FALSE))+K$2:K$66136+(L$2:L$66136*(1-VLOOKUP(IF(ISNUMBER(A672),A672,900),MATICE_CEN,6,FALSE))+M$2:M$66136+N$2:N$66136*IF(A672=99,sleva_ocel,1)*VLOOKUP(IF(ISNUMBER(A672),A672,900),MATICE_CEN,4,FALSE)*(1+časová_rezerva)*(1+pojistné))*IF(A672=900,(1+STD_HR_HSV),(1+VLOOKUP(IF(ISNUMBER(A672),A672,900),MATICE_CEN,5,FALSE))))*(1+VRN),1)</f>
        <v>1362.4</v>
      </c>
      <c r="I672" s="168">
        <v>1325</v>
      </c>
      <c r="J672" s="66">
        <v>742.01</v>
      </c>
      <c r="K672" s="66">
        <v>33.74</v>
      </c>
      <c r="L672" s="66">
        <v>0</v>
      </c>
      <c r="M672" s="66">
        <v>0</v>
      </c>
      <c r="N672" s="66">
        <v>1.7647999999999999</v>
      </c>
      <c r="O672" s="66">
        <v>3.1260000000000003E-2</v>
      </c>
    </row>
    <row r="673" spans="1:15">
      <c r="I673" s="168"/>
    </row>
    <row r="674" spans="1:15">
      <c r="I674" s="168"/>
    </row>
    <row r="675" spans="1:15">
      <c r="B675" s="97">
        <v>419000</v>
      </c>
      <c r="C675" s="66" t="s">
        <v>350</v>
      </c>
      <c r="D675" s="66" t="s">
        <v>340</v>
      </c>
      <c r="E675" s="83">
        <f>VLOOKUP(B675,SEZNAM_POUŽITÝCH_MEZD,4,FALSE)</f>
        <v>135</v>
      </c>
      <c r="F675" s="91">
        <v>0.10199999999999999</v>
      </c>
      <c r="G675" s="66">
        <f>E675*F675</f>
        <v>13.77</v>
      </c>
      <c r="I675" s="168"/>
    </row>
    <row r="676" spans="1:15">
      <c r="B676" s="97">
        <v>412306</v>
      </c>
      <c r="C676" s="66" t="s">
        <v>430</v>
      </c>
      <c r="D676" s="66" t="s">
        <v>340</v>
      </c>
      <c r="E676" s="83">
        <f>VLOOKUP(B676,SEZNAM_POUŽITÝCH_MEZD,4,FALSE)</f>
        <v>152</v>
      </c>
      <c r="F676" s="91">
        <v>0.66</v>
      </c>
      <c r="G676" s="66">
        <f>E676*F676</f>
        <v>100.32000000000001</v>
      </c>
      <c r="I676" s="168"/>
    </row>
    <row r="677" spans="1:15">
      <c r="B677" s="97">
        <v>412307</v>
      </c>
      <c r="C677" s="66" t="s">
        <v>424</v>
      </c>
      <c r="D677" s="66" t="s">
        <v>340</v>
      </c>
      <c r="E677" s="83">
        <f>VLOOKUP(B677,SEZNAM_POUŽITÝCH_MEZD,4,FALSE)</f>
        <v>170</v>
      </c>
      <c r="F677" s="91">
        <v>0.33879999999999999</v>
      </c>
      <c r="G677" s="66">
        <f>E677*F677</f>
        <v>57.595999999999997</v>
      </c>
      <c r="I677" s="168"/>
    </row>
    <row r="678" spans="1:15">
      <c r="B678" s="97">
        <v>422206</v>
      </c>
      <c r="C678" s="66" t="s">
        <v>431</v>
      </c>
      <c r="D678" s="66" t="s">
        <v>340</v>
      </c>
      <c r="E678" s="83">
        <f>VLOOKUP(B678,SEZNAM_POUŽITÝCH_MEZD,4,FALSE)</f>
        <v>152</v>
      </c>
      <c r="F678" s="91">
        <v>0.66400000000000003</v>
      </c>
      <c r="G678" s="66">
        <f>E678*F678</f>
        <v>100.92800000000001</v>
      </c>
      <c r="I678" s="168"/>
    </row>
    <row r="679" spans="1:15">
      <c r="E679" s="98">
        <f>ROUND(G679/F679,1)</f>
        <v>154.5</v>
      </c>
      <c r="F679" s="98">
        <f>SUM(F675:F678)</f>
        <v>1.7648000000000001</v>
      </c>
      <c r="G679" s="98">
        <f>SUM(G675:G678)</f>
        <v>272.61400000000003</v>
      </c>
      <c r="I679" s="168"/>
    </row>
    <row r="680" spans="1:15">
      <c r="I680" s="168"/>
    </row>
    <row r="681" spans="1:15">
      <c r="I681" s="168"/>
    </row>
    <row r="682" spans="1:15">
      <c r="B682" s="98">
        <v>629</v>
      </c>
      <c r="C682" s="98" t="s">
        <v>157</v>
      </c>
      <c r="D682" s="98" t="s">
        <v>0</v>
      </c>
      <c r="I682" s="168"/>
    </row>
    <row r="684" spans="1:15">
      <c r="A684" s="66">
        <v>629</v>
      </c>
      <c r="B684" s="66" t="s">
        <v>921</v>
      </c>
      <c r="C684" s="66" t="s">
        <v>922</v>
      </c>
      <c r="D684" s="66" t="s">
        <v>0</v>
      </c>
      <c r="E684" s="66">
        <v>0.2</v>
      </c>
      <c r="H684" s="66">
        <f t="shared" ref="H684:H691" si="59">ROUND((J$2:J$66136*(1-VLOOKUP(IF(ISNUMBER(A684),A684,900),MATICE_CEN,7,FALSE))+K$2:K$66136+(L$2:L$66136*(1-VLOOKUP(IF(ISNUMBER(A684),A684,900),MATICE_CEN,6,FALSE))+M$2:M$66136+N$2:N$66136*IF(A684=99,sleva_ocel,1)*VLOOKUP(IF(ISNUMBER(A684),A684,900),MATICE_CEN,4,FALSE)*(1+časová_rezerva)*(1+pojistné))*IF(A684=900,(1+STD_HR_HSV),(1+VLOOKUP(IF(ISNUMBER(A684),A684,900),MATICE_CEN,5,FALSE))))*(1+VRN),1)</f>
        <v>1144.5</v>
      </c>
      <c r="I684" s="168">
        <v>956</v>
      </c>
      <c r="J684" s="66">
        <v>61.15</v>
      </c>
      <c r="K684" s="66">
        <v>10.4</v>
      </c>
      <c r="L684" s="66">
        <v>0</v>
      </c>
      <c r="M684" s="66">
        <v>0</v>
      </c>
      <c r="N684" s="66">
        <v>2.581</v>
      </c>
      <c r="O684" s="66">
        <v>7.5999999999999998E-2</v>
      </c>
    </row>
    <row r="685" spans="1:15">
      <c r="A685" s="66">
        <v>629</v>
      </c>
      <c r="B685" s="66" t="s">
        <v>923</v>
      </c>
      <c r="C685" s="66" t="s">
        <v>924</v>
      </c>
      <c r="D685" s="66" t="s">
        <v>0</v>
      </c>
      <c r="E685" s="66">
        <v>0.2</v>
      </c>
      <c r="H685" s="66">
        <f t="shared" si="59"/>
        <v>1304.5</v>
      </c>
      <c r="I685" s="168">
        <v>1090</v>
      </c>
      <c r="J685" s="66">
        <v>70.33</v>
      </c>
      <c r="K685" s="66">
        <v>11.97</v>
      </c>
      <c r="L685" s="66">
        <v>0</v>
      </c>
      <c r="M685" s="66">
        <v>0</v>
      </c>
      <c r="N685" s="66">
        <v>2.94</v>
      </c>
      <c r="O685" s="66">
        <v>8.6999999999999994E-2</v>
      </c>
    </row>
    <row r="686" spans="1:15">
      <c r="A686" s="66">
        <v>629</v>
      </c>
      <c r="B686" s="66" t="s">
        <v>925</v>
      </c>
      <c r="C686" s="66" t="s">
        <v>432</v>
      </c>
      <c r="D686" s="66" t="s">
        <v>0</v>
      </c>
      <c r="E686" s="66">
        <v>0.2</v>
      </c>
      <c r="H686" s="66">
        <f t="shared" si="59"/>
        <v>1292</v>
      </c>
      <c r="I686" s="168">
        <v>1084</v>
      </c>
      <c r="J686" s="66">
        <v>157.32</v>
      </c>
      <c r="K686" s="66">
        <v>9.32</v>
      </c>
      <c r="L686" s="66">
        <v>0</v>
      </c>
      <c r="M686" s="66">
        <v>0</v>
      </c>
      <c r="N686" s="66">
        <v>2.7069999999999999</v>
      </c>
      <c r="O686" s="66">
        <v>5.0999999999999997E-2</v>
      </c>
    </row>
    <row r="687" spans="1:15">
      <c r="A687" s="66">
        <v>629</v>
      </c>
      <c r="B687" s="66" t="s">
        <v>926</v>
      </c>
      <c r="C687" s="66" t="s">
        <v>927</v>
      </c>
      <c r="D687" s="66" t="s">
        <v>0</v>
      </c>
      <c r="E687" s="66">
        <v>0.2</v>
      </c>
      <c r="H687" s="66">
        <f t="shared" si="59"/>
        <v>69.3</v>
      </c>
      <c r="I687" s="168">
        <v>62.5</v>
      </c>
      <c r="J687" s="66">
        <v>32.22</v>
      </c>
      <c r="K687" s="66">
        <v>2.21</v>
      </c>
      <c r="L687" s="66">
        <v>0</v>
      </c>
      <c r="M687" s="66">
        <v>0</v>
      </c>
      <c r="N687" s="66">
        <v>8.4000000000000005E-2</v>
      </c>
      <c r="O687" s="66">
        <v>9.4999999999999998E-3</v>
      </c>
    </row>
    <row r="688" spans="1:15">
      <c r="A688" s="66">
        <v>629</v>
      </c>
      <c r="B688" s="66" t="s">
        <v>928</v>
      </c>
      <c r="C688" s="66" t="s">
        <v>929</v>
      </c>
      <c r="D688" s="66" t="s">
        <v>0</v>
      </c>
      <c r="E688" s="66">
        <v>0.2</v>
      </c>
      <c r="H688" s="66">
        <f t="shared" si="59"/>
        <v>594.1</v>
      </c>
      <c r="I688" s="168">
        <v>494</v>
      </c>
      <c r="J688" s="66">
        <v>53.44</v>
      </c>
      <c r="K688" s="66">
        <v>7.22</v>
      </c>
      <c r="L688" s="66">
        <v>0</v>
      </c>
      <c r="M688" s="66">
        <v>0</v>
      </c>
      <c r="N688" s="66">
        <v>1.2832699999999999</v>
      </c>
      <c r="O688" s="66">
        <v>6.4000000000000001E-2</v>
      </c>
    </row>
    <row r="689" spans="1:15">
      <c r="A689" s="66">
        <v>629</v>
      </c>
      <c r="B689" s="66" t="s">
        <v>930</v>
      </c>
      <c r="C689" s="66" t="s">
        <v>931</v>
      </c>
      <c r="D689" s="66" t="s">
        <v>0</v>
      </c>
      <c r="E689" s="66">
        <v>0.2</v>
      </c>
      <c r="H689" s="66">
        <f t="shared" si="59"/>
        <v>726.5</v>
      </c>
      <c r="I689" s="168">
        <v>601</v>
      </c>
      <c r="J689" s="66">
        <v>60.56</v>
      </c>
      <c r="K689" s="66">
        <v>5.77</v>
      </c>
      <c r="L689" s="66">
        <v>0</v>
      </c>
      <c r="M689" s="66">
        <v>0</v>
      </c>
      <c r="N689" s="66">
        <v>1.5880700000000001</v>
      </c>
      <c r="O689" s="66">
        <v>4.1869999999999997E-2</v>
      </c>
    </row>
    <row r="690" spans="1:15">
      <c r="A690" s="66">
        <v>629</v>
      </c>
      <c r="B690" s="66" t="s">
        <v>932</v>
      </c>
      <c r="C690" s="66" t="s">
        <v>933</v>
      </c>
      <c r="D690" s="66" t="s">
        <v>0</v>
      </c>
      <c r="E690" s="66">
        <v>0.2</v>
      </c>
      <c r="H690" s="66">
        <f t="shared" si="59"/>
        <v>668.4</v>
      </c>
      <c r="I690" s="168">
        <v>556</v>
      </c>
      <c r="J690" s="66">
        <v>56.09</v>
      </c>
      <c r="K690" s="66">
        <v>7.61</v>
      </c>
      <c r="L690" s="66">
        <v>0</v>
      </c>
      <c r="M690" s="66">
        <v>0</v>
      </c>
      <c r="N690" s="66">
        <v>1.4545699999999999</v>
      </c>
      <c r="O690" s="66">
        <v>6.8000000000000005E-2</v>
      </c>
    </row>
    <row r="691" spans="1:15">
      <c r="A691" s="66">
        <v>629</v>
      </c>
      <c r="B691" s="66" t="s">
        <v>934</v>
      </c>
      <c r="C691" s="66" t="s">
        <v>935</v>
      </c>
      <c r="D691" s="66" t="s">
        <v>0</v>
      </c>
      <c r="E691" s="66">
        <v>0.2</v>
      </c>
      <c r="H691" s="66">
        <f t="shared" si="59"/>
        <v>832.4</v>
      </c>
      <c r="I691" s="168">
        <v>689</v>
      </c>
      <c r="J691" s="66">
        <v>64.930000000000007</v>
      </c>
      <c r="K691" s="66">
        <v>6.13</v>
      </c>
      <c r="L691" s="66">
        <v>0</v>
      </c>
      <c r="M691" s="66">
        <v>0</v>
      </c>
      <c r="N691" s="66">
        <v>1.8315300000000001</v>
      </c>
      <c r="O691" s="66">
        <v>4.4600000000000001E-2</v>
      </c>
    </row>
    <row r="692" spans="1:15">
      <c r="I692" s="168"/>
    </row>
    <row r="693" spans="1:15">
      <c r="I693" s="168"/>
    </row>
    <row r="694" spans="1:15">
      <c r="B694" s="97">
        <v>412307</v>
      </c>
      <c r="C694" s="66" t="s">
        <v>424</v>
      </c>
      <c r="D694" s="66" t="s">
        <v>340</v>
      </c>
      <c r="E694" s="83">
        <f>VLOOKUP(B694,SEZNAM_POUŽITÝCH_MEZD,4,FALSE)</f>
        <v>170</v>
      </c>
      <c r="F694" s="66">
        <v>2.6210620000000002</v>
      </c>
      <c r="G694" s="66">
        <f>E694*F694</f>
        <v>445.58054000000004</v>
      </c>
      <c r="I694" s="168"/>
    </row>
    <row r="695" spans="1:15">
      <c r="B695" s="97">
        <v>419000</v>
      </c>
      <c r="C695" s="66" t="s">
        <v>350</v>
      </c>
      <c r="D695" s="66" t="s">
        <v>340</v>
      </c>
      <c r="E695" s="83">
        <f>VLOOKUP(B695,SEZNAM_POUŽITÝCH_MEZD,4,FALSE)</f>
        <v>135</v>
      </c>
      <c r="F695" s="66">
        <v>0.27282600000000001</v>
      </c>
      <c r="G695" s="66">
        <f>E695*F695</f>
        <v>36.831510000000002</v>
      </c>
      <c r="I695" s="168"/>
    </row>
    <row r="696" spans="1:15">
      <c r="E696" s="98">
        <f>ROUND(G696/F696,1)</f>
        <v>166.7</v>
      </c>
      <c r="F696" s="98">
        <f>SUM(F694:F695)</f>
        <v>2.8938880000000005</v>
      </c>
      <c r="G696" s="98">
        <f>SUM(G694:G695)</f>
        <v>482.41205000000002</v>
      </c>
      <c r="I696" s="168"/>
    </row>
    <row r="697" spans="1:15">
      <c r="I697" s="168"/>
    </row>
    <row r="698" spans="1:15">
      <c r="I698" s="168"/>
    </row>
    <row r="699" spans="1:15">
      <c r="B699" s="98">
        <v>63</v>
      </c>
      <c r="C699" s="98" t="s">
        <v>31</v>
      </c>
      <c r="D699" s="98" t="s">
        <v>0</v>
      </c>
      <c r="I699" s="168"/>
    </row>
    <row r="700" spans="1:15">
      <c r="I700" s="168"/>
    </row>
    <row r="701" spans="1:15">
      <c r="C701" s="66" t="s">
        <v>411</v>
      </c>
      <c r="I701" s="168"/>
    </row>
    <row r="702" spans="1:15">
      <c r="A702" s="66">
        <v>63</v>
      </c>
      <c r="B702" s="66" t="s">
        <v>936</v>
      </c>
      <c r="C702" s="66" t="s">
        <v>937</v>
      </c>
      <c r="D702" s="66" t="s">
        <v>272</v>
      </c>
      <c r="E702" s="66">
        <f>0.05*0.25</f>
        <v>1.2500000000000001E-2</v>
      </c>
      <c r="H702" s="66">
        <f t="shared" ref="H702:H710" si="60">ROUND((J$2:J$66136*(1-VLOOKUP(IF(ISNUMBER(A702),A702,900),MATICE_CEN,7,FALSE))+K$2:K$66136+(L$2:L$66136*(1-VLOOKUP(IF(ISNUMBER(A702),A702,900),MATICE_CEN,6,FALSE))+M$2:M$66136+N$2:N$66136*IF(A702=99,sleva_ocel,1)*VLOOKUP(IF(ISNUMBER(A702),A702,900),MATICE_CEN,4,FALSE)*(1+časová_rezerva)*(1+pojistné))*IF(A702=900,(1+STD_HR_HSV),(1+VLOOKUP(IF(ISNUMBER(A702),A702,900),MATICE_CEN,5,FALSE))))*(1+VRN),1)</f>
        <v>3028.8</v>
      </c>
      <c r="I702" s="168">
        <v>2925</v>
      </c>
      <c r="J702" s="66">
        <v>1750.33</v>
      </c>
      <c r="K702" s="66">
        <v>373.7</v>
      </c>
      <c r="L702" s="66">
        <v>0</v>
      </c>
      <c r="M702" s="66">
        <v>0</v>
      </c>
      <c r="N702" s="66">
        <v>3.2130000000000001</v>
      </c>
      <c r="O702" s="66">
        <v>2.4220000000000002</v>
      </c>
    </row>
    <row r="703" spans="1:15">
      <c r="A703" s="66">
        <v>63</v>
      </c>
      <c r="B703" s="66" t="s">
        <v>938</v>
      </c>
      <c r="C703" s="66" t="s">
        <v>939</v>
      </c>
      <c r="D703" s="66" t="s">
        <v>272</v>
      </c>
      <c r="E703" s="66">
        <f>0.075*0.25</f>
        <v>1.8749999999999999E-2</v>
      </c>
      <c r="H703" s="66">
        <f t="shared" si="60"/>
        <v>3218.8</v>
      </c>
      <c r="I703" s="168">
        <v>3125</v>
      </c>
      <c r="J703" s="66">
        <v>1950.31</v>
      </c>
      <c r="K703" s="66">
        <v>373.7</v>
      </c>
      <c r="L703" s="66">
        <v>0</v>
      </c>
      <c r="M703" s="66">
        <v>0</v>
      </c>
      <c r="N703" s="66">
        <v>3.2130000000000001</v>
      </c>
      <c r="O703" s="66">
        <v>2.45329</v>
      </c>
    </row>
    <row r="704" spans="1:15">
      <c r="A704" s="66">
        <v>63</v>
      </c>
      <c r="B704" s="66" t="s">
        <v>940</v>
      </c>
      <c r="C704" s="66" t="s">
        <v>941</v>
      </c>
      <c r="D704" s="66" t="s">
        <v>0</v>
      </c>
      <c r="E704" s="66">
        <v>0.25</v>
      </c>
      <c r="H704" s="66">
        <f t="shared" si="60"/>
        <v>44.7</v>
      </c>
      <c r="I704" s="168">
        <v>0</v>
      </c>
      <c r="J704" s="66">
        <v>0</v>
      </c>
      <c r="K704" s="66">
        <v>0</v>
      </c>
      <c r="L704" s="66">
        <v>6.98</v>
      </c>
      <c r="M704" s="66">
        <v>0</v>
      </c>
      <c r="N704" s="66">
        <v>0.108</v>
      </c>
      <c r="O704" s="66">
        <v>0</v>
      </c>
    </row>
    <row r="705" spans="1:15">
      <c r="A705" s="66">
        <v>63</v>
      </c>
      <c r="B705" s="66" t="s">
        <v>942</v>
      </c>
      <c r="C705" s="66" t="s">
        <v>943</v>
      </c>
      <c r="D705" s="66" t="s">
        <v>272</v>
      </c>
      <c r="E705" s="66">
        <f>E702+E703+E708*0.05</f>
        <v>3.7499999999999999E-2</v>
      </c>
      <c r="H705" s="66">
        <f t="shared" si="60"/>
        <v>253.3</v>
      </c>
      <c r="I705" s="168">
        <v>250.5</v>
      </c>
      <c r="J705" s="66">
        <v>0</v>
      </c>
      <c r="K705" s="66">
        <v>0</v>
      </c>
      <c r="L705" s="66">
        <v>0</v>
      </c>
      <c r="M705" s="66">
        <v>0</v>
      </c>
      <c r="N705" s="66">
        <v>0.82</v>
      </c>
      <c r="O705" s="66">
        <v>0</v>
      </c>
    </row>
    <row r="706" spans="1:15">
      <c r="A706" s="66">
        <v>63</v>
      </c>
      <c r="B706" s="66" t="s">
        <v>944</v>
      </c>
      <c r="C706" s="66" t="s">
        <v>945</v>
      </c>
      <c r="D706" s="66" t="s">
        <v>42</v>
      </c>
      <c r="E706" s="66">
        <v>0.75</v>
      </c>
      <c r="H706" s="66">
        <f t="shared" si="60"/>
        <v>30100.400000000001</v>
      </c>
      <c r="I706" s="168">
        <v>31220</v>
      </c>
      <c r="J706" s="66">
        <v>24637.35</v>
      </c>
      <c r="K706" s="66">
        <v>1990.84</v>
      </c>
      <c r="L706" s="66">
        <v>0</v>
      </c>
      <c r="M706" s="66">
        <v>0</v>
      </c>
      <c r="N706" s="66">
        <v>15.231</v>
      </c>
      <c r="O706" s="66">
        <v>1.0529999999999999</v>
      </c>
    </row>
    <row r="707" spans="1:15">
      <c r="A707" s="66">
        <v>63</v>
      </c>
      <c r="B707" s="66" t="s">
        <v>946</v>
      </c>
      <c r="C707" s="66" t="s">
        <v>947</v>
      </c>
      <c r="D707" s="66" t="s">
        <v>0</v>
      </c>
      <c r="E707" s="66">
        <f>0.25/2</f>
        <v>0.125</v>
      </c>
      <c r="H707" s="66">
        <f t="shared" si="60"/>
        <v>389.3</v>
      </c>
      <c r="I707" s="168">
        <v>398</v>
      </c>
      <c r="J707" s="66">
        <v>278.54000000000002</v>
      </c>
      <c r="K707" s="66">
        <v>11.97</v>
      </c>
      <c r="L707" s="66">
        <v>0</v>
      </c>
      <c r="M707" s="66">
        <v>0</v>
      </c>
      <c r="N707" s="66">
        <v>0.36499999999999999</v>
      </c>
      <c r="O707" s="66">
        <v>6.615E-2</v>
      </c>
    </row>
    <row r="708" spans="1:15">
      <c r="A708" s="66">
        <v>63</v>
      </c>
      <c r="B708" s="66" t="s">
        <v>948</v>
      </c>
      <c r="C708" s="66" t="s">
        <v>949</v>
      </c>
      <c r="D708" s="66" t="s">
        <v>0</v>
      </c>
      <c r="E708" s="66">
        <f>0.25/2</f>
        <v>0.125</v>
      </c>
      <c r="H708" s="66">
        <f t="shared" si="60"/>
        <v>528.9</v>
      </c>
      <c r="I708" s="168">
        <v>542</v>
      </c>
      <c r="J708" s="66">
        <v>400.1</v>
      </c>
      <c r="K708" s="66">
        <v>17.2</v>
      </c>
      <c r="L708" s="66">
        <v>0</v>
      </c>
      <c r="M708" s="66">
        <v>0</v>
      </c>
      <c r="N708" s="66">
        <v>0.42599999999999999</v>
      </c>
      <c r="O708" s="66">
        <v>9.5000000000000001E-2</v>
      </c>
    </row>
    <row r="709" spans="1:15">
      <c r="A709" s="66">
        <v>63</v>
      </c>
      <c r="B709" s="66" t="s">
        <v>950</v>
      </c>
      <c r="C709" s="66" t="s">
        <v>951</v>
      </c>
      <c r="D709" s="66" t="s">
        <v>0</v>
      </c>
      <c r="E709" s="66">
        <f>0.25/2</f>
        <v>0.125</v>
      </c>
      <c r="H709" s="66">
        <f t="shared" si="60"/>
        <v>333.1</v>
      </c>
      <c r="I709" s="168">
        <v>341</v>
      </c>
      <c r="J709" s="66">
        <v>224.74</v>
      </c>
      <c r="K709" s="66">
        <v>11.54</v>
      </c>
      <c r="L709" s="66">
        <v>5.44</v>
      </c>
      <c r="M709" s="66">
        <v>0</v>
      </c>
      <c r="N709" s="66">
        <v>0.32108999999999999</v>
      </c>
      <c r="O709" s="66">
        <v>6.3689999999999997E-2</v>
      </c>
    </row>
    <row r="710" spans="1:15">
      <c r="A710" s="66">
        <v>63</v>
      </c>
      <c r="B710" s="66" t="s">
        <v>952</v>
      </c>
      <c r="C710" s="66" t="s">
        <v>953</v>
      </c>
      <c r="D710" s="66" t="s">
        <v>0</v>
      </c>
      <c r="E710" s="66">
        <f>0.25/2</f>
        <v>0.125</v>
      </c>
      <c r="H710" s="66">
        <f t="shared" si="60"/>
        <v>442.9</v>
      </c>
      <c r="I710" s="168">
        <v>455.5</v>
      </c>
      <c r="J710" s="66">
        <v>320.83</v>
      </c>
      <c r="K710" s="66">
        <v>16.48</v>
      </c>
      <c r="L710" s="66">
        <v>5.44</v>
      </c>
      <c r="M710" s="66">
        <v>0</v>
      </c>
      <c r="N710" s="66">
        <v>0.36520000000000002</v>
      </c>
      <c r="O710" s="66">
        <v>9.0959999999999999E-2</v>
      </c>
    </row>
    <row r="711" spans="1:15">
      <c r="I711" s="168"/>
    </row>
    <row r="712" spans="1:15">
      <c r="I712" s="168"/>
    </row>
    <row r="713" spans="1:15">
      <c r="B713" s="97">
        <v>411400</v>
      </c>
      <c r="C713" s="66" t="s">
        <v>375</v>
      </c>
      <c r="D713" s="66" t="s">
        <v>340</v>
      </c>
      <c r="E713" s="83">
        <f t="shared" ref="E713:E721" si="61">VLOOKUP(B713,SEZNAM_POUŽITÝCH_MEZD,4,FALSE)</f>
        <v>135</v>
      </c>
      <c r="F713" s="66">
        <v>1.10175</v>
      </c>
      <c r="G713" s="66">
        <f t="shared" ref="G713:G721" si="62">E713*F713</f>
        <v>148.73625000000001</v>
      </c>
      <c r="I713" s="168"/>
    </row>
    <row r="714" spans="1:15">
      <c r="B714" s="97">
        <v>411406</v>
      </c>
      <c r="C714" s="66" t="s">
        <v>362</v>
      </c>
      <c r="D714" s="66" t="s">
        <v>340</v>
      </c>
      <c r="E714" s="83">
        <f t="shared" si="61"/>
        <v>152</v>
      </c>
      <c r="F714" s="66">
        <v>10.3215</v>
      </c>
      <c r="G714" s="66">
        <f t="shared" si="62"/>
        <v>1568.8679999999999</v>
      </c>
      <c r="I714" s="168"/>
    </row>
    <row r="715" spans="1:15">
      <c r="B715" s="97">
        <v>411500</v>
      </c>
      <c r="C715" s="66" t="s">
        <v>358</v>
      </c>
      <c r="D715" s="66" t="s">
        <v>340</v>
      </c>
      <c r="E715" s="83">
        <f t="shared" si="61"/>
        <v>135</v>
      </c>
      <c r="F715" s="66">
        <v>5.2781250000000002E-2</v>
      </c>
      <c r="G715" s="66">
        <f t="shared" si="62"/>
        <v>7.1254687500000005</v>
      </c>
      <c r="I715" s="168"/>
    </row>
    <row r="716" spans="1:15">
      <c r="B716" s="97">
        <v>411506</v>
      </c>
      <c r="C716" s="66" t="s">
        <v>363</v>
      </c>
      <c r="D716" s="66" t="s">
        <v>340</v>
      </c>
      <c r="E716" s="83">
        <f t="shared" si="61"/>
        <v>152</v>
      </c>
      <c r="F716" s="66">
        <v>3.0749999999999996E-2</v>
      </c>
      <c r="G716" s="66">
        <f t="shared" si="62"/>
        <v>4.6739999999999995</v>
      </c>
      <c r="I716" s="168"/>
    </row>
    <row r="717" spans="1:15">
      <c r="B717" s="97">
        <v>412106</v>
      </c>
      <c r="C717" s="66" t="s">
        <v>385</v>
      </c>
      <c r="D717" s="66" t="s">
        <v>340</v>
      </c>
      <c r="E717" s="83">
        <f t="shared" si="61"/>
        <v>152</v>
      </c>
      <c r="F717" s="66">
        <v>0.13878625</v>
      </c>
      <c r="G717" s="66">
        <f t="shared" si="62"/>
        <v>21.095510000000001</v>
      </c>
      <c r="I717" s="168"/>
    </row>
    <row r="718" spans="1:15">
      <c r="B718" s="97">
        <v>419000</v>
      </c>
      <c r="C718" s="66" t="s">
        <v>350</v>
      </c>
      <c r="D718" s="66" t="s">
        <v>340</v>
      </c>
      <c r="E718" s="83">
        <f t="shared" si="61"/>
        <v>135</v>
      </c>
      <c r="F718" s="66">
        <v>4.5875000000000006E-2</v>
      </c>
      <c r="G718" s="66">
        <f t="shared" si="62"/>
        <v>6.1931250000000011</v>
      </c>
      <c r="I718" s="168"/>
    </row>
    <row r="719" spans="1:15">
      <c r="B719" s="97">
        <v>419003</v>
      </c>
      <c r="C719" s="66" t="s">
        <v>351</v>
      </c>
      <c r="D719" s="66" t="s">
        <v>340</v>
      </c>
      <c r="E719" s="83">
        <f t="shared" si="61"/>
        <v>105</v>
      </c>
      <c r="F719" s="66">
        <v>6.8750000000000009E-3</v>
      </c>
      <c r="G719" s="66">
        <f t="shared" si="62"/>
        <v>0.72187500000000004</v>
      </c>
      <c r="I719" s="168"/>
    </row>
    <row r="720" spans="1:15">
      <c r="B720" s="97">
        <v>419004</v>
      </c>
      <c r="C720" s="66" t="s">
        <v>343</v>
      </c>
      <c r="D720" s="66" t="s">
        <v>340</v>
      </c>
      <c r="E720" s="83">
        <f t="shared" si="61"/>
        <v>120</v>
      </c>
      <c r="F720" s="66">
        <v>4.675E-2</v>
      </c>
      <c r="G720" s="66">
        <f t="shared" si="62"/>
        <v>5.61</v>
      </c>
      <c r="I720" s="168"/>
    </row>
    <row r="721" spans="2:9">
      <c r="B721" s="97">
        <v>441000</v>
      </c>
      <c r="C721" s="66" t="s">
        <v>954</v>
      </c>
      <c r="D721" s="66" t="s">
        <v>340</v>
      </c>
      <c r="E721" s="83">
        <f t="shared" si="61"/>
        <v>135</v>
      </c>
      <c r="F721" s="66">
        <v>2.1000000000000001E-2</v>
      </c>
      <c r="G721" s="66">
        <f t="shared" si="62"/>
        <v>2.835</v>
      </c>
      <c r="I721" s="168"/>
    </row>
    <row r="722" spans="2:9">
      <c r="E722" s="98">
        <f>ROUND(G722/F722,1)</f>
        <v>150.1</v>
      </c>
      <c r="F722" s="98">
        <f>SUM(F713:F721)</f>
        <v>11.766067500000002</v>
      </c>
      <c r="G722" s="98">
        <f>SUM(G713:G721)</f>
        <v>1765.8592287499998</v>
      </c>
      <c r="I722" s="168"/>
    </row>
    <row r="723" spans="2:9">
      <c r="I723" s="168"/>
    </row>
    <row r="724" spans="2:9">
      <c r="I724" s="168"/>
    </row>
    <row r="725" spans="2:9">
      <c r="B725" s="98">
        <v>64</v>
      </c>
      <c r="C725" s="98" t="s">
        <v>158</v>
      </c>
      <c r="D725" s="98" t="s">
        <v>2</v>
      </c>
      <c r="I725" s="168"/>
    </row>
    <row r="726" spans="2:9">
      <c r="B726" s="98"/>
      <c r="C726" s="98"/>
      <c r="D726" s="98"/>
      <c r="I726" s="192" t="s">
        <v>917</v>
      </c>
    </row>
    <row r="727" spans="2:9">
      <c r="C727" s="66" t="s">
        <v>433</v>
      </c>
      <c r="I727" s="168"/>
    </row>
    <row r="728" spans="2:9">
      <c r="I728" s="168"/>
    </row>
    <row r="729" spans="2:9">
      <c r="B729" s="97">
        <v>412106</v>
      </c>
      <c r="C729" s="66" t="s">
        <v>385</v>
      </c>
      <c r="D729" s="66" t="s">
        <v>340</v>
      </c>
      <c r="E729" s="83">
        <f>VLOOKUP(B729,SEZNAM_POUŽITÝCH_MEZD,4,FALSE)</f>
        <v>152</v>
      </c>
      <c r="F729" s="66">
        <v>1.8</v>
      </c>
      <c r="G729" s="66">
        <f>E729*F729</f>
        <v>273.60000000000002</v>
      </c>
      <c r="I729" s="168"/>
    </row>
    <row r="730" spans="2:9">
      <c r="B730" s="97">
        <v>413100</v>
      </c>
      <c r="C730" s="66" t="s">
        <v>368</v>
      </c>
      <c r="D730" s="66" t="s">
        <v>340</v>
      </c>
      <c r="E730" s="83">
        <f>VLOOKUP(B730,SEZNAM_POUŽITÝCH_MEZD,4,FALSE)</f>
        <v>135</v>
      </c>
      <c r="F730" s="66">
        <v>0.182</v>
      </c>
      <c r="G730" s="66">
        <f>E730*F730</f>
        <v>24.57</v>
      </c>
      <c r="I730" s="168"/>
    </row>
    <row r="731" spans="2:9">
      <c r="B731" s="97">
        <v>419000</v>
      </c>
      <c r="C731" s="66" t="s">
        <v>350</v>
      </c>
      <c r="D731" s="66" t="s">
        <v>340</v>
      </c>
      <c r="E731" s="83">
        <f>VLOOKUP(B731,SEZNAM_POUŽITÝCH_MEZD,4,FALSE)</f>
        <v>135</v>
      </c>
      <c r="F731" s="66">
        <v>0.115</v>
      </c>
      <c r="G731" s="66">
        <f>E731*F731</f>
        <v>15.525</v>
      </c>
      <c r="I731" s="168"/>
    </row>
    <row r="732" spans="2:9">
      <c r="E732" s="98">
        <f>ROUND(G732/F732,1)</f>
        <v>149.6</v>
      </c>
      <c r="F732" s="98">
        <f>SUM(F729:F731)</f>
        <v>2.097</v>
      </c>
      <c r="G732" s="98">
        <f>SUM(G729:G731)</f>
        <v>313.69499999999999</v>
      </c>
      <c r="I732" s="168"/>
    </row>
    <row r="733" spans="2:9">
      <c r="I733" s="168"/>
    </row>
    <row r="734" spans="2:9">
      <c r="I734" s="168"/>
    </row>
    <row r="735" spans="2:9">
      <c r="B735" s="98">
        <v>8</v>
      </c>
      <c r="C735" s="98" t="s">
        <v>159</v>
      </c>
      <c r="D735" s="98" t="s">
        <v>2</v>
      </c>
      <c r="I735" s="168"/>
    </row>
    <row r="736" spans="2:9">
      <c r="I736" s="168"/>
    </row>
    <row r="737" spans="2:15">
      <c r="C737" s="66" t="s">
        <v>411</v>
      </c>
      <c r="I737" s="168"/>
    </row>
    <row r="738" spans="2:15">
      <c r="B738" s="66" t="s">
        <v>434</v>
      </c>
      <c r="C738" s="66" t="s">
        <v>435</v>
      </c>
      <c r="D738" s="66" t="s">
        <v>436</v>
      </c>
      <c r="E738" s="99">
        <v>0.05</v>
      </c>
      <c r="F738" s="82" t="str">
        <f t="shared" ref="F738" si="63">IF(MID(B738,4,1)="-",LEFT(B738,3)&amp;RIGHT(B738,LEN(B738)-4),LEFT(B738,3)&amp;MID(B738,5,2)&amp;MID(B738,8,4)&amp;IF(ISNUMBER(SEARCH(".",B738)),RIGHT(B738,3),""))</f>
        <v>894215112</v>
      </c>
      <c r="H738" s="66" t="e">
        <f>ROUND((J$2:J$66136*(1-VLOOKUP(IF(ISNUMBER(A738),A738,900),MATICE_CEN,7,FALSE))+K$2:K$66136+(L$2:L$66136*(1-VLOOKUP(IF(ISNUMBER(A738),A738,900),MATICE_CEN,6,FALSE))+M$2:M$66136+N$2:N$66136*IF(A738=99,sleva_ocel,1)*VLOOKUP(IF(ISNUMBER(A738),A738,900),MATICE_CEN,4,FALSE)*(1+časová_rezerva)*(1+pojistné))*IF(A738=900,(1+STD_HR_HSV),(1+VLOOKUP(IF(ISNUMBER(A738),A738,900),MATICE_CEN,5,FALSE))))*(1+VRN),1)</f>
        <v>#N/A</v>
      </c>
      <c r="I738" s="168">
        <v>0</v>
      </c>
      <c r="J738" s="66">
        <v>0</v>
      </c>
      <c r="K738" s="66">
        <v>0</v>
      </c>
      <c r="L738" s="66">
        <v>0</v>
      </c>
      <c r="M738" s="66">
        <v>0</v>
      </c>
      <c r="N738" s="66">
        <v>0</v>
      </c>
      <c r="O738" s="66">
        <v>0</v>
      </c>
    </row>
    <row r="739" spans="2:15">
      <c r="B739" s="66" t="s">
        <v>437</v>
      </c>
      <c r="C739" s="66" t="s">
        <v>438</v>
      </c>
      <c r="D739" s="66" t="s">
        <v>1</v>
      </c>
      <c r="E739" s="99">
        <v>0.47499999999999998</v>
      </c>
      <c r="H739" s="66" t="e">
        <f>ROUND((J$2:J$66136*(1-VLOOKUP(IF(ISNUMBER(A739),A739,900),MATICE_CEN,7,FALSE))+K$2:K$66136+(L$2:L$66136*(1-VLOOKUP(IF(ISNUMBER(A739),A739,900),MATICE_CEN,6,FALSE))+M$2:M$66136+N$2:N$66136*IF(A739=99,sleva_ocel,1)*VLOOKUP(IF(ISNUMBER(A739),A739,900),MATICE_CEN,4,FALSE)*(1+časová_rezerva)*(1+pojistné))*IF(A739=900,(1+STD_HR_HSV),(1+VLOOKUP(IF(ISNUMBER(A739),A739,900),MATICE_CEN,5,FALSE))))*(1+VRN),1)</f>
        <v>#N/A</v>
      </c>
      <c r="I739" s="168">
        <v>0</v>
      </c>
      <c r="J739" s="66">
        <v>0</v>
      </c>
      <c r="K739" s="66">
        <v>0</v>
      </c>
      <c r="L739" s="66">
        <v>0</v>
      </c>
      <c r="M739" s="66">
        <v>0</v>
      </c>
      <c r="N739" s="66">
        <v>0</v>
      </c>
      <c r="O739" s="66">
        <v>0</v>
      </c>
    </row>
    <row r="740" spans="2:15">
      <c r="I740" s="168"/>
    </row>
    <row r="741" spans="2:15">
      <c r="B741" s="97">
        <v>215200</v>
      </c>
      <c r="C741" s="66" t="s">
        <v>347</v>
      </c>
      <c r="D741" s="66" t="s">
        <v>340</v>
      </c>
      <c r="E741" s="83">
        <f t="shared" ref="E741:E766" si="64">VLOOKUP(B741,SEZNAM_POUŽITÝCH_MEZD,4,FALSE)</f>
        <v>135</v>
      </c>
      <c r="F741" s="66">
        <v>8.7640482999999991E-2</v>
      </c>
      <c r="G741" s="66">
        <f t="shared" ref="G741:G766" si="65">E741*F741</f>
        <v>11.831465204999999</v>
      </c>
      <c r="I741" s="168"/>
    </row>
    <row r="742" spans="2:15">
      <c r="B742" s="97">
        <v>220006</v>
      </c>
      <c r="C742" s="66" t="s">
        <v>341</v>
      </c>
      <c r="D742" s="66" t="s">
        <v>340</v>
      </c>
      <c r="E742" s="83">
        <f t="shared" si="64"/>
        <v>152</v>
      </c>
      <c r="F742" s="66">
        <v>6.6879999999999995E-2</v>
      </c>
      <c r="G742" s="66">
        <f t="shared" si="65"/>
        <v>10.165759999999999</v>
      </c>
      <c r="I742" s="168"/>
    </row>
    <row r="743" spans="2:15">
      <c r="B743" s="97">
        <v>411100</v>
      </c>
      <c r="C743" s="66" t="s">
        <v>348</v>
      </c>
      <c r="D743" s="66" t="s">
        <v>340</v>
      </c>
      <c r="E743" s="83">
        <f t="shared" si="64"/>
        <v>130</v>
      </c>
      <c r="F743" s="66">
        <v>0.13679999999999998</v>
      </c>
      <c r="G743" s="66">
        <f t="shared" si="65"/>
        <v>17.783999999999995</v>
      </c>
      <c r="I743" s="168"/>
    </row>
    <row r="744" spans="2:15">
      <c r="B744" s="97">
        <v>411106</v>
      </c>
      <c r="C744" s="66" t="s">
        <v>342</v>
      </c>
      <c r="D744" s="66" t="s">
        <v>340</v>
      </c>
      <c r="E744" s="83">
        <f t="shared" si="64"/>
        <v>145</v>
      </c>
      <c r="F744" s="66">
        <v>1.4569200000000002</v>
      </c>
      <c r="G744" s="66">
        <f t="shared" si="65"/>
        <v>211.25340000000003</v>
      </c>
      <c r="I744" s="168"/>
    </row>
    <row r="745" spans="2:15">
      <c r="B745" s="97">
        <v>411400</v>
      </c>
      <c r="C745" s="66" t="s">
        <v>375</v>
      </c>
      <c r="D745" s="66" t="s">
        <v>340</v>
      </c>
      <c r="E745" s="83">
        <f t="shared" si="64"/>
        <v>135</v>
      </c>
      <c r="F745" s="66">
        <v>6.5500000000000003E-3</v>
      </c>
      <c r="G745" s="66">
        <f t="shared" si="65"/>
        <v>0.88424999999999998</v>
      </c>
      <c r="I745" s="168"/>
    </row>
    <row r="746" spans="2:15">
      <c r="B746" s="97">
        <v>411406</v>
      </c>
      <c r="C746" s="66" t="s">
        <v>362</v>
      </c>
      <c r="D746" s="66" t="s">
        <v>340</v>
      </c>
      <c r="E746" s="83">
        <f t="shared" si="64"/>
        <v>152</v>
      </c>
      <c r="F746" s="66">
        <v>1.2999999999999999E-3</v>
      </c>
      <c r="G746" s="66">
        <f t="shared" si="65"/>
        <v>0.1976</v>
      </c>
      <c r="I746" s="168"/>
    </row>
    <row r="747" spans="2:15">
      <c r="B747" s="97">
        <v>411500</v>
      </c>
      <c r="C747" s="66" t="s">
        <v>358</v>
      </c>
      <c r="D747" s="66" t="s">
        <v>340</v>
      </c>
      <c r="E747" s="83">
        <f t="shared" si="64"/>
        <v>135</v>
      </c>
      <c r="F747" s="66">
        <v>1.6200000000000003E-2</v>
      </c>
      <c r="G747" s="66">
        <f t="shared" si="65"/>
        <v>2.1870000000000003</v>
      </c>
      <c r="I747" s="168"/>
    </row>
    <row r="748" spans="2:15">
      <c r="B748" s="97">
        <v>412100</v>
      </c>
      <c r="C748" s="66" t="s">
        <v>394</v>
      </c>
      <c r="D748" s="66" t="s">
        <v>340</v>
      </c>
      <c r="E748" s="83">
        <f t="shared" si="64"/>
        <v>135</v>
      </c>
      <c r="F748" s="66">
        <v>1.225E-2</v>
      </c>
      <c r="G748" s="66">
        <f t="shared" si="65"/>
        <v>1.6537500000000001</v>
      </c>
      <c r="I748" s="168"/>
    </row>
    <row r="749" spans="2:15">
      <c r="B749" s="97">
        <v>412106</v>
      </c>
      <c r="C749" s="66" t="s">
        <v>385</v>
      </c>
      <c r="D749" s="66" t="s">
        <v>340</v>
      </c>
      <c r="E749" s="83">
        <f t="shared" si="64"/>
        <v>152</v>
      </c>
      <c r="F749" s="66">
        <v>4.2500000000000003E-3</v>
      </c>
      <c r="G749" s="66">
        <f t="shared" si="65"/>
        <v>0.64600000000000002</v>
      </c>
      <c r="I749" s="168"/>
    </row>
    <row r="750" spans="2:15">
      <c r="B750" s="97">
        <v>412200</v>
      </c>
      <c r="C750" s="66" t="s">
        <v>364</v>
      </c>
      <c r="D750" s="66" t="s">
        <v>340</v>
      </c>
      <c r="E750" s="83">
        <f t="shared" si="64"/>
        <v>135</v>
      </c>
      <c r="F750" s="66">
        <v>9.6500000000000006E-3</v>
      </c>
      <c r="G750" s="66">
        <f t="shared" si="65"/>
        <v>1.3027500000000001</v>
      </c>
      <c r="I750" s="168"/>
    </row>
    <row r="751" spans="2:15">
      <c r="B751" s="97">
        <v>412300</v>
      </c>
      <c r="C751" s="66" t="s">
        <v>399</v>
      </c>
      <c r="D751" s="66" t="s">
        <v>340</v>
      </c>
      <c r="E751" s="83">
        <f t="shared" si="64"/>
        <v>135</v>
      </c>
      <c r="F751" s="66">
        <v>6.0000000000000001E-3</v>
      </c>
      <c r="G751" s="66">
        <f t="shared" si="65"/>
        <v>0.81</v>
      </c>
      <c r="I751" s="168"/>
    </row>
    <row r="752" spans="2:15">
      <c r="B752" s="97">
        <v>413100</v>
      </c>
      <c r="C752" s="66" t="s">
        <v>368</v>
      </c>
      <c r="D752" s="66" t="s">
        <v>340</v>
      </c>
      <c r="E752" s="83">
        <f t="shared" si="64"/>
        <v>135</v>
      </c>
      <c r="F752" s="66">
        <v>3.245E-2</v>
      </c>
      <c r="G752" s="66">
        <f t="shared" si="65"/>
        <v>4.3807499999999999</v>
      </c>
      <c r="I752" s="168"/>
    </row>
    <row r="753" spans="2:9">
      <c r="B753" s="97">
        <v>419000</v>
      </c>
      <c r="C753" s="66" t="s">
        <v>350</v>
      </c>
      <c r="D753" s="66" t="s">
        <v>340</v>
      </c>
      <c r="E753" s="83">
        <f t="shared" si="64"/>
        <v>135</v>
      </c>
      <c r="F753" s="66">
        <v>5.7500000000000008E-3</v>
      </c>
      <c r="G753" s="66">
        <f t="shared" si="65"/>
        <v>0.77625000000000011</v>
      </c>
      <c r="I753" s="168"/>
    </row>
    <row r="754" spans="2:9">
      <c r="B754" s="97">
        <v>419003</v>
      </c>
      <c r="C754" s="66" t="s">
        <v>351</v>
      </c>
      <c r="D754" s="66" t="s">
        <v>340</v>
      </c>
      <c r="E754" s="83">
        <f t="shared" si="64"/>
        <v>105</v>
      </c>
      <c r="F754" s="66">
        <v>4.4999999999999999E-4</v>
      </c>
      <c r="G754" s="66">
        <f t="shared" si="65"/>
        <v>4.725E-2</v>
      </c>
      <c r="I754" s="168"/>
    </row>
    <row r="755" spans="2:9">
      <c r="B755" s="97">
        <v>419004</v>
      </c>
      <c r="C755" s="66" t="s">
        <v>343</v>
      </c>
      <c r="D755" s="66" t="s">
        <v>340</v>
      </c>
      <c r="E755" s="83">
        <f t="shared" si="64"/>
        <v>120</v>
      </c>
      <c r="F755" s="66">
        <v>1.1835671614999999</v>
      </c>
      <c r="G755" s="66">
        <f t="shared" si="65"/>
        <v>142.02805937999997</v>
      </c>
      <c r="I755" s="168"/>
    </row>
    <row r="756" spans="2:9">
      <c r="B756" s="97">
        <v>419006</v>
      </c>
      <c r="C756" s="66" t="s">
        <v>352</v>
      </c>
      <c r="D756" s="66" t="s">
        <v>340</v>
      </c>
      <c r="E756" s="83">
        <f t="shared" si="64"/>
        <v>152</v>
      </c>
      <c r="F756" s="66">
        <v>0.15836499999999998</v>
      </c>
      <c r="G756" s="66">
        <f t="shared" si="65"/>
        <v>24.071479999999998</v>
      </c>
      <c r="I756" s="168"/>
    </row>
    <row r="757" spans="2:9">
      <c r="B757" s="97">
        <v>421200</v>
      </c>
      <c r="C757" s="66" t="s">
        <v>439</v>
      </c>
      <c r="D757" s="66" t="s">
        <v>340</v>
      </c>
      <c r="E757" s="83">
        <f t="shared" si="64"/>
        <v>135</v>
      </c>
      <c r="F757" s="66">
        <v>2.0000000000000001E-4</v>
      </c>
      <c r="G757" s="66">
        <f t="shared" si="65"/>
        <v>2.7E-2</v>
      </c>
      <c r="I757" s="168"/>
    </row>
    <row r="758" spans="2:9">
      <c r="B758" s="97">
        <v>421206</v>
      </c>
      <c r="C758" s="66" t="s">
        <v>387</v>
      </c>
      <c r="D758" s="66" t="s">
        <v>340</v>
      </c>
      <c r="E758" s="83">
        <f t="shared" si="64"/>
        <v>152</v>
      </c>
      <c r="F758" s="66">
        <v>0.13489999999999999</v>
      </c>
      <c r="G758" s="66">
        <f t="shared" si="65"/>
        <v>20.504799999999999</v>
      </c>
      <c r="I758" s="168"/>
    </row>
    <row r="759" spans="2:9">
      <c r="B759" s="97">
        <v>421606</v>
      </c>
      <c r="C759" s="66" t="s">
        <v>440</v>
      </c>
      <c r="D759" s="66" t="s">
        <v>340</v>
      </c>
      <c r="E759" s="83">
        <f t="shared" si="64"/>
        <v>152</v>
      </c>
      <c r="F759" s="66">
        <v>0.23180000000000001</v>
      </c>
      <c r="G759" s="66">
        <f t="shared" si="65"/>
        <v>35.233600000000003</v>
      </c>
      <c r="I759" s="168"/>
    </row>
    <row r="760" spans="2:9">
      <c r="B760" s="97">
        <v>422600</v>
      </c>
      <c r="C760" s="66" t="s">
        <v>372</v>
      </c>
      <c r="D760" s="66" t="s">
        <v>340</v>
      </c>
      <c r="E760" s="83">
        <f t="shared" si="64"/>
        <v>147</v>
      </c>
      <c r="F760" s="66">
        <v>1.9E-3</v>
      </c>
      <c r="G760" s="66">
        <f t="shared" si="65"/>
        <v>0.27929999999999999</v>
      </c>
      <c r="I760" s="168"/>
    </row>
    <row r="761" spans="2:9">
      <c r="B761" s="97">
        <v>422604</v>
      </c>
      <c r="C761" s="66" t="s">
        <v>441</v>
      </c>
      <c r="D761" s="66" t="s">
        <v>340</v>
      </c>
      <c r="E761" s="83">
        <f t="shared" si="64"/>
        <v>120</v>
      </c>
      <c r="F761" s="66">
        <v>1E-3</v>
      </c>
      <c r="G761" s="66">
        <f t="shared" si="65"/>
        <v>0.12</v>
      </c>
      <c r="I761" s="168"/>
    </row>
    <row r="762" spans="2:9">
      <c r="B762" s="97">
        <v>441000</v>
      </c>
      <c r="C762" s="66" t="s">
        <v>344</v>
      </c>
      <c r="D762" s="66" t="s">
        <v>340</v>
      </c>
      <c r="E762" s="83">
        <f t="shared" si="64"/>
        <v>135</v>
      </c>
      <c r="F762" s="66">
        <v>1.235E-2</v>
      </c>
      <c r="G762" s="66">
        <f t="shared" si="65"/>
        <v>1.6672499999999999</v>
      </c>
      <c r="I762" s="168"/>
    </row>
    <row r="763" spans="2:9">
      <c r="B763" s="97">
        <v>441006</v>
      </c>
      <c r="C763" s="66" t="s">
        <v>345</v>
      </c>
      <c r="D763" s="66" t="s">
        <v>340</v>
      </c>
      <c r="E763" s="83">
        <f t="shared" si="64"/>
        <v>152</v>
      </c>
      <c r="F763" s="66">
        <v>1.1209999999999999E-2</v>
      </c>
      <c r="G763" s="66">
        <f t="shared" si="65"/>
        <v>1.7039199999999999</v>
      </c>
      <c r="I763" s="168"/>
    </row>
    <row r="764" spans="2:9">
      <c r="B764" s="97">
        <v>510006</v>
      </c>
      <c r="C764" s="66" t="s">
        <v>355</v>
      </c>
      <c r="D764" s="66" t="s">
        <v>340</v>
      </c>
      <c r="E764" s="83">
        <f t="shared" si="64"/>
        <v>152</v>
      </c>
      <c r="F764" s="66">
        <v>1.0368733199999999E-2</v>
      </c>
      <c r="G764" s="66">
        <f t="shared" si="65"/>
        <v>1.5760474463999998</v>
      </c>
      <c r="I764" s="168"/>
    </row>
    <row r="765" spans="2:9">
      <c r="B765" s="97">
        <v>510006</v>
      </c>
      <c r="C765" s="66" t="s">
        <v>355</v>
      </c>
      <c r="D765" s="66" t="s">
        <v>340</v>
      </c>
      <c r="E765" s="83">
        <f t="shared" si="64"/>
        <v>152</v>
      </c>
      <c r="F765" s="66">
        <v>8.7640482999999991E-2</v>
      </c>
      <c r="G765" s="66">
        <f t="shared" si="65"/>
        <v>13.321353415999999</v>
      </c>
      <c r="I765" s="168"/>
    </row>
    <row r="766" spans="2:9">
      <c r="B766" s="97">
        <v>517000</v>
      </c>
      <c r="C766" s="66" t="s">
        <v>442</v>
      </c>
      <c r="D766" s="66" t="s">
        <v>340</v>
      </c>
      <c r="E766" s="83">
        <f t="shared" si="64"/>
        <v>135</v>
      </c>
      <c r="F766" s="66">
        <v>5.0000000000000002E-5</v>
      </c>
      <c r="G766" s="66">
        <f t="shared" si="65"/>
        <v>6.7499999999999999E-3</v>
      </c>
      <c r="I766" s="168"/>
    </row>
    <row r="767" spans="2:9">
      <c r="E767" s="98">
        <f>ROUND(G767/F767,1)</f>
        <v>137.19999999999999</v>
      </c>
      <c r="F767" s="98">
        <f>SUM(F741:F766)</f>
        <v>3.6764418607000002</v>
      </c>
      <c r="G767" s="98">
        <f>SUM(G741:G766)</f>
        <v>504.45978544740007</v>
      </c>
      <c r="I767" s="168"/>
    </row>
    <row r="768" spans="2:9">
      <c r="I768" s="168"/>
    </row>
    <row r="769" spans="2:15">
      <c r="I769" s="168"/>
    </row>
    <row r="770" spans="2:15">
      <c r="B770" s="98">
        <v>94</v>
      </c>
      <c r="C770" s="98" t="s">
        <v>443</v>
      </c>
      <c r="D770" s="98" t="s">
        <v>0</v>
      </c>
      <c r="I770" s="168"/>
    </row>
    <row r="771" spans="2:15">
      <c r="I771" s="168"/>
    </row>
    <row r="772" spans="2:15">
      <c r="B772" s="97">
        <v>413106</v>
      </c>
      <c r="C772" s="66" t="s">
        <v>369</v>
      </c>
      <c r="D772" s="66" t="s">
        <v>340</v>
      </c>
      <c r="E772" s="100">
        <f>VLOOKUP(B772,SEZNAM_POUŽITÝCH_MEZD,4,FALSE)</f>
        <v>152</v>
      </c>
      <c r="F772" s="66">
        <v>0.313</v>
      </c>
      <c r="G772" s="66">
        <f>E772*F772</f>
        <v>47.576000000000001</v>
      </c>
      <c r="H772" s="66" t="e">
        <f>ROUND((J$2:J$66136*(1-VLOOKUP(IF(ISNUMBER(A772),A772,900),MATICE_CEN,7,FALSE))+K$2:K$66136+(L$2:L$66136*(1-VLOOKUP(IF(ISNUMBER(A772),A772,900),MATICE_CEN,6,FALSE))+M$2:M$66136+N$2:N$66136*IF(A772=99,sleva_ocel,1)*VLOOKUP(IF(ISNUMBER(A772),A772,900),MATICE_CEN,4,FALSE)*(1+časová_rezerva)*(1+pojistné))*IF(A772=900,(1+STD_HR_HSV),(1+VLOOKUP(IF(ISNUMBER(A772),A772,900),MATICE_CEN,5,FALSE))))*(1+VRN),1)</f>
        <v>#N/A</v>
      </c>
      <c r="I772" s="168">
        <v>0</v>
      </c>
      <c r="J772" s="66">
        <v>0</v>
      </c>
      <c r="K772" s="66">
        <v>0</v>
      </c>
      <c r="L772" s="66">
        <v>0</v>
      </c>
      <c r="M772" s="66">
        <v>0</v>
      </c>
      <c r="N772" s="66">
        <v>0</v>
      </c>
      <c r="O772" s="66">
        <v>0</v>
      </c>
    </row>
    <row r="773" spans="2:15">
      <c r="I773" s="168"/>
    </row>
    <row r="774" spans="2:15">
      <c r="I774" s="168"/>
    </row>
    <row r="775" spans="2:15">
      <c r="I775" s="168"/>
    </row>
    <row r="776" spans="2:15">
      <c r="B776" s="98">
        <v>95</v>
      </c>
      <c r="C776" s="98" t="s">
        <v>444</v>
      </c>
      <c r="D776" s="98" t="s">
        <v>0</v>
      </c>
      <c r="I776" s="168"/>
    </row>
    <row r="777" spans="2:15">
      <c r="I777" s="168"/>
    </row>
    <row r="778" spans="2:15">
      <c r="B778" s="97">
        <v>419004</v>
      </c>
      <c r="C778" s="66" t="s">
        <v>343</v>
      </c>
      <c r="D778" s="66" t="s">
        <v>340</v>
      </c>
      <c r="E778" s="100">
        <f>VLOOKUP(B778,SEZNAM_POUŽITÝCH_MEZD,4,FALSE)</f>
        <v>120</v>
      </c>
      <c r="F778" s="66">
        <v>0.13</v>
      </c>
      <c r="G778" s="66">
        <f>E778*F778</f>
        <v>15.600000000000001</v>
      </c>
      <c r="I778" s="168"/>
    </row>
    <row r="779" spans="2:15">
      <c r="I779" s="168"/>
    </row>
    <row r="780" spans="2:15">
      <c r="I780" s="168"/>
    </row>
    <row r="781" spans="2:15">
      <c r="I781" s="168"/>
    </row>
    <row r="782" spans="2:15">
      <c r="B782" s="98">
        <v>96</v>
      </c>
      <c r="C782" s="98" t="s">
        <v>445</v>
      </c>
      <c r="D782" s="98" t="s">
        <v>272</v>
      </c>
      <c r="I782" s="168"/>
    </row>
    <row r="783" spans="2:15">
      <c r="I783" s="168"/>
    </row>
    <row r="784" spans="2:15">
      <c r="B784" s="97">
        <v>276004</v>
      </c>
      <c r="C784" s="66" t="s">
        <v>446</v>
      </c>
      <c r="D784" s="66" t="s">
        <v>340</v>
      </c>
      <c r="E784" s="83">
        <f t="shared" ref="E784:E791" si="66">VLOOKUP(B784,SEZNAM_POUŽITÝCH_MEZD,4,FALSE)</f>
        <v>120</v>
      </c>
      <c r="F784" s="66">
        <v>0.16500000000000001</v>
      </c>
      <c r="G784" s="66">
        <f t="shared" ref="G784:G791" si="67">E784*F784</f>
        <v>19.8</v>
      </c>
      <c r="I784" s="168"/>
    </row>
    <row r="785" spans="2:9">
      <c r="B785" s="97">
        <v>413100</v>
      </c>
      <c r="C785" s="66" t="s">
        <v>368</v>
      </c>
      <c r="D785" s="66" t="s">
        <v>340</v>
      </c>
      <c r="E785" s="83">
        <f t="shared" si="66"/>
        <v>135</v>
      </c>
      <c r="F785" s="66">
        <v>0.02</v>
      </c>
      <c r="G785" s="66">
        <f t="shared" si="67"/>
        <v>2.7</v>
      </c>
      <c r="I785" s="168"/>
    </row>
    <row r="786" spans="2:9">
      <c r="B786" s="97">
        <v>413106</v>
      </c>
      <c r="C786" s="66" t="s">
        <v>369</v>
      </c>
      <c r="D786" s="66" t="s">
        <v>340</v>
      </c>
      <c r="E786" s="83">
        <f t="shared" si="66"/>
        <v>152</v>
      </c>
      <c r="F786" s="66">
        <v>1.0999999999999999E-2</v>
      </c>
      <c r="G786" s="66">
        <f t="shared" si="67"/>
        <v>1.6719999999999999</v>
      </c>
      <c r="I786" s="168"/>
    </row>
    <row r="787" spans="2:9">
      <c r="B787" s="97">
        <v>413107</v>
      </c>
      <c r="C787" s="66" t="s">
        <v>447</v>
      </c>
      <c r="D787" s="66" t="s">
        <v>340</v>
      </c>
      <c r="E787" s="83">
        <f t="shared" si="66"/>
        <v>166.5</v>
      </c>
      <c r="F787" s="66">
        <v>5.0000000000000001E-3</v>
      </c>
      <c r="G787" s="66">
        <f t="shared" si="67"/>
        <v>0.83250000000000002</v>
      </c>
      <c r="I787" s="168"/>
    </row>
    <row r="788" spans="2:9">
      <c r="B788" s="97">
        <v>413300</v>
      </c>
      <c r="C788" s="66" t="s">
        <v>448</v>
      </c>
      <c r="D788" s="66" t="s">
        <v>340</v>
      </c>
      <c r="E788" s="83">
        <f t="shared" si="66"/>
        <v>135</v>
      </c>
      <c r="F788" s="66">
        <v>5.0000000000000001E-3</v>
      </c>
      <c r="G788" s="66">
        <f t="shared" si="67"/>
        <v>0.67500000000000004</v>
      </c>
      <c r="I788" s="168"/>
    </row>
    <row r="789" spans="2:9">
      <c r="B789" s="97">
        <v>419000</v>
      </c>
      <c r="C789" s="66" t="s">
        <v>350</v>
      </c>
      <c r="D789" s="66" t="s">
        <v>340</v>
      </c>
      <c r="E789" s="83">
        <f t="shared" si="66"/>
        <v>135</v>
      </c>
      <c r="F789" s="66">
        <v>0.372</v>
      </c>
      <c r="G789" s="66">
        <f t="shared" si="67"/>
        <v>50.22</v>
      </c>
      <c r="I789" s="168"/>
    </row>
    <row r="790" spans="2:9">
      <c r="B790" s="97">
        <v>419004</v>
      </c>
      <c r="C790" s="66" t="s">
        <v>343</v>
      </c>
      <c r="D790" s="66" t="s">
        <v>340</v>
      </c>
      <c r="E790" s="83">
        <f t="shared" si="66"/>
        <v>120</v>
      </c>
      <c r="F790" s="66">
        <v>0.372</v>
      </c>
      <c r="G790" s="66">
        <f t="shared" si="67"/>
        <v>44.64</v>
      </c>
      <c r="I790" s="168"/>
    </row>
    <row r="791" spans="2:9">
      <c r="B791" s="97">
        <v>441006</v>
      </c>
      <c r="C791" s="66" t="s">
        <v>345</v>
      </c>
      <c r="D791" s="66" t="s">
        <v>340</v>
      </c>
      <c r="E791" s="83">
        <f t="shared" si="66"/>
        <v>152</v>
      </c>
      <c r="F791" s="66">
        <v>0.02</v>
      </c>
      <c r="G791" s="66">
        <f t="shared" si="67"/>
        <v>3.04</v>
      </c>
      <c r="I791" s="168"/>
    </row>
    <row r="792" spans="2:9">
      <c r="E792" s="98">
        <f>ROUND(G792/F792,1)</f>
        <v>127.4</v>
      </c>
      <c r="F792" s="98">
        <f>SUM(F784:F791)</f>
        <v>0.97000000000000008</v>
      </c>
      <c r="G792" s="98">
        <f>SUM(G784:G791)</f>
        <v>123.57950000000001</v>
      </c>
      <c r="I792" s="168"/>
    </row>
    <row r="793" spans="2:9">
      <c r="I793" s="168"/>
    </row>
    <row r="794" spans="2:9">
      <c r="I794" s="168"/>
    </row>
    <row r="795" spans="2:9">
      <c r="B795" s="98">
        <v>97</v>
      </c>
      <c r="C795" s="98" t="s">
        <v>449</v>
      </c>
      <c r="D795" s="98" t="s">
        <v>272</v>
      </c>
      <c r="I795" s="168"/>
    </row>
    <row r="796" spans="2:9">
      <c r="I796" s="168"/>
    </row>
    <row r="797" spans="2:9">
      <c r="B797" s="97">
        <v>413104</v>
      </c>
      <c r="C797" s="66" t="s">
        <v>401</v>
      </c>
      <c r="D797" s="66" t="s">
        <v>340</v>
      </c>
      <c r="E797" s="83">
        <f>VLOOKUP(B797,SEZNAM_POUŽITÝCH_MEZD,4,FALSE)</f>
        <v>120</v>
      </c>
      <c r="F797" s="66">
        <v>2.7E-2</v>
      </c>
      <c r="G797" s="66">
        <f>E797*F797</f>
        <v>3.2399999999999998</v>
      </c>
      <c r="I797" s="168"/>
    </row>
    <row r="798" spans="2:9">
      <c r="B798" s="97">
        <v>413107</v>
      </c>
      <c r="C798" s="66" t="s">
        <v>447</v>
      </c>
      <c r="D798" s="66" t="s">
        <v>340</v>
      </c>
      <c r="E798" s="83">
        <f>VLOOKUP(B798,SEZNAM_POUŽITÝCH_MEZD,4,FALSE)</f>
        <v>166.5</v>
      </c>
      <c r="F798" s="66">
        <v>0.63</v>
      </c>
      <c r="G798" s="66">
        <f>E798*F798</f>
        <v>104.895</v>
      </c>
      <c r="I798" s="168"/>
    </row>
    <row r="799" spans="2:9">
      <c r="E799" s="98">
        <f>ROUND(G799/F799,1)</f>
        <v>164.6</v>
      </c>
      <c r="F799" s="98">
        <f>SUM(F797:F798)</f>
        <v>0.65700000000000003</v>
      </c>
      <c r="G799" s="98">
        <f>SUM(G797:G798)</f>
        <v>108.13499999999999</v>
      </c>
      <c r="I799" s="168"/>
    </row>
    <row r="800" spans="2:9">
      <c r="I800" s="168"/>
    </row>
    <row r="801" spans="2:9">
      <c r="I801" s="168"/>
    </row>
    <row r="802" spans="2:9">
      <c r="I802" s="168"/>
    </row>
    <row r="803" spans="2:9">
      <c r="B803" s="98">
        <v>98</v>
      </c>
      <c r="C803" s="98" t="s">
        <v>44</v>
      </c>
      <c r="D803" s="98" t="s">
        <v>42</v>
      </c>
      <c r="I803" s="168"/>
    </row>
    <row r="804" spans="2:9">
      <c r="I804" s="168"/>
    </row>
    <row r="805" spans="2:9">
      <c r="C805" s="66" t="s">
        <v>411</v>
      </c>
      <c r="I805" s="168"/>
    </row>
    <row r="806" spans="2:9">
      <c r="B806" s="66" t="s">
        <v>179</v>
      </c>
      <c r="C806" s="66" t="s">
        <v>180</v>
      </c>
      <c r="D806" s="95">
        <v>0.1</v>
      </c>
      <c r="I806" s="168"/>
    </row>
    <row r="807" spans="2:9">
      <c r="B807" s="66" t="s">
        <v>181</v>
      </c>
      <c r="C807" s="66" t="s">
        <v>182</v>
      </c>
      <c r="D807" s="95">
        <v>0.45</v>
      </c>
      <c r="I807" s="168"/>
    </row>
    <row r="808" spans="2:9">
      <c r="B808" s="66" t="s">
        <v>183</v>
      </c>
      <c r="C808" s="66" t="s">
        <v>184</v>
      </c>
      <c r="D808" s="95">
        <v>0.45</v>
      </c>
      <c r="I808" s="168"/>
    </row>
    <row r="809" spans="2:9">
      <c r="I809" s="168"/>
    </row>
    <row r="810" spans="2:9">
      <c r="B810" s="97">
        <v>419000</v>
      </c>
      <c r="C810" s="66" t="s">
        <v>350</v>
      </c>
      <c r="D810" s="66" t="s">
        <v>340</v>
      </c>
      <c r="E810" s="83">
        <f>VLOOKUP(B810,SEZNAM_POUŽITÝCH_MEZD,4,FALSE)</f>
        <v>135</v>
      </c>
      <c r="F810" s="66">
        <v>0.48309999999999997</v>
      </c>
      <c r="G810" s="66">
        <f>E810*F810</f>
        <v>65.218499999999992</v>
      </c>
      <c r="I810" s="168"/>
    </row>
    <row r="811" spans="2:9">
      <c r="B811" s="97">
        <v>419004</v>
      </c>
      <c r="C811" s="66" t="s">
        <v>343</v>
      </c>
      <c r="D811" s="66" t="s">
        <v>340</v>
      </c>
      <c r="E811" s="83">
        <f>VLOOKUP(B811,SEZNAM_POUŽITÝCH_MEZD,4,FALSE)</f>
        <v>120</v>
      </c>
      <c r="F811" s="66">
        <v>0.79854999999999998</v>
      </c>
      <c r="G811" s="66">
        <f>E811*F811</f>
        <v>95.825999999999993</v>
      </c>
      <c r="I811" s="168"/>
    </row>
    <row r="812" spans="2:9">
      <c r="B812" s="97">
        <v>441000</v>
      </c>
      <c r="C812" s="66" t="s">
        <v>344</v>
      </c>
      <c r="D812" s="66" t="s">
        <v>340</v>
      </c>
      <c r="E812" s="83">
        <f>VLOOKUP(B812,SEZNAM_POUŽITÝCH_MEZD,4,FALSE)</f>
        <v>135</v>
      </c>
      <c r="F812" s="66">
        <v>0.11575000000000001</v>
      </c>
      <c r="G812" s="66">
        <f>E812*F812</f>
        <v>15.626250000000001</v>
      </c>
      <c r="I812" s="168"/>
    </row>
    <row r="813" spans="2:9">
      <c r="B813" s="97">
        <v>441004</v>
      </c>
      <c r="C813" s="66" t="s">
        <v>450</v>
      </c>
      <c r="D813" s="66" t="s">
        <v>340</v>
      </c>
      <c r="E813" s="83">
        <f>VLOOKUP(B813,SEZNAM_POUŽITÝCH_MEZD,4,FALSE)</f>
        <v>120</v>
      </c>
      <c r="F813" s="66">
        <v>1.7100000000000001E-2</v>
      </c>
      <c r="G813" s="66">
        <f>E813*F813</f>
        <v>2.052</v>
      </c>
      <c r="I813" s="168"/>
    </row>
    <row r="814" spans="2:9">
      <c r="B814" s="97">
        <v>441006</v>
      </c>
      <c r="C814" s="66" t="s">
        <v>345</v>
      </c>
      <c r="D814" s="66" t="s">
        <v>340</v>
      </c>
      <c r="E814" s="83">
        <f>VLOOKUP(B814,SEZNAM_POUŽITÝCH_MEZD,4,FALSE)</f>
        <v>152</v>
      </c>
      <c r="F814" s="66">
        <v>8.5949999999999999E-2</v>
      </c>
      <c r="G814" s="66">
        <f>E814*F814</f>
        <v>13.064399999999999</v>
      </c>
      <c r="I814" s="168"/>
    </row>
    <row r="815" spans="2:9">
      <c r="E815" s="98">
        <f>ROUND(G815/F815,1)</f>
        <v>127.8</v>
      </c>
      <c r="F815" s="98">
        <f>SUM(F810:F814)</f>
        <v>1.5004499999999998</v>
      </c>
      <c r="G815" s="98">
        <f>SUM(G810:G814)</f>
        <v>191.78714999999997</v>
      </c>
      <c r="I815" s="168"/>
    </row>
    <row r="816" spans="2:9">
      <c r="I816" s="168"/>
    </row>
    <row r="817" spans="1:14">
      <c r="I817" s="168"/>
    </row>
    <row r="818" spans="1:14">
      <c r="B818" s="98">
        <v>99</v>
      </c>
      <c r="C818" s="98" t="s">
        <v>328</v>
      </c>
      <c r="D818" s="98" t="s">
        <v>42</v>
      </c>
      <c r="I818" s="168"/>
    </row>
    <row r="819" spans="1:14">
      <c r="B819" s="97"/>
      <c r="I819" s="168"/>
    </row>
    <row r="820" spans="1:14">
      <c r="B820" s="97">
        <v>411400</v>
      </c>
      <c r="C820" s="66" t="s">
        <v>375</v>
      </c>
      <c r="D820" s="66" t="s">
        <v>340</v>
      </c>
      <c r="E820" s="83">
        <f>VLOOKUP(B820,SEZNAM_POUŽITÝCH_MEZD,4,FALSE)</f>
        <v>135</v>
      </c>
      <c r="F820" s="66">
        <v>0.43033333333333335</v>
      </c>
      <c r="G820" s="66">
        <f>E820*F820</f>
        <v>58.094999999999999</v>
      </c>
      <c r="I820" s="168"/>
    </row>
    <row r="821" spans="1:14">
      <c r="B821" s="97">
        <v>411406</v>
      </c>
      <c r="C821" s="66" t="s">
        <v>362</v>
      </c>
      <c r="D821" s="66" t="s">
        <v>340</v>
      </c>
      <c r="E821" s="83">
        <f>VLOOKUP(B821,SEZNAM_POUŽITÝCH_MEZD,4,FALSE)</f>
        <v>152</v>
      </c>
      <c r="F821" s="66">
        <v>24.361000000000001</v>
      </c>
      <c r="G821" s="66">
        <f>E821*F821</f>
        <v>3702.8720000000003</v>
      </c>
      <c r="I821" s="168"/>
    </row>
    <row r="822" spans="1:14">
      <c r="B822" s="97">
        <v>419000</v>
      </c>
      <c r="C822" s="66" t="s">
        <v>350</v>
      </c>
      <c r="D822" s="66" t="s">
        <v>340</v>
      </c>
      <c r="E822" s="83">
        <f>VLOOKUP(B822,SEZNAM_POUŽITÝCH_MEZD,4,FALSE)</f>
        <v>135</v>
      </c>
      <c r="F822" s="66">
        <v>0.34799999999999998</v>
      </c>
      <c r="G822" s="66">
        <f>E822*F822</f>
        <v>46.98</v>
      </c>
      <c r="I822" s="168"/>
    </row>
    <row r="823" spans="1:14">
      <c r="B823" s="97"/>
      <c r="E823" s="98">
        <f>ROUND(G823/F823,1)</f>
        <v>151.5</v>
      </c>
      <c r="F823" s="98">
        <f>SUM(F819:F822)</f>
        <v>25.139333333333333</v>
      </c>
      <c r="G823" s="98">
        <f>SUM(G819:G822)</f>
        <v>3807.9470000000001</v>
      </c>
      <c r="I823" s="168"/>
    </row>
    <row r="824" spans="1:14">
      <c r="I824" s="168"/>
    </row>
    <row r="825" spans="1:14">
      <c r="I825" s="168"/>
    </row>
    <row r="826" spans="1:14">
      <c r="I826" s="168"/>
    </row>
    <row r="827" spans="1:14">
      <c r="B827" s="98">
        <v>711</v>
      </c>
      <c r="C827" s="98" t="s">
        <v>961</v>
      </c>
      <c r="D827" s="98" t="s">
        <v>0</v>
      </c>
      <c r="I827" s="168"/>
    </row>
    <row r="828" spans="1:14">
      <c r="I828" s="168"/>
    </row>
    <row r="829" spans="1:14">
      <c r="A829" s="66">
        <v>711</v>
      </c>
      <c r="B829" s="66" t="s">
        <v>955</v>
      </c>
      <c r="C829" s="66" t="s">
        <v>956</v>
      </c>
      <c r="D829" s="66" t="s">
        <v>0</v>
      </c>
      <c r="E829" s="66">
        <v>1</v>
      </c>
      <c r="H829" s="66">
        <f>ROUND((J$2:J$66136*(1-VLOOKUP(IF(ISNUMBER(A829),A829,900),MATICE_CEN,7,FALSE))+K$2:K$66136+(L$2:L$66136*(1-VLOOKUP(IF(ISNUMBER(A829),A829,900),MATICE_CEN,6,FALSE))+M$2:M$66136+N$2:N$66136*IF(A829=99,sleva_ocel,1)*VLOOKUP(IF(ISNUMBER(A829),A829,900),MATICE_CEN,4,FALSE)*(1+časová_rezerva)*(1+pojistné))*IF(A829=900,(1+STD_HR_HSV),(1+VLOOKUP(IF(ISNUMBER(A829),A829,900),MATICE_CEN,5,FALSE))))*(1+VRN),1)</f>
        <v>9.3000000000000007</v>
      </c>
      <c r="I829" s="168">
        <v>8</v>
      </c>
      <c r="J829" s="66">
        <v>0</v>
      </c>
      <c r="K829" s="66">
        <v>0</v>
      </c>
      <c r="L829" s="66">
        <v>0</v>
      </c>
      <c r="M829" s="66">
        <v>0</v>
      </c>
      <c r="N829" s="66">
        <v>2.75E-2</v>
      </c>
    </row>
    <row r="830" spans="1:14">
      <c r="A830" s="66">
        <v>711</v>
      </c>
      <c r="B830" s="66" t="s">
        <v>957</v>
      </c>
      <c r="C830" s="66" t="s">
        <v>958</v>
      </c>
      <c r="D830" s="66" t="s">
        <v>0</v>
      </c>
      <c r="E830" s="66">
        <v>2</v>
      </c>
      <c r="H830" s="66">
        <f>ROUND((J$2:J$66136*(1-VLOOKUP(IF(ISNUMBER(A830),A830,900),MATICE_CEN,7,FALSE))+K$2:K$66136+(L$2:L$66136*(1-VLOOKUP(IF(ISNUMBER(A830),A830,900),MATICE_CEN,6,FALSE))+M$2:M$66136+N$2:N$66136*IF(A830=99,sleva_ocel,1)*VLOOKUP(IF(ISNUMBER(A830),A830,900),MATICE_CEN,4,FALSE)*(1+časová_rezerva)*(1+pojistné))*IF(A830=900,(1+STD_HR_HSV),(1+VLOOKUP(IF(ISNUMBER(A830),A830,900),MATICE_CEN,5,FALSE))))*(1+VRN),1)</f>
        <v>85.2</v>
      </c>
      <c r="I830" s="168">
        <v>74.2</v>
      </c>
      <c r="J830" s="66">
        <v>6.93</v>
      </c>
      <c r="K830" s="66">
        <v>0.7</v>
      </c>
      <c r="L830" s="66">
        <v>0</v>
      </c>
      <c r="M830" s="66">
        <v>0</v>
      </c>
      <c r="N830" s="66">
        <v>0.22991</v>
      </c>
    </row>
    <row r="831" spans="1:14">
      <c r="A831" s="66">
        <v>711</v>
      </c>
      <c r="B831" s="66" t="s">
        <v>959</v>
      </c>
      <c r="C831" s="66" t="s">
        <v>960</v>
      </c>
      <c r="D831" s="66" t="s">
        <v>0</v>
      </c>
      <c r="E831" s="66">
        <v>1</v>
      </c>
      <c r="H831" s="66">
        <f>ROUND((J$2:J$66136*(1-VLOOKUP(IF(ISNUMBER(A831),A831,900),MATICE_CEN,7,FALSE))+K$2:K$66136+(L$2:L$66136*(1-VLOOKUP(IF(ISNUMBER(A831),A831,900),MATICE_CEN,6,FALSE))+M$2:M$66136+N$2:N$66136*IF(A831=99,sleva_ocel,1)*VLOOKUP(IF(ISNUMBER(A831),A831,900),MATICE_CEN,4,FALSE)*(1+časová_rezerva)*(1+pojistné))*IF(A831=900,(1+STD_HR_HSV),(1+VLOOKUP(IF(ISNUMBER(A831),A831,900),MATICE_CEN,5,FALSE))))*(1+VRN),1)</f>
        <v>37.9</v>
      </c>
      <c r="I831" s="168">
        <v>35.299999999999997</v>
      </c>
      <c r="J831" s="66">
        <v>0</v>
      </c>
      <c r="K831" s="66">
        <v>0</v>
      </c>
      <c r="L831" s="66">
        <v>0</v>
      </c>
      <c r="M831" s="66">
        <v>0</v>
      </c>
      <c r="N831" s="66">
        <v>0.112</v>
      </c>
    </row>
    <row r="832" spans="1:14">
      <c r="I832" s="168"/>
    </row>
    <row r="833" spans="1:14">
      <c r="I833" s="168"/>
    </row>
    <row r="834" spans="1:14">
      <c r="B834" s="97">
        <v>422200</v>
      </c>
      <c r="C834" s="66" t="s">
        <v>451</v>
      </c>
      <c r="D834" s="66" t="s">
        <v>340</v>
      </c>
      <c r="E834" s="83">
        <f>VLOOKUP(B834,SEZNAM_POUŽITÝCH_MEZD,4,FALSE)</f>
        <v>142</v>
      </c>
      <c r="F834" s="66">
        <v>0.48732000000000003</v>
      </c>
      <c r="G834" s="66">
        <f>E834*F834</f>
        <v>69.19944000000001</v>
      </c>
      <c r="I834" s="168"/>
    </row>
    <row r="835" spans="1:14">
      <c r="B835" s="97">
        <v>422206</v>
      </c>
      <c r="C835" s="66" t="s">
        <v>431</v>
      </c>
      <c r="D835" s="66" t="s">
        <v>340</v>
      </c>
      <c r="E835" s="83">
        <f>VLOOKUP(B835,SEZNAM_POUŽITÝCH_MEZD,4,FALSE)</f>
        <v>152</v>
      </c>
      <c r="F835" s="66">
        <v>0.112</v>
      </c>
      <c r="G835" s="66">
        <f>E835*F835</f>
        <v>17.024000000000001</v>
      </c>
      <c r="I835" s="168"/>
    </row>
    <row r="836" spans="1:14">
      <c r="E836" s="98">
        <f>ROUND(G836/F836,1)</f>
        <v>143.9</v>
      </c>
      <c r="F836" s="98">
        <f>SUM(F828:F835)</f>
        <v>0.59932000000000007</v>
      </c>
      <c r="G836" s="98">
        <f>SUM(G828:G835)</f>
        <v>86.223440000000011</v>
      </c>
      <c r="I836" s="168"/>
    </row>
    <row r="837" spans="1:14">
      <c r="I837" s="168"/>
    </row>
    <row r="838" spans="1:14">
      <c r="I838" s="168"/>
    </row>
    <row r="839" spans="1:14">
      <c r="B839" s="98">
        <v>712</v>
      </c>
      <c r="C839" s="98" t="s">
        <v>452</v>
      </c>
      <c r="D839" s="98" t="s">
        <v>0</v>
      </c>
      <c r="I839" s="168"/>
    </row>
    <row r="840" spans="1:14">
      <c r="I840" s="168"/>
    </row>
    <row r="841" spans="1:14">
      <c r="A841" s="66">
        <v>712</v>
      </c>
      <c r="B841" s="66" t="s">
        <v>962</v>
      </c>
      <c r="C841" s="66" t="s">
        <v>963</v>
      </c>
      <c r="D841" s="66" t="s">
        <v>0</v>
      </c>
      <c r="E841" s="66">
        <v>1</v>
      </c>
      <c r="H841" s="66">
        <f>ROUND((J$2:J$66136*(1-VLOOKUP(IF(ISNUMBER(A841),A841,900),MATICE_CEN,7,FALSE))+K$2:K$66136+(L$2:L$66136*(1-VLOOKUP(IF(ISNUMBER(A841),A841,900),MATICE_CEN,6,FALSE))+M$2:M$66136+N$2:N$66136*IF(A841=99,sleva_ocel,1)*VLOOKUP(IF(ISNUMBER(A841),A841,900),MATICE_CEN,4,FALSE)*(1+časová_rezerva)*(1+pojistné))*IF(A841=900,(1+STD_HR_HSV),(1+VLOOKUP(IF(ISNUMBER(A841),A841,900),MATICE_CEN,5,FALSE))))*(1+VRN),1)</f>
        <v>10</v>
      </c>
      <c r="I841" s="168">
        <v>8</v>
      </c>
      <c r="J841" s="66">
        <v>0</v>
      </c>
      <c r="K841" s="66">
        <v>0</v>
      </c>
      <c r="L841" s="66">
        <v>0</v>
      </c>
      <c r="M841" s="66">
        <v>0</v>
      </c>
      <c r="N841" s="66">
        <v>2.75E-2</v>
      </c>
    </row>
    <row r="842" spans="1:14">
      <c r="A842" s="66">
        <v>712</v>
      </c>
      <c r="B842" s="66" t="s">
        <v>964</v>
      </c>
      <c r="C842" s="66" t="s">
        <v>965</v>
      </c>
      <c r="D842" s="66" t="s">
        <v>0</v>
      </c>
      <c r="E842" s="66">
        <v>1</v>
      </c>
      <c r="H842" s="66">
        <f>ROUND((J$2:J$66136*(1-VLOOKUP(IF(ISNUMBER(A842),A842,900),MATICE_CEN,7,FALSE))+K$2:K$66136+(L$2:L$66136*(1-VLOOKUP(IF(ISNUMBER(A842),A842,900),MATICE_CEN,6,FALSE))+M$2:M$66136+N$2:N$66136*IF(A842=99,sleva_ocel,1)*VLOOKUP(IF(ISNUMBER(A842),A842,900),MATICE_CEN,4,FALSE)*(1+časová_rezerva)*(1+pojistné))*IF(A842=900,(1+STD_HR_HSV),(1+VLOOKUP(IF(ISNUMBER(A842),A842,900),MATICE_CEN,5,FALSE))))*(1+VRN),1)</f>
        <v>81.8</v>
      </c>
      <c r="I842" s="168">
        <v>72.7</v>
      </c>
      <c r="J842" s="66">
        <v>9.24</v>
      </c>
      <c r="K842" s="66">
        <v>0.54</v>
      </c>
      <c r="L842" s="66">
        <v>0</v>
      </c>
      <c r="M842" s="66">
        <v>0</v>
      </c>
      <c r="N842" s="66">
        <v>0.2</v>
      </c>
    </row>
    <row r="843" spans="1:14">
      <c r="A843" s="66">
        <v>712</v>
      </c>
      <c r="B843" s="66" t="s">
        <v>966</v>
      </c>
      <c r="C843" s="66" t="s">
        <v>967</v>
      </c>
      <c r="D843" s="66" t="s">
        <v>0</v>
      </c>
      <c r="E843" s="66">
        <v>3</v>
      </c>
      <c r="H843" s="66">
        <f>ROUND((J$2:J$66136*(1-VLOOKUP(IF(ISNUMBER(A843),A843,900),MATICE_CEN,7,FALSE))+K$2:K$66136+(L$2:L$66136*(1-VLOOKUP(IF(ISNUMBER(A843),A843,900),MATICE_CEN,6,FALSE))+M$2:M$66136+N$2:N$66136*IF(A843=99,sleva_ocel,1)*VLOOKUP(IF(ISNUMBER(A843),A843,900),MATICE_CEN,4,FALSE)*(1+časová_rezerva)*(1+pojistné))*IF(A843=900,(1+STD_HR_HSV),(1+VLOOKUP(IF(ISNUMBER(A843),A843,900),MATICE_CEN,5,FALSE))))*(1+VRN),1)</f>
        <v>123.2</v>
      </c>
      <c r="I843" s="168">
        <v>109</v>
      </c>
      <c r="J843" s="66">
        <v>6.98</v>
      </c>
      <c r="K843" s="66">
        <v>0.17</v>
      </c>
      <c r="L843" s="66">
        <v>0.96</v>
      </c>
      <c r="M843" s="66">
        <v>0</v>
      </c>
      <c r="N843" s="66">
        <v>0.317</v>
      </c>
    </row>
    <row r="844" spans="1:14">
      <c r="I844" s="168"/>
    </row>
    <row r="845" spans="1:14">
      <c r="I845" s="168"/>
    </row>
    <row r="846" spans="1:14">
      <c r="B846" s="97">
        <v>422200</v>
      </c>
      <c r="C846" s="66" t="s">
        <v>451</v>
      </c>
      <c r="D846" s="66" t="s">
        <v>340</v>
      </c>
      <c r="E846" s="83">
        <f>VLOOKUP(B846,SEZNAM_POUŽITÝCH_MEZD,4,FALSE)</f>
        <v>142</v>
      </c>
      <c r="F846" s="91">
        <v>2.75E-2</v>
      </c>
      <c r="G846" s="66">
        <f>E846*F846</f>
        <v>3.9049999999999998</v>
      </c>
      <c r="I846" s="168"/>
    </row>
    <row r="847" spans="1:14">
      <c r="B847" s="97">
        <v>422216</v>
      </c>
      <c r="C847" s="66" t="s">
        <v>431</v>
      </c>
      <c r="D847" s="66" t="s">
        <v>340</v>
      </c>
      <c r="E847" s="83">
        <f>VLOOKUP(B847,SEZNAM_POUŽITÝCH_MEZD,4,FALSE)</f>
        <v>152</v>
      </c>
      <c r="F847" s="91">
        <v>0.2</v>
      </c>
      <c r="G847" s="66">
        <f>E847*F847</f>
        <v>30.400000000000002</v>
      </c>
      <c r="I847" s="168"/>
    </row>
    <row r="848" spans="1:14">
      <c r="B848" s="97">
        <v>422236</v>
      </c>
      <c r="C848" s="66" t="s">
        <v>454</v>
      </c>
      <c r="D848" s="66" t="s">
        <v>340</v>
      </c>
      <c r="E848" s="83">
        <f>VLOOKUP(B848,SEZNAM_POUŽITÝCH_MEZD,4,FALSE)</f>
        <v>152</v>
      </c>
      <c r="F848" s="91">
        <v>0.95100000000000007</v>
      </c>
      <c r="G848" s="66">
        <f>E848*F848</f>
        <v>144.55200000000002</v>
      </c>
      <c r="I848" s="168"/>
    </row>
    <row r="849" spans="1:14">
      <c r="E849" s="98">
        <f>ROUND(G849/F849,1)</f>
        <v>151.80000000000001</v>
      </c>
      <c r="F849" s="98">
        <f>SUM(F846:F848)</f>
        <v>1.1785000000000001</v>
      </c>
      <c r="G849" s="98">
        <f>SUM(G846:G848)</f>
        <v>178.85700000000003</v>
      </c>
      <c r="I849" s="168"/>
    </row>
    <row r="850" spans="1:14">
      <c r="I850" s="168"/>
    </row>
    <row r="851" spans="1:14">
      <c r="I851" s="168"/>
    </row>
    <row r="852" spans="1:14">
      <c r="B852" s="98">
        <v>713</v>
      </c>
      <c r="C852" s="98" t="s">
        <v>979</v>
      </c>
      <c r="D852" s="98" t="s">
        <v>0</v>
      </c>
      <c r="I852" s="168"/>
    </row>
    <row r="853" spans="1:14">
      <c r="B853" s="98"/>
      <c r="C853" s="98"/>
      <c r="D853" s="98"/>
      <c r="I853" s="168"/>
    </row>
    <row r="854" spans="1:14">
      <c r="A854" s="66">
        <v>713</v>
      </c>
      <c r="B854" s="66" t="s">
        <v>968</v>
      </c>
      <c r="C854" s="66" t="s">
        <v>969</v>
      </c>
      <c r="D854" s="66" t="s">
        <v>0</v>
      </c>
      <c r="E854" s="66">
        <v>0.26500000000000001</v>
      </c>
      <c r="H854" s="66">
        <f>ROUND((J$2:J$66136*(1-VLOOKUP(IF(ISNUMBER(A854),A854,900),MATICE_CEN,7,FALSE))+K$2:K$66136+(L$2:L$66136*(1-VLOOKUP(IF(ISNUMBER(A854),A854,900),MATICE_CEN,6,FALSE))+M$2:M$66136+N$2:N$66136*IF(A854=99,sleva_ocel,1)*VLOOKUP(IF(ISNUMBER(A854),A854,900),MATICE_CEN,4,FALSE)*(1+časová_rezerva)*(1+pojistné))*IF(A854=900,(1+STD_HR_HSV),(1+VLOOKUP(IF(ISNUMBER(A854),A854,900),MATICE_CEN,5,FALSE))))*(1+VRN),1)</f>
        <v>97.5</v>
      </c>
      <c r="I854" s="168">
        <v>90</v>
      </c>
      <c r="J854" s="66">
        <v>28.02</v>
      </c>
      <c r="K854" s="66">
        <v>0.54</v>
      </c>
      <c r="L854" s="66">
        <v>0</v>
      </c>
      <c r="M854" s="66">
        <v>0</v>
      </c>
      <c r="N854" s="66">
        <v>0.21199999999999999</v>
      </c>
    </row>
    <row r="855" spans="1:14">
      <c r="A855" s="66">
        <v>713</v>
      </c>
      <c r="B855" s="66" t="s">
        <v>970</v>
      </c>
      <c r="C855" s="66" t="s">
        <v>971</v>
      </c>
      <c r="D855" s="66" t="s">
        <v>0</v>
      </c>
      <c r="E855" s="66">
        <v>0.36</v>
      </c>
      <c r="H855" s="66">
        <f>ROUND((J$2:J$66136*(1-VLOOKUP(IF(ISNUMBER(A855),A855,900),MATICE_CEN,7,FALSE))+K$2:K$66136+(L$2:L$66136*(1-VLOOKUP(IF(ISNUMBER(A855),A855,900),MATICE_CEN,6,FALSE))+M$2:M$66136+N$2:N$66136*IF(A855=99,sleva_ocel,1)*VLOOKUP(IF(ISNUMBER(A855),A855,900),MATICE_CEN,4,FALSE)*(1+časová_rezerva)*(1+pojistné))*IF(A855=900,(1+STD_HR_HSV),(1+VLOOKUP(IF(ISNUMBER(A855),A855,900),MATICE_CEN,5,FALSE))))*(1+VRN),1)</f>
        <v>25.9</v>
      </c>
      <c r="I855" s="168">
        <v>21.8</v>
      </c>
      <c r="J855" s="66">
        <v>5.85</v>
      </c>
      <c r="K855" s="66">
        <v>0.42</v>
      </c>
      <c r="L855" s="66">
        <v>0</v>
      </c>
      <c r="M855" s="66">
        <v>0</v>
      </c>
      <c r="N855" s="66">
        <v>0.06</v>
      </c>
    </row>
    <row r="856" spans="1:14">
      <c r="A856" s="66">
        <v>713</v>
      </c>
      <c r="B856" s="66" t="s">
        <v>972</v>
      </c>
      <c r="C856" s="66" t="s">
        <v>973</v>
      </c>
      <c r="D856" s="66" t="s">
        <v>0</v>
      </c>
      <c r="E856" s="66">
        <v>2.5000000000000001E-2</v>
      </c>
      <c r="H856" s="66">
        <f>ROUND((J$2:J$66136*(1-VLOOKUP(IF(ISNUMBER(A856),A856,900),MATICE_CEN,7,FALSE))+K$2:K$66136+(L$2:L$66136*(1-VLOOKUP(IF(ISNUMBER(A856),A856,900),MATICE_CEN,6,FALSE))+M$2:M$66136+N$2:N$66136*IF(A856=99,sleva_ocel,1)*VLOOKUP(IF(ISNUMBER(A856),A856,900),MATICE_CEN,4,FALSE)*(1+časová_rezerva)*(1+pojistné))*IF(A856=900,(1+STD_HR_HSV),(1+VLOOKUP(IF(ISNUMBER(A856),A856,900),MATICE_CEN,5,FALSE))))*(1+VRN),1)</f>
        <v>23.2</v>
      </c>
      <c r="I856" s="168">
        <v>22.1</v>
      </c>
      <c r="J856" s="66">
        <v>0</v>
      </c>
      <c r="K856" s="66">
        <v>0</v>
      </c>
      <c r="L856" s="66">
        <v>0</v>
      </c>
      <c r="M856" s="66">
        <v>0</v>
      </c>
      <c r="N856" s="66">
        <v>7.0000000000000007E-2</v>
      </c>
    </row>
    <row r="857" spans="1:14">
      <c r="A857" s="66">
        <v>713</v>
      </c>
      <c r="B857" s="66" t="s">
        <v>974</v>
      </c>
      <c r="C857" s="66" t="s">
        <v>975</v>
      </c>
      <c r="D857" s="66" t="s">
        <v>0</v>
      </c>
      <c r="E857" s="66">
        <v>0.15</v>
      </c>
      <c r="H857" s="66">
        <f>ROUND((J$2:J$66136*(1-VLOOKUP(IF(ISNUMBER(A857),A857,900),MATICE_CEN,7,FALSE))+K$2:K$66136+(L$2:L$66136*(1-VLOOKUP(IF(ISNUMBER(A857),A857,900),MATICE_CEN,6,FALSE))+M$2:M$66136+N$2:N$66136*IF(A857=99,sleva_ocel,1)*VLOOKUP(IF(ISNUMBER(A857),A857,900),MATICE_CEN,4,FALSE)*(1+časová_rezerva)*(1+pojistné))*IF(A857=900,(1+STD_HR_HSV),(1+VLOOKUP(IF(ISNUMBER(A857),A857,900),MATICE_CEN,5,FALSE))))*(1+VRN),1)</f>
        <v>87.1</v>
      </c>
      <c r="I857" s="168">
        <v>71</v>
      </c>
      <c r="J857" s="66">
        <v>10.210000000000001</v>
      </c>
      <c r="K857" s="66">
        <v>0.74</v>
      </c>
      <c r="L857" s="66">
        <v>0</v>
      </c>
      <c r="M857" s="66">
        <v>0</v>
      </c>
      <c r="N857" s="66">
        <v>0.23100000000000001</v>
      </c>
    </row>
    <row r="858" spans="1:14">
      <c r="A858" s="66">
        <v>713</v>
      </c>
      <c r="B858" s="66" t="s">
        <v>976</v>
      </c>
      <c r="C858" s="66" t="s">
        <v>977</v>
      </c>
      <c r="D858" s="66" t="s">
        <v>0</v>
      </c>
      <c r="E858" s="66">
        <v>0.2</v>
      </c>
      <c r="H858" s="66">
        <f>ROUND((J$2:J$66136*(1-VLOOKUP(IF(ISNUMBER(A858),A858,900),MATICE_CEN,7,FALSE))+K$2:K$66136+(L$2:L$66136*(1-VLOOKUP(IF(ISNUMBER(A858),A858,900),MATICE_CEN,6,FALSE))+M$2:M$66136+N$2:N$66136*IF(A858=99,sleva_ocel,1)*VLOOKUP(IF(ISNUMBER(A858),A858,900),MATICE_CEN,4,FALSE)*(1+časová_rezerva)*(1+pojistné))*IF(A858=900,(1+STD_HR_HSV),(1+VLOOKUP(IF(ISNUMBER(A858),A858,900),MATICE_CEN,5,FALSE))))*(1+VRN),1)</f>
        <v>66.5</v>
      </c>
      <c r="I858" s="168">
        <v>63.8</v>
      </c>
      <c r="J858" s="66">
        <v>6.97</v>
      </c>
      <c r="K858" s="66">
        <v>0.1</v>
      </c>
      <c r="L858" s="66">
        <v>0</v>
      </c>
      <c r="M858" s="66">
        <v>0</v>
      </c>
      <c r="N858" s="66">
        <v>0.18</v>
      </c>
    </row>
    <row r="859" spans="1:14">
      <c r="B859" s="98"/>
      <c r="C859" s="98"/>
      <c r="D859" s="98"/>
      <c r="I859" s="168"/>
    </row>
    <row r="860" spans="1:14">
      <c r="B860" s="98"/>
      <c r="C860" s="98"/>
      <c r="D860" s="98"/>
      <c r="I860" s="168"/>
    </row>
    <row r="861" spans="1:14">
      <c r="I861" s="168"/>
    </row>
    <row r="862" spans="1:14">
      <c r="B862" s="97">
        <v>413100</v>
      </c>
      <c r="C862" s="66" t="s">
        <v>368</v>
      </c>
      <c r="D862" s="66" t="s">
        <v>340</v>
      </c>
      <c r="E862" s="83">
        <f>VLOOKUP(B862,SEZNAM_POUŽITÝCH_MEZD,4,FALSE)</f>
        <v>135</v>
      </c>
      <c r="F862" s="66">
        <v>3.15E-3</v>
      </c>
      <c r="G862" s="66">
        <f>E862*F862</f>
        <v>0.42525000000000002</v>
      </c>
      <c r="I862" s="168"/>
    </row>
    <row r="863" spans="1:14">
      <c r="B863" s="97">
        <v>422200</v>
      </c>
      <c r="C863" s="66" t="s">
        <v>451</v>
      </c>
      <c r="D863" s="66" t="s">
        <v>340</v>
      </c>
      <c r="E863" s="83">
        <f>VLOOKUP(B863,SEZNAM_POUŽITÝCH_MEZD,4,FALSE)</f>
        <v>142</v>
      </c>
      <c r="F863" s="66">
        <v>5.6180000000000001E-2</v>
      </c>
      <c r="G863" s="66">
        <f t="shared" ref="G863:G865" si="68">E863*F863</f>
        <v>7.9775600000000004</v>
      </c>
      <c r="I863" s="168"/>
    </row>
    <row r="864" spans="1:14">
      <c r="B864" s="97">
        <v>422204</v>
      </c>
      <c r="C864" s="66" t="s">
        <v>453</v>
      </c>
      <c r="D864" s="66" t="s">
        <v>340</v>
      </c>
      <c r="E864" s="83">
        <f>VLOOKUP(B864,SEZNAM_POUŽITÝCH_MEZD,4,FALSE)</f>
        <v>127</v>
      </c>
      <c r="F864" s="66">
        <v>5.3099999999999994E-2</v>
      </c>
      <c r="G864" s="66">
        <f t="shared" si="68"/>
        <v>6.7436999999999996</v>
      </c>
      <c r="I864" s="168"/>
    </row>
    <row r="865" spans="2:14">
      <c r="B865" s="97">
        <v>422206</v>
      </c>
      <c r="C865" s="66" t="s">
        <v>431</v>
      </c>
      <c r="D865" s="66" t="s">
        <v>340</v>
      </c>
      <c r="E865" s="83">
        <f>VLOOKUP(B865,SEZNAM_POUŽITÝCH_MEZD,4,FALSE)</f>
        <v>152</v>
      </c>
      <c r="F865" s="66">
        <v>3.7749999999999999E-2</v>
      </c>
      <c r="G865" s="66">
        <f t="shared" si="68"/>
        <v>5.7379999999999995</v>
      </c>
      <c r="I865" s="168"/>
    </row>
    <row r="866" spans="2:14">
      <c r="E866" s="98">
        <f>ROUND(G866/F866,1)</f>
        <v>139.1</v>
      </c>
      <c r="F866" s="98">
        <f>SUM(F852:F865)</f>
        <v>0.15018000000000001</v>
      </c>
      <c r="G866" s="98">
        <f>SUM(G852:G865)</f>
        <v>20.884509999999999</v>
      </c>
      <c r="I866" s="168"/>
    </row>
    <row r="867" spans="2:14">
      <c r="I867" s="168"/>
    </row>
    <row r="868" spans="2:14">
      <c r="B868" s="97"/>
      <c r="I868" s="168"/>
    </row>
    <row r="869" spans="2:14">
      <c r="B869" s="98">
        <v>761</v>
      </c>
      <c r="C869" s="98" t="s">
        <v>455</v>
      </c>
      <c r="D869" s="98" t="s">
        <v>0</v>
      </c>
      <c r="I869" s="168"/>
    </row>
    <row r="870" spans="2:14">
      <c r="I870" s="168"/>
    </row>
    <row r="871" spans="2:14">
      <c r="B871" s="97">
        <v>412106</v>
      </c>
      <c r="C871" s="66" t="s">
        <v>385</v>
      </c>
      <c r="D871" s="66" t="s">
        <v>340</v>
      </c>
      <c r="E871" s="83">
        <f>VLOOKUP(B871,SEZNAM_POUŽITÝCH_MEZD,4,FALSE)</f>
        <v>152</v>
      </c>
      <c r="F871" s="66">
        <v>1.881</v>
      </c>
      <c r="G871" s="66">
        <v>225.72</v>
      </c>
      <c r="I871" s="168"/>
    </row>
    <row r="872" spans="2:14">
      <c r="B872" s="97">
        <v>413100</v>
      </c>
      <c r="C872" s="66" t="s">
        <v>368</v>
      </c>
      <c r="D872" s="66" t="s">
        <v>340</v>
      </c>
      <c r="E872" s="83">
        <f>VLOOKUP(B872,SEZNAM_POUŽITÝCH_MEZD,4,FALSE)</f>
        <v>135</v>
      </c>
      <c r="F872" s="66">
        <v>2.1999999999999999E-2</v>
      </c>
      <c r="G872" s="66">
        <v>2.343</v>
      </c>
      <c r="I872" s="168"/>
    </row>
    <row r="873" spans="2:14">
      <c r="E873" s="98">
        <f>ROUND(G873/F873,1)</f>
        <v>119.8</v>
      </c>
      <c r="F873" s="98">
        <f>SUM(F869:F872)</f>
        <v>1.903</v>
      </c>
      <c r="G873" s="98">
        <f>SUM(G869:G872)</f>
        <v>228.06299999999999</v>
      </c>
      <c r="I873" s="168"/>
    </row>
    <row r="874" spans="2:14">
      <c r="I874" s="168"/>
    </row>
    <row r="875" spans="2:14">
      <c r="I875" s="168" t="s">
        <v>980</v>
      </c>
    </row>
    <row r="876" spans="2:14">
      <c r="I876" s="168"/>
    </row>
    <row r="877" spans="2:14">
      <c r="B877" s="98">
        <v>762</v>
      </c>
      <c r="C877" s="98" t="s">
        <v>456</v>
      </c>
      <c r="D877" s="98" t="s">
        <v>0</v>
      </c>
      <c r="I877" s="168"/>
    </row>
    <row r="878" spans="2:14">
      <c r="I878" s="168"/>
    </row>
    <row r="879" spans="2:14">
      <c r="F879" s="82" t="str">
        <f t="shared" ref="F879" si="69">IF(MID(B879,4,1)="-",LEFT(B879,3)&amp;RIGHT(B879,LEN(B879)-4),LEFT(B879,3)&amp;MID(B879,5,2)&amp;MID(B879,8,4)&amp;IF(ISNUMBER(SEARCH(".",B879)),RIGHT(B879,3),""))</f>
        <v/>
      </c>
      <c r="H879" s="66" t="e">
        <f>ROUND((J$2:J$66136*(1-VLOOKUP(IF(ISNUMBER(A879),A879,900),MATICE_CEN,7,FALSE))+K$2:K$66136+(L$2:L$66136*(1-VLOOKUP(IF(ISNUMBER(A879),A879,900),MATICE_CEN,6,FALSE))+M$2:M$66136+N$2:N$66136*IF(A879=99,sleva_ocel,1)*VLOOKUP(IF(ISNUMBER(A879),A879,900),MATICE_CEN,4,FALSE)*(1+časová_rezerva)*(1+pojistné))*IF(A879=900,(1+STD_HR_HSV),(1+VLOOKUP(IF(ISNUMBER(A879),A879,900),MATICE_CEN,5,FALSE))))*(1+VRN),1)</f>
        <v>#N/A</v>
      </c>
      <c r="I879" s="168">
        <v>0</v>
      </c>
      <c r="J879" s="66">
        <v>0</v>
      </c>
      <c r="K879" s="66">
        <v>0</v>
      </c>
      <c r="L879" s="66">
        <v>0</v>
      </c>
      <c r="M879" s="66">
        <v>0</v>
      </c>
      <c r="N879" s="66">
        <v>0</v>
      </c>
    </row>
    <row r="880" spans="2:14">
      <c r="I880" s="168"/>
    </row>
    <row r="881" spans="2:9">
      <c r="I881" s="168"/>
    </row>
    <row r="882" spans="2:9">
      <c r="I882" s="168"/>
    </row>
    <row r="883" spans="2:9">
      <c r="B883" s="97">
        <v>412140</v>
      </c>
      <c r="C883" s="66" t="s">
        <v>457</v>
      </c>
      <c r="D883" s="66" t="s">
        <v>340</v>
      </c>
      <c r="E883" s="83">
        <f t="shared" ref="E883:E896" si="70">VLOOKUP(B883,SEZNAM_POUŽITÝCH_MEZD,4,FALSE)</f>
        <v>135</v>
      </c>
      <c r="F883" s="66">
        <v>7.7636999999999998E-2</v>
      </c>
      <c r="G883" s="66">
        <f t="shared" ref="G883:G896" si="71">E883*F883</f>
        <v>10.480995</v>
      </c>
      <c r="I883" s="168"/>
    </row>
    <row r="884" spans="2:9">
      <c r="B884" s="97">
        <v>412190</v>
      </c>
      <c r="C884" s="66" t="s">
        <v>458</v>
      </c>
      <c r="D884" s="66" t="s">
        <v>340</v>
      </c>
      <c r="E884" s="83">
        <f t="shared" si="70"/>
        <v>135</v>
      </c>
      <c r="F884" s="66">
        <v>0.19211899999999998</v>
      </c>
      <c r="G884" s="66">
        <f t="shared" si="71"/>
        <v>25.936064999999999</v>
      </c>
      <c r="I884" s="168"/>
    </row>
    <row r="885" spans="2:9">
      <c r="B885" s="97">
        <v>413100</v>
      </c>
      <c r="C885" s="66" t="s">
        <v>368</v>
      </c>
      <c r="D885" s="66" t="s">
        <v>340</v>
      </c>
      <c r="E885" s="83">
        <f t="shared" si="70"/>
        <v>135</v>
      </c>
      <c r="F885" s="66">
        <v>1.4399999999999999E-3</v>
      </c>
      <c r="G885" s="66">
        <f t="shared" si="71"/>
        <v>0.19439999999999999</v>
      </c>
      <c r="I885" s="168"/>
    </row>
    <row r="886" spans="2:9">
      <c r="B886" s="97">
        <v>413110</v>
      </c>
      <c r="C886" s="66" t="s">
        <v>459</v>
      </c>
      <c r="D886" s="66" t="s">
        <v>340</v>
      </c>
      <c r="E886" s="83">
        <f t="shared" si="70"/>
        <v>135</v>
      </c>
      <c r="F886" s="66">
        <v>0.32908199999999999</v>
      </c>
      <c r="G886" s="66">
        <f t="shared" si="71"/>
        <v>44.426069999999996</v>
      </c>
      <c r="I886" s="168"/>
    </row>
    <row r="887" spans="2:9">
      <c r="B887" s="97">
        <v>413116</v>
      </c>
      <c r="C887" s="66" t="s">
        <v>370</v>
      </c>
      <c r="D887" s="66" t="s">
        <v>340</v>
      </c>
      <c r="E887" s="83">
        <f t="shared" si="70"/>
        <v>152</v>
      </c>
      <c r="F887" s="66">
        <v>0.32085999999999998</v>
      </c>
      <c r="G887" s="66">
        <f t="shared" si="71"/>
        <v>48.770719999999997</v>
      </c>
      <c r="I887" s="168"/>
    </row>
    <row r="888" spans="2:9">
      <c r="B888" s="97">
        <v>413117</v>
      </c>
      <c r="C888" s="66" t="s">
        <v>460</v>
      </c>
      <c r="D888" s="66" t="s">
        <v>340</v>
      </c>
      <c r="E888" s="83">
        <f t="shared" si="70"/>
        <v>170</v>
      </c>
      <c r="F888" s="66">
        <v>0.35694999999999999</v>
      </c>
      <c r="G888" s="66">
        <f t="shared" si="71"/>
        <v>60.6815</v>
      </c>
      <c r="I888" s="168"/>
    </row>
    <row r="889" spans="2:9">
      <c r="B889" s="97">
        <v>413118</v>
      </c>
      <c r="C889" s="66" t="s">
        <v>461</v>
      </c>
      <c r="D889" s="66" t="s">
        <v>340</v>
      </c>
      <c r="E889" s="83">
        <f t="shared" si="70"/>
        <v>185</v>
      </c>
      <c r="F889" s="66">
        <v>0.25272</v>
      </c>
      <c r="G889" s="66">
        <f t="shared" si="71"/>
        <v>46.7532</v>
      </c>
      <c r="I889" s="168"/>
    </row>
    <row r="890" spans="2:9">
      <c r="B890" s="97">
        <v>419000</v>
      </c>
      <c r="C890" s="66" t="s">
        <v>350</v>
      </c>
      <c r="D890" s="66" t="s">
        <v>340</v>
      </c>
      <c r="E890" s="83">
        <f t="shared" si="70"/>
        <v>135</v>
      </c>
      <c r="F890" s="66">
        <v>1.0829000000000001E-3</v>
      </c>
      <c r="G890" s="66">
        <f t="shared" si="71"/>
        <v>0.14619150000000003</v>
      </c>
      <c r="I890" s="168"/>
    </row>
    <row r="891" spans="2:9">
      <c r="B891" s="97">
        <v>419004</v>
      </c>
      <c r="C891" s="66" t="s">
        <v>343</v>
      </c>
      <c r="D891" s="66" t="s">
        <v>340</v>
      </c>
      <c r="E891" s="83">
        <f t="shared" si="70"/>
        <v>120</v>
      </c>
      <c r="F891" s="66">
        <v>2.1410479999999999E-2</v>
      </c>
      <c r="G891" s="66">
        <f t="shared" si="71"/>
        <v>2.5692575999999998</v>
      </c>
      <c r="I891" s="168"/>
    </row>
    <row r="892" spans="2:9">
      <c r="B892" s="97">
        <v>421290</v>
      </c>
      <c r="C892" s="66" t="s">
        <v>462</v>
      </c>
      <c r="D892" s="66" t="s">
        <v>340</v>
      </c>
      <c r="E892" s="83">
        <f t="shared" si="70"/>
        <v>135</v>
      </c>
      <c r="F892" s="66">
        <v>6.1840000000000003E-3</v>
      </c>
      <c r="G892" s="66">
        <f t="shared" si="71"/>
        <v>0.83484000000000003</v>
      </c>
      <c r="I892" s="168"/>
    </row>
    <row r="893" spans="2:9">
      <c r="B893" s="97">
        <v>422600</v>
      </c>
      <c r="C893" s="66" t="s">
        <v>372</v>
      </c>
      <c r="D893" s="66" t="s">
        <v>340</v>
      </c>
      <c r="E893" s="83">
        <f t="shared" si="70"/>
        <v>147</v>
      </c>
      <c r="F893" s="66">
        <v>1.968E-2</v>
      </c>
      <c r="G893" s="66">
        <f t="shared" si="71"/>
        <v>2.89296</v>
      </c>
      <c r="I893" s="168"/>
    </row>
    <row r="894" spans="2:9">
      <c r="B894" s="97">
        <v>441006</v>
      </c>
      <c r="C894" s="66" t="s">
        <v>345</v>
      </c>
      <c r="D894" s="66" t="s">
        <v>340</v>
      </c>
      <c r="E894" s="83">
        <f t="shared" si="70"/>
        <v>152</v>
      </c>
      <c r="F894" s="66">
        <v>3.1682559999999999E-2</v>
      </c>
      <c r="G894" s="66">
        <f t="shared" si="71"/>
        <v>4.8157491199999996</v>
      </c>
      <c r="I894" s="168"/>
    </row>
    <row r="895" spans="2:9">
      <c r="B895" s="97">
        <v>512247</v>
      </c>
      <c r="C895" s="66" t="s">
        <v>463</v>
      </c>
      <c r="D895" s="66" t="s">
        <v>340</v>
      </c>
      <c r="E895" s="83">
        <f t="shared" si="70"/>
        <v>170</v>
      </c>
      <c r="F895" s="66">
        <v>6.6839999999999997E-2</v>
      </c>
      <c r="G895" s="66">
        <f t="shared" si="71"/>
        <v>11.3628</v>
      </c>
      <c r="I895" s="168"/>
    </row>
    <row r="896" spans="2:9">
      <c r="B896" s="97">
        <v>516316</v>
      </c>
      <c r="C896" s="66" t="s">
        <v>405</v>
      </c>
      <c r="D896" s="66" t="s">
        <v>340</v>
      </c>
      <c r="E896" s="83">
        <f t="shared" si="70"/>
        <v>152</v>
      </c>
      <c r="F896" s="66">
        <v>6.6839999999999997E-2</v>
      </c>
      <c r="G896" s="66">
        <f t="shared" si="71"/>
        <v>10.15968</v>
      </c>
      <c r="I896" s="168"/>
    </row>
    <row r="897" spans="2:9">
      <c r="E897" s="98">
        <f>ROUND(G897/F897,1)</f>
        <v>154.80000000000001</v>
      </c>
      <c r="F897" s="98">
        <f>SUM(F883:F896)</f>
        <v>1.7445279399999998</v>
      </c>
      <c r="G897" s="98">
        <f>SUM(G883:G896)</f>
        <v>270.02442821999995</v>
      </c>
      <c r="I897" s="168"/>
    </row>
    <row r="898" spans="2:9">
      <c r="I898" s="168"/>
    </row>
    <row r="899" spans="2:9">
      <c r="B899" s="98">
        <v>764</v>
      </c>
      <c r="C899" s="98" t="s">
        <v>464</v>
      </c>
      <c r="D899" s="98" t="s">
        <v>0</v>
      </c>
      <c r="I899" s="168"/>
    </row>
    <row r="900" spans="2:9">
      <c r="I900" s="168"/>
    </row>
    <row r="901" spans="2:9">
      <c r="B901" s="97">
        <v>412100</v>
      </c>
      <c r="C901" s="66" t="s">
        <v>394</v>
      </c>
      <c r="D901" s="66" t="s">
        <v>340</v>
      </c>
      <c r="E901" s="83">
        <f>VLOOKUP(B901,SEZNAM_POUŽITÝCH_MEZD,4,FALSE)</f>
        <v>135</v>
      </c>
      <c r="F901" s="66">
        <v>0.25375500000000001</v>
      </c>
      <c r="G901" s="66">
        <f>E901*F901</f>
        <v>34.256925000000003</v>
      </c>
      <c r="I901" s="168"/>
    </row>
    <row r="902" spans="2:9">
      <c r="B902" s="97">
        <v>421000</v>
      </c>
      <c r="C902" s="66" t="s">
        <v>465</v>
      </c>
      <c r="D902" s="66" t="s">
        <v>340</v>
      </c>
      <c r="E902" s="83">
        <f>VLOOKUP(B902,SEZNAM_POUŽITÝCH_MEZD,4,FALSE)</f>
        <v>140.5</v>
      </c>
      <c r="F902" s="66">
        <v>8.4407400000000007E-2</v>
      </c>
      <c r="G902" s="66">
        <f>E902*F902</f>
        <v>11.859239700000002</v>
      </c>
      <c r="I902" s="168"/>
    </row>
    <row r="903" spans="2:9">
      <c r="B903" s="97">
        <v>421006</v>
      </c>
      <c r="C903" s="66" t="s">
        <v>466</v>
      </c>
      <c r="D903" s="66" t="s">
        <v>340</v>
      </c>
      <c r="E903" s="83">
        <f>VLOOKUP(B903,SEZNAM_POUŽITÝCH_MEZD,4,FALSE)</f>
        <v>152</v>
      </c>
      <c r="F903" s="66">
        <v>6.8397029999999998E-2</v>
      </c>
      <c r="G903" s="66">
        <f>E903*F903</f>
        <v>10.39634856</v>
      </c>
      <c r="I903" s="168"/>
    </row>
    <row r="904" spans="2:9">
      <c r="B904" s="97">
        <v>421306</v>
      </c>
      <c r="C904" s="66" t="s">
        <v>467</v>
      </c>
      <c r="D904" s="66" t="s">
        <v>340</v>
      </c>
      <c r="E904" s="83">
        <f>VLOOKUP(B904,SEZNAM_POUŽITÝCH_MEZD,4,FALSE)</f>
        <v>152</v>
      </c>
      <c r="F904" s="66">
        <v>6.8100000000000007E-4</v>
      </c>
      <c r="G904" s="66">
        <f>E904*F904</f>
        <v>0.10351200000000001</v>
      </c>
      <c r="I904" s="168"/>
    </row>
    <row r="905" spans="2:9">
      <c r="E905" s="98">
        <f>ROUND(G905/F905,1)</f>
        <v>139</v>
      </c>
      <c r="F905" s="98">
        <f>SUM(F901:F904)</f>
        <v>0.40724043000000004</v>
      </c>
      <c r="G905" s="98">
        <f>SUM(G901:G904)</f>
        <v>56.616025260000008</v>
      </c>
      <c r="I905" s="168"/>
    </row>
    <row r="906" spans="2:9">
      <c r="I906" s="168"/>
    </row>
    <row r="907" spans="2:9">
      <c r="I907" s="168"/>
    </row>
    <row r="908" spans="2:9">
      <c r="B908" s="98">
        <v>765</v>
      </c>
      <c r="C908" s="98" t="s">
        <v>165</v>
      </c>
      <c r="D908" s="98" t="s">
        <v>0</v>
      </c>
      <c r="I908" s="168"/>
    </row>
    <row r="909" spans="2:9">
      <c r="I909" s="168"/>
    </row>
    <row r="910" spans="2:9">
      <c r="C910" s="66" t="s">
        <v>411</v>
      </c>
      <c r="I910" s="168"/>
    </row>
    <row r="911" spans="2:9">
      <c r="B911" s="66" t="s">
        <v>468</v>
      </c>
      <c r="C911" s="66" t="s">
        <v>469</v>
      </c>
      <c r="D911" s="66" t="s">
        <v>0</v>
      </c>
      <c r="F911" s="91">
        <v>0.5</v>
      </c>
      <c r="I911" s="168"/>
    </row>
    <row r="912" spans="2:9">
      <c r="B912" s="66" t="s">
        <v>470</v>
      </c>
      <c r="C912" s="66" t="s">
        <v>471</v>
      </c>
      <c r="D912" s="66" t="s">
        <v>1</v>
      </c>
      <c r="F912" s="91">
        <v>0.02</v>
      </c>
      <c r="I912" s="168"/>
    </row>
    <row r="913" spans="2:9">
      <c r="B913" s="66" t="s">
        <v>472</v>
      </c>
      <c r="C913" s="66" t="s">
        <v>473</v>
      </c>
      <c r="D913" s="66" t="s">
        <v>1</v>
      </c>
      <c r="F913" s="91">
        <v>0.11650000000000001</v>
      </c>
      <c r="I913" s="168"/>
    </row>
    <row r="914" spans="2:9">
      <c r="B914" s="66" t="s">
        <v>474</v>
      </c>
      <c r="C914" s="66" t="s">
        <v>475</v>
      </c>
      <c r="D914" s="66" t="s">
        <v>1</v>
      </c>
      <c r="F914" s="91">
        <v>0.23300000000000001</v>
      </c>
      <c r="I914" s="168"/>
    </row>
    <row r="915" spans="2:9">
      <c r="B915" s="66" t="s">
        <v>476</v>
      </c>
      <c r="C915" s="66" t="s">
        <v>477</v>
      </c>
      <c r="D915" s="66" t="s">
        <v>0</v>
      </c>
      <c r="F915" s="91">
        <v>0.5</v>
      </c>
      <c r="I915" s="168"/>
    </row>
    <row r="916" spans="2:9">
      <c r="B916" s="66" t="s">
        <v>478</v>
      </c>
      <c r="C916" s="66" t="s">
        <v>479</v>
      </c>
      <c r="D916" s="66" t="s">
        <v>1</v>
      </c>
      <c r="F916" s="91">
        <v>0.02</v>
      </c>
      <c r="I916" s="168"/>
    </row>
    <row r="917" spans="2:9">
      <c r="B917" s="66" t="s">
        <v>480</v>
      </c>
      <c r="C917" s="66" t="s">
        <v>481</v>
      </c>
      <c r="D917" s="66" t="s">
        <v>1</v>
      </c>
      <c r="F917" s="91">
        <v>0.11650000000000001</v>
      </c>
      <c r="I917" s="168"/>
    </row>
    <row r="918" spans="2:9">
      <c r="B918" s="66" t="s">
        <v>482</v>
      </c>
      <c r="C918" s="66" t="s">
        <v>483</v>
      </c>
      <c r="D918" s="66" t="s">
        <v>384</v>
      </c>
      <c r="F918" s="91">
        <v>0.01</v>
      </c>
      <c r="I918" s="168"/>
    </row>
    <row r="919" spans="2:9">
      <c r="B919" s="66" t="s">
        <v>484</v>
      </c>
      <c r="C919" s="66" t="s">
        <v>485</v>
      </c>
      <c r="D919" s="66" t="s">
        <v>384</v>
      </c>
      <c r="F919" s="91">
        <v>5.0000000000000001E-3</v>
      </c>
      <c r="I919" s="168"/>
    </row>
    <row r="920" spans="2:9">
      <c r="B920" s="66" t="s">
        <v>486</v>
      </c>
      <c r="C920" s="66" t="s">
        <v>487</v>
      </c>
      <c r="D920" s="66" t="s">
        <v>1</v>
      </c>
      <c r="F920" s="91">
        <v>0.23300000000000001</v>
      </c>
      <c r="I920" s="168"/>
    </row>
    <row r="921" spans="2:9">
      <c r="B921" s="66" t="s">
        <v>488</v>
      </c>
      <c r="C921" s="66" t="s">
        <v>489</v>
      </c>
      <c r="D921" s="66" t="s">
        <v>384</v>
      </c>
      <c r="F921" s="91">
        <v>5.0000000000000001E-3</v>
      </c>
      <c r="I921" s="168"/>
    </row>
    <row r="922" spans="2:9">
      <c r="B922" s="66" t="s">
        <v>490</v>
      </c>
      <c r="C922" s="66" t="s">
        <v>491</v>
      </c>
      <c r="D922" s="66" t="s">
        <v>1</v>
      </c>
      <c r="F922" s="91">
        <v>0.36</v>
      </c>
      <c r="I922" s="168"/>
    </row>
    <row r="923" spans="2:9">
      <c r="I923" s="168"/>
    </row>
    <row r="924" spans="2:9">
      <c r="B924" s="97">
        <v>413100</v>
      </c>
      <c r="C924" s="66" t="s">
        <v>368</v>
      </c>
      <c r="D924" s="66" t="s">
        <v>340</v>
      </c>
      <c r="E924" s="83">
        <f>VLOOKUP(B924,SEZNAM_POUŽITÝCH_MEZD,4,FALSE)</f>
        <v>135</v>
      </c>
      <c r="F924" s="66">
        <v>7.0000000000000001E-3</v>
      </c>
      <c r="G924" s="66">
        <f>E924*F924</f>
        <v>0.94500000000000006</v>
      </c>
      <c r="I924" s="168"/>
    </row>
    <row r="925" spans="2:9">
      <c r="B925" s="97">
        <v>413300</v>
      </c>
      <c r="C925" s="66" t="s">
        <v>448</v>
      </c>
      <c r="D925" s="66" t="s">
        <v>340</v>
      </c>
      <c r="E925" s="83">
        <f>VLOOKUP(B925,SEZNAM_POUŽITÝCH_MEZD,4,FALSE)</f>
        <v>135</v>
      </c>
      <c r="F925" s="66">
        <v>0.55227500000000007</v>
      </c>
      <c r="G925" s="66">
        <f>E925*F925</f>
        <v>74.557125000000013</v>
      </c>
      <c r="I925" s="168"/>
    </row>
    <row r="926" spans="2:9">
      <c r="B926" s="97">
        <v>413306</v>
      </c>
      <c r="C926" s="66" t="s">
        <v>492</v>
      </c>
      <c r="D926" s="66" t="s">
        <v>340</v>
      </c>
      <c r="E926" s="83">
        <f>VLOOKUP(B926,SEZNAM_POUŽITÝCH_MEZD,4,FALSE)</f>
        <v>152</v>
      </c>
      <c r="F926" s="66">
        <v>1.4756400000000001</v>
      </c>
      <c r="G926" s="66">
        <f>E926*F926</f>
        <v>224.29728</v>
      </c>
      <c r="I926" s="168"/>
    </row>
    <row r="927" spans="2:9">
      <c r="E927" s="98">
        <f>ROUND(G927/F927,1)</f>
        <v>147.30000000000001</v>
      </c>
      <c r="F927" s="98">
        <f>SUM(F924:F926)</f>
        <v>2.0349150000000003</v>
      </c>
      <c r="G927" s="98">
        <f>SUM(G924:G926)</f>
        <v>299.79940499999998</v>
      </c>
      <c r="I927" s="168"/>
    </row>
    <row r="928" spans="2:9">
      <c r="I928" s="168"/>
    </row>
    <row r="929" spans="2:9">
      <c r="I929" s="168"/>
    </row>
    <row r="930" spans="2:9">
      <c r="B930" s="98">
        <v>766</v>
      </c>
      <c r="C930" s="98" t="s">
        <v>166</v>
      </c>
      <c r="D930" s="98" t="s">
        <v>0</v>
      </c>
      <c r="I930" s="168"/>
    </row>
    <row r="931" spans="2:9">
      <c r="I931" s="168"/>
    </row>
    <row r="932" spans="2:9">
      <c r="C932" s="66" t="s">
        <v>411</v>
      </c>
      <c r="I932" s="168"/>
    </row>
    <row r="933" spans="2:9">
      <c r="B933" s="66" t="s">
        <v>493</v>
      </c>
      <c r="C933" s="66" t="s">
        <v>494</v>
      </c>
      <c r="D933" s="66" t="s">
        <v>384</v>
      </c>
      <c r="F933" s="66">
        <v>0.5</v>
      </c>
      <c r="I933" s="168"/>
    </row>
    <row r="934" spans="2:9">
      <c r="B934" s="66" t="s">
        <v>495</v>
      </c>
      <c r="C934" s="66" t="s">
        <v>496</v>
      </c>
      <c r="D934" s="66" t="s">
        <v>384</v>
      </c>
      <c r="F934" s="66">
        <v>1</v>
      </c>
      <c r="I934" s="168"/>
    </row>
    <row r="935" spans="2:9">
      <c r="B935" s="66" t="s">
        <v>497</v>
      </c>
      <c r="C935" s="66" t="s">
        <v>498</v>
      </c>
      <c r="D935" s="66" t="s">
        <v>384</v>
      </c>
      <c r="F935" s="66">
        <v>1</v>
      </c>
      <c r="I935" s="168"/>
    </row>
    <row r="936" spans="2:9">
      <c r="B936" s="66" t="s">
        <v>499</v>
      </c>
      <c r="C936" s="66" t="s">
        <v>500</v>
      </c>
      <c r="D936" s="66" t="s">
        <v>384</v>
      </c>
      <c r="F936" s="66">
        <v>1</v>
      </c>
      <c r="I936" s="168"/>
    </row>
    <row r="937" spans="2:9">
      <c r="B937" s="66" t="s">
        <v>501</v>
      </c>
      <c r="C937" s="66" t="s">
        <v>502</v>
      </c>
      <c r="D937" s="66" t="s">
        <v>384</v>
      </c>
      <c r="F937" s="66">
        <v>1</v>
      </c>
      <c r="I937" s="168"/>
    </row>
    <row r="938" spans="2:9">
      <c r="I938" s="168"/>
    </row>
    <row r="939" spans="2:9">
      <c r="I939" s="168"/>
    </row>
    <row r="940" spans="2:9">
      <c r="B940" s="97">
        <v>412100</v>
      </c>
      <c r="C940" s="66" t="s">
        <v>394</v>
      </c>
      <c r="D940" s="66" t="s">
        <v>340</v>
      </c>
      <c r="E940" s="83">
        <f>VLOOKUP(B940,SEZNAM_POUŽITÝCH_MEZD,4,FALSE)</f>
        <v>135</v>
      </c>
      <c r="F940" s="66">
        <v>0.38135000000000002</v>
      </c>
      <c r="G940" s="66">
        <f>E940*F940</f>
        <v>51.482250000000001</v>
      </c>
      <c r="I940" s="168"/>
    </row>
    <row r="941" spans="2:9">
      <c r="B941" s="97">
        <v>413100</v>
      </c>
      <c r="C941" s="66" t="s">
        <v>368</v>
      </c>
      <c r="D941" s="66" t="s">
        <v>340</v>
      </c>
      <c r="E941" s="83">
        <f>VLOOKUP(B941,SEZNAM_POUŽITÝCH_MEZD,4,FALSE)</f>
        <v>135</v>
      </c>
      <c r="F941" s="66">
        <v>2.0500000000000001E-2</v>
      </c>
      <c r="G941" s="66">
        <f>E941*F941</f>
        <v>2.7675000000000001</v>
      </c>
      <c r="I941" s="168"/>
    </row>
    <row r="942" spans="2:9">
      <c r="B942" s="97">
        <v>422100</v>
      </c>
      <c r="C942" s="66" t="s">
        <v>503</v>
      </c>
      <c r="D942" s="66" t="s">
        <v>340</v>
      </c>
      <c r="E942" s="83">
        <f>VLOOKUP(B942,SEZNAM_POUŽITÝCH_MEZD,4,FALSE)</f>
        <v>135</v>
      </c>
      <c r="F942" s="66">
        <v>2.7944899999999997</v>
      </c>
      <c r="G942" s="66">
        <f>E942*F942</f>
        <v>377.25614999999993</v>
      </c>
      <c r="I942" s="168"/>
    </row>
    <row r="943" spans="2:9">
      <c r="B943" s="97">
        <v>422106</v>
      </c>
      <c r="C943" s="66" t="s">
        <v>504</v>
      </c>
      <c r="D943" s="66" t="s">
        <v>340</v>
      </c>
      <c r="E943" s="83">
        <f>VLOOKUP(B943,SEZNAM_POUŽITÝCH_MEZD,4,FALSE)</f>
        <v>152</v>
      </c>
      <c r="F943" s="66">
        <v>2.9935</v>
      </c>
      <c r="G943" s="66">
        <f>E943*F943</f>
        <v>455.012</v>
      </c>
      <c r="I943" s="168"/>
    </row>
    <row r="944" spans="2:9">
      <c r="E944" s="98">
        <f>ROUND(G944/F944,1)</f>
        <v>143.19999999999999</v>
      </c>
      <c r="F944" s="98">
        <f>SUM(F940:F943)</f>
        <v>6.1898400000000002</v>
      </c>
      <c r="G944" s="98">
        <f>SUM(G940:G943)</f>
        <v>886.51789999999994</v>
      </c>
      <c r="I944" s="168"/>
    </row>
    <row r="945" spans="2:9">
      <c r="I945" s="168"/>
    </row>
    <row r="946" spans="2:9">
      <c r="I946" s="168"/>
    </row>
    <row r="947" spans="2:9">
      <c r="B947" s="98">
        <v>767</v>
      </c>
      <c r="C947" s="98" t="s">
        <v>167</v>
      </c>
      <c r="D947" s="98" t="s">
        <v>0</v>
      </c>
      <c r="I947" s="168"/>
    </row>
    <row r="948" spans="2:9">
      <c r="D948" s="91"/>
      <c r="I948" s="168"/>
    </row>
    <row r="949" spans="2:9">
      <c r="C949" s="66" t="s">
        <v>411</v>
      </c>
      <c r="D949" s="91"/>
      <c r="I949" s="168"/>
    </row>
    <row r="950" spans="2:9">
      <c r="B950" s="66" t="s">
        <v>505</v>
      </c>
      <c r="C950" s="66" t="s">
        <v>506</v>
      </c>
      <c r="D950" s="91" t="s">
        <v>273</v>
      </c>
      <c r="F950" s="66">
        <v>1</v>
      </c>
      <c r="I950" s="168"/>
    </row>
    <row r="951" spans="2:9">
      <c r="B951" s="66" t="s">
        <v>507</v>
      </c>
      <c r="C951" s="66" t="s">
        <v>508</v>
      </c>
      <c r="D951" s="91" t="s">
        <v>384</v>
      </c>
      <c r="F951" s="91">
        <v>0.2</v>
      </c>
      <c r="I951" s="168"/>
    </row>
    <row r="952" spans="2:9">
      <c r="B952" s="66" t="s">
        <v>509</v>
      </c>
      <c r="C952" s="66" t="s">
        <v>510</v>
      </c>
      <c r="D952" s="91" t="s">
        <v>1</v>
      </c>
      <c r="F952" s="91">
        <v>0.25</v>
      </c>
      <c r="I952" s="168"/>
    </row>
    <row r="953" spans="2:9">
      <c r="B953" s="66" t="s">
        <v>511</v>
      </c>
      <c r="C953" s="66" t="s">
        <v>512</v>
      </c>
      <c r="D953" s="91" t="s">
        <v>1</v>
      </c>
      <c r="F953" s="91">
        <v>0.5</v>
      </c>
      <c r="I953" s="168"/>
    </row>
    <row r="954" spans="2:9">
      <c r="B954" s="66" t="s">
        <v>513</v>
      </c>
      <c r="C954" s="66" t="s">
        <v>514</v>
      </c>
      <c r="D954" s="91" t="s">
        <v>0</v>
      </c>
      <c r="F954" s="91">
        <v>0.2</v>
      </c>
      <c r="I954" s="168"/>
    </row>
    <row r="955" spans="2:9">
      <c r="B955" s="66" t="s">
        <v>515</v>
      </c>
      <c r="C955" s="66" t="s">
        <v>516</v>
      </c>
      <c r="D955" s="91" t="s">
        <v>0</v>
      </c>
      <c r="F955" s="91">
        <v>0.8</v>
      </c>
      <c r="I955" s="168"/>
    </row>
    <row r="956" spans="2:9">
      <c r="B956" s="66" t="s">
        <v>517</v>
      </c>
      <c r="C956" s="66" t="s">
        <v>518</v>
      </c>
      <c r="D956" s="91" t="s">
        <v>384</v>
      </c>
      <c r="F956" s="91">
        <v>0.1</v>
      </c>
      <c r="I956" s="168"/>
    </row>
    <row r="957" spans="2:9">
      <c r="B957" s="66" t="s">
        <v>519</v>
      </c>
      <c r="C957" s="66" t="s">
        <v>520</v>
      </c>
      <c r="D957" s="66" t="s">
        <v>0</v>
      </c>
      <c r="F957" s="91">
        <v>1</v>
      </c>
      <c r="I957" s="168"/>
    </row>
    <row r="958" spans="2:9">
      <c r="B958" s="66" t="s">
        <v>521</v>
      </c>
      <c r="C958" s="66" t="s">
        <v>522</v>
      </c>
      <c r="D958" s="66" t="s">
        <v>0</v>
      </c>
      <c r="F958" s="91">
        <v>1</v>
      </c>
      <c r="I958" s="168"/>
    </row>
    <row r="959" spans="2:9">
      <c r="F959" s="91"/>
      <c r="I959" s="168"/>
    </row>
    <row r="960" spans="2:9">
      <c r="B960" s="97">
        <v>412100</v>
      </c>
      <c r="C960" s="66" t="s">
        <v>394</v>
      </c>
      <c r="D960" s="66" t="s">
        <v>340</v>
      </c>
      <c r="E960" s="83">
        <f t="shared" ref="E960:E965" si="72">VLOOKUP(B960,SEZNAM_POUŽITÝCH_MEZD,4,FALSE)</f>
        <v>135</v>
      </c>
      <c r="F960" s="66">
        <v>0.27600000000000002</v>
      </c>
      <c r="G960" s="66">
        <f t="shared" ref="G960:G965" si="73">E960*F960</f>
        <v>37.260000000000005</v>
      </c>
      <c r="I960" s="168"/>
    </row>
    <row r="961" spans="2:9">
      <c r="B961" s="97">
        <v>412200</v>
      </c>
      <c r="C961" s="66" t="s">
        <v>364</v>
      </c>
      <c r="D961" s="66" t="s">
        <v>340</v>
      </c>
      <c r="E961" s="83">
        <f t="shared" si="72"/>
        <v>135</v>
      </c>
      <c r="F961" s="66">
        <v>8.0000000000000002E-3</v>
      </c>
      <c r="G961" s="66">
        <f t="shared" si="73"/>
        <v>1.08</v>
      </c>
      <c r="I961" s="168"/>
    </row>
    <row r="962" spans="2:9">
      <c r="B962" s="97">
        <v>412910</v>
      </c>
      <c r="C962" s="66" t="s">
        <v>523</v>
      </c>
      <c r="D962" s="66" t="s">
        <v>340</v>
      </c>
      <c r="E962" s="83">
        <f t="shared" si="72"/>
        <v>135</v>
      </c>
      <c r="F962" s="66">
        <v>9.1999999999999998E-2</v>
      </c>
      <c r="G962" s="66">
        <f t="shared" si="73"/>
        <v>12.42</v>
      </c>
      <c r="I962" s="168"/>
    </row>
    <row r="963" spans="2:9">
      <c r="B963" s="97">
        <v>419125</v>
      </c>
      <c r="C963" s="66" t="s">
        <v>524</v>
      </c>
      <c r="D963" s="66" t="s">
        <v>340</v>
      </c>
      <c r="E963" s="83">
        <f t="shared" si="72"/>
        <v>135</v>
      </c>
      <c r="F963" s="66">
        <v>9.1999999999999998E-2</v>
      </c>
      <c r="G963" s="66">
        <f t="shared" si="73"/>
        <v>12.42</v>
      </c>
      <c r="I963" s="168"/>
    </row>
    <row r="964" spans="2:9">
      <c r="B964" s="97">
        <v>421206</v>
      </c>
      <c r="C964" s="66" t="s">
        <v>387</v>
      </c>
      <c r="D964" s="66" t="s">
        <v>340</v>
      </c>
      <c r="E964" s="83">
        <f t="shared" si="72"/>
        <v>152</v>
      </c>
      <c r="F964" s="66">
        <v>2.6884999999999999</v>
      </c>
      <c r="G964" s="66">
        <f t="shared" si="73"/>
        <v>408.65199999999999</v>
      </c>
      <c r="I964" s="168"/>
    </row>
    <row r="965" spans="2:9">
      <c r="B965" s="97">
        <v>510007</v>
      </c>
      <c r="C965" s="66" t="s">
        <v>356</v>
      </c>
      <c r="D965" s="66" t="s">
        <v>340</v>
      </c>
      <c r="E965" s="83">
        <f t="shared" si="72"/>
        <v>170</v>
      </c>
      <c r="F965" s="66">
        <v>8.0000000000000002E-3</v>
      </c>
      <c r="G965" s="66">
        <f t="shared" si="73"/>
        <v>1.36</v>
      </c>
      <c r="I965" s="168"/>
    </row>
    <row r="966" spans="2:9">
      <c r="E966" s="98">
        <f>ROUND(G966/F966,1)</f>
        <v>149.5</v>
      </c>
      <c r="F966" s="98">
        <f>SUM(F960:F965)</f>
        <v>3.1644999999999999</v>
      </c>
      <c r="G966" s="98">
        <f>SUM(G960:G965)</f>
        <v>473.19200000000001</v>
      </c>
      <c r="I966" s="168"/>
    </row>
    <row r="967" spans="2:9">
      <c r="I967" s="168"/>
    </row>
    <row r="968" spans="2:9">
      <c r="I968" s="168"/>
    </row>
    <row r="969" spans="2:9">
      <c r="B969" s="98">
        <v>771</v>
      </c>
      <c r="C969" s="98" t="s">
        <v>33</v>
      </c>
      <c r="D969" s="98" t="s">
        <v>0</v>
      </c>
      <c r="I969" s="168"/>
    </row>
    <row r="970" spans="2:9">
      <c r="I970" s="168"/>
    </row>
    <row r="971" spans="2:9">
      <c r="B971" s="97">
        <v>422306</v>
      </c>
      <c r="C971" s="66" t="s">
        <v>525</v>
      </c>
      <c r="D971" s="66" t="s">
        <v>340</v>
      </c>
      <c r="E971" s="100">
        <f>VLOOKUP(B971,SEZNAM_POUŽITÝCH_MEZD,4,FALSE)</f>
        <v>152</v>
      </c>
      <c r="I971" s="168"/>
    </row>
    <row r="972" spans="2:9">
      <c r="I972" s="168"/>
    </row>
    <row r="973" spans="2:9">
      <c r="I973" s="168"/>
    </row>
    <row r="974" spans="2:9">
      <c r="B974" s="98">
        <v>772</v>
      </c>
      <c r="C974" s="98" t="s">
        <v>526</v>
      </c>
      <c r="D974" s="98" t="s">
        <v>0</v>
      </c>
      <c r="I974" s="168"/>
    </row>
    <row r="975" spans="2:9">
      <c r="I975" s="168"/>
    </row>
    <row r="976" spans="2:9">
      <c r="B976" s="97">
        <v>348007</v>
      </c>
      <c r="C976" s="66" t="s">
        <v>527</v>
      </c>
      <c r="D976" s="66" t="s">
        <v>340</v>
      </c>
      <c r="E976" s="83">
        <f>VLOOKUP(B976,SEZNAM_POUŽITÝCH_MEZD,4,FALSE)</f>
        <v>170</v>
      </c>
      <c r="F976" s="66">
        <v>0.65900000000000003</v>
      </c>
      <c r="G976" s="66">
        <f>E976*F976</f>
        <v>112.03</v>
      </c>
      <c r="I976" s="168"/>
    </row>
    <row r="977" spans="2:9">
      <c r="B977" s="97">
        <v>419000</v>
      </c>
      <c r="C977" s="66" t="s">
        <v>350</v>
      </c>
      <c r="D977" s="66" t="s">
        <v>340</v>
      </c>
      <c r="E977" s="83">
        <f>VLOOKUP(B977,SEZNAM_POUŽITÝCH_MEZD,4,FALSE)</f>
        <v>135</v>
      </c>
      <c r="F977" s="66">
        <v>0.33</v>
      </c>
      <c r="G977" s="66">
        <f>E977*F977</f>
        <v>44.550000000000004</v>
      </c>
      <c r="I977" s="168"/>
    </row>
    <row r="978" spans="2:9">
      <c r="E978" s="98">
        <f>ROUND(G978/F978,1)</f>
        <v>158.30000000000001</v>
      </c>
      <c r="F978" s="98">
        <f>SUM(F976:F977)</f>
        <v>0.9890000000000001</v>
      </c>
      <c r="G978" s="98">
        <f>SUM(G976:G977)</f>
        <v>156.58000000000001</v>
      </c>
      <c r="I978" s="168"/>
    </row>
    <row r="979" spans="2:9">
      <c r="I979" s="168"/>
    </row>
    <row r="980" spans="2:9">
      <c r="I980" s="168"/>
    </row>
    <row r="981" spans="2:9">
      <c r="B981" s="98">
        <v>773</v>
      </c>
      <c r="C981" s="98" t="s">
        <v>169</v>
      </c>
      <c r="D981" s="98" t="s">
        <v>0</v>
      </c>
      <c r="I981" s="168"/>
    </row>
    <row r="982" spans="2:9">
      <c r="I982" s="168"/>
    </row>
    <row r="983" spans="2:9">
      <c r="B983" s="97">
        <v>412176</v>
      </c>
      <c r="C983" s="66" t="s">
        <v>528</v>
      </c>
      <c r="D983" s="66" t="s">
        <v>340</v>
      </c>
      <c r="E983" s="100">
        <f>VLOOKUP(B983,SEZNAM_POUŽITÝCH_MEZD,4,FALSE)</f>
        <v>152</v>
      </c>
      <c r="I983" s="168"/>
    </row>
    <row r="984" spans="2:9">
      <c r="I984" s="168"/>
    </row>
    <row r="985" spans="2:9">
      <c r="I985" s="168"/>
    </row>
    <row r="986" spans="2:9">
      <c r="B986" s="98">
        <v>775</v>
      </c>
      <c r="C986" s="98" t="s">
        <v>529</v>
      </c>
      <c r="D986" s="98" t="s">
        <v>0</v>
      </c>
      <c r="I986" s="168"/>
    </row>
    <row r="987" spans="2:9">
      <c r="I987" s="168"/>
    </row>
    <row r="988" spans="2:9">
      <c r="B988" s="97">
        <v>422406</v>
      </c>
      <c r="C988" s="66" t="s">
        <v>530</v>
      </c>
      <c r="D988" s="66" t="s">
        <v>340</v>
      </c>
      <c r="E988" s="100">
        <f>VLOOKUP(B988,SEZNAM_POUŽITÝCH_MEZD,4,FALSE)</f>
        <v>152</v>
      </c>
      <c r="I988" s="168"/>
    </row>
    <row r="989" spans="2:9">
      <c r="I989" s="168"/>
    </row>
    <row r="990" spans="2:9">
      <c r="I990" s="168"/>
    </row>
    <row r="991" spans="2:9">
      <c r="B991" s="98">
        <v>776</v>
      </c>
      <c r="C991" s="98" t="s">
        <v>531</v>
      </c>
      <c r="D991" s="98" t="s">
        <v>0</v>
      </c>
      <c r="I991" s="168"/>
    </row>
    <row r="992" spans="2:9">
      <c r="I992" s="168"/>
    </row>
    <row r="993" spans="2:9">
      <c r="B993" s="97">
        <v>422400</v>
      </c>
      <c r="C993" s="66" t="s">
        <v>532</v>
      </c>
      <c r="D993" s="66" t="s">
        <v>340</v>
      </c>
      <c r="E993" s="100">
        <f>VLOOKUP(B993,SEZNAM_POUŽITÝCH_MEZD,4,FALSE)</f>
        <v>135</v>
      </c>
      <c r="I993" s="168"/>
    </row>
    <row r="994" spans="2:9">
      <c r="I994" s="168"/>
    </row>
    <row r="995" spans="2:9">
      <c r="I995" s="168"/>
    </row>
    <row r="996" spans="2:9">
      <c r="I996" s="168"/>
    </row>
    <row r="997" spans="2:9">
      <c r="B997" s="98">
        <v>777</v>
      </c>
      <c r="C997" s="98" t="s">
        <v>37</v>
      </c>
      <c r="D997" s="98" t="s">
        <v>0</v>
      </c>
      <c r="I997" s="168"/>
    </row>
    <row r="998" spans="2:9">
      <c r="I998" s="168"/>
    </row>
    <row r="999" spans="2:9">
      <c r="B999" s="97">
        <v>422406</v>
      </c>
      <c r="C999" s="66" t="s">
        <v>530</v>
      </c>
      <c r="D999" s="66" t="s">
        <v>340</v>
      </c>
      <c r="E999" s="100">
        <f>VLOOKUP(B999,SEZNAM_POUŽITÝCH_MEZD,4,FALSE)</f>
        <v>152</v>
      </c>
      <c r="I999" s="168"/>
    </row>
    <row r="1000" spans="2:9">
      <c r="I1000" s="168"/>
    </row>
    <row r="1001" spans="2:9">
      <c r="I1001" s="168"/>
    </row>
    <row r="1002" spans="2:9">
      <c r="B1002" s="98">
        <v>781</v>
      </c>
      <c r="C1002" s="98" t="s">
        <v>171</v>
      </c>
      <c r="D1002" s="98" t="s">
        <v>0</v>
      </c>
      <c r="I1002" s="168"/>
    </row>
    <row r="1003" spans="2:9">
      <c r="I1003" s="168"/>
    </row>
    <row r="1004" spans="2:9">
      <c r="B1004" s="97">
        <v>413100</v>
      </c>
      <c r="C1004" s="66" t="s">
        <v>368</v>
      </c>
      <c r="D1004" s="66" t="s">
        <v>340</v>
      </c>
      <c r="E1004" s="83">
        <f>VLOOKUP(B1004,SEZNAM_POUŽITÝCH_MEZD,4,FALSE)</f>
        <v>135</v>
      </c>
      <c r="F1004" s="66">
        <v>1.7999999999999999E-2</v>
      </c>
      <c r="G1004" s="66">
        <f>E1004*F1004</f>
        <v>2.4299999999999997</v>
      </c>
      <c r="I1004" s="168"/>
    </row>
    <row r="1005" spans="2:9">
      <c r="B1005" s="97">
        <v>422307</v>
      </c>
      <c r="C1005" s="66" t="s">
        <v>533</v>
      </c>
      <c r="D1005" s="66" t="s">
        <v>340</v>
      </c>
      <c r="E1005" s="83">
        <f>VLOOKUP(B1005,SEZNAM_POUŽITÝCH_MEZD,4,FALSE)</f>
        <v>170</v>
      </c>
      <c r="F1005" s="66">
        <v>0.109</v>
      </c>
      <c r="G1005" s="66">
        <f>E1005*F1005</f>
        <v>18.53</v>
      </c>
      <c r="I1005" s="168"/>
    </row>
    <row r="1006" spans="2:9">
      <c r="B1006" s="97">
        <v>422306</v>
      </c>
      <c r="C1006" s="66" t="s">
        <v>525</v>
      </c>
      <c r="D1006" s="66" t="s">
        <v>340</v>
      </c>
      <c r="E1006" s="83">
        <f>VLOOKUP(B1006,SEZNAM_POUŽITÝCH_MEZD,4,FALSE)</f>
        <v>152</v>
      </c>
      <c r="F1006" s="66">
        <v>1.0409999999999999</v>
      </c>
      <c r="G1006" s="66">
        <f>E1006*F1006</f>
        <v>158.232</v>
      </c>
      <c r="I1006" s="168"/>
    </row>
    <row r="1007" spans="2:9">
      <c r="E1007" s="98">
        <f>ROUND(G1007/F1007,1)</f>
        <v>153.4</v>
      </c>
      <c r="F1007" s="98">
        <f>SUM(F1004:F1006)</f>
        <v>1.1679999999999999</v>
      </c>
      <c r="G1007" s="98">
        <f>SUM(G1004:G1006)</f>
        <v>179.19200000000001</v>
      </c>
      <c r="I1007" s="168"/>
    </row>
    <row r="1008" spans="2:9">
      <c r="I1008" s="168"/>
    </row>
    <row r="1009" spans="2:9">
      <c r="I1009" s="168"/>
    </row>
    <row r="1010" spans="2:9">
      <c r="I1010" s="168"/>
    </row>
    <row r="1011" spans="2:9">
      <c r="B1011" s="98">
        <v>782</v>
      </c>
      <c r="C1011" s="98" t="s">
        <v>172</v>
      </c>
      <c r="D1011" s="98" t="s">
        <v>0</v>
      </c>
      <c r="I1011" s="168"/>
    </row>
    <row r="1012" spans="2:9">
      <c r="I1012" s="168"/>
    </row>
    <row r="1013" spans="2:9">
      <c r="I1013" s="168"/>
    </row>
    <row r="1014" spans="2:9">
      <c r="B1014" s="97">
        <v>348008</v>
      </c>
      <c r="C1014" s="66" t="s">
        <v>534</v>
      </c>
      <c r="D1014" s="66" t="s">
        <v>340</v>
      </c>
      <c r="E1014" s="83">
        <f>VLOOKUP(B1014,SEZNAM_POUŽITÝCH_MEZD,4,FALSE)</f>
        <v>185</v>
      </c>
      <c r="F1014" s="66">
        <v>1.81</v>
      </c>
      <c r="G1014" s="66">
        <f>E1014*F1014</f>
        <v>334.85</v>
      </c>
      <c r="I1014" s="168"/>
    </row>
    <row r="1015" spans="2:9">
      <c r="B1015" s="97">
        <v>419000</v>
      </c>
      <c r="C1015" s="66" t="s">
        <v>350</v>
      </c>
      <c r="D1015" s="66" t="s">
        <v>340</v>
      </c>
      <c r="E1015" s="83">
        <f>VLOOKUP(B1015,SEZNAM_POUŽITÝCH_MEZD,4,FALSE)</f>
        <v>135</v>
      </c>
      <c r="F1015" s="66">
        <v>0.90500000000000003</v>
      </c>
      <c r="G1015" s="66">
        <f>E1015*F1015</f>
        <v>122.175</v>
      </c>
      <c r="I1015" s="168"/>
    </row>
    <row r="1016" spans="2:9">
      <c r="E1016" s="98">
        <f>ROUND(G1016/F1016,1)</f>
        <v>168.3</v>
      </c>
      <c r="F1016" s="98">
        <f>SUM(F1014:F1015)</f>
        <v>2.7149999999999999</v>
      </c>
      <c r="G1016" s="98">
        <f>SUM(G1014:G1015)</f>
        <v>457.02500000000003</v>
      </c>
      <c r="I1016" s="168"/>
    </row>
    <row r="1017" spans="2:9">
      <c r="I1017" s="168"/>
    </row>
    <row r="1018" spans="2:9">
      <c r="I1018" s="168"/>
    </row>
    <row r="1019" spans="2:9">
      <c r="I1019" s="168"/>
    </row>
    <row r="1020" spans="2:9">
      <c r="B1020" s="98">
        <v>783</v>
      </c>
      <c r="C1020" s="98" t="s">
        <v>535</v>
      </c>
      <c r="D1020" s="98" t="s">
        <v>0</v>
      </c>
      <c r="I1020" s="168"/>
    </row>
    <row r="1021" spans="2:9">
      <c r="I1021" s="168"/>
    </row>
    <row r="1022" spans="2:9">
      <c r="B1022" s="97">
        <v>413100</v>
      </c>
      <c r="C1022" s="66" t="s">
        <v>368</v>
      </c>
      <c r="D1022" s="66" t="s">
        <v>340</v>
      </c>
      <c r="E1022" s="83">
        <f>VLOOKUP(B1022,SEZNAM_POUŽITÝCH_MEZD,4,FALSE)</f>
        <v>135</v>
      </c>
      <c r="F1022" s="66">
        <v>8.9999999999999993E-3</v>
      </c>
      <c r="G1022" s="66">
        <f>E1022*F1022</f>
        <v>1.2149999999999999</v>
      </c>
      <c r="I1022" s="168"/>
    </row>
    <row r="1023" spans="2:9">
      <c r="B1023" s="97">
        <v>422604</v>
      </c>
      <c r="C1023" s="66" t="s">
        <v>441</v>
      </c>
      <c r="D1023" s="66" t="s">
        <v>340</v>
      </c>
      <c r="E1023" s="83">
        <f>VLOOKUP(B1023,SEZNAM_POUŽITÝCH_MEZD,4,FALSE)</f>
        <v>120</v>
      </c>
      <c r="F1023" s="66">
        <v>9.5000000000000001E-2</v>
      </c>
      <c r="G1023" s="66">
        <f>E1023*F1023</f>
        <v>11.4</v>
      </c>
      <c r="I1023" s="168"/>
    </row>
    <row r="1024" spans="2:9">
      <c r="B1024" s="97">
        <v>422606</v>
      </c>
      <c r="C1024" s="66" t="s">
        <v>536</v>
      </c>
      <c r="D1024" s="66" t="s">
        <v>340</v>
      </c>
      <c r="E1024" s="83">
        <f>VLOOKUP(B1024,SEZNAM_POUŽITÝCH_MEZD,4,FALSE)</f>
        <v>152</v>
      </c>
      <c r="F1024" s="66">
        <v>0.89900000000000002</v>
      </c>
      <c r="G1024" s="66">
        <f>E1024*F1024</f>
        <v>136.648</v>
      </c>
      <c r="I1024" s="168"/>
    </row>
    <row r="1025" spans="2:9">
      <c r="E1025" s="98">
        <f>ROUND(G1025/F1025,1)</f>
        <v>148.80000000000001</v>
      </c>
      <c r="F1025" s="98">
        <f>SUM(F1022:F1024)</f>
        <v>1.0030000000000001</v>
      </c>
      <c r="G1025" s="98">
        <f>SUM(G1022:G1024)</f>
        <v>149.26300000000001</v>
      </c>
      <c r="I1025" s="168"/>
    </row>
    <row r="1026" spans="2:9">
      <c r="I1026" s="168"/>
    </row>
    <row r="1027" spans="2:9">
      <c r="I1027" s="168"/>
    </row>
    <row r="1028" spans="2:9">
      <c r="B1028" s="98">
        <v>784</v>
      </c>
      <c r="C1028" s="98" t="s">
        <v>537</v>
      </c>
      <c r="D1028" s="98" t="s">
        <v>0</v>
      </c>
      <c r="I1028" s="168"/>
    </row>
    <row r="1029" spans="2:9">
      <c r="I1029" s="168"/>
    </row>
    <row r="1030" spans="2:9">
      <c r="B1030" s="97">
        <v>422600</v>
      </c>
      <c r="C1030" s="66" t="s">
        <v>372</v>
      </c>
      <c r="D1030" s="66" t="s">
        <v>340</v>
      </c>
      <c r="E1030" s="100">
        <f>VLOOKUP(B1030,SEZNAM_POUŽITÝCH_MEZD,4,FALSE)</f>
        <v>147</v>
      </c>
      <c r="I1030" s="168"/>
    </row>
    <row r="1031" spans="2:9">
      <c r="I1031" s="168"/>
    </row>
    <row r="1032" spans="2:9">
      <c r="I1032" s="168"/>
    </row>
    <row r="1033" spans="2:9">
      <c r="B1033" s="69">
        <v>787</v>
      </c>
      <c r="C1033" s="69" t="s">
        <v>174</v>
      </c>
      <c r="I1033" s="168"/>
    </row>
    <row r="1034" spans="2:9">
      <c r="I1034" s="168"/>
    </row>
    <row r="1035" spans="2:9">
      <c r="B1035" s="97">
        <v>422500</v>
      </c>
      <c r="C1035" s="66" t="s">
        <v>538</v>
      </c>
      <c r="D1035" s="66" t="s">
        <v>340</v>
      </c>
      <c r="E1035" s="100">
        <f>VLOOKUP(B1035,SEZNAM_POUŽITÝCH_MEZD,4,FALSE)</f>
        <v>135</v>
      </c>
      <c r="I1035" s="168"/>
    </row>
    <row r="1036" spans="2:9">
      <c r="I1036" s="168"/>
    </row>
    <row r="1037" spans="2:9">
      <c r="I1037" s="168"/>
    </row>
    <row r="1038" spans="2:9">
      <c r="I1038" s="168"/>
    </row>
    <row r="1039" spans="2:9">
      <c r="I1039" s="168"/>
    </row>
    <row r="1040" spans="2:9">
      <c r="B1040" s="98">
        <v>721</v>
      </c>
      <c r="C1040" s="98" t="s">
        <v>539</v>
      </c>
      <c r="D1040" s="98" t="s">
        <v>1</v>
      </c>
      <c r="I1040" s="168"/>
    </row>
    <row r="1041" spans="2:9">
      <c r="I1041" s="168"/>
    </row>
    <row r="1042" spans="2:9">
      <c r="B1042" s="97">
        <v>421306</v>
      </c>
      <c r="C1042" s="66" t="s">
        <v>467</v>
      </c>
      <c r="D1042" s="66" t="s">
        <v>340</v>
      </c>
      <c r="E1042" s="83">
        <f>VLOOKUP(B1042,SEZNAM_POUŽITÝCH_MEZD,4,FALSE)</f>
        <v>152</v>
      </c>
      <c r="F1042" s="66">
        <v>0.78800000000000003</v>
      </c>
      <c r="G1042" s="66">
        <f>E1042*F1042</f>
        <v>119.77600000000001</v>
      </c>
      <c r="I1042" s="168"/>
    </row>
    <row r="1043" spans="2:9">
      <c r="B1043" s="97">
        <v>413100</v>
      </c>
      <c r="C1043" s="66" t="s">
        <v>368</v>
      </c>
      <c r="D1043" s="66" t="s">
        <v>340</v>
      </c>
      <c r="E1043" s="83">
        <f>VLOOKUP(B1043,SEZNAM_POUŽITÝCH_MEZD,4,FALSE)</f>
        <v>135</v>
      </c>
      <c r="F1043" s="66">
        <v>8.9999999999999993E-3</v>
      </c>
      <c r="G1043" s="66">
        <f>E1043*F1043</f>
        <v>1.2149999999999999</v>
      </c>
      <c r="I1043" s="168"/>
    </row>
    <row r="1044" spans="2:9">
      <c r="E1044" s="98">
        <f>ROUND(G1044/F1044,1)</f>
        <v>151.80000000000001</v>
      </c>
      <c r="F1044" s="98">
        <f>SUM(F1042:F1043)</f>
        <v>0.79700000000000004</v>
      </c>
      <c r="G1044" s="98">
        <f>SUM(G1042:G1043)</f>
        <v>120.99100000000001</v>
      </c>
      <c r="I1044" s="168"/>
    </row>
    <row r="1045" spans="2:9">
      <c r="I1045" s="168"/>
    </row>
    <row r="1046" spans="2:9">
      <c r="I1046" s="168"/>
    </row>
    <row r="1047" spans="2:9">
      <c r="B1047" s="98">
        <v>722</v>
      </c>
      <c r="C1047" s="98" t="s">
        <v>59</v>
      </c>
      <c r="D1047" s="98" t="s">
        <v>1</v>
      </c>
      <c r="I1047" s="168"/>
    </row>
    <row r="1048" spans="2:9">
      <c r="I1048" s="168"/>
    </row>
    <row r="1049" spans="2:9">
      <c r="C1049" s="66" t="s">
        <v>411</v>
      </c>
      <c r="I1049" s="168"/>
    </row>
    <row r="1050" spans="2:9">
      <c r="B1050" s="66" t="s">
        <v>540</v>
      </c>
      <c r="C1050" s="66" t="s">
        <v>541</v>
      </c>
      <c r="I1050" s="168"/>
    </row>
    <row r="1051" spans="2:9">
      <c r="B1051" s="66" t="s">
        <v>542</v>
      </c>
      <c r="C1051" s="66" t="s">
        <v>543</v>
      </c>
      <c r="D1051" s="66" t="s">
        <v>1</v>
      </c>
      <c r="I1051" s="168"/>
    </row>
    <row r="1052" spans="2:9">
      <c r="I1052" s="168"/>
    </row>
    <row r="1053" spans="2:9">
      <c r="B1053" s="97">
        <v>412100</v>
      </c>
      <c r="C1053" s="66" t="s">
        <v>394</v>
      </c>
      <c r="D1053" s="66" t="s">
        <v>340</v>
      </c>
      <c r="E1053" s="83">
        <f t="shared" ref="E1053:E1058" si="74">VLOOKUP(B1053,SEZNAM_POUŽITÝCH_MEZD,4,FALSE)</f>
        <v>135</v>
      </c>
      <c r="F1053" s="66">
        <v>5.6000000000000001E-2</v>
      </c>
      <c r="G1053" s="66">
        <f t="shared" ref="G1053:G1058" si="75">E1053*F1053</f>
        <v>7.5600000000000005</v>
      </c>
      <c r="I1053" s="168"/>
    </row>
    <row r="1054" spans="2:9">
      <c r="B1054" s="97">
        <v>413100</v>
      </c>
      <c r="C1054" s="66" t="s">
        <v>368</v>
      </c>
      <c r="D1054" s="66" t="s">
        <v>340</v>
      </c>
      <c r="E1054" s="83">
        <f t="shared" si="74"/>
        <v>135</v>
      </c>
      <c r="F1054" s="66">
        <v>3.2000000000000001E-2</v>
      </c>
      <c r="G1054" s="66">
        <f t="shared" si="75"/>
        <v>4.32</v>
      </c>
      <c r="I1054" s="168"/>
    </row>
    <row r="1055" spans="2:9">
      <c r="B1055" s="97">
        <v>419004</v>
      </c>
      <c r="C1055" s="66" t="s">
        <v>343</v>
      </c>
      <c r="D1055" s="66" t="s">
        <v>340</v>
      </c>
      <c r="E1055" s="83">
        <f t="shared" si="74"/>
        <v>120</v>
      </c>
      <c r="F1055" s="66">
        <v>0.32300000000000001</v>
      </c>
      <c r="G1055" s="66">
        <f t="shared" si="75"/>
        <v>38.76</v>
      </c>
      <c r="I1055" s="168"/>
    </row>
    <row r="1056" spans="2:9">
      <c r="B1056" s="97">
        <v>421306</v>
      </c>
      <c r="C1056" s="66" t="s">
        <v>467</v>
      </c>
      <c r="D1056" s="66" t="s">
        <v>340</v>
      </c>
      <c r="E1056" s="83">
        <f t="shared" si="74"/>
        <v>152</v>
      </c>
      <c r="F1056" s="66">
        <v>7.0000000000000007E-2</v>
      </c>
      <c r="G1056" s="66">
        <f t="shared" si="75"/>
        <v>10.64</v>
      </c>
      <c r="I1056" s="168"/>
    </row>
    <row r="1057" spans="2:9">
      <c r="B1057" s="97">
        <v>421307</v>
      </c>
      <c r="C1057" s="66" t="s">
        <v>544</v>
      </c>
      <c r="D1057" s="66" t="s">
        <v>340</v>
      </c>
      <c r="E1057" s="83">
        <f t="shared" si="74"/>
        <v>170</v>
      </c>
      <c r="F1057" s="66">
        <v>0.6359999999999999</v>
      </c>
      <c r="G1057" s="66">
        <f t="shared" si="75"/>
        <v>108.11999999999998</v>
      </c>
      <c r="I1057" s="168"/>
    </row>
    <row r="1058" spans="2:9">
      <c r="B1058" s="97">
        <v>421308</v>
      </c>
      <c r="C1058" s="66" t="s">
        <v>545</v>
      </c>
      <c r="D1058" s="66" t="s">
        <v>340</v>
      </c>
      <c r="E1058" s="83">
        <f t="shared" si="74"/>
        <v>185</v>
      </c>
      <c r="F1058" s="66">
        <v>5.7000000000000002E-2</v>
      </c>
      <c r="G1058" s="66">
        <f t="shared" si="75"/>
        <v>10.545</v>
      </c>
      <c r="I1058" s="168"/>
    </row>
    <row r="1059" spans="2:9">
      <c r="E1059" s="98">
        <f>ROUND(G1059/F1059,1)</f>
        <v>153.30000000000001</v>
      </c>
      <c r="F1059" s="98">
        <f>SUM(F1053:F1058)</f>
        <v>1.1739999999999999</v>
      </c>
      <c r="G1059" s="98">
        <f>SUM(G1053:G1058)</f>
        <v>179.94499999999996</v>
      </c>
      <c r="I1059" s="168"/>
    </row>
    <row r="1060" spans="2:9">
      <c r="I1060" s="168"/>
    </row>
    <row r="1061" spans="2:9">
      <c r="I1061" s="168"/>
    </row>
    <row r="1062" spans="2:9">
      <c r="I1062" s="168"/>
    </row>
    <row r="1063" spans="2:9">
      <c r="B1063" s="98">
        <v>723</v>
      </c>
      <c r="C1063" s="98" t="s">
        <v>110</v>
      </c>
      <c r="D1063" s="98" t="s">
        <v>1</v>
      </c>
      <c r="I1063" s="168"/>
    </row>
    <row r="1064" spans="2:9">
      <c r="I1064" s="168"/>
    </row>
    <row r="1065" spans="2:9">
      <c r="I1065" s="168"/>
    </row>
    <row r="1066" spans="2:9">
      <c r="B1066" s="97">
        <v>412100</v>
      </c>
      <c r="C1066" s="66" t="s">
        <v>394</v>
      </c>
      <c r="D1066" s="66" t="s">
        <v>340</v>
      </c>
      <c r="E1066" s="83">
        <f t="shared" ref="E1066:E1071" si="76">VLOOKUP(B1066,SEZNAM_POUŽITÝCH_MEZD,4,FALSE)</f>
        <v>135</v>
      </c>
      <c r="F1066" s="66">
        <v>5.8999999999999997E-2</v>
      </c>
      <c r="G1066" s="66">
        <f t="shared" ref="G1066:G1071" si="77">E1066*F1066</f>
        <v>7.9649999999999999</v>
      </c>
      <c r="I1066" s="168"/>
    </row>
    <row r="1067" spans="2:9">
      <c r="B1067" s="97">
        <v>413100</v>
      </c>
      <c r="C1067" s="66" t="s">
        <v>368</v>
      </c>
      <c r="D1067" s="66" t="s">
        <v>340</v>
      </c>
      <c r="E1067" s="83">
        <f t="shared" si="76"/>
        <v>135</v>
      </c>
      <c r="F1067" s="66">
        <v>1.0999999999999999E-2</v>
      </c>
      <c r="G1067" s="66">
        <f t="shared" si="77"/>
        <v>1.4849999999999999</v>
      </c>
      <c r="I1067" s="168"/>
    </row>
    <row r="1068" spans="2:9">
      <c r="B1068" s="97">
        <v>419004</v>
      </c>
      <c r="C1068" s="66" t="s">
        <v>343</v>
      </c>
      <c r="D1068" s="66" t="s">
        <v>340</v>
      </c>
      <c r="E1068" s="83">
        <f t="shared" si="76"/>
        <v>120</v>
      </c>
      <c r="F1068" s="66">
        <v>0.214</v>
      </c>
      <c r="G1068" s="66">
        <f t="shared" si="77"/>
        <v>25.68</v>
      </c>
      <c r="I1068" s="168"/>
    </row>
    <row r="1069" spans="2:9">
      <c r="B1069" s="97">
        <v>421306</v>
      </c>
      <c r="C1069" s="66" t="s">
        <v>467</v>
      </c>
      <c r="D1069" s="66" t="s">
        <v>340</v>
      </c>
      <c r="E1069" s="83">
        <f t="shared" si="76"/>
        <v>152</v>
      </c>
      <c r="F1069" s="66">
        <v>4.9000000000000002E-2</v>
      </c>
      <c r="G1069" s="66">
        <f t="shared" si="77"/>
        <v>7.4480000000000004</v>
      </c>
      <c r="I1069" s="168"/>
    </row>
    <row r="1070" spans="2:9">
      <c r="B1070" s="97">
        <v>421307</v>
      </c>
      <c r="C1070" s="66" t="s">
        <v>544</v>
      </c>
      <c r="D1070" s="66" t="s">
        <v>340</v>
      </c>
      <c r="E1070" s="83">
        <f t="shared" si="76"/>
        <v>170</v>
      </c>
      <c r="F1070" s="66">
        <v>0.124</v>
      </c>
      <c r="G1070" s="66">
        <f t="shared" si="77"/>
        <v>21.08</v>
      </c>
      <c r="I1070" s="168"/>
    </row>
    <row r="1071" spans="2:9">
      <c r="B1071" s="97">
        <v>421308</v>
      </c>
      <c r="C1071" s="66" t="s">
        <v>545</v>
      </c>
      <c r="D1071" s="66" t="s">
        <v>340</v>
      </c>
      <c r="E1071" s="83">
        <f t="shared" si="76"/>
        <v>185</v>
      </c>
      <c r="F1071" s="66">
        <v>7.3999999999999996E-2</v>
      </c>
      <c r="G1071" s="66">
        <f t="shared" si="77"/>
        <v>13.69</v>
      </c>
      <c r="I1071" s="168"/>
    </row>
    <row r="1072" spans="2:9">
      <c r="E1072" s="98">
        <f>ROUND(G1072/F1072,1)</f>
        <v>145.69999999999999</v>
      </c>
      <c r="F1072" s="98">
        <f>SUM(F1066:F1071)</f>
        <v>0.53099999999999992</v>
      </c>
      <c r="G1072" s="98">
        <f>SUM(G1066:G1071)</f>
        <v>77.347999999999999</v>
      </c>
      <c r="I1072" s="168"/>
    </row>
    <row r="1073" spans="2:9">
      <c r="I1073" s="168"/>
    </row>
    <row r="1074" spans="2:9">
      <c r="I1074" s="168"/>
    </row>
    <row r="1075" spans="2:9">
      <c r="I1075" s="168"/>
    </row>
    <row r="1076" spans="2:9">
      <c r="B1076" s="98">
        <v>725</v>
      </c>
      <c r="C1076" s="98" t="s">
        <v>61</v>
      </c>
      <c r="D1076" s="98" t="s">
        <v>43</v>
      </c>
      <c r="I1076" s="168"/>
    </row>
    <row r="1077" spans="2:9">
      <c r="I1077" s="168"/>
    </row>
    <row r="1078" spans="2:9">
      <c r="C1078" s="66" t="s">
        <v>411</v>
      </c>
      <c r="I1078" s="168"/>
    </row>
    <row r="1079" spans="2:9">
      <c r="B1079" s="66" t="s">
        <v>546</v>
      </c>
      <c r="C1079" s="91" t="s">
        <v>547</v>
      </c>
      <c r="I1079" s="168"/>
    </row>
    <row r="1080" spans="2:9">
      <c r="B1080" s="66" t="s">
        <v>548</v>
      </c>
      <c r="C1080" s="91" t="s">
        <v>549</v>
      </c>
      <c r="I1080" s="168"/>
    </row>
    <row r="1081" spans="2:9">
      <c r="B1081" s="66" t="s">
        <v>550</v>
      </c>
      <c r="C1081" s="91" t="s">
        <v>551</v>
      </c>
      <c r="I1081" s="168"/>
    </row>
    <row r="1082" spans="2:9">
      <c r="B1082" s="66" t="s">
        <v>552</v>
      </c>
      <c r="C1082" s="91" t="s">
        <v>553</v>
      </c>
      <c r="I1082" s="168"/>
    </row>
    <row r="1083" spans="2:9">
      <c r="B1083" s="66" t="s">
        <v>554</v>
      </c>
      <c r="C1083" s="91" t="s">
        <v>555</v>
      </c>
      <c r="I1083" s="168"/>
    </row>
    <row r="1084" spans="2:9">
      <c r="B1084" s="66" t="s">
        <v>556</v>
      </c>
      <c r="C1084" s="91" t="s">
        <v>557</v>
      </c>
      <c r="I1084" s="168"/>
    </row>
    <row r="1085" spans="2:9">
      <c r="B1085" s="66" t="s">
        <v>558</v>
      </c>
      <c r="C1085" s="91" t="s">
        <v>559</v>
      </c>
      <c r="I1085" s="168"/>
    </row>
    <row r="1086" spans="2:9">
      <c r="B1086" s="66" t="s">
        <v>560</v>
      </c>
      <c r="C1086" s="91" t="s">
        <v>561</v>
      </c>
      <c r="I1086" s="168"/>
    </row>
    <row r="1087" spans="2:9">
      <c r="B1087" s="66" t="s">
        <v>562</v>
      </c>
      <c r="C1087" s="91" t="s">
        <v>563</v>
      </c>
      <c r="I1087" s="168"/>
    </row>
    <row r="1088" spans="2:9">
      <c r="B1088" s="66" t="s">
        <v>564</v>
      </c>
      <c r="C1088" s="91" t="s">
        <v>565</v>
      </c>
      <c r="I1088" s="168"/>
    </row>
    <row r="1089" spans="2:9">
      <c r="B1089" s="66" t="s">
        <v>566</v>
      </c>
      <c r="C1089" s="66" t="s">
        <v>567</v>
      </c>
      <c r="I1089" s="168"/>
    </row>
    <row r="1090" spans="2:9">
      <c r="I1090" s="168"/>
    </row>
    <row r="1091" spans="2:9">
      <c r="B1091" s="97">
        <v>421306</v>
      </c>
      <c r="C1091" s="66" t="s">
        <v>467</v>
      </c>
      <c r="D1091" s="66" t="s">
        <v>340</v>
      </c>
      <c r="E1091" s="83">
        <f>VLOOKUP(B1091,SEZNAM_POUŽITÝCH_MEZD,4,FALSE)</f>
        <v>152</v>
      </c>
      <c r="F1091" s="66">
        <v>8.4620000000000015</v>
      </c>
      <c r="G1091" s="66">
        <f>E1091*F1091</f>
        <v>1286.2240000000002</v>
      </c>
      <c r="I1091" s="168"/>
    </row>
    <row r="1092" spans="2:9">
      <c r="B1092" s="97">
        <v>421327</v>
      </c>
      <c r="C1092" s="66" t="s">
        <v>568</v>
      </c>
      <c r="D1092" s="66" t="s">
        <v>340</v>
      </c>
      <c r="E1092" s="83">
        <f>VLOOKUP(B1092,SEZNAM_POUŽITÝCH_MEZD,4,FALSE)</f>
        <v>170</v>
      </c>
      <c r="F1092" s="66">
        <v>1.395</v>
      </c>
      <c r="G1092" s="66">
        <f>E1092*F1092</f>
        <v>237.15</v>
      </c>
      <c r="I1092" s="168"/>
    </row>
    <row r="1093" spans="2:9">
      <c r="E1093" s="98">
        <f>ROUND(G1093/F1093,1)</f>
        <v>154.5</v>
      </c>
      <c r="F1093" s="98">
        <f>SUM(F1091:F1092)</f>
        <v>9.8570000000000011</v>
      </c>
      <c r="G1093" s="98">
        <f>SUM(G1091:G1092)</f>
        <v>1523.3740000000003</v>
      </c>
      <c r="I1093" s="168"/>
    </row>
    <row r="1094" spans="2:9">
      <c r="I1094" s="168"/>
    </row>
    <row r="1095" spans="2:9">
      <c r="I1095" s="168"/>
    </row>
    <row r="1096" spans="2:9">
      <c r="B1096" s="98">
        <v>730</v>
      </c>
      <c r="C1096" s="98" t="s">
        <v>175</v>
      </c>
      <c r="D1096" s="98" t="s">
        <v>43</v>
      </c>
      <c r="I1096" s="168"/>
    </row>
    <row r="1097" spans="2:9">
      <c r="I1097" s="168"/>
    </row>
    <row r="1098" spans="2:9">
      <c r="B1098" s="97">
        <v>412100</v>
      </c>
      <c r="C1098" s="66" t="s">
        <v>394</v>
      </c>
      <c r="D1098" s="66" t="s">
        <v>340</v>
      </c>
      <c r="E1098" s="83">
        <f t="shared" ref="E1098:E1104" si="78">VLOOKUP(B1098,SEZNAM_POUŽITÝCH_MEZD,4,FALSE)</f>
        <v>135</v>
      </c>
      <c r="F1098" s="66">
        <v>5.1999999999999998E-3</v>
      </c>
      <c r="G1098" s="66">
        <f t="shared" ref="G1098:G1104" si="79">E1098*F1098</f>
        <v>0.70199999999999996</v>
      </c>
      <c r="I1098" s="168"/>
    </row>
    <row r="1099" spans="2:9">
      <c r="B1099" s="97">
        <v>413100</v>
      </c>
      <c r="C1099" s="66" t="s">
        <v>368</v>
      </c>
      <c r="D1099" s="66" t="s">
        <v>340</v>
      </c>
      <c r="E1099" s="83">
        <f t="shared" si="78"/>
        <v>135</v>
      </c>
      <c r="F1099" s="66">
        <v>4.2000000000000006E-3</v>
      </c>
      <c r="G1099" s="66">
        <f t="shared" si="79"/>
        <v>0.56700000000000006</v>
      </c>
      <c r="I1099" s="168"/>
    </row>
    <row r="1100" spans="2:9">
      <c r="B1100" s="97">
        <v>419004</v>
      </c>
      <c r="C1100" s="66" t="s">
        <v>343</v>
      </c>
      <c r="D1100" s="66" t="s">
        <v>340</v>
      </c>
      <c r="E1100" s="83">
        <f t="shared" si="78"/>
        <v>120</v>
      </c>
      <c r="F1100" s="66">
        <v>0.12680000000000002</v>
      </c>
      <c r="G1100" s="66">
        <f t="shared" si="79"/>
        <v>15.216000000000003</v>
      </c>
      <c r="I1100" s="168"/>
    </row>
    <row r="1101" spans="2:9">
      <c r="B1101" s="97">
        <v>421300</v>
      </c>
      <c r="C1101" s="66" t="s">
        <v>569</v>
      </c>
      <c r="D1101" s="66" t="s">
        <v>340</v>
      </c>
      <c r="E1101" s="83">
        <f t="shared" si="78"/>
        <v>135</v>
      </c>
      <c r="F1101" s="66">
        <v>6.5000000000000002E-2</v>
      </c>
      <c r="G1101" s="66">
        <f t="shared" si="79"/>
        <v>8.7750000000000004</v>
      </c>
      <c r="I1101" s="168"/>
    </row>
    <row r="1102" spans="2:9">
      <c r="B1102" s="97">
        <v>421306</v>
      </c>
      <c r="C1102" s="66" t="s">
        <v>467</v>
      </c>
      <c r="D1102" s="66" t="s">
        <v>340</v>
      </c>
      <c r="E1102" s="83">
        <f t="shared" si="78"/>
        <v>152</v>
      </c>
      <c r="F1102" s="66">
        <v>0.12759999999999999</v>
      </c>
      <c r="G1102" s="66">
        <f t="shared" si="79"/>
        <v>19.395199999999999</v>
      </c>
      <c r="I1102" s="168"/>
    </row>
    <row r="1103" spans="2:9">
      <c r="B1103" s="97">
        <v>421307</v>
      </c>
      <c r="C1103" s="66" t="s">
        <v>544</v>
      </c>
      <c r="D1103" s="66" t="s">
        <v>340</v>
      </c>
      <c r="E1103" s="83">
        <f t="shared" si="78"/>
        <v>170</v>
      </c>
      <c r="F1103" s="66">
        <v>1.2126000000000001</v>
      </c>
      <c r="G1103" s="66">
        <f t="shared" si="79"/>
        <v>206.14200000000002</v>
      </c>
      <c r="I1103" s="168"/>
    </row>
    <row r="1104" spans="2:9">
      <c r="B1104" s="97">
        <v>421336</v>
      </c>
      <c r="C1104" s="66" t="s">
        <v>570</v>
      </c>
      <c r="D1104" s="66" t="s">
        <v>340</v>
      </c>
      <c r="E1104" s="83">
        <f t="shared" si="78"/>
        <v>152</v>
      </c>
      <c r="F1104" s="66">
        <v>0.38200000000000001</v>
      </c>
      <c r="G1104" s="66">
        <f t="shared" si="79"/>
        <v>58.064</v>
      </c>
      <c r="I1104" s="168"/>
    </row>
    <row r="1105" spans="2:9">
      <c r="E1105" s="98">
        <f>ROUND(G1105/F1105,1)</f>
        <v>160.6</v>
      </c>
      <c r="F1105" s="98">
        <f>SUM(F1098:F1104)</f>
        <v>1.9234</v>
      </c>
      <c r="G1105" s="98">
        <f>SUM(G1098:G1104)</f>
        <v>308.86120000000005</v>
      </c>
      <c r="I1105" s="168"/>
    </row>
    <row r="1106" spans="2:9">
      <c r="I1106" s="168"/>
    </row>
    <row r="1107" spans="2:9">
      <c r="I1107" s="168"/>
    </row>
    <row r="1108" spans="2:9">
      <c r="I1108" s="168"/>
    </row>
    <row r="1109" spans="2:9">
      <c r="B1109" s="98">
        <v>748</v>
      </c>
      <c r="C1109" s="98" t="s">
        <v>571</v>
      </c>
      <c r="D1109" s="98" t="s">
        <v>43</v>
      </c>
      <c r="I1109" s="168"/>
    </row>
    <row r="1110" spans="2:9">
      <c r="I1110" s="168"/>
    </row>
    <row r="1111" spans="2:9">
      <c r="B1111" s="97">
        <v>421407</v>
      </c>
      <c r="C1111" s="66" t="s">
        <v>572</v>
      </c>
      <c r="D1111" s="66" t="s">
        <v>340</v>
      </c>
      <c r="E1111" s="100">
        <f>VLOOKUP(B1111,SEZNAM_POUŽITÝCH_MEZD,4,FALSE)</f>
        <v>170</v>
      </c>
      <c r="I1111" s="168"/>
    </row>
    <row r="1112" spans="2:9">
      <c r="I1112" s="168"/>
    </row>
    <row r="1113" spans="2:9">
      <c r="I1113" s="168"/>
    </row>
    <row r="1114" spans="2:9">
      <c r="I1114" s="168"/>
    </row>
    <row r="1115" spans="2:9">
      <c r="B1115" s="98">
        <v>799</v>
      </c>
      <c r="C1115" s="98" t="s">
        <v>88</v>
      </c>
      <c r="D1115" s="98" t="s">
        <v>43</v>
      </c>
      <c r="I1115" s="168"/>
    </row>
    <row r="1116" spans="2:9">
      <c r="I1116" s="168"/>
    </row>
    <row r="1117" spans="2:9">
      <c r="B1117" s="97">
        <v>329437</v>
      </c>
      <c r="C1117" s="66" t="s">
        <v>573</v>
      </c>
      <c r="D1117" s="66" t="s">
        <v>340</v>
      </c>
      <c r="E1117" s="100">
        <f>VLOOKUP(B1117,SEZNAM_POUŽITÝCH_MEZD,4,FALSE)</f>
        <v>163</v>
      </c>
      <c r="I1117" s="168"/>
    </row>
    <row r="1122" spans="2:6" ht="18.75">
      <c r="C1122" s="68" t="s">
        <v>574</v>
      </c>
      <c r="D1122" s="68" t="s">
        <v>1283</v>
      </c>
    </row>
    <row r="1125" spans="2:6">
      <c r="B1125" s="66" t="s">
        <v>575</v>
      </c>
      <c r="C1125" s="66" t="s">
        <v>576</v>
      </c>
      <c r="D1125" s="66" t="s">
        <v>577</v>
      </c>
      <c r="E1125" s="66" t="s">
        <v>578</v>
      </c>
      <c r="F1125" s="66" t="s">
        <v>579</v>
      </c>
    </row>
    <row r="1126" spans="2:6">
      <c r="B1126" s="97">
        <v>215200</v>
      </c>
      <c r="C1126" s="66" t="s">
        <v>347</v>
      </c>
      <c r="D1126" s="66" t="s">
        <v>340</v>
      </c>
      <c r="E1126" s="66">
        <v>135</v>
      </c>
      <c r="F1126" s="66">
        <v>5</v>
      </c>
    </row>
    <row r="1127" spans="2:6">
      <c r="B1127" s="97">
        <v>215204</v>
      </c>
      <c r="C1127" s="66" t="s">
        <v>339</v>
      </c>
      <c r="D1127" s="66" t="s">
        <v>340</v>
      </c>
      <c r="E1127" s="66">
        <v>120</v>
      </c>
      <c r="F1127" s="66">
        <v>4</v>
      </c>
    </row>
    <row r="1128" spans="2:6">
      <c r="B1128" s="97">
        <v>220006</v>
      </c>
      <c r="C1128" s="66" t="s">
        <v>341</v>
      </c>
      <c r="D1128" s="66" t="s">
        <v>340</v>
      </c>
      <c r="E1128" s="66">
        <v>152</v>
      </c>
      <c r="F1128" s="66">
        <v>6</v>
      </c>
    </row>
    <row r="1129" spans="2:6">
      <c r="B1129" s="97">
        <v>220007</v>
      </c>
      <c r="C1129" s="66" t="s">
        <v>373</v>
      </c>
      <c r="D1129" s="66" t="s">
        <v>340</v>
      </c>
      <c r="E1129" s="66">
        <v>170</v>
      </c>
      <c r="F1129" s="66">
        <v>7</v>
      </c>
    </row>
    <row r="1130" spans="2:6">
      <c r="B1130" s="97">
        <v>226000</v>
      </c>
      <c r="C1130" s="66" t="s">
        <v>366</v>
      </c>
      <c r="D1130" s="66" t="s">
        <v>340</v>
      </c>
      <c r="E1130" s="66">
        <v>135</v>
      </c>
      <c r="F1130" s="66">
        <v>5</v>
      </c>
    </row>
    <row r="1131" spans="2:6">
      <c r="B1131" s="97">
        <v>226006</v>
      </c>
      <c r="C1131" s="66" t="s">
        <v>361</v>
      </c>
      <c r="D1131" s="66" t="s">
        <v>340</v>
      </c>
      <c r="E1131" s="66">
        <v>152</v>
      </c>
      <c r="F1131" s="66">
        <v>6</v>
      </c>
    </row>
    <row r="1132" spans="2:6">
      <c r="B1132" s="97">
        <v>276004</v>
      </c>
      <c r="C1132" s="66" t="s">
        <v>446</v>
      </c>
      <c r="D1132" s="66" t="s">
        <v>340</v>
      </c>
      <c r="E1132" s="66">
        <v>120</v>
      </c>
      <c r="F1132" s="66">
        <v>4</v>
      </c>
    </row>
    <row r="1133" spans="2:6">
      <c r="B1133" s="97">
        <v>321006</v>
      </c>
      <c r="C1133" s="66" t="s">
        <v>367</v>
      </c>
      <c r="D1133" s="66" t="s">
        <v>340</v>
      </c>
      <c r="E1133" s="66">
        <v>157.5</v>
      </c>
      <c r="F1133" s="66" t="s">
        <v>860</v>
      </c>
    </row>
    <row r="1134" spans="2:6">
      <c r="B1134" s="97">
        <v>321007</v>
      </c>
      <c r="C1134" s="66" t="s">
        <v>374</v>
      </c>
      <c r="D1134" s="66" t="s">
        <v>340</v>
      </c>
      <c r="E1134" s="66">
        <v>170</v>
      </c>
      <c r="F1134" s="66">
        <v>7</v>
      </c>
    </row>
    <row r="1135" spans="2:6">
      <c r="B1135" s="97">
        <v>329007</v>
      </c>
      <c r="C1135" s="66" t="s">
        <v>376</v>
      </c>
      <c r="D1135" s="66" t="s">
        <v>340</v>
      </c>
      <c r="E1135" s="66">
        <v>163</v>
      </c>
      <c r="F1135" s="66" t="s">
        <v>858</v>
      </c>
    </row>
    <row r="1136" spans="2:6">
      <c r="B1136" s="97">
        <v>329437</v>
      </c>
      <c r="C1136" s="66" t="s">
        <v>573</v>
      </c>
      <c r="D1136" s="66" t="s">
        <v>340</v>
      </c>
      <c r="E1136" s="66">
        <v>163</v>
      </c>
      <c r="F1136" s="66" t="s">
        <v>858</v>
      </c>
    </row>
    <row r="1137" spans="2:6">
      <c r="B1137" s="97">
        <v>348007</v>
      </c>
      <c r="C1137" s="66" t="s">
        <v>527</v>
      </c>
      <c r="D1137" s="66" t="s">
        <v>340</v>
      </c>
      <c r="E1137" s="66">
        <v>170</v>
      </c>
      <c r="F1137" s="66">
        <v>7</v>
      </c>
    </row>
    <row r="1138" spans="2:6">
      <c r="B1138" s="97">
        <v>348008</v>
      </c>
      <c r="C1138" s="66" t="s">
        <v>534</v>
      </c>
      <c r="D1138" s="66" t="s">
        <v>340</v>
      </c>
      <c r="E1138" s="66">
        <v>185</v>
      </c>
      <c r="F1138" s="66">
        <v>8</v>
      </c>
    </row>
    <row r="1139" spans="2:6">
      <c r="B1139" s="97">
        <v>411100</v>
      </c>
      <c r="C1139" s="66" t="s">
        <v>348</v>
      </c>
      <c r="D1139" s="66" t="s">
        <v>340</v>
      </c>
      <c r="E1139" s="66">
        <v>130</v>
      </c>
      <c r="F1139" s="66" t="s">
        <v>581</v>
      </c>
    </row>
    <row r="1140" spans="2:6">
      <c r="B1140" s="97">
        <v>411104</v>
      </c>
      <c r="C1140" s="66" t="s">
        <v>349</v>
      </c>
      <c r="D1140" s="66" t="s">
        <v>340</v>
      </c>
      <c r="E1140" s="66">
        <v>117.5</v>
      </c>
      <c r="F1140" s="66" t="s">
        <v>1281</v>
      </c>
    </row>
    <row r="1141" spans="2:6">
      <c r="B1141" s="97">
        <v>411106</v>
      </c>
      <c r="C1141" s="66" t="s">
        <v>342</v>
      </c>
      <c r="D1141" s="66" t="s">
        <v>340</v>
      </c>
      <c r="E1141" s="66">
        <v>145</v>
      </c>
      <c r="F1141" s="66" t="s">
        <v>861</v>
      </c>
    </row>
    <row r="1142" spans="2:6">
      <c r="B1142" s="97">
        <v>411400</v>
      </c>
      <c r="C1142" s="66" t="s">
        <v>375</v>
      </c>
      <c r="D1142" s="66" t="s">
        <v>340</v>
      </c>
      <c r="E1142" s="66">
        <v>135</v>
      </c>
      <c r="F1142" s="66">
        <v>5</v>
      </c>
    </row>
    <row r="1143" spans="2:6">
      <c r="B1143" s="97">
        <v>411406</v>
      </c>
      <c r="C1143" s="66" t="s">
        <v>362</v>
      </c>
      <c r="D1143" s="66" t="s">
        <v>340</v>
      </c>
      <c r="E1143" s="66">
        <v>152</v>
      </c>
      <c r="F1143" s="66">
        <v>6</v>
      </c>
    </row>
    <row r="1144" spans="2:6">
      <c r="B1144" s="97">
        <v>411500</v>
      </c>
      <c r="C1144" s="66" t="s">
        <v>358</v>
      </c>
      <c r="D1144" s="66" t="s">
        <v>340</v>
      </c>
      <c r="E1144" s="66">
        <v>135</v>
      </c>
      <c r="F1144" s="66">
        <v>5</v>
      </c>
    </row>
    <row r="1145" spans="2:6">
      <c r="B1145" s="97">
        <v>411506</v>
      </c>
      <c r="C1145" s="66" t="s">
        <v>363</v>
      </c>
      <c r="D1145" s="66" t="s">
        <v>340</v>
      </c>
      <c r="E1145" s="66">
        <v>152</v>
      </c>
      <c r="F1145" s="66">
        <v>6</v>
      </c>
    </row>
    <row r="1146" spans="2:6">
      <c r="B1146" s="97">
        <v>411507</v>
      </c>
      <c r="C1146" s="66" t="s">
        <v>377</v>
      </c>
      <c r="D1146" s="66" t="s">
        <v>340</v>
      </c>
      <c r="E1146" s="66">
        <v>170</v>
      </c>
      <c r="F1146" s="66">
        <v>7</v>
      </c>
    </row>
    <row r="1147" spans="2:6">
      <c r="B1147" s="97">
        <v>412100</v>
      </c>
      <c r="C1147" s="66" t="s">
        <v>394</v>
      </c>
      <c r="D1147" s="66" t="s">
        <v>340</v>
      </c>
      <c r="E1147" s="66">
        <v>135</v>
      </c>
      <c r="F1147" s="66">
        <v>5</v>
      </c>
    </row>
    <row r="1148" spans="2:6">
      <c r="B1148" s="97">
        <v>412106</v>
      </c>
      <c r="C1148" s="66" t="s">
        <v>385</v>
      </c>
      <c r="D1148" s="66" t="s">
        <v>340</v>
      </c>
      <c r="E1148" s="66">
        <v>152</v>
      </c>
      <c r="F1148" s="66">
        <v>6</v>
      </c>
    </row>
    <row r="1149" spans="2:6">
      <c r="B1149" s="97">
        <v>412108</v>
      </c>
      <c r="C1149" s="66" t="s">
        <v>390</v>
      </c>
      <c r="D1149" s="66" t="s">
        <v>340</v>
      </c>
      <c r="E1149" s="66">
        <v>185</v>
      </c>
      <c r="F1149" s="66">
        <v>8</v>
      </c>
    </row>
    <row r="1150" spans="2:6">
      <c r="B1150" s="97">
        <v>412110</v>
      </c>
      <c r="C1150" s="66" t="s">
        <v>394</v>
      </c>
      <c r="D1150" s="66" t="s">
        <v>340</v>
      </c>
      <c r="E1150" s="66">
        <v>135</v>
      </c>
      <c r="F1150" s="66">
        <v>5</v>
      </c>
    </row>
    <row r="1151" spans="2:6">
      <c r="B1151" s="97">
        <v>412140</v>
      </c>
      <c r="C1151" s="66" t="s">
        <v>457</v>
      </c>
      <c r="D1151" s="66" t="s">
        <v>340</v>
      </c>
      <c r="E1151" s="66">
        <v>135</v>
      </c>
      <c r="F1151" s="66">
        <v>5</v>
      </c>
    </row>
    <row r="1152" spans="2:6">
      <c r="B1152" s="97">
        <v>412146</v>
      </c>
      <c r="C1152" s="66" t="s">
        <v>403</v>
      </c>
      <c r="D1152" s="66" t="s">
        <v>340</v>
      </c>
      <c r="E1152" s="66">
        <v>152</v>
      </c>
      <c r="F1152" s="66">
        <v>6</v>
      </c>
    </row>
    <row r="1153" spans="2:6">
      <c r="B1153" s="97">
        <v>412176</v>
      </c>
      <c r="C1153" s="66" t="s">
        <v>528</v>
      </c>
      <c r="D1153" s="66" t="s">
        <v>340</v>
      </c>
      <c r="E1153" s="66">
        <v>152</v>
      </c>
      <c r="F1153" s="66">
        <v>6</v>
      </c>
    </row>
    <row r="1154" spans="2:6">
      <c r="B1154" s="97">
        <v>412190</v>
      </c>
      <c r="C1154" s="66" t="s">
        <v>458</v>
      </c>
      <c r="D1154" s="66" t="s">
        <v>340</v>
      </c>
      <c r="E1154" s="66">
        <v>135</v>
      </c>
      <c r="F1154" s="66">
        <v>5</v>
      </c>
    </row>
    <row r="1155" spans="2:6">
      <c r="B1155" s="97">
        <v>412200</v>
      </c>
      <c r="C1155" s="66" t="s">
        <v>364</v>
      </c>
      <c r="D1155" s="66" t="s">
        <v>340</v>
      </c>
      <c r="E1155" s="66">
        <v>135</v>
      </c>
      <c r="F1155" s="66">
        <v>5</v>
      </c>
    </row>
    <row r="1156" spans="2:6">
      <c r="B1156" s="97">
        <v>412204</v>
      </c>
      <c r="C1156" s="66" t="s">
        <v>386</v>
      </c>
      <c r="D1156" s="66" t="s">
        <v>340</v>
      </c>
      <c r="E1156" s="66">
        <v>120</v>
      </c>
      <c r="F1156" s="66">
        <v>4</v>
      </c>
    </row>
    <row r="1157" spans="2:6">
      <c r="B1157" s="97">
        <v>412206</v>
      </c>
      <c r="C1157" s="66" t="s">
        <v>359</v>
      </c>
      <c r="D1157" s="66" t="s">
        <v>340</v>
      </c>
      <c r="E1157" s="66">
        <v>152</v>
      </c>
      <c r="F1157" s="66">
        <v>6</v>
      </c>
    </row>
    <row r="1158" spans="2:6">
      <c r="B1158" s="97">
        <v>412300</v>
      </c>
      <c r="C1158" s="66" t="s">
        <v>399</v>
      </c>
      <c r="D1158" s="66" t="s">
        <v>340</v>
      </c>
      <c r="E1158" s="66">
        <v>135</v>
      </c>
      <c r="F1158" s="66">
        <v>5</v>
      </c>
    </row>
    <row r="1159" spans="2:6">
      <c r="B1159" s="97">
        <v>412306</v>
      </c>
      <c r="C1159" s="66" t="s">
        <v>430</v>
      </c>
      <c r="D1159" s="66" t="s">
        <v>340</v>
      </c>
      <c r="E1159" s="66">
        <v>152</v>
      </c>
      <c r="F1159" s="66">
        <v>6</v>
      </c>
    </row>
    <row r="1160" spans="2:6">
      <c r="B1160" s="97">
        <v>412307</v>
      </c>
      <c r="C1160" s="66" t="s">
        <v>424</v>
      </c>
      <c r="D1160" s="66" t="s">
        <v>340</v>
      </c>
      <c r="E1160" s="66">
        <v>170</v>
      </c>
      <c r="F1160" s="66">
        <v>7</v>
      </c>
    </row>
    <row r="1161" spans="2:6">
      <c r="B1161" s="97">
        <v>412910</v>
      </c>
      <c r="C1161" s="66" t="s">
        <v>523</v>
      </c>
      <c r="D1161" s="66" t="s">
        <v>340</v>
      </c>
      <c r="E1161" s="66">
        <v>135</v>
      </c>
      <c r="F1161" s="66">
        <v>5</v>
      </c>
    </row>
    <row r="1162" spans="2:6">
      <c r="B1162" s="97">
        <v>413100</v>
      </c>
      <c r="C1162" s="66" t="s">
        <v>368</v>
      </c>
      <c r="D1162" s="66" t="s">
        <v>340</v>
      </c>
      <c r="E1162" s="66">
        <v>135</v>
      </c>
      <c r="F1162" s="66">
        <v>5</v>
      </c>
    </row>
    <row r="1163" spans="2:6">
      <c r="B1163" s="97">
        <v>413104</v>
      </c>
      <c r="C1163" s="66" t="s">
        <v>401</v>
      </c>
      <c r="D1163" s="66" t="s">
        <v>340</v>
      </c>
      <c r="E1163" s="66">
        <v>120</v>
      </c>
      <c r="F1163" s="66">
        <v>4</v>
      </c>
    </row>
    <row r="1164" spans="2:6">
      <c r="B1164" s="97">
        <v>413106</v>
      </c>
      <c r="C1164" s="66" t="s">
        <v>369</v>
      </c>
      <c r="D1164" s="66" t="s">
        <v>340</v>
      </c>
      <c r="E1164" s="66">
        <v>152</v>
      </c>
      <c r="F1164" s="66">
        <v>6</v>
      </c>
    </row>
    <row r="1165" spans="2:6">
      <c r="B1165" s="97">
        <v>413107</v>
      </c>
      <c r="C1165" s="66" t="s">
        <v>447</v>
      </c>
      <c r="D1165" s="66" t="s">
        <v>340</v>
      </c>
      <c r="E1165" s="66">
        <v>166.5</v>
      </c>
      <c r="F1165" s="66" t="s">
        <v>859</v>
      </c>
    </row>
    <row r="1166" spans="2:6">
      <c r="B1166" s="97">
        <v>413110</v>
      </c>
      <c r="C1166" s="66" t="s">
        <v>459</v>
      </c>
      <c r="D1166" s="66" t="s">
        <v>340</v>
      </c>
      <c r="E1166" s="66">
        <v>135</v>
      </c>
      <c r="F1166" s="66">
        <v>5</v>
      </c>
    </row>
    <row r="1167" spans="2:6">
      <c r="B1167" s="97">
        <v>413116</v>
      </c>
      <c r="C1167" s="66" t="s">
        <v>370</v>
      </c>
      <c r="D1167" s="66" t="s">
        <v>340</v>
      </c>
      <c r="E1167" s="66">
        <v>152</v>
      </c>
      <c r="F1167" s="66">
        <v>6</v>
      </c>
    </row>
    <row r="1168" spans="2:6">
      <c r="B1168" s="97">
        <v>413117</v>
      </c>
      <c r="C1168" s="66" t="s">
        <v>460</v>
      </c>
      <c r="D1168" s="66" t="s">
        <v>340</v>
      </c>
      <c r="E1168" s="66">
        <v>170</v>
      </c>
      <c r="F1168" s="66">
        <v>7</v>
      </c>
    </row>
    <row r="1169" spans="2:6">
      <c r="B1169" s="97">
        <v>413118</v>
      </c>
      <c r="C1169" s="66" t="s">
        <v>461</v>
      </c>
      <c r="D1169" s="66" t="s">
        <v>340</v>
      </c>
      <c r="E1169" s="66">
        <v>185</v>
      </c>
      <c r="F1169" s="66">
        <v>8</v>
      </c>
    </row>
    <row r="1170" spans="2:6">
      <c r="B1170" s="97">
        <v>413210</v>
      </c>
      <c r="C1170" s="66" t="s">
        <v>371</v>
      </c>
      <c r="D1170" s="66" t="s">
        <v>340</v>
      </c>
      <c r="E1170" s="66">
        <v>135</v>
      </c>
      <c r="F1170" s="66">
        <v>5</v>
      </c>
    </row>
    <row r="1171" spans="2:6">
      <c r="B1171" s="97">
        <v>413300</v>
      </c>
      <c r="C1171" s="66" t="s">
        <v>448</v>
      </c>
      <c r="D1171" s="66" t="s">
        <v>340</v>
      </c>
      <c r="E1171" s="66">
        <v>135</v>
      </c>
      <c r="F1171" s="66">
        <v>5</v>
      </c>
    </row>
    <row r="1172" spans="2:6">
      <c r="B1172" s="97">
        <v>413306</v>
      </c>
      <c r="C1172" s="66" t="s">
        <v>492</v>
      </c>
      <c r="D1172" s="66" t="s">
        <v>340</v>
      </c>
      <c r="E1172" s="66">
        <v>152</v>
      </c>
      <c r="F1172" s="66">
        <v>6</v>
      </c>
    </row>
    <row r="1173" spans="2:6">
      <c r="B1173" s="66">
        <v>419000</v>
      </c>
      <c r="C1173" s="66" t="s">
        <v>350</v>
      </c>
      <c r="D1173" s="66" t="s">
        <v>340</v>
      </c>
      <c r="E1173" s="66">
        <v>135</v>
      </c>
      <c r="F1173" s="66">
        <v>5</v>
      </c>
    </row>
    <row r="1174" spans="2:6">
      <c r="B1174" s="66">
        <v>419003</v>
      </c>
      <c r="C1174" s="66" t="s">
        <v>351</v>
      </c>
      <c r="D1174" s="66" t="s">
        <v>340</v>
      </c>
      <c r="E1174" s="66">
        <v>105</v>
      </c>
      <c r="F1174" s="66">
        <v>3</v>
      </c>
    </row>
    <row r="1175" spans="2:6">
      <c r="B1175" s="97">
        <v>419004</v>
      </c>
      <c r="C1175" s="66" t="s">
        <v>343</v>
      </c>
      <c r="D1175" s="66" t="s">
        <v>340</v>
      </c>
      <c r="E1175" s="66">
        <v>120</v>
      </c>
      <c r="F1175" s="66">
        <v>4</v>
      </c>
    </row>
    <row r="1176" spans="2:6">
      <c r="B1176" s="66">
        <v>419006</v>
      </c>
      <c r="C1176" s="66" t="s">
        <v>352</v>
      </c>
      <c r="D1176" s="66" t="s">
        <v>340</v>
      </c>
      <c r="E1176" s="66">
        <v>152</v>
      </c>
      <c r="F1176" s="66">
        <v>6</v>
      </c>
    </row>
    <row r="1177" spans="2:6">
      <c r="B1177" s="97">
        <v>419110</v>
      </c>
      <c r="C1177" s="66" t="s">
        <v>391</v>
      </c>
      <c r="D1177" s="66" t="s">
        <v>340</v>
      </c>
      <c r="E1177" s="66">
        <v>135</v>
      </c>
      <c r="F1177" s="66">
        <v>5</v>
      </c>
    </row>
    <row r="1178" spans="2:6">
      <c r="B1178" s="97">
        <v>419125</v>
      </c>
      <c r="C1178" s="66" t="s">
        <v>524</v>
      </c>
      <c r="D1178" s="66" t="s">
        <v>340</v>
      </c>
      <c r="E1178" s="66">
        <v>135</v>
      </c>
      <c r="F1178" s="66">
        <v>5</v>
      </c>
    </row>
    <row r="1179" spans="2:6">
      <c r="B1179" s="97">
        <v>419140</v>
      </c>
      <c r="C1179" s="66" t="s">
        <v>425</v>
      </c>
      <c r="D1179" s="66" t="s">
        <v>340</v>
      </c>
      <c r="E1179" s="66">
        <v>135</v>
      </c>
      <c r="F1179" s="66">
        <v>5</v>
      </c>
    </row>
    <row r="1180" spans="2:6">
      <c r="B1180" s="97">
        <v>419146</v>
      </c>
      <c r="C1180" s="66" t="s">
        <v>404</v>
      </c>
      <c r="D1180" s="66" t="s">
        <v>340</v>
      </c>
      <c r="E1180" s="66">
        <v>152</v>
      </c>
      <c r="F1180" s="66">
        <v>6</v>
      </c>
    </row>
    <row r="1181" spans="2:6">
      <c r="B1181" s="97">
        <v>421000</v>
      </c>
      <c r="C1181" s="66" t="s">
        <v>465</v>
      </c>
      <c r="D1181" s="66" t="s">
        <v>340</v>
      </c>
      <c r="E1181" s="66">
        <v>140.5</v>
      </c>
      <c r="F1181" s="66" t="s">
        <v>583</v>
      </c>
    </row>
    <row r="1182" spans="2:6">
      <c r="B1182" s="97">
        <v>421006</v>
      </c>
      <c r="C1182" s="66" t="s">
        <v>466</v>
      </c>
      <c r="D1182" s="66" t="s">
        <v>340</v>
      </c>
      <c r="E1182" s="66">
        <v>152</v>
      </c>
      <c r="F1182" s="66">
        <v>6</v>
      </c>
    </row>
    <row r="1183" spans="2:6">
      <c r="B1183" s="97">
        <v>421200</v>
      </c>
      <c r="C1183" s="66" t="s">
        <v>439</v>
      </c>
      <c r="D1183" s="66" t="s">
        <v>340</v>
      </c>
      <c r="E1183" s="66">
        <v>135</v>
      </c>
      <c r="F1183" s="66">
        <v>5</v>
      </c>
    </row>
    <row r="1184" spans="2:6">
      <c r="B1184" s="97">
        <v>421206</v>
      </c>
      <c r="C1184" s="66" t="s">
        <v>387</v>
      </c>
      <c r="D1184" s="66" t="s">
        <v>340</v>
      </c>
      <c r="E1184" s="66">
        <v>152</v>
      </c>
      <c r="F1184" s="66">
        <v>6</v>
      </c>
    </row>
    <row r="1185" spans="2:6">
      <c r="B1185" s="97">
        <v>421230</v>
      </c>
      <c r="C1185" s="66" t="s">
        <v>395</v>
      </c>
      <c r="D1185" s="66" t="s">
        <v>340</v>
      </c>
      <c r="E1185" s="66">
        <v>135</v>
      </c>
      <c r="F1185" s="66">
        <v>5</v>
      </c>
    </row>
    <row r="1186" spans="2:6">
      <c r="B1186" s="97">
        <v>421236</v>
      </c>
      <c r="C1186" s="66" t="s">
        <v>387</v>
      </c>
      <c r="D1186" s="66" t="s">
        <v>340</v>
      </c>
      <c r="E1186" s="66">
        <v>152</v>
      </c>
      <c r="F1186" s="66">
        <v>6</v>
      </c>
    </row>
    <row r="1187" spans="2:6">
      <c r="B1187" s="97">
        <v>421290</v>
      </c>
      <c r="C1187" s="66" t="s">
        <v>462</v>
      </c>
      <c r="D1187" s="66" t="s">
        <v>340</v>
      </c>
      <c r="E1187" s="66">
        <v>135</v>
      </c>
      <c r="F1187" s="66">
        <v>5</v>
      </c>
    </row>
    <row r="1188" spans="2:6">
      <c r="B1188" s="97">
        <v>421300</v>
      </c>
      <c r="C1188" s="66" t="s">
        <v>569</v>
      </c>
      <c r="D1188" s="66" t="s">
        <v>340</v>
      </c>
      <c r="E1188" s="66">
        <v>135</v>
      </c>
      <c r="F1188" s="66">
        <v>5</v>
      </c>
    </row>
    <row r="1189" spans="2:6">
      <c r="B1189" s="97">
        <v>421306</v>
      </c>
      <c r="C1189" s="66" t="s">
        <v>467</v>
      </c>
      <c r="D1189" s="66" t="s">
        <v>340</v>
      </c>
      <c r="E1189" s="66">
        <v>152</v>
      </c>
      <c r="F1189" s="66">
        <v>6</v>
      </c>
    </row>
    <row r="1190" spans="2:6">
      <c r="B1190" s="97">
        <v>421307</v>
      </c>
      <c r="C1190" s="66" t="s">
        <v>544</v>
      </c>
      <c r="D1190" s="66" t="s">
        <v>340</v>
      </c>
      <c r="E1190" s="66">
        <v>170</v>
      </c>
      <c r="F1190" s="66">
        <v>7</v>
      </c>
    </row>
    <row r="1191" spans="2:6">
      <c r="B1191" s="97">
        <v>421308</v>
      </c>
      <c r="C1191" s="66" t="s">
        <v>545</v>
      </c>
      <c r="D1191" s="66" t="s">
        <v>340</v>
      </c>
      <c r="E1191" s="66">
        <v>185</v>
      </c>
      <c r="F1191" s="66">
        <v>8</v>
      </c>
    </row>
    <row r="1192" spans="2:6">
      <c r="B1192" s="97">
        <v>421327</v>
      </c>
      <c r="C1192" s="66" t="s">
        <v>568</v>
      </c>
      <c r="D1192" s="66" t="s">
        <v>340</v>
      </c>
      <c r="E1192" s="66">
        <v>170</v>
      </c>
      <c r="F1192" s="66">
        <v>7</v>
      </c>
    </row>
    <row r="1193" spans="2:6">
      <c r="B1193" s="97">
        <v>421336</v>
      </c>
      <c r="C1193" s="66" t="s">
        <v>570</v>
      </c>
      <c r="D1193" s="66" t="s">
        <v>340</v>
      </c>
      <c r="E1193" s="66">
        <v>152</v>
      </c>
      <c r="F1193" s="66">
        <v>6</v>
      </c>
    </row>
    <row r="1194" spans="2:6">
      <c r="B1194" s="97">
        <v>421407</v>
      </c>
      <c r="C1194" s="66" t="s">
        <v>572</v>
      </c>
      <c r="D1194" s="66" t="s">
        <v>340</v>
      </c>
      <c r="E1194" s="66">
        <v>170</v>
      </c>
      <c r="F1194" s="66">
        <v>7</v>
      </c>
    </row>
    <row r="1195" spans="2:6">
      <c r="B1195" s="97">
        <v>421559</v>
      </c>
      <c r="C1195" s="66" t="s">
        <v>582</v>
      </c>
      <c r="D1195" s="66" t="s">
        <v>340</v>
      </c>
      <c r="E1195" s="66">
        <v>230</v>
      </c>
      <c r="F1195" s="66">
        <v>9</v>
      </c>
    </row>
    <row r="1196" spans="2:6">
      <c r="B1196" s="97">
        <v>421606</v>
      </c>
      <c r="C1196" s="66" t="s">
        <v>440</v>
      </c>
      <c r="D1196" s="66" t="s">
        <v>340</v>
      </c>
      <c r="E1196" s="66">
        <v>152</v>
      </c>
      <c r="F1196" s="66">
        <v>6</v>
      </c>
    </row>
    <row r="1197" spans="2:6">
      <c r="B1197" s="97">
        <v>422100</v>
      </c>
      <c r="C1197" s="66" t="s">
        <v>503</v>
      </c>
      <c r="D1197" s="66" t="s">
        <v>340</v>
      </c>
      <c r="E1197" s="66">
        <v>135</v>
      </c>
      <c r="F1197" s="66">
        <v>5</v>
      </c>
    </row>
    <row r="1198" spans="2:6">
      <c r="B1198" s="97">
        <v>422106</v>
      </c>
      <c r="C1198" s="66" t="s">
        <v>504</v>
      </c>
      <c r="D1198" s="66" t="s">
        <v>340</v>
      </c>
      <c r="E1198" s="66">
        <v>152</v>
      </c>
      <c r="F1198" s="66">
        <v>6</v>
      </c>
    </row>
    <row r="1199" spans="2:6">
      <c r="B1199" s="97">
        <v>422200</v>
      </c>
      <c r="C1199" s="66" t="s">
        <v>451</v>
      </c>
      <c r="D1199" s="66" t="s">
        <v>340</v>
      </c>
      <c r="E1199" s="66">
        <v>142</v>
      </c>
      <c r="F1199" s="66" t="s">
        <v>580</v>
      </c>
    </row>
    <row r="1200" spans="2:6">
      <c r="B1200" s="97">
        <v>422204</v>
      </c>
      <c r="C1200" s="66" t="s">
        <v>453</v>
      </c>
      <c r="D1200" s="66" t="s">
        <v>340</v>
      </c>
      <c r="E1200" s="66">
        <v>127</v>
      </c>
      <c r="F1200" s="66" t="s">
        <v>978</v>
      </c>
    </row>
    <row r="1201" spans="2:11">
      <c r="B1201" s="97">
        <v>422206</v>
      </c>
      <c r="C1201" s="66" t="s">
        <v>431</v>
      </c>
      <c r="D1201" s="91" t="s">
        <v>340</v>
      </c>
      <c r="E1201" s="66">
        <v>152</v>
      </c>
      <c r="F1201" s="66">
        <v>6</v>
      </c>
    </row>
    <row r="1202" spans="2:11">
      <c r="B1202" s="97">
        <v>422214</v>
      </c>
      <c r="C1202" s="66" t="s">
        <v>453</v>
      </c>
      <c r="D1202" s="91" t="s">
        <v>340</v>
      </c>
      <c r="E1202" s="66">
        <v>120</v>
      </c>
      <c r="F1202" s="66">
        <v>4</v>
      </c>
    </row>
    <row r="1203" spans="2:11">
      <c r="B1203" s="97">
        <v>422216</v>
      </c>
      <c r="C1203" s="66" t="s">
        <v>431</v>
      </c>
      <c r="D1203" s="91" t="s">
        <v>340</v>
      </c>
      <c r="E1203" s="66">
        <v>152</v>
      </c>
      <c r="F1203" s="66">
        <v>6</v>
      </c>
    </row>
    <row r="1204" spans="2:11">
      <c r="B1204" s="97">
        <v>422220</v>
      </c>
      <c r="C1204" s="66" t="s">
        <v>396</v>
      </c>
      <c r="D1204" s="91" t="s">
        <v>340</v>
      </c>
      <c r="E1204" s="66">
        <v>135</v>
      </c>
      <c r="F1204" s="66">
        <v>5</v>
      </c>
    </row>
    <row r="1205" spans="2:11">
      <c r="B1205" s="97">
        <v>422236</v>
      </c>
      <c r="C1205" s="66" t="s">
        <v>454</v>
      </c>
      <c r="D1205" s="91" t="s">
        <v>340</v>
      </c>
      <c r="E1205" s="66">
        <v>152</v>
      </c>
      <c r="F1205" s="66">
        <v>6</v>
      </c>
    </row>
    <row r="1206" spans="2:11">
      <c r="B1206" s="97">
        <v>422306</v>
      </c>
      <c r="C1206" s="66" t="s">
        <v>525</v>
      </c>
      <c r="D1206" s="91" t="s">
        <v>340</v>
      </c>
      <c r="E1206" s="66">
        <v>152</v>
      </c>
      <c r="F1206" s="66">
        <v>6</v>
      </c>
    </row>
    <row r="1207" spans="2:11">
      <c r="B1207" s="97">
        <v>422307</v>
      </c>
      <c r="C1207" s="66" t="s">
        <v>533</v>
      </c>
      <c r="D1207" s="91" t="s">
        <v>340</v>
      </c>
      <c r="E1207" s="66">
        <v>170</v>
      </c>
      <c r="F1207" s="66">
        <v>7</v>
      </c>
    </row>
    <row r="1208" spans="2:11">
      <c r="B1208" s="97">
        <v>422400</v>
      </c>
      <c r="C1208" s="66" t="s">
        <v>532</v>
      </c>
      <c r="D1208" s="91" t="s">
        <v>340</v>
      </c>
      <c r="E1208" s="66">
        <v>135</v>
      </c>
      <c r="F1208" s="66">
        <v>5</v>
      </c>
    </row>
    <row r="1209" spans="2:11">
      <c r="B1209" s="97">
        <v>422406</v>
      </c>
      <c r="C1209" s="66" t="s">
        <v>530</v>
      </c>
      <c r="D1209" s="91" t="s">
        <v>340</v>
      </c>
      <c r="E1209" s="66">
        <v>152</v>
      </c>
      <c r="F1209" s="66">
        <v>6</v>
      </c>
    </row>
    <row r="1210" spans="2:11">
      <c r="B1210" s="97">
        <v>422500</v>
      </c>
      <c r="C1210" s="66" t="s">
        <v>538</v>
      </c>
      <c r="D1210" s="91" t="s">
        <v>340</v>
      </c>
      <c r="E1210" s="66">
        <v>135</v>
      </c>
      <c r="F1210" s="66">
        <v>5</v>
      </c>
      <c r="K1210" s="69"/>
    </row>
    <row r="1211" spans="2:11">
      <c r="B1211" s="97">
        <v>422600</v>
      </c>
      <c r="C1211" s="66" t="s">
        <v>372</v>
      </c>
      <c r="D1211" s="91" t="s">
        <v>340</v>
      </c>
      <c r="E1211" s="66">
        <v>147</v>
      </c>
      <c r="F1211" s="66" t="s">
        <v>1282</v>
      </c>
    </row>
    <row r="1212" spans="2:11">
      <c r="B1212" s="97">
        <v>422604</v>
      </c>
      <c r="C1212" s="66" t="s">
        <v>441</v>
      </c>
      <c r="D1212" s="91" t="s">
        <v>340</v>
      </c>
      <c r="E1212" s="66">
        <v>120</v>
      </c>
      <c r="F1212" s="66">
        <v>4</v>
      </c>
    </row>
    <row r="1213" spans="2:11">
      <c r="B1213" s="97">
        <v>422606</v>
      </c>
      <c r="C1213" s="66" t="s">
        <v>536</v>
      </c>
      <c r="D1213" s="91" t="s">
        <v>340</v>
      </c>
      <c r="E1213" s="66">
        <v>152</v>
      </c>
      <c r="F1213" s="66">
        <v>6</v>
      </c>
    </row>
    <row r="1214" spans="2:11">
      <c r="B1214" s="97">
        <v>431000</v>
      </c>
      <c r="C1214" s="66" t="s">
        <v>408</v>
      </c>
      <c r="D1214" s="91" t="s">
        <v>340</v>
      </c>
      <c r="E1214" s="66">
        <v>135</v>
      </c>
      <c r="F1214" s="66">
        <v>5</v>
      </c>
    </row>
    <row r="1215" spans="2:11">
      <c r="B1215" s="97">
        <v>431004</v>
      </c>
      <c r="C1215" s="66" t="s">
        <v>409</v>
      </c>
      <c r="D1215" s="91" t="s">
        <v>340</v>
      </c>
      <c r="E1215" s="66">
        <v>120</v>
      </c>
      <c r="F1215" s="66">
        <v>4</v>
      </c>
    </row>
    <row r="1216" spans="2:11">
      <c r="B1216" s="97">
        <v>431006</v>
      </c>
      <c r="C1216" s="66" t="s">
        <v>410</v>
      </c>
      <c r="D1216" s="91" t="s">
        <v>340</v>
      </c>
      <c r="E1216" s="66">
        <v>152</v>
      </c>
      <c r="F1216" s="66">
        <v>6</v>
      </c>
    </row>
    <row r="1217" spans="2:6">
      <c r="B1217" s="97">
        <v>441000</v>
      </c>
      <c r="C1217" s="66" t="s">
        <v>344</v>
      </c>
      <c r="D1217" s="91" t="s">
        <v>340</v>
      </c>
      <c r="E1217" s="66">
        <v>135</v>
      </c>
      <c r="F1217" s="66">
        <v>5</v>
      </c>
    </row>
    <row r="1218" spans="2:6">
      <c r="B1218" s="97">
        <v>441004</v>
      </c>
      <c r="C1218" s="66" t="s">
        <v>450</v>
      </c>
      <c r="D1218" s="91" t="s">
        <v>340</v>
      </c>
      <c r="E1218" s="66">
        <v>120</v>
      </c>
      <c r="F1218" s="66">
        <v>4</v>
      </c>
    </row>
    <row r="1219" spans="2:6">
      <c r="B1219" s="97">
        <v>441006</v>
      </c>
      <c r="C1219" s="66" t="s">
        <v>345</v>
      </c>
      <c r="D1219" s="91" t="s">
        <v>340</v>
      </c>
      <c r="E1219" s="66">
        <v>152</v>
      </c>
      <c r="F1219" s="66">
        <v>6</v>
      </c>
    </row>
    <row r="1220" spans="2:6">
      <c r="B1220" s="66">
        <v>441007</v>
      </c>
      <c r="C1220" s="66" t="s">
        <v>353</v>
      </c>
      <c r="D1220" s="91" t="s">
        <v>340</v>
      </c>
      <c r="E1220" s="66">
        <v>170</v>
      </c>
      <c r="F1220" s="66">
        <v>7</v>
      </c>
    </row>
    <row r="1221" spans="2:6">
      <c r="B1221" s="66">
        <v>510000</v>
      </c>
      <c r="C1221" s="66" t="s">
        <v>354</v>
      </c>
      <c r="D1221" s="91" t="s">
        <v>340</v>
      </c>
      <c r="E1221" s="66">
        <v>135</v>
      </c>
      <c r="F1221" s="66">
        <v>5</v>
      </c>
    </row>
    <row r="1222" spans="2:6">
      <c r="B1222" s="66">
        <v>510006</v>
      </c>
      <c r="C1222" s="66" t="s">
        <v>355</v>
      </c>
      <c r="D1222" s="91" t="s">
        <v>340</v>
      </c>
      <c r="E1222" s="66">
        <v>152</v>
      </c>
      <c r="F1222" s="66">
        <v>6</v>
      </c>
    </row>
    <row r="1223" spans="2:6">
      <c r="B1223" s="66">
        <v>510007</v>
      </c>
      <c r="C1223" s="66" t="s">
        <v>356</v>
      </c>
      <c r="D1223" s="91" t="s">
        <v>340</v>
      </c>
      <c r="E1223" s="66">
        <v>170</v>
      </c>
      <c r="F1223" s="66">
        <v>7</v>
      </c>
    </row>
    <row r="1224" spans="2:6">
      <c r="B1224" s="97">
        <v>512247</v>
      </c>
      <c r="C1224" s="66" t="s">
        <v>463</v>
      </c>
      <c r="D1224" s="91" t="s">
        <v>340</v>
      </c>
      <c r="E1224" s="66">
        <v>170</v>
      </c>
      <c r="F1224" s="66">
        <v>7</v>
      </c>
    </row>
    <row r="1225" spans="2:6">
      <c r="B1225" s="97">
        <v>516316</v>
      </c>
      <c r="C1225" s="66" t="s">
        <v>405</v>
      </c>
      <c r="D1225" s="91" t="s">
        <v>340</v>
      </c>
      <c r="E1225" s="66">
        <v>152</v>
      </c>
      <c r="F1225" s="66">
        <v>6</v>
      </c>
    </row>
    <row r="1226" spans="2:6">
      <c r="B1226" s="97">
        <v>517000</v>
      </c>
      <c r="C1226" s="66" t="s">
        <v>442</v>
      </c>
      <c r="D1226" s="91" t="s">
        <v>340</v>
      </c>
      <c r="E1226" s="66">
        <v>135</v>
      </c>
      <c r="F1226" s="66">
        <v>5</v>
      </c>
    </row>
    <row r="1227" spans="2:6">
      <c r="E1227" s="91"/>
    </row>
    <row r="1228" spans="2:6">
      <c r="C1228" s="83" t="s">
        <v>584</v>
      </c>
      <c r="E1228" s="91"/>
    </row>
    <row r="1229" spans="2:6">
      <c r="E1229" s="91"/>
    </row>
    <row r="1230" spans="2:6">
      <c r="E1230" s="91"/>
    </row>
    <row r="1231" spans="2:6">
      <c r="E1231" s="91"/>
    </row>
    <row r="1232" spans="2:6">
      <c r="E1232" s="91"/>
    </row>
    <row r="1233" spans="2:7">
      <c r="E1233" s="91"/>
    </row>
    <row r="1234" spans="2:7">
      <c r="C1234" s="69" t="s">
        <v>188</v>
      </c>
      <c r="E1234" s="91"/>
    </row>
    <row r="1235" spans="2:7">
      <c r="B1235" s="97"/>
      <c r="C1235" s="66" t="s">
        <v>821</v>
      </c>
      <c r="D1235" s="66">
        <v>0.35</v>
      </c>
      <c r="E1235" s="91"/>
    </row>
    <row r="1236" spans="2:7">
      <c r="B1236" s="97"/>
      <c r="C1236" s="66" t="s">
        <v>822</v>
      </c>
      <c r="D1236" s="66">
        <v>0.05</v>
      </c>
      <c r="E1236" s="91"/>
    </row>
    <row r="1237" spans="2:7">
      <c r="B1237" s="97"/>
      <c r="C1237" s="66" t="s">
        <v>839</v>
      </c>
      <c r="D1237" s="66">
        <v>0.6</v>
      </c>
      <c r="E1237" s="91"/>
    </row>
    <row r="1238" spans="2:7">
      <c r="B1238" s="97"/>
      <c r="E1238" s="91"/>
    </row>
    <row r="1239" spans="2:7">
      <c r="C1239" s="69" t="s">
        <v>805</v>
      </c>
      <c r="E1239" s="91"/>
    </row>
    <row r="1240" spans="2:7">
      <c r="C1240" s="82" t="s">
        <v>665</v>
      </c>
      <c r="D1240" s="66">
        <v>0.03</v>
      </c>
      <c r="E1240" s="91"/>
    </row>
    <row r="1241" spans="2:7">
      <c r="C1241" s="82" t="s">
        <v>823</v>
      </c>
      <c r="D1241" s="66">
        <v>0.04</v>
      </c>
      <c r="E1241" s="91"/>
    </row>
    <row r="1242" spans="2:7">
      <c r="C1242" s="82" t="s">
        <v>824</v>
      </c>
      <c r="D1242" s="66">
        <v>0.02</v>
      </c>
      <c r="E1242" s="91"/>
    </row>
    <row r="1243" spans="2:7">
      <c r="C1243" s="82" t="s">
        <v>825</v>
      </c>
      <c r="D1243" s="66">
        <v>0.14000000000000001</v>
      </c>
    </row>
    <row r="1244" spans="2:7">
      <c r="C1244" s="82" t="s">
        <v>843</v>
      </c>
      <c r="D1244" s="66">
        <v>0.03</v>
      </c>
    </row>
    <row r="1245" spans="2:7">
      <c r="C1245" s="82" t="s">
        <v>826</v>
      </c>
      <c r="D1245" s="66">
        <v>0.19</v>
      </c>
    </row>
    <row r="1246" spans="2:7">
      <c r="B1246" s="101"/>
      <c r="C1246" s="82" t="s">
        <v>827</v>
      </c>
      <c r="D1246" s="66">
        <v>0.03</v>
      </c>
      <c r="E1246" s="101"/>
      <c r="F1246" s="101"/>
      <c r="G1246" s="101"/>
    </row>
    <row r="1247" spans="2:7">
      <c r="B1247" s="101"/>
      <c r="C1247" s="82" t="s">
        <v>828</v>
      </c>
      <c r="D1247" s="66">
        <v>0.14000000000000001</v>
      </c>
      <c r="E1247" s="101"/>
      <c r="F1247" s="101"/>
      <c r="G1247" s="101"/>
    </row>
    <row r="1248" spans="2:7">
      <c r="C1248" s="82" t="s">
        <v>829</v>
      </c>
      <c r="D1248" s="66">
        <v>0.11</v>
      </c>
    </row>
    <row r="1249" spans="3:8">
      <c r="C1249" s="82" t="s">
        <v>830</v>
      </c>
      <c r="D1249" s="66">
        <v>0.12</v>
      </c>
    </row>
    <row r="1250" spans="3:8">
      <c r="C1250" s="82" t="s">
        <v>831</v>
      </c>
      <c r="D1250" s="66">
        <v>0.15</v>
      </c>
    </row>
    <row r="1251" spans="3:8">
      <c r="D1251" s="66">
        <f>SUM(D1240:D1250)</f>
        <v>1</v>
      </c>
    </row>
    <row r="1254" spans="3:8">
      <c r="C1254" s="66" t="s">
        <v>832</v>
      </c>
      <c r="D1254" s="171">
        <v>21944</v>
      </c>
      <c r="E1254" s="169">
        <f>D1254/$D$1262</f>
        <v>0.46901917199222004</v>
      </c>
    </row>
    <row r="1255" spans="3:8">
      <c r="C1255" s="66" t="s">
        <v>833</v>
      </c>
      <c r="D1255" s="122">
        <v>3814</v>
      </c>
      <c r="E1255" s="169">
        <f t="shared" ref="E1255:E1262" si="80">D1255/$D$1262</f>
        <v>8.1518370487528594E-2</v>
      </c>
    </row>
    <row r="1256" spans="3:8">
      <c r="C1256" s="66" t="s">
        <v>834</v>
      </c>
      <c r="D1256" s="122">
        <v>904</v>
      </c>
      <c r="E1256" s="169">
        <f t="shared" si="80"/>
        <v>1.9321606429136298E-2</v>
      </c>
    </row>
    <row r="1257" spans="3:8">
      <c r="C1257" s="66" t="s">
        <v>188</v>
      </c>
      <c r="D1257" s="122">
        <v>3363</v>
      </c>
      <c r="E1257" s="169">
        <f t="shared" si="80"/>
        <v>7.1878940731399749E-2</v>
      </c>
    </row>
    <row r="1258" spans="3:8">
      <c r="C1258" s="66" t="s">
        <v>835</v>
      </c>
      <c r="D1258" s="66">
        <f>D1255+D1256+D1257</f>
        <v>8081</v>
      </c>
      <c r="E1258" s="169">
        <f t="shared" si="80"/>
        <v>0.17271891764806463</v>
      </c>
    </row>
    <row r="1259" spans="3:8">
      <c r="C1259" s="66" t="s">
        <v>836</v>
      </c>
      <c r="D1259" s="66">
        <f>D1254+D1258</f>
        <v>30025</v>
      </c>
      <c r="E1259" s="169">
        <f t="shared" si="80"/>
        <v>0.64173808964028467</v>
      </c>
    </row>
    <row r="1260" spans="3:8">
      <c r="C1260" s="66" t="s">
        <v>805</v>
      </c>
      <c r="D1260" s="122">
        <v>15146</v>
      </c>
      <c r="E1260" s="169">
        <f t="shared" si="80"/>
        <v>0.32372240152179022</v>
      </c>
      <c r="G1260" s="169">
        <f>D1260/D1258</f>
        <v>1.8742729860165821</v>
      </c>
      <c r="H1260" s="66" t="s">
        <v>838</v>
      </c>
    </row>
    <row r="1261" spans="3:8">
      <c r="C1261" s="66" t="s">
        <v>650</v>
      </c>
      <c r="D1261" s="122">
        <v>1616</v>
      </c>
      <c r="E1261" s="169">
        <f t="shared" si="80"/>
        <v>3.4539508837925066E-2</v>
      </c>
      <c r="G1261" s="169">
        <f>D1261/(D1258+D1260)</f>
        <v>6.9574202436819221E-2</v>
      </c>
    </row>
    <row r="1262" spans="3:8">
      <c r="C1262" s="66" t="s">
        <v>837</v>
      </c>
      <c r="D1262" s="66">
        <f>D1259+D1260+D1261</f>
        <v>46787</v>
      </c>
      <c r="E1262" s="169">
        <f t="shared" si="80"/>
        <v>1</v>
      </c>
    </row>
    <row r="1264" spans="3:8">
      <c r="C1264" s="66" t="s">
        <v>821</v>
      </c>
      <c r="D1264" s="66">
        <v>801</v>
      </c>
    </row>
    <row r="1265" spans="3:4">
      <c r="C1265" s="66" t="s">
        <v>822</v>
      </c>
      <c r="D1265" s="66">
        <v>114</v>
      </c>
    </row>
    <row r="1266" spans="3:4">
      <c r="C1266" s="66" t="s">
        <v>839</v>
      </c>
      <c r="D1266" s="66">
        <v>1373</v>
      </c>
    </row>
    <row r="1267" spans="3:4">
      <c r="C1267" s="69" t="s">
        <v>188</v>
      </c>
      <c r="D1267" s="69">
        <f>SUM(D1264:D1266)</f>
        <v>2288</v>
      </c>
    </row>
    <row r="1269" spans="3:4">
      <c r="C1269" s="66" t="s">
        <v>835</v>
      </c>
      <c r="D1269" s="172">
        <f>D1255+D1256+D1267</f>
        <v>7006</v>
      </c>
    </row>
    <row r="1271" spans="3:4">
      <c r="C1271" s="66" t="s">
        <v>840</v>
      </c>
    </row>
    <row r="1272" spans="3:4">
      <c r="C1272" s="66" t="s">
        <v>841</v>
      </c>
    </row>
    <row r="1273" spans="3:4">
      <c r="C1273" s="66" t="s">
        <v>828</v>
      </c>
      <c r="D1273" s="122">
        <v>2120</v>
      </c>
    </row>
    <row r="1274" spans="3:4">
      <c r="C1274" s="66" t="s">
        <v>829</v>
      </c>
      <c r="D1274" s="122">
        <v>1666</v>
      </c>
    </row>
    <row r="1275" spans="3:4">
      <c r="C1275" s="66" t="s">
        <v>830</v>
      </c>
      <c r="D1275" s="66">
        <f>ROUND((D1273+D1274)*0.36,0)</f>
        <v>1363</v>
      </c>
    </row>
    <row r="1276" spans="3:4">
      <c r="C1276" s="69" t="s">
        <v>846</v>
      </c>
      <c r="D1276" s="69">
        <f>SUM(D1273:D1275)</f>
        <v>5149</v>
      </c>
    </row>
    <row r="1278" spans="3:4">
      <c r="C1278" s="66" t="s">
        <v>842</v>
      </c>
    </row>
    <row r="1279" spans="3:4">
      <c r="C1279" s="66" t="s">
        <v>843</v>
      </c>
      <c r="D1279" s="122">
        <v>454</v>
      </c>
    </row>
    <row r="1280" spans="3:4">
      <c r="C1280" s="66" t="s">
        <v>831</v>
      </c>
      <c r="D1280" s="122">
        <v>2272</v>
      </c>
    </row>
    <row r="1281" spans="1:4">
      <c r="C1281" s="69" t="s">
        <v>845</v>
      </c>
      <c r="D1281" s="69">
        <f>SUM(D1279:D1280)</f>
        <v>2726</v>
      </c>
    </row>
    <row r="1283" spans="1:4">
      <c r="C1283" s="69" t="s">
        <v>844</v>
      </c>
      <c r="D1283" s="172">
        <f>D1276+D1281</f>
        <v>7875</v>
      </c>
    </row>
    <row r="1285" spans="1:4">
      <c r="C1285" s="69" t="s">
        <v>847</v>
      </c>
    </row>
    <row r="1286" spans="1:4">
      <c r="A1286" s="170">
        <v>5.5555555555555552E-2</v>
      </c>
      <c r="C1286" s="66" t="s">
        <v>824</v>
      </c>
      <c r="D1286" s="122">
        <v>303</v>
      </c>
    </row>
    <row r="1287" spans="1:4">
      <c r="C1287" s="66" t="s">
        <v>825</v>
      </c>
      <c r="D1287" s="122">
        <v>2120</v>
      </c>
    </row>
    <row r="1288" spans="1:4">
      <c r="C1288" s="66" t="s">
        <v>665</v>
      </c>
      <c r="D1288" s="122">
        <v>454</v>
      </c>
    </row>
    <row r="1289" spans="1:4">
      <c r="C1289" s="66" t="s">
        <v>823</v>
      </c>
      <c r="D1289" s="122">
        <v>606</v>
      </c>
    </row>
    <row r="1290" spans="1:4">
      <c r="C1290" s="66" t="s">
        <v>826</v>
      </c>
      <c r="D1290" s="122">
        <v>2878</v>
      </c>
    </row>
    <row r="1291" spans="1:4">
      <c r="C1291" s="66" t="s">
        <v>827</v>
      </c>
      <c r="D1291" s="122">
        <v>454</v>
      </c>
    </row>
    <row r="1292" spans="1:4">
      <c r="C1292" s="69" t="s">
        <v>847</v>
      </c>
      <c r="D1292" s="172">
        <f>SUM(D1286:D1291)</f>
        <v>6815</v>
      </c>
    </row>
    <row r="1294" spans="1:4">
      <c r="C1294" s="69" t="s">
        <v>848</v>
      </c>
      <c r="D1294" s="172">
        <f>ROUND(D1269*0.2,0)</f>
        <v>1401</v>
      </c>
    </row>
    <row r="1296" spans="1:4">
      <c r="C1296" s="69" t="s">
        <v>663</v>
      </c>
      <c r="D1296" s="172">
        <f>D1254+D1269+D1283+D1292+D1294</f>
        <v>45041</v>
      </c>
    </row>
  </sheetData>
  <autoFilter ref="B1125:F1226"/>
  <mergeCells count="1">
    <mergeCell ref="G344:G345"/>
  </mergeCells>
  <hyperlinks>
    <hyperlink ref="C44" r:id="rId1"/>
    <hyperlink ref="D20" r:id="rId2"/>
    <hyperlink ref="J21" r:id="rId3"/>
    <hyperlink ref="Q80" r:id="rId4"/>
    <hyperlink ref="I90" r:id="rId5"/>
    <hyperlink ref="V59" r:id="rId6"/>
  </hyperlinks>
  <pageMargins left="0.78740157499999996" right="0.78740157499999996" top="0.984251969" bottom="0.984251969" header="0.4921259845" footer="0.4921259845"/>
  <pageSetup paperSize="9" orientation="portrait" horizontalDpi="300" verticalDpi="300" r:id="rId7"/>
  <headerFooter alignWithMargins="0"/>
  <legacyDrawing r:id="rId8"/>
</worksheet>
</file>

<file path=xl/worksheets/sheet4.xml><?xml version="1.0" encoding="utf-8"?>
<worksheet xmlns="http://schemas.openxmlformats.org/spreadsheetml/2006/main" xmlns:r="http://schemas.openxmlformats.org/officeDocument/2006/relationships">
  <sheetPr codeName="List4"/>
  <dimension ref="A1"/>
  <sheetViews>
    <sheetView workbookViewId="0">
      <pane ySplit="1" topLeftCell="A2" activePane="bottomLeft" state="frozen"/>
      <selection activeCell="J414" sqref="J414"/>
      <selection pane="bottomLeft" activeCell="A2" sqref="A2"/>
    </sheetView>
  </sheetViews>
  <sheetFormatPr defaultColWidth="9.140625" defaultRowHeight="15"/>
  <cols>
    <col min="1" max="1" width="9.140625" style="137"/>
    <col min="2" max="2" width="22.5703125" style="137" customWidth="1"/>
    <col min="3" max="16384" width="9.140625" style="137"/>
  </cols>
  <sheetData/>
  <pageMargins left="0.7" right="0.7" top="0.78740157499999996" bottom="0.78740157499999996" header="0.3" footer="0.3"/>
  <pageSetup paperSize="9" orientation="portrait" horizontalDpi="300" verticalDpi="300" r:id="rId1"/>
</worksheet>
</file>

<file path=xl/worksheets/sheet5.xml><?xml version="1.0" encoding="utf-8"?>
<worksheet xmlns="http://schemas.openxmlformats.org/spreadsheetml/2006/main" xmlns:r="http://schemas.openxmlformats.org/officeDocument/2006/relationships">
  <sheetPr codeName="List2"/>
  <dimension ref="A30:L2113"/>
  <sheetViews>
    <sheetView topLeftCell="A782" workbookViewId="0">
      <selection activeCell="B801" sqref="B801:F808"/>
    </sheetView>
  </sheetViews>
  <sheetFormatPr defaultColWidth="9.140625" defaultRowHeight="15"/>
  <cols>
    <col min="1" max="1" width="9.140625" style="33"/>
    <col min="2" max="2" width="79.140625" style="33" bestFit="1" customWidth="1"/>
    <col min="3" max="16384" width="9.140625" style="33"/>
  </cols>
  <sheetData>
    <row r="30" spans="2:6">
      <c r="B30" s="21" t="s">
        <v>11</v>
      </c>
      <c r="C30" s="19"/>
      <c r="D30" s="19"/>
      <c r="E30" s="19"/>
      <c r="F30" s="22">
        <f>Koncepty!F440</f>
        <v>0</v>
      </c>
    </row>
    <row r="31" spans="2:6">
      <c r="B31" s="21" t="s">
        <v>10</v>
      </c>
      <c r="C31" s="19"/>
      <c r="D31" s="19"/>
      <c r="E31" s="19"/>
      <c r="F31" s="22">
        <f>Koncepty!F450</f>
        <v>0</v>
      </c>
    </row>
    <row r="32" spans="2:6">
      <c r="B32" s="21" t="s">
        <v>9</v>
      </c>
      <c r="C32" s="19"/>
      <c r="D32" s="19"/>
      <c r="E32" s="19"/>
      <c r="F32" s="22">
        <f>Koncepty!F460</f>
        <v>0</v>
      </c>
    </row>
    <row r="33" spans="2:6">
      <c r="B33" s="21" t="s">
        <v>8</v>
      </c>
      <c r="C33" s="19"/>
      <c r="D33" s="19"/>
      <c r="E33" s="19"/>
      <c r="F33" s="22">
        <f>Koncepty!F470</f>
        <v>0</v>
      </c>
    </row>
    <row r="34" spans="2:6">
      <c r="B34" s="21" t="s">
        <v>7</v>
      </c>
      <c r="C34" s="19"/>
      <c r="D34" s="19"/>
      <c r="E34" s="19"/>
      <c r="F34" s="22">
        <f>Koncepty!F480</f>
        <v>0</v>
      </c>
    </row>
    <row r="35" spans="2:6">
      <c r="B35" s="21" t="s">
        <v>6</v>
      </c>
      <c r="C35" s="19"/>
      <c r="D35" s="19"/>
      <c r="E35" s="19"/>
      <c r="F35" s="22">
        <f>Koncepty!F490</f>
        <v>0</v>
      </c>
    </row>
    <row r="36" spans="2:6">
      <c r="B36" s="21" t="s">
        <v>5</v>
      </c>
      <c r="C36" s="19"/>
      <c r="D36" s="19"/>
      <c r="E36" s="19"/>
      <c r="F36" s="22">
        <f>Koncepty!F500</f>
        <v>0</v>
      </c>
    </row>
    <row r="37" spans="2:6">
      <c r="B37" s="21" t="s">
        <v>11</v>
      </c>
      <c r="C37" s="19"/>
      <c r="D37" s="19"/>
      <c r="E37" s="19"/>
      <c r="F37" s="22">
        <f>Koncepty!F510</f>
        <v>0</v>
      </c>
    </row>
    <row r="38" spans="2:6">
      <c r="B38" s="21" t="s">
        <v>10</v>
      </c>
      <c r="C38" s="19"/>
      <c r="D38" s="19"/>
      <c r="E38" s="19"/>
      <c r="F38" s="22">
        <f>Koncepty!F520</f>
        <v>0</v>
      </c>
    </row>
    <row r="39" spans="2:6">
      <c r="B39" s="21" t="s">
        <v>9</v>
      </c>
      <c r="C39" s="19"/>
      <c r="D39" s="19"/>
      <c r="E39" s="19"/>
      <c r="F39" s="22">
        <f>Koncepty!F530</f>
        <v>0</v>
      </c>
    </row>
    <row r="40" spans="2:6">
      <c r="B40" s="21" t="s">
        <v>8</v>
      </c>
      <c r="C40" s="19"/>
      <c r="D40" s="19"/>
      <c r="E40" s="19"/>
      <c r="F40" s="22">
        <f>Koncepty!F540</f>
        <v>0</v>
      </c>
    </row>
    <row r="41" spans="2:6">
      <c r="B41" s="21" t="s">
        <v>7</v>
      </c>
      <c r="C41" s="19"/>
      <c r="D41" s="19"/>
      <c r="E41" s="19"/>
      <c r="F41" s="22">
        <f>Koncepty!F550</f>
        <v>0</v>
      </c>
    </row>
    <row r="42" spans="2:6">
      <c r="B42" s="21" t="s">
        <v>6</v>
      </c>
      <c r="C42" s="19"/>
      <c r="D42" s="19"/>
      <c r="E42" s="19"/>
      <c r="F42" s="22">
        <f>Koncepty!F560</f>
        <v>0</v>
      </c>
    </row>
    <row r="43" spans="2:6">
      <c r="B43" s="21" t="s">
        <v>5</v>
      </c>
      <c r="C43" s="19"/>
      <c r="D43" s="19"/>
      <c r="E43" s="19"/>
      <c r="F43" s="22">
        <f>Koncepty!F570</f>
        <v>0</v>
      </c>
    </row>
    <row r="44" spans="2:6">
      <c r="B44" s="21" t="s">
        <v>11</v>
      </c>
      <c r="C44" s="19"/>
      <c r="D44" s="19"/>
      <c r="E44" s="19"/>
      <c r="F44" s="22">
        <f>Koncepty!F580</f>
        <v>0</v>
      </c>
    </row>
    <row r="45" spans="2:6">
      <c r="B45" s="21" t="s">
        <v>10</v>
      </c>
      <c r="C45" s="19"/>
      <c r="D45" s="19"/>
      <c r="E45" s="19"/>
      <c r="F45" s="22">
        <f>Koncepty!F590</f>
        <v>0</v>
      </c>
    </row>
    <row r="46" spans="2:6">
      <c r="B46" s="21" t="s">
        <v>9</v>
      </c>
      <c r="C46" s="19"/>
      <c r="D46" s="19"/>
      <c r="E46" s="19"/>
      <c r="F46" s="22">
        <f>Koncepty!F600</f>
        <v>0</v>
      </c>
    </row>
    <row r="47" spans="2:6">
      <c r="B47" s="21" t="s">
        <v>8</v>
      </c>
      <c r="C47" s="19"/>
      <c r="D47" s="19"/>
      <c r="E47" s="19"/>
      <c r="F47" s="22">
        <f>Koncepty!F610</f>
        <v>0</v>
      </c>
    </row>
    <row r="48" spans="2:6">
      <c r="B48" s="21" t="s">
        <v>7</v>
      </c>
      <c r="C48" s="19"/>
      <c r="D48" s="19"/>
      <c r="E48" s="19"/>
      <c r="F48" s="22">
        <f>Koncepty!F620</f>
        <v>0</v>
      </c>
    </row>
    <row r="49" spans="2:7">
      <c r="B49" s="21" t="s">
        <v>6</v>
      </c>
      <c r="C49" s="19"/>
      <c r="D49" s="19"/>
      <c r="E49" s="19"/>
      <c r="F49" s="22">
        <f>Koncepty!F630</f>
        <v>0</v>
      </c>
    </row>
    <row r="50" spans="2:7">
      <c r="B50" s="21" t="s">
        <v>5</v>
      </c>
      <c r="C50" s="19"/>
      <c r="D50" s="19"/>
      <c r="E50" s="19"/>
      <c r="F50" s="22">
        <f>Koncepty!F640</f>
        <v>0</v>
      </c>
    </row>
    <row r="51" spans="2:7">
      <c r="B51" s="21" t="s">
        <v>11</v>
      </c>
      <c r="C51" s="19"/>
      <c r="D51" s="19"/>
      <c r="E51" s="19"/>
      <c r="F51" s="22">
        <f>Koncepty!F650</f>
        <v>0</v>
      </c>
    </row>
    <row r="52" spans="2:7">
      <c r="B52" s="21" t="s">
        <v>10</v>
      </c>
      <c r="C52" s="19"/>
      <c r="D52" s="19"/>
      <c r="E52" s="19"/>
      <c r="F52" s="22">
        <f>Koncepty!F660</f>
        <v>0</v>
      </c>
    </row>
    <row r="53" spans="2:7">
      <c r="B53" s="21" t="s">
        <v>9</v>
      </c>
      <c r="C53" s="19"/>
      <c r="D53" s="19"/>
      <c r="E53" s="19"/>
      <c r="F53" s="22">
        <f>Koncepty!F670</f>
        <v>0</v>
      </c>
    </row>
    <row r="54" spans="2:7">
      <c r="B54" s="21" t="s">
        <v>8</v>
      </c>
      <c r="C54" s="19"/>
      <c r="D54" s="19"/>
      <c r="E54" s="19"/>
      <c r="F54" s="22">
        <f>Koncepty!F680</f>
        <v>0</v>
      </c>
    </row>
    <row r="55" spans="2:7">
      <c r="B55" s="21" t="s">
        <v>7</v>
      </c>
      <c r="C55" s="19"/>
      <c r="D55" s="19"/>
      <c r="E55" s="19"/>
      <c r="F55" s="22">
        <f>Koncepty!F690</f>
        <v>0</v>
      </c>
    </row>
    <row r="56" spans="2:7">
      <c r="B56" s="21" t="s">
        <v>6</v>
      </c>
      <c r="C56" s="19"/>
      <c r="D56" s="19"/>
      <c r="E56" s="19"/>
      <c r="F56" s="22">
        <f>Koncepty!F700</f>
        <v>0</v>
      </c>
    </row>
    <row r="57" spans="2:7">
      <c r="B57" s="41" t="s">
        <v>61</v>
      </c>
      <c r="C57" s="18"/>
      <c r="D57" s="18"/>
      <c r="E57" s="18"/>
      <c r="F57" s="42">
        <f>Koncepty!F708</f>
        <v>0</v>
      </c>
    </row>
    <row r="59" spans="2:7">
      <c r="B59" s="41" t="s">
        <v>85</v>
      </c>
      <c r="C59" s="19"/>
      <c r="D59" s="19"/>
      <c r="E59" s="19"/>
      <c r="F59" s="22">
        <f>Koncepty!F730</f>
        <v>0</v>
      </c>
    </row>
    <row r="60" spans="2:7">
      <c r="B60" s="41" t="s">
        <v>23</v>
      </c>
      <c r="C60" s="19"/>
      <c r="D60" s="19"/>
      <c r="E60" s="19"/>
      <c r="F60" s="22">
        <f>Koncepty!F745</f>
        <v>0</v>
      </c>
    </row>
    <row r="61" spans="2:7">
      <c r="B61" s="41" t="s">
        <v>24</v>
      </c>
      <c r="C61" s="19"/>
      <c r="D61" s="19"/>
      <c r="E61" s="19"/>
      <c r="F61" s="22">
        <f>Koncepty!F766</f>
        <v>0</v>
      </c>
    </row>
    <row r="62" spans="2:7">
      <c r="B62" s="41" t="s">
        <v>34</v>
      </c>
      <c r="C62" s="19"/>
      <c r="D62" s="19"/>
      <c r="E62" s="19"/>
      <c r="F62" s="22">
        <f>Koncepty!F782</f>
        <v>0</v>
      </c>
    </row>
    <row r="63" spans="2:7">
      <c r="B63" s="41" t="s">
        <v>36</v>
      </c>
      <c r="C63" s="19"/>
      <c r="D63" s="19"/>
      <c r="E63" s="19"/>
      <c r="F63" s="22">
        <f>Koncepty!F795</f>
        <v>0</v>
      </c>
      <c r="G63" s="19"/>
    </row>
    <row r="64" spans="2:7">
      <c r="G64" s="19"/>
    </row>
    <row r="65" spans="2:7">
      <c r="B65" s="41" t="s">
        <v>197</v>
      </c>
      <c r="C65" s="19"/>
      <c r="D65" s="19"/>
      <c r="E65" s="19"/>
      <c r="F65" s="22">
        <f>Koncepty!F827</f>
        <v>0</v>
      </c>
      <c r="G65" s="19"/>
    </row>
    <row r="66" spans="2:7">
      <c r="B66" s="41" t="s">
        <v>197</v>
      </c>
      <c r="C66" s="19"/>
      <c r="D66" s="19"/>
      <c r="E66" s="19"/>
      <c r="F66" s="22">
        <f>Koncepty!F842</f>
        <v>0</v>
      </c>
      <c r="G66" s="19"/>
    </row>
    <row r="67" spans="2:7">
      <c r="B67" s="41" t="s">
        <v>20</v>
      </c>
      <c r="C67" s="19"/>
      <c r="D67" s="19"/>
      <c r="E67" s="19"/>
      <c r="F67" s="22">
        <f>Koncepty!F862</f>
        <v>0</v>
      </c>
      <c r="G67" s="19"/>
    </row>
    <row r="68" spans="2:7">
      <c r="B68" s="41" t="s">
        <v>40</v>
      </c>
      <c r="C68" s="19"/>
      <c r="D68" s="19"/>
      <c r="E68" s="19"/>
      <c r="F68" s="22">
        <f>Koncepty!F877</f>
        <v>0</v>
      </c>
      <c r="G68" s="19"/>
    </row>
    <row r="69" spans="2:7">
      <c r="B69" s="55" t="s">
        <v>201</v>
      </c>
      <c r="C69" s="19"/>
      <c r="D69" s="19"/>
      <c r="E69" s="19"/>
      <c r="F69" s="22">
        <f>Koncepty!F891</f>
        <v>0</v>
      </c>
      <c r="G69" s="19"/>
    </row>
    <row r="70" spans="2:7">
      <c r="B70" s="41" t="s">
        <v>200</v>
      </c>
      <c r="C70" s="19"/>
      <c r="D70" s="19"/>
      <c r="E70" s="19"/>
      <c r="F70" s="22">
        <f>Koncepty!F909</f>
        <v>0</v>
      </c>
      <c r="G70" s="19"/>
    </row>
    <row r="71" spans="2:7">
      <c r="B71" s="41" t="s">
        <v>102</v>
      </c>
      <c r="C71" s="19"/>
      <c r="D71" s="19"/>
      <c r="E71" s="19"/>
      <c r="F71" s="22">
        <f>Koncepty!F925</f>
        <v>0</v>
      </c>
      <c r="G71" s="19"/>
    </row>
    <row r="72" spans="2:7">
      <c r="B72" s="41" t="s">
        <v>21</v>
      </c>
      <c r="C72" s="19"/>
      <c r="D72" s="19"/>
      <c r="E72" s="19"/>
      <c r="F72" s="22">
        <f>Koncepty!F939</f>
        <v>0</v>
      </c>
      <c r="G72" s="19"/>
    </row>
    <row r="73" spans="2:7">
      <c r="B73" s="41" t="s">
        <v>22</v>
      </c>
      <c r="C73" s="19"/>
      <c r="D73" s="19"/>
      <c r="E73" s="19"/>
      <c r="F73" s="22">
        <f>Koncepty!F961</f>
        <v>0</v>
      </c>
      <c r="G73" s="19"/>
    </row>
    <row r="74" spans="2:7">
      <c r="B74" s="41" t="s">
        <v>203</v>
      </c>
      <c r="C74" s="19"/>
      <c r="D74" s="19"/>
      <c r="E74" s="19"/>
      <c r="F74" s="22">
        <f>Koncepty!F978</f>
        <v>0</v>
      </c>
      <c r="G74" s="19"/>
    </row>
    <row r="75" spans="2:7">
      <c r="B75" s="41" t="s">
        <v>25</v>
      </c>
      <c r="C75" s="19"/>
      <c r="D75" s="19"/>
      <c r="E75" s="19"/>
      <c r="F75" s="22">
        <f>Koncepty!F994</f>
        <v>0</v>
      </c>
      <c r="G75" s="19"/>
    </row>
    <row r="76" spans="2:7">
      <c r="B76" s="41" t="s">
        <v>26</v>
      </c>
      <c r="C76" s="19"/>
      <c r="D76" s="19"/>
      <c r="E76" s="19"/>
      <c r="F76" s="22">
        <f>Koncepty!F1015</f>
        <v>0</v>
      </c>
      <c r="G76" s="19"/>
    </row>
    <row r="77" spans="2:7">
      <c r="B77" s="41" t="s">
        <v>27</v>
      </c>
      <c r="C77" s="19"/>
      <c r="D77" s="19"/>
      <c r="E77" s="19"/>
      <c r="F77" s="22">
        <f>Koncepty!F1039</f>
        <v>0</v>
      </c>
      <c r="G77" s="19"/>
    </row>
    <row r="78" spans="2:7">
      <c r="B78" s="41" t="s">
        <v>28</v>
      </c>
      <c r="C78" s="19"/>
      <c r="D78" s="19"/>
      <c r="E78" s="19"/>
      <c r="F78" s="22">
        <f>Koncepty!F1051</f>
        <v>0</v>
      </c>
      <c r="G78" s="19"/>
    </row>
    <row r="79" spans="2:7">
      <c r="B79" s="41" t="s">
        <v>29</v>
      </c>
      <c r="C79" s="19"/>
      <c r="D79" s="19"/>
      <c r="E79" s="19"/>
      <c r="F79" s="22">
        <f>Koncepty!F1064</f>
        <v>0</v>
      </c>
      <c r="G79" s="19"/>
    </row>
    <row r="80" spans="2:7">
      <c r="B80" s="41" t="s">
        <v>30</v>
      </c>
      <c r="C80" s="19"/>
      <c r="D80" s="19"/>
      <c r="E80" s="19"/>
      <c r="F80" s="22">
        <f>Koncepty!F1079</f>
        <v>0</v>
      </c>
      <c r="G80" s="19"/>
    </row>
    <row r="81" spans="2:7">
      <c r="B81" s="41" t="s">
        <v>31</v>
      </c>
      <c r="C81" s="19"/>
      <c r="D81" s="19"/>
      <c r="E81" s="19"/>
      <c r="F81" s="22">
        <f>Koncepty!F1093</f>
        <v>0</v>
      </c>
      <c r="G81" s="19"/>
    </row>
    <row r="82" spans="2:7">
      <c r="B82" s="41" t="s">
        <v>13</v>
      </c>
      <c r="C82" s="19"/>
      <c r="D82" s="19"/>
      <c r="E82" s="19"/>
      <c r="F82" s="22">
        <f>Koncepty!F1119</f>
        <v>0</v>
      </c>
      <c r="G82" s="19"/>
    </row>
    <row r="83" spans="2:7">
      <c r="B83" s="41" t="s">
        <v>33</v>
      </c>
      <c r="C83" s="19"/>
      <c r="D83" s="19"/>
      <c r="E83" s="19"/>
      <c r="F83" s="22">
        <f>Koncepty!F1138</f>
        <v>0</v>
      </c>
      <c r="G83" s="19"/>
    </row>
    <row r="84" spans="2:7">
      <c r="B84" s="41" t="s">
        <v>35</v>
      </c>
      <c r="C84" s="19"/>
      <c r="D84" s="19"/>
      <c r="E84" s="19"/>
      <c r="F84" s="22">
        <f>Koncepty!F1154</f>
        <v>0</v>
      </c>
      <c r="G84" s="19"/>
    </row>
    <row r="85" spans="2:7">
      <c r="B85" s="41" t="s">
        <v>37</v>
      </c>
      <c r="C85" s="19"/>
      <c r="D85" s="19"/>
      <c r="E85" s="19"/>
      <c r="F85" s="22">
        <f>Koncepty!F1168</f>
        <v>0</v>
      </c>
      <c r="G85" s="19"/>
    </row>
    <row r="86" spans="2:7">
      <c r="B86" s="41" t="s">
        <v>46</v>
      </c>
      <c r="C86" s="19"/>
      <c r="D86" s="19"/>
      <c r="E86" s="19"/>
      <c r="F86" s="22">
        <f>Koncepty!F1191</f>
        <v>0</v>
      </c>
      <c r="G86" s="19"/>
    </row>
    <row r="87" spans="2:7">
      <c r="B87" s="41" t="s">
        <v>166</v>
      </c>
      <c r="C87" s="19"/>
      <c r="D87" s="19"/>
      <c r="E87" s="19"/>
      <c r="F87" s="22">
        <f>Koncepty!F1212</f>
        <v>0</v>
      </c>
      <c r="G87" s="19"/>
    </row>
    <row r="88" spans="2:7">
      <c r="B88" s="41" t="s">
        <v>167</v>
      </c>
      <c r="C88" s="19"/>
      <c r="D88" s="19"/>
      <c r="E88" s="19"/>
      <c r="F88" s="22">
        <f>Koncepty!F1233</f>
        <v>0</v>
      </c>
      <c r="G88" s="19"/>
    </row>
    <row r="89" spans="2:7">
      <c r="B89" s="41" t="s">
        <v>32</v>
      </c>
      <c r="C89" s="19"/>
      <c r="D89" s="19"/>
      <c r="E89" s="19"/>
      <c r="F89" s="22">
        <f>Koncepty!F1249</f>
        <v>0</v>
      </c>
      <c r="G89" s="19"/>
    </row>
    <row r="90" spans="2:7">
      <c r="B90" s="41" t="s">
        <v>58</v>
      </c>
      <c r="C90" s="19"/>
      <c r="D90" s="19"/>
      <c r="E90" s="19"/>
      <c r="F90" s="22">
        <f>Koncepty!F1267</f>
        <v>0</v>
      </c>
      <c r="G90" s="19"/>
    </row>
    <row r="91" spans="2:7">
      <c r="B91" s="41" t="s">
        <v>59</v>
      </c>
      <c r="C91" s="19"/>
      <c r="D91" s="19"/>
      <c r="E91" s="19"/>
      <c r="F91" s="22">
        <f>Koncepty!F1283</f>
        <v>0</v>
      </c>
      <c r="G91" s="19"/>
    </row>
    <row r="92" spans="2:7">
      <c r="B92" s="41" t="s">
        <v>110</v>
      </c>
      <c r="C92" s="19"/>
      <c r="D92" s="19"/>
      <c r="E92" s="19"/>
      <c r="F92" s="22">
        <f>Koncepty!F1299</f>
        <v>0</v>
      </c>
      <c r="G92" s="19"/>
    </row>
    <row r="93" spans="2:7">
      <c r="B93" s="41" t="s">
        <v>62</v>
      </c>
      <c r="C93" s="19"/>
      <c r="D93" s="19"/>
      <c r="E93" s="19"/>
      <c r="F93" s="22">
        <f>Koncepty!F1313</f>
        <v>0</v>
      </c>
      <c r="G93" s="19"/>
    </row>
    <row r="94" spans="2:7">
      <c r="B94" s="41" t="s">
        <v>63</v>
      </c>
      <c r="C94" s="19"/>
      <c r="D94" s="19"/>
      <c r="E94" s="19"/>
      <c r="F94" s="22">
        <f>Koncepty!F1327</f>
        <v>0</v>
      </c>
      <c r="G94" s="19"/>
    </row>
    <row r="95" spans="2:7">
      <c r="B95" s="41" t="s">
        <v>111</v>
      </c>
      <c r="C95" s="19"/>
      <c r="D95" s="19"/>
      <c r="E95" s="19"/>
      <c r="F95" s="22">
        <f>Koncepty!F1341</f>
        <v>0</v>
      </c>
      <c r="G95" s="19"/>
    </row>
    <row r="96" spans="2:7">
      <c r="B96" s="41" t="s">
        <v>64</v>
      </c>
      <c r="C96" s="19"/>
      <c r="D96" s="22"/>
      <c r="E96" s="19"/>
      <c r="F96" s="22">
        <f>Koncepty!F1359</f>
        <v>0</v>
      </c>
      <c r="G96" s="19"/>
    </row>
    <row r="97" spans="1:7">
      <c r="B97" s="41" t="s">
        <v>65</v>
      </c>
      <c r="C97" s="19"/>
      <c r="D97" s="19"/>
      <c r="E97" s="19"/>
      <c r="F97" s="22">
        <f>Koncepty!F1377</f>
        <v>0</v>
      </c>
      <c r="G97" s="19"/>
    </row>
    <row r="98" spans="1:7">
      <c r="B98" s="41" t="s">
        <v>66</v>
      </c>
      <c r="C98" s="19"/>
      <c r="D98" s="19"/>
      <c r="E98" s="19"/>
      <c r="F98" s="22">
        <f>Koncepty!F1400</f>
        <v>0</v>
      </c>
      <c r="G98" s="19"/>
    </row>
    <row r="99" spans="1:7">
      <c r="B99" s="41" t="s">
        <v>67</v>
      </c>
      <c r="C99" s="19"/>
      <c r="D99" s="19"/>
      <c r="E99" s="19"/>
      <c r="F99" s="22">
        <f>Koncepty!F1417</f>
        <v>0</v>
      </c>
      <c r="G99" s="19"/>
    </row>
    <row r="100" spans="1:7">
      <c r="B100" s="41" t="s">
        <v>68</v>
      </c>
      <c r="C100" s="19"/>
      <c r="D100" s="19"/>
      <c r="E100" s="19"/>
      <c r="F100" s="22">
        <f>Koncepty!F1432</f>
        <v>0</v>
      </c>
      <c r="G100" s="19"/>
    </row>
    <row r="101" spans="1:7">
      <c r="B101" s="41" t="s">
        <v>72</v>
      </c>
      <c r="C101" s="19"/>
      <c r="D101" s="19"/>
      <c r="E101" s="19"/>
      <c r="F101" s="22">
        <f>Koncepty!F1447</f>
        <v>0</v>
      </c>
      <c r="G101" s="19"/>
    </row>
    <row r="102" spans="1:7">
      <c r="B102" s="41" t="s">
        <v>69</v>
      </c>
      <c r="C102" s="19"/>
      <c r="D102" s="19"/>
      <c r="E102" s="22"/>
      <c r="F102" s="22">
        <f>Koncepty!F1462</f>
        <v>0</v>
      </c>
      <c r="G102" s="19"/>
    </row>
    <row r="103" spans="1:7">
      <c r="B103" s="41" t="s">
        <v>194</v>
      </c>
      <c r="C103" s="19"/>
      <c r="D103" s="19"/>
      <c r="E103" s="19"/>
      <c r="F103" s="22">
        <f>Koncepty!F1477</f>
        <v>0</v>
      </c>
      <c r="G103" s="19"/>
    </row>
    <row r="104" spans="1:7">
      <c r="A104" s="19"/>
      <c r="B104" s="41" t="s">
        <v>192</v>
      </c>
      <c r="C104" s="19"/>
      <c r="D104" s="19"/>
      <c r="E104" s="19"/>
      <c r="F104" s="22">
        <f>Koncepty!F1493</f>
        <v>0</v>
      </c>
      <c r="G104" s="19"/>
    </row>
    <row r="105" spans="1:7">
      <c r="A105" s="19"/>
      <c r="B105" s="41" t="s">
        <v>193</v>
      </c>
      <c r="C105" s="19"/>
      <c r="D105" s="19"/>
      <c r="E105" s="22"/>
      <c r="F105" s="22">
        <f>Koncepty!F1509</f>
        <v>0</v>
      </c>
      <c r="G105" s="19"/>
    </row>
    <row r="106" spans="1:7">
      <c r="A106" s="19"/>
      <c r="B106" s="41" t="s">
        <v>195</v>
      </c>
      <c r="C106" s="19"/>
      <c r="D106" s="19"/>
      <c r="E106" s="19"/>
      <c r="F106" s="22">
        <f>Koncepty!F1535</f>
        <v>0</v>
      </c>
      <c r="G106" s="19"/>
    </row>
    <row r="107" spans="1:7">
      <c r="A107" s="19"/>
      <c r="B107" s="41" t="s">
        <v>196</v>
      </c>
      <c r="C107" s="19"/>
      <c r="D107" s="19"/>
      <c r="E107" s="19"/>
      <c r="F107" s="22">
        <f>Koncepty!F1550</f>
        <v>0</v>
      </c>
      <c r="G107" s="19"/>
    </row>
    <row r="108" spans="1:7">
      <c r="A108" s="19"/>
      <c r="B108" s="19"/>
      <c r="C108" s="19"/>
      <c r="D108" s="19"/>
      <c r="E108" s="19"/>
      <c r="F108" s="19"/>
      <c r="G108" s="19"/>
    </row>
    <row r="109" spans="1:7">
      <c r="A109" s="19"/>
      <c r="B109" s="19"/>
      <c r="C109" s="19"/>
      <c r="D109" s="19"/>
      <c r="E109" s="19"/>
      <c r="F109" s="19"/>
      <c r="G109" s="19"/>
    </row>
    <row r="110" spans="1:7">
      <c r="A110" s="19"/>
      <c r="B110" s="41" t="s">
        <v>649</v>
      </c>
      <c r="C110" s="19"/>
      <c r="D110" s="19"/>
      <c r="E110" s="19"/>
      <c r="F110" s="22">
        <f>Koncepty!F117</f>
        <v>0</v>
      </c>
      <c r="G110" s="19"/>
    </row>
    <row r="111" spans="1:7">
      <c r="A111" s="19"/>
      <c r="B111" s="19"/>
      <c r="C111" s="19"/>
      <c r="D111" s="19"/>
      <c r="E111" s="19"/>
      <c r="F111" s="19"/>
      <c r="G111" s="19"/>
    </row>
    <row r="112" spans="1:7" ht="18.75">
      <c r="A112" s="19"/>
      <c r="B112" s="11" t="str">
        <f>R_86</f>
        <v>Předběžné náklady</v>
      </c>
      <c r="C112" s="19"/>
      <c r="D112" s="5"/>
      <c r="E112" s="4"/>
      <c r="F112" s="5"/>
      <c r="G112" s="19"/>
    </row>
    <row r="113" spans="1:7">
      <c r="A113" s="19"/>
      <c r="B113" s="7"/>
      <c r="C113" s="19"/>
      <c r="D113" s="5"/>
      <c r="E113" s="4"/>
      <c r="F113" s="5"/>
      <c r="G113" s="19"/>
    </row>
    <row r="114" spans="1:7">
      <c r="A114" s="19"/>
      <c r="B114" s="7"/>
      <c r="C114" s="19"/>
      <c r="D114" s="5"/>
      <c r="E114" s="4"/>
      <c r="F114" s="5"/>
      <c r="G114" s="19"/>
    </row>
    <row r="115" spans="1:7">
      <c r="A115" s="5"/>
      <c r="B115" s="1"/>
      <c r="C115" s="19"/>
      <c r="D115" s="9"/>
      <c r="E115" s="4"/>
      <c r="F115" s="8">
        <f>ROUND(D115*E115,0)</f>
        <v>0</v>
      </c>
      <c r="G115" s="19"/>
    </row>
    <row r="116" spans="1:7">
      <c r="A116" s="5"/>
      <c r="B116" s="7"/>
      <c r="C116" s="19"/>
      <c r="D116" s="5"/>
      <c r="E116" s="4"/>
      <c r="F116" s="5"/>
      <c r="G116" s="19"/>
    </row>
    <row r="117" spans="1:7">
      <c r="A117" s="5"/>
      <c r="B117" s="6" t="str">
        <f>B112&amp;"  -  celkem"</f>
        <v>Předběžné náklady  -  celkem</v>
      </c>
      <c r="C117" s="19"/>
      <c r="D117" s="5"/>
      <c r="E117" s="4"/>
      <c r="F117" s="3">
        <f>SUM(F112:F116)</f>
        <v>0</v>
      </c>
      <c r="G117" s="19"/>
    </row>
    <row r="118" spans="1:7">
      <c r="A118" s="10"/>
      <c r="G118" s="19"/>
    </row>
    <row r="119" spans="1:7">
      <c r="A119" s="10"/>
      <c r="G119" s="19"/>
    </row>
    <row r="120" spans="1:7">
      <c r="A120" s="10"/>
      <c r="G120" s="19"/>
    </row>
    <row r="121" spans="1:7">
      <c r="A121" s="5"/>
      <c r="G121" s="19"/>
    </row>
    <row r="122" spans="1:7">
      <c r="A122" s="5"/>
      <c r="G122" s="19"/>
    </row>
    <row r="123" spans="1:7">
      <c r="A123" s="19"/>
      <c r="G123" s="19"/>
    </row>
    <row r="124" spans="1:7">
      <c r="A124" s="19"/>
      <c r="B124" s="21" t="s">
        <v>748</v>
      </c>
      <c r="C124" s="19"/>
      <c r="D124" s="19"/>
      <c r="E124" s="19"/>
      <c r="F124" s="22">
        <f>Koncepty!F1564</f>
        <v>0</v>
      </c>
      <c r="G124" s="19"/>
    </row>
    <row r="125" spans="1:7">
      <c r="A125" s="19"/>
      <c r="B125" s="21" t="s">
        <v>588</v>
      </c>
      <c r="C125" s="19"/>
      <c r="D125" s="19"/>
      <c r="E125" s="19"/>
      <c r="F125" s="22">
        <f>Koncepty!F1576</f>
        <v>0</v>
      </c>
      <c r="G125" s="19"/>
    </row>
    <row r="126" spans="1:7">
      <c r="A126" s="19"/>
      <c r="B126" s="21" t="s">
        <v>589</v>
      </c>
      <c r="C126" s="19"/>
      <c r="D126" s="19"/>
      <c r="E126" s="19"/>
      <c r="F126" s="22">
        <f>Koncepty!F1589</f>
        <v>0</v>
      </c>
      <c r="G126" s="19"/>
    </row>
    <row r="127" spans="1:7">
      <c r="A127" s="19"/>
      <c r="B127" s="21" t="s">
        <v>601</v>
      </c>
      <c r="C127" s="19"/>
      <c r="D127" s="19"/>
      <c r="E127" s="19"/>
      <c r="F127" s="22">
        <f>Koncepty!F1607</f>
        <v>0</v>
      </c>
      <c r="G127" s="19"/>
    </row>
    <row r="128" spans="1:7">
      <c r="A128" s="19"/>
      <c r="B128" s="21" t="s">
        <v>591</v>
      </c>
      <c r="C128" s="19"/>
      <c r="D128" s="19"/>
      <c r="E128" s="19"/>
      <c r="F128" s="22">
        <f>Koncepty!F1620</f>
        <v>0</v>
      </c>
      <c r="G128" s="19"/>
    </row>
    <row r="129" spans="1:7">
      <c r="A129" s="5"/>
      <c r="B129" s="21" t="s">
        <v>592</v>
      </c>
      <c r="C129" s="19"/>
      <c r="D129" s="19"/>
      <c r="E129" s="19"/>
      <c r="F129" s="22">
        <f>Koncepty!F1634</f>
        <v>0</v>
      </c>
      <c r="G129" s="19"/>
    </row>
    <row r="130" spans="1:7">
      <c r="A130" s="5"/>
      <c r="B130" s="21" t="s">
        <v>590</v>
      </c>
      <c r="C130" s="19"/>
      <c r="D130" s="19"/>
      <c r="E130" s="19"/>
      <c r="F130" s="22">
        <f>Koncepty!F1648</f>
        <v>0</v>
      </c>
      <c r="G130" s="19"/>
    </row>
    <row r="131" spans="1:7">
      <c r="A131" s="5"/>
      <c r="G131" s="19"/>
    </row>
    <row r="132" spans="1:7">
      <c r="A132" s="10"/>
      <c r="B132" s="41" t="s">
        <v>652</v>
      </c>
      <c r="C132" s="19"/>
      <c r="D132" s="19"/>
      <c r="E132" s="19"/>
      <c r="F132" s="22">
        <f>Koncepty!F1661</f>
        <v>0</v>
      </c>
      <c r="G132" s="19"/>
    </row>
    <row r="133" spans="1:7">
      <c r="A133" s="10"/>
      <c r="B133" s="41" t="s">
        <v>654</v>
      </c>
      <c r="C133" s="19"/>
      <c r="D133" s="19"/>
      <c r="E133" s="19"/>
      <c r="F133" s="22">
        <f>Koncepty!F1675</f>
        <v>0</v>
      </c>
      <c r="G133" s="19"/>
    </row>
    <row r="134" spans="1:7">
      <c r="A134" s="10"/>
      <c r="B134" s="41" t="s">
        <v>653</v>
      </c>
      <c r="C134" s="19"/>
      <c r="D134" s="19"/>
      <c r="E134" s="19"/>
      <c r="F134" s="22">
        <f>Koncepty!F1689</f>
        <v>0</v>
      </c>
      <c r="G134" s="19"/>
    </row>
    <row r="135" spans="1:7">
      <c r="A135" s="5"/>
      <c r="B135" s="21" t="s">
        <v>655</v>
      </c>
      <c r="C135" s="19"/>
      <c r="D135" s="19"/>
      <c r="E135" s="19"/>
      <c r="F135" s="22">
        <f>Koncepty!F1702</f>
        <v>0</v>
      </c>
      <c r="G135" s="19"/>
    </row>
    <row r="136" spans="1:7">
      <c r="A136" s="5"/>
      <c r="B136" s="41" t="s">
        <v>656</v>
      </c>
      <c r="C136" s="19"/>
      <c r="D136" s="19"/>
      <c r="E136" s="19"/>
      <c r="F136" s="22">
        <f>Koncepty!F1717</f>
        <v>0</v>
      </c>
      <c r="G136" s="19"/>
    </row>
    <row r="137" spans="1:7">
      <c r="A137" s="19"/>
      <c r="B137" s="41" t="s">
        <v>657</v>
      </c>
      <c r="C137" s="19"/>
      <c r="D137" s="19"/>
      <c r="E137" s="19"/>
      <c r="F137" s="22">
        <f>Koncepty!F1731</f>
        <v>0</v>
      </c>
      <c r="G137" s="19"/>
    </row>
    <row r="138" spans="1:7">
      <c r="A138" s="19"/>
      <c r="B138" s="41" t="s">
        <v>658</v>
      </c>
      <c r="C138" s="19"/>
      <c r="D138" s="19"/>
      <c r="E138" s="19"/>
      <c r="F138" s="22">
        <f>Koncepty!F1746</f>
        <v>0</v>
      </c>
      <c r="G138" s="19"/>
    </row>
    <row r="139" spans="1:7">
      <c r="A139" s="19"/>
      <c r="B139" s="41" t="s">
        <v>659</v>
      </c>
      <c r="C139" s="19"/>
      <c r="D139" s="19"/>
      <c r="E139" s="19"/>
      <c r="F139" s="22">
        <f>Koncepty!F1761</f>
        <v>0</v>
      </c>
      <c r="G139" s="19"/>
    </row>
    <row r="140" spans="1:7">
      <c r="A140" s="19"/>
      <c r="B140" s="21" t="s">
        <v>660</v>
      </c>
      <c r="C140" s="19"/>
      <c r="D140" s="19"/>
      <c r="E140" s="19"/>
      <c r="F140" s="22">
        <f>Koncepty!F1775</f>
        <v>0</v>
      </c>
      <c r="G140" s="19"/>
    </row>
    <row r="141" spans="1:7">
      <c r="A141" s="19"/>
      <c r="B141" s="21" t="s">
        <v>661</v>
      </c>
      <c r="C141" s="19"/>
      <c r="D141" s="19"/>
      <c r="E141" s="19"/>
      <c r="F141" s="22">
        <f>Koncepty!F1789</f>
        <v>0</v>
      </c>
      <c r="G141" s="19"/>
    </row>
    <row r="142" spans="1:7">
      <c r="A142" s="19"/>
      <c r="B142" s="21" t="s">
        <v>662</v>
      </c>
      <c r="C142" s="19"/>
      <c r="D142" s="19"/>
      <c r="E142" s="19"/>
      <c r="F142" s="22">
        <f>Koncepty!F1805</f>
        <v>0</v>
      </c>
      <c r="G142" s="19"/>
    </row>
    <row r="143" spans="1:7">
      <c r="A143" s="5"/>
      <c r="G143" s="19"/>
    </row>
    <row r="144" spans="1:7">
      <c r="A144" s="5"/>
      <c r="G144" s="19"/>
    </row>
    <row r="145" spans="1:7">
      <c r="A145" s="19"/>
      <c r="B145" s="21" t="s">
        <v>666</v>
      </c>
      <c r="C145" s="19"/>
      <c r="D145" s="19"/>
      <c r="E145" s="22"/>
      <c r="F145" s="22">
        <f>Koncepty!F1819</f>
        <v>0</v>
      </c>
      <c r="G145" s="19"/>
    </row>
    <row r="146" spans="1:7">
      <c r="A146" s="19"/>
      <c r="B146" s="21" t="s">
        <v>667</v>
      </c>
      <c r="C146" s="19"/>
      <c r="D146" s="19"/>
      <c r="E146" s="19"/>
      <c r="F146" s="22">
        <f>Koncepty!F1833</f>
        <v>0</v>
      </c>
      <c r="G146" s="19"/>
    </row>
    <row r="147" spans="1:7">
      <c r="A147" s="19"/>
      <c r="B147" s="21" t="s">
        <v>668</v>
      </c>
      <c r="C147" s="19"/>
      <c r="D147" s="19"/>
      <c r="E147" s="19"/>
      <c r="F147" s="22">
        <f>Koncepty!F1848</f>
        <v>0</v>
      </c>
      <c r="G147" s="19"/>
    </row>
    <row r="148" spans="1:7">
      <c r="A148" s="5"/>
      <c r="B148" s="21" t="s">
        <v>669</v>
      </c>
      <c r="C148" s="19"/>
      <c r="D148" s="19"/>
      <c r="E148" s="19"/>
      <c r="F148" s="22">
        <f>Koncepty!F1863</f>
        <v>0</v>
      </c>
      <c r="G148" s="19"/>
    </row>
    <row r="149" spans="1:7">
      <c r="A149" s="5"/>
      <c r="B149" s="21" t="s">
        <v>670</v>
      </c>
      <c r="C149" s="19"/>
      <c r="D149" s="19"/>
      <c r="E149" s="19"/>
      <c r="F149" s="22">
        <f>Koncepty!F1877</f>
        <v>0</v>
      </c>
      <c r="G149" s="19"/>
    </row>
    <row r="150" spans="1:7">
      <c r="A150" s="5"/>
      <c r="B150" s="41" t="s">
        <v>671</v>
      </c>
      <c r="C150" s="19"/>
      <c r="D150" s="19"/>
      <c r="E150" s="19"/>
      <c r="F150" s="22">
        <f>Koncepty!F1891</f>
        <v>0</v>
      </c>
      <c r="G150" s="19"/>
    </row>
    <row r="151" spans="1:7">
      <c r="A151" s="10"/>
      <c r="B151" s="41" t="s">
        <v>672</v>
      </c>
      <c r="C151" s="19"/>
      <c r="D151" s="19"/>
      <c r="E151" s="19"/>
      <c r="F151" s="22">
        <f>Koncepty!F1904</f>
        <v>0</v>
      </c>
      <c r="G151" s="19"/>
    </row>
    <row r="152" spans="1:7">
      <c r="A152" s="10"/>
      <c r="B152" s="21" t="s">
        <v>673</v>
      </c>
      <c r="C152" s="19"/>
      <c r="D152" s="19"/>
      <c r="E152" s="19"/>
      <c r="F152" s="22">
        <f>Koncepty!F1916</f>
        <v>0</v>
      </c>
      <c r="G152" s="19"/>
    </row>
    <row r="153" spans="1:7">
      <c r="A153" s="10"/>
      <c r="B153" s="21" t="s">
        <v>677</v>
      </c>
      <c r="C153" s="19"/>
      <c r="D153" s="19"/>
      <c r="E153" s="19"/>
      <c r="F153" s="22">
        <f>Koncepty!F1931</f>
        <v>0</v>
      </c>
      <c r="G153" s="19"/>
    </row>
    <row r="154" spans="1:7">
      <c r="A154" s="10"/>
      <c r="B154" s="21" t="s">
        <v>674</v>
      </c>
      <c r="C154" s="19"/>
      <c r="D154" s="19"/>
      <c r="E154" s="19"/>
      <c r="F154" s="22">
        <f>Koncepty!F1946</f>
        <v>0</v>
      </c>
      <c r="G154" s="19"/>
    </row>
    <row r="155" spans="1:7">
      <c r="A155" s="10"/>
      <c r="B155" s="41" t="s">
        <v>675</v>
      </c>
      <c r="C155" s="19"/>
      <c r="D155" s="19"/>
      <c r="E155" s="19"/>
      <c r="F155" s="22">
        <f>Koncepty!F1960</f>
        <v>0</v>
      </c>
      <c r="G155" s="19"/>
    </row>
    <row r="156" spans="1:7">
      <c r="A156" s="5"/>
      <c r="B156" s="21" t="s">
        <v>676</v>
      </c>
      <c r="C156" s="19"/>
      <c r="D156" s="19"/>
      <c r="E156" s="19"/>
      <c r="F156" s="22">
        <f>Koncepty!F1975</f>
        <v>0</v>
      </c>
      <c r="G156" s="19"/>
    </row>
    <row r="157" spans="1:7">
      <c r="A157" s="5"/>
      <c r="B157" s="21" t="s">
        <v>678</v>
      </c>
      <c r="C157" s="19"/>
      <c r="D157" s="19"/>
      <c r="E157" s="19"/>
      <c r="F157" s="22">
        <f>Koncepty!F1988</f>
        <v>0</v>
      </c>
      <c r="G157" s="19"/>
    </row>
    <row r="158" spans="1:7">
      <c r="A158" s="19"/>
      <c r="B158" s="21" t="s">
        <v>679</v>
      </c>
      <c r="C158" s="19"/>
      <c r="D158" s="19"/>
      <c r="E158" s="19"/>
      <c r="F158" s="22">
        <f>Koncepty!F2003</f>
        <v>0</v>
      </c>
      <c r="G158" s="19"/>
    </row>
    <row r="159" spans="1:7">
      <c r="A159" s="19"/>
      <c r="B159" s="21" t="s">
        <v>680</v>
      </c>
      <c r="C159" s="19"/>
      <c r="D159" s="19"/>
      <c r="E159" s="19"/>
      <c r="F159" s="22">
        <f>Koncepty!F2016</f>
        <v>0</v>
      </c>
      <c r="G159" s="19"/>
    </row>
    <row r="160" spans="1:7">
      <c r="A160" s="19"/>
      <c r="B160" s="21" t="s">
        <v>681</v>
      </c>
      <c r="C160" s="19"/>
      <c r="D160" s="19"/>
      <c r="E160" s="19"/>
      <c r="F160" s="22">
        <f>Koncepty!F2030</f>
        <v>0</v>
      </c>
      <c r="G160" s="19"/>
    </row>
    <row r="161" spans="1:7">
      <c r="A161" s="19"/>
      <c r="G161" s="19"/>
    </row>
    <row r="162" spans="1:7">
      <c r="A162" s="19"/>
      <c r="B162" s="21" t="s">
        <v>750</v>
      </c>
      <c r="C162" s="19"/>
      <c r="D162" s="19"/>
      <c r="E162" s="19"/>
      <c r="F162" s="22">
        <f>Koncepty!F2042</f>
        <v>0</v>
      </c>
      <c r="G162" s="19"/>
    </row>
    <row r="163" spans="1:7">
      <c r="A163" s="19"/>
      <c r="B163" s="21" t="s">
        <v>778</v>
      </c>
      <c r="C163" s="19"/>
      <c r="D163" s="19"/>
      <c r="E163" s="19"/>
      <c r="F163" s="22">
        <f>Koncepty!F2058</f>
        <v>0</v>
      </c>
      <c r="G163" s="19"/>
    </row>
    <row r="164" spans="1:7">
      <c r="A164" s="5"/>
      <c r="B164" s="41" t="s">
        <v>759</v>
      </c>
      <c r="C164" s="19"/>
      <c r="D164" s="19"/>
      <c r="E164" s="19"/>
      <c r="F164" s="22">
        <f>Koncepty!F2073</f>
        <v>0</v>
      </c>
      <c r="G164" s="19"/>
    </row>
    <row r="165" spans="1:7">
      <c r="A165" s="5"/>
      <c r="G165" s="19"/>
    </row>
    <row r="166" spans="1:7">
      <c r="A166" s="5"/>
      <c r="B166" s="21" t="s">
        <v>772</v>
      </c>
      <c r="C166" s="19"/>
      <c r="D166" s="19"/>
      <c r="E166" s="19"/>
      <c r="F166" s="22">
        <f>Koncepty!F2087</f>
        <v>0</v>
      </c>
      <c r="G166" s="19"/>
    </row>
    <row r="167" spans="1:7">
      <c r="A167" s="10"/>
      <c r="B167" s="21" t="s">
        <v>747</v>
      </c>
      <c r="C167" s="19"/>
      <c r="D167" s="19"/>
      <c r="E167" s="19"/>
      <c r="F167" s="22">
        <f>Koncepty!F2100</f>
        <v>0</v>
      </c>
      <c r="G167" s="19"/>
    </row>
    <row r="168" spans="1:7">
      <c r="A168" s="10"/>
      <c r="B168" s="21" t="s">
        <v>749</v>
      </c>
      <c r="C168" s="19"/>
      <c r="D168" s="19"/>
      <c r="E168" s="19"/>
      <c r="F168" s="22">
        <f>Koncepty!F2113</f>
        <v>0</v>
      </c>
    </row>
    <row r="169" spans="1:7">
      <c r="A169" s="5"/>
    </row>
    <row r="170" spans="1:7">
      <c r="A170" s="5"/>
    </row>
    <row r="171" spans="1:7">
      <c r="A171" s="19"/>
      <c r="B171" s="19"/>
      <c r="C171" s="19"/>
      <c r="D171" s="19"/>
      <c r="E171" s="19"/>
      <c r="F171" s="19"/>
    </row>
    <row r="172" spans="1:7">
      <c r="A172" s="19"/>
      <c r="B172" s="19"/>
      <c r="C172" s="19"/>
      <c r="D172" s="19"/>
      <c r="E172" s="19"/>
      <c r="F172" s="19"/>
    </row>
    <row r="173" spans="1:7">
      <c r="A173" s="5"/>
    </row>
    <row r="174" spans="1:7">
      <c r="A174" s="5"/>
    </row>
    <row r="175" spans="1:7">
      <c r="A175" s="5"/>
    </row>
    <row r="176" spans="1:7">
      <c r="A176" s="10"/>
    </row>
    <row r="177" spans="1:6">
      <c r="A177" s="10"/>
    </row>
    <row r="178" spans="1:6">
      <c r="A178" s="10"/>
    </row>
    <row r="179" spans="1:6">
      <c r="A179" s="5"/>
    </row>
    <row r="180" spans="1:6">
      <c r="A180" s="5"/>
    </row>
    <row r="181" spans="1:6">
      <c r="A181" s="19"/>
    </row>
    <row r="182" spans="1:6">
      <c r="A182" s="19"/>
    </row>
    <row r="183" spans="1:6">
      <c r="A183" s="5"/>
    </row>
    <row r="184" spans="1:6">
      <c r="A184" s="5"/>
    </row>
    <row r="185" spans="1:6">
      <c r="A185" s="5"/>
    </row>
    <row r="186" spans="1:6">
      <c r="A186" s="10"/>
    </row>
    <row r="187" spans="1:6">
      <c r="A187" s="10"/>
    </row>
    <row r="188" spans="1:6">
      <c r="A188" s="10"/>
    </row>
    <row r="189" spans="1:6">
      <c r="A189" s="5"/>
    </row>
    <row r="190" spans="1:6">
      <c r="A190" s="5"/>
    </row>
    <row r="191" spans="1:6">
      <c r="A191" s="19"/>
      <c r="B191" s="19"/>
      <c r="C191" s="19"/>
      <c r="D191" s="19"/>
      <c r="E191" s="19"/>
      <c r="F191" s="19"/>
    </row>
    <row r="192" spans="1:6">
      <c r="A192" s="19"/>
      <c r="B192" s="19"/>
      <c r="C192" s="19"/>
      <c r="D192" s="19"/>
      <c r="E192" s="19"/>
      <c r="F192" s="19"/>
    </row>
    <row r="193" spans="1:6">
      <c r="A193" s="5"/>
    </row>
    <row r="194" spans="1:6">
      <c r="A194" s="5"/>
    </row>
    <row r="195" spans="1:6">
      <c r="A195" s="5"/>
    </row>
    <row r="196" spans="1:6">
      <c r="A196" s="10"/>
    </row>
    <row r="197" spans="1:6">
      <c r="A197" s="10"/>
    </row>
    <row r="198" spans="1:6">
      <c r="A198" s="10"/>
    </row>
    <row r="199" spans="1:6">
      <c r="A199" s="5"/>
    </row>
    <row r="200" spans="1:6">
      <c r="A200" s="5"/>
    </row>
    <row r="201" spans="1:6">
      <c r="A201" s="19"/>
      <c r="B201" s="19"/>
      <c r="C201" s="19"/>
      <c r="D201" s="19"/>
      <c r="E201" s="19"/>
      <c r="F201" s="19"/>
    </row>
    <row r="202" spans="1:6">
      <c r="A202" s="19"/>
      <c r="B202" s="19"/>
      <c r="C202" s="19"/>
      <c r="D202" s="19"/>
      <c r="E202" s="19"/>
      <c r="F202" s="19"/>
    </row>
    <row r="203" spans="1:6">
      <c r="A203" s="5"/>
    </row>
    <row r="204" spans="1:6">
      <c r="A204" s="5"/>
    </row>
    <row r="205" spans="1:6">
      <c r="A205" s="5"/>
    </row>
    <row r="206" spans="1:6">
      <c r="A206" s="10"/>
    </row>
    <row r="207" spans="1:6">
      <c r="A207" s="10"/>
    </row>
    <row r="208" spans="1:6">
      <c r="A208" s="10"/>
    </row>
    <row r="209" spans="1:6">
      <c r="A209" s="5"/>
    </row>
    <row r="210" spans="1:6">
      <c r="A210" s="5"/>
    </row>
    <row r="211" spans="1:6">
      <c r="A211" s="19"/>
      <c r="B211" s="19"/>
      <c r="C211" s="19"/>
      <c r="D211" s="19"/>
      <c r="E211" s="19"/>
      <c r="F211" s="19"/>
    </row>
    <row r="212" spans="1:6">
      <c r="A212" s="19"/>
      <c r="B212" s="19"/>
      <c r="C212" s="19"/>
      <c r="D212" s="19"/>
      <c r="E212" s="19"/>
      <c r="F212" s="19"/>
    </row>
    <row r="213" spans="1:6">
      <c r="A213" s="5"/>
    </row>
    <row r="214" spans="1:6">
      <c r="A214" s="5"/>
    </row>
    <row r="215" spans="1:6">
      <c r="A215" s="5"/>
    </row>
    <row r="216" spans="1:6">
      <c r="A216" s="10"/>
    </row>
    <row r="217" spans="1:6">
      <c r="A217" s="10"/>
    </row>
    <row r="218" spans="1:6">
      <c r="A218" s="10"/>
    </row>
    <row r="219" spans="1:6">
      <c r="A219" s="5"/>
    </row>
    <row r="220" spans="1:6">
      <c r="A220" s="5"/>
    </row>
    <row r="221" spans="1:6">
      <c r="A221" s="19"/>
      <c r="B221" s="19"/>
      <c r="C221" s="19"/>
      <c r="D221" s="19"/>
      <c r="E221" s="19"/>
      <c r="F221" s="19"/>
    </row>
    <row r="222" spans="1:6">
      <c r="A222" s="19"/>
      <c r="B222" s="19"/>
      <c r="C222" s="19"/>
      <c r="D222" s="19"/>
      <c r="E222" s="19"/>
      <c r="F222" s="19"/>
    </row>
    <row r="223" spans="1:6">
      <c r="A223" s="5"/>
    </row>
    <row r="224" spans="1:6">
      <c r="A224" s="5"/>
    </row>
    <row r="225" spans="1:1">
      <c r="A225" s="5"/>
    </row>
    <row r="226" spans="1:1">
      <c r="A226" s="10"/>
    </row>
    <row r="227" spans="1:1">
      <c r="A227" s="10"/>
    </row>
    <row r="228" spans="1:1">
      <c r="A228" s="10"/>
    </row>
    <row r="229" spans="1:1">
      <c r="A229" s="5"/>
    </row>
    <row r="230" spans="1:1">
      <c r="A230" s="5"/>
    </row>
    <row r="231" spans="1:1">
      <c r="A231" s="19"/>
    </row>
    <row r="232" spans="1:1">
      <c r="A232" s="19"/>
    </row>
    <row r="233" spans="1:1">
      <c r="A233" s="5"/>
    </row>
    <row r="234" spans="1:1">
      <c r="A234" s="5"/>
    </row>
    <row r="235" spans="1:1">
      <c r="A235" s="5"/>
    </row>
    <row r="236" spans="1:1">
      <c r="A236" s="10"/>
    </row>
    <row r="237" spans="1:1">
      <c r="A237" s="10"/>
    </row>
    <row r="238" spans="1:1">
      <c r="A238" s="10"/>
    </row>
    <row r="239" spans="1:1">
      <c r="A239" s="5"/>
    </row>
    <row r="240" spans="1:1">
      <c r="A240" s="5"/>
    </row>
    <row r="241" spans="1:6">
      <c r="A241" s="19"/>
    </row>
    <row r="242" spans="1:6">
      <c r="A242" s="19"/>
    </row>
    <row r="243" spans="1:6">
      <c r="A243" s="5"/>
    </row>
    <row r="244" spans="1:6">
      <c r="A244" s="5"/>
    </row>
    <row r="245" spans="1:6">
      <c r="A245" s="5"/>
    </row>
    <row r="246" spans="1:6">
      <c r="A246" s="10"/>
    </row>
    <row r="247" spans="1:6">
      <c r="A247" s="10"/>
    </row>
    <row r="248" spans="1:6">
      <c r="A248" s="10"/>
    </row>
    <row r="249" spans="1:6">
      <c r="A249" s="5"/>
    </row>
    <row r="250" spans="1:6">
      <c r="A250" s="5"/>
    </row>
    <row r="251" spans="1:6">
      <c r="A251" s="19"/>
      <c r="B251" s="19"/>
      <c r="C251" s="19"/>
      <c r="D251" s="19"/>
      <c r="E251" s="19"/>
      <c r="F251" s="19"/>
    </row>
    <row r="252" spans="1:6">
      <c r="A252" s="19"/>
      <c r="B252" s="19"/>
      <c r="C252" s="19"/>
      <c r="D252" s="19"/>
      <c r="E252" s="19"/>
      <c r="F252" s="19"/>
    </row>
    <row r="253" spans="1:6">
      <c r="A253" s="5"/>
    </row>
    <row r="254" spans="1:6">
      <c r="A254" s="5"/>
    </row>
    <row r="255" spans="1:6">
      <c r="A255" s="5"/>
    </row>
    <row r="256" spans="1:6">
      <c r="A256" s="10"/>
    </row>
    <row r="257" spans="1:1">
      <c r="A257" s="10"/>
    </row>
    <row r="258" spans="1:1">
      <c r="A258" s="10"/>
    </row>
    <row r="259" spans="1:1">
      <c r="A259" s="5"/>
    </row>
    <row r="260" spans="1:1">
      <c r="A260" s="5"/>
    </row>
    <row r="261" spans="1:1">
      <c r="A261" s="19"/>
    </row>
    <row r="262" spans="1:1">
      <c r="A262" s="19"/>
    </row>
    <row r="263" spans="1:1">
      <c r="A263" s="5"/>
    </row>
    <row r="264" spans="1:1">
      <c r="A264" s="5"/>
    </row>
    <row r="265" spans="1:1">
      <c r="A265" s="5"/>
    </row>
    <row r="266" spans="1:1">
      <c r="A266" s="10"/>
    </row>
    <row r="267" spans="1:1">
      <c r="A267" s="10"/>
    </row>
    <row r="268" spans="1:1">
      <c r="A268" s="10"/>
    </row>
    <row r="269" spans="1:1">
      <c r="A269" s="5"/>
    </row>
    <row r="270" spans="1:1">
      <c r="A270" s="5"/>
    </row>
    <row r="271" spans="1:1">
      <c r="A271" s="19"/>
    </row>
    <row r="272" spans="1:1">
      <c r="A272" s="19"/>
    </row>
    <row r="273" spans="1:6">
      <c r="A273" s="5"/>
    </row>
    <row r="274" spans="1:6">
      <c r="A274" s="5"/>
    </row>
    <row r="275" spans="1:6">
      <c r="A275" s="5"/>
    </row>
    <row r="276" spans="1:6">
      <c r="A276" s="10"/>
    </row>
    <row r="277" spans="1:6">
      <c r="A277" s="10"/>
    </row>
    <row r="278" spans="1:6">
      <c r="A278" s="10"/>
    </row>
    <row r="279" spans="1:6">
      <c r="A279" s="5"/>
    </row>
    <row r="280" spans="1:6">
      <c r="A280" s="5"/>
    </row>
    <row r="281" spans="1:6">
      <c r="A281" s="19"/>
      <c r="B281" s="19"/>
      <c r="C281" s="19"/>
      <c r="D281" s="19"/>
      <c r="E281" s="19"/>
      <c r="F281" s="19"/>
    </row>
    <row r="282" spans="1:6">
      <c r="A282" s="19"/>
      <c r="B282" s="19"/>
      <c r="C282" s="19"/>
      <c r="D282" s="19"/>
      <c r="E282" s="19"/>
      <c r="F282" s="19"/>
    </row>
    <row r="283" spans="1:6">
      <c r="A283" s="5"/>
    </row>
    <row r="284" spans="1:6">
      <c r="A284" s="5"/>
    </row>
    <row r="285" spans="1:6">
      <c r="A285" s="5"/>
    </row>
    <row r="286" spans="1:6">
      <c r="A286" s="10"/>
    </row>
    <row r="287" spans="1:6">
      <c r="A287" s="10"/>
    </row>
    <row r="288" spans="1:6">
      <c r="A288" s="10"/>
    </row>
    <row r="289" spans="1:1">
      <c r="A289" s="5"/>
    </row>
    <row r="290" spans="1:1">
      <c r="A290" s="5"/>
    </row>
    <row r="291" spans="1:1">
      <c r="A291" s="19"/>
    </row>
    <row r="292" spans="1:1">
      <c r="A292" s="19"/>
    </row>
    <row r="293" spans="1:1">
      <c r="A293" s="5"/>
    </row>
    <row r="294" spans="1:1">
      <c r="A294" s="5"/>
    </row>
    <row r="295" spans="1:1">
      <c r="A295" s="5"/>
    </row>
    <row r="296" spans="1:1">
      <c r="A296" s="10"/>
    </row>
    <row r="297" spans="1:1">
      <c r="A297" s="10"/>
    </row>
    <row r="298" spans="1:1">
      <c r="A298" s="10"/>
    </row>
    <row r="299" spans="1:1">
      <c r="A299" s="5"/>
    </row>
    <row r="300" spans="1:1">
      <c r="A300" s="5"/>
    </row>
    <row r="301" spans="1:1">
      <c r="A301" s="19"/>
    </row>
    <row r="302" spans="1:1">
      <c r="A302" s="19"/>
    </row>
    <row r="303" spans="1:1">
      <c r="A303" s="5"/>
    </row>
    <row r="304" spans="1:1">
      <c r="A304" s="5"/>
    </row>
    <row r="305" spans="1:1">
      <c r="A305" s="5"/>
    </row>
    <row r="306" spans="1:1">
      <c r="A306" s="10"/>
    </row>
    <row r="307" spans="1:1">
      <c r="A307" s="10"/>
    </row>
    <row r="308" spans="1:1">
      <c r="A308" s="10"/>
    </row>
    <row r="309" spans="1:1">
      <c r="A309" s="5"/>
    </row>
    <row r="310" spans="1:1">
      <c r="A310" s="5"/>
    </row>
    <row r="311" spans="1:1">
      <c r="A311" s="19"/>
    </row>
    <row r="312" spans="1:1">
      <c r="A312" s="19"/>
    </row>
    <row r="313" spans="1:1">
      <c r="A313" s="5"/>
    </row>
    <row r="314" spans="1:1">
      <c r="A314" s="5"/>
    </row>
    <row r="315" spans="1:1">
      <c r="A315" s="5"/>
    </row>
    <row r="316" spans="1:1">
      <c r="A316" s="10"/>
    </row>
    <row r="317" spans="1:1">
      <c r="A317" s="10"/>
    </row>
    <row r="318" spans="1:1">
      <c r="A318" s="10"/>
    </row>
    <row r="319" spans="1:1">
      <c r="A319" s="5"/>
    </row>
    <row r="320" spans="1:1">
      <c r="A320" s="5"/>
    </row>
    <row r="321" spans="1:1">
      <c r="A321" s="19"/>
    </row>
    <row r="322" spans="1:1">
      <c r="A322" s="19"/>
    </row>
    <row r="323" spans="1:1">
      <c r="A323" s="5"/>
    </row>
    <row r="324" spans="1:1">
      <c r="A324" s="5"/>
    </row>
    <row r="325" spans="1:1">
      <c r="A325" s="5"/>
    </row>
    <row r="326" spans="1:1">
      <c r="A326" s="10"/>
    </row>
    <row r="327" spans="1:1">
      <c r="A327" s="10"/>
    </row>
    <row r="328" spans="1:1">
      <c r="A328" s="10"/>
    </row>
    <row r="329" spans="1:1">
      <c r="A329" s="5"/>
    </row>
    <row r="330" spans="1:1">
      <c r="A330" s="5"/>
    </row>
    <row r="331" spans="1:1">
      <c r="A331" s="19"/>
    </row>
    <row r="332" spans="1:1">
      <c r="A332" s="19"/>
    </row>
    <row r="333" spans="1:1">
      <c r="A333" s="5"/>
    </row>
    <row r="334" spans="1:1">
      <c r="A334" s="5"/>
    </row>
    <row r="335" spans="1:1">
      <c r="A335" s="5"/>
    </row>
    <row r="336" spans="1:1">
      <c r="A336" s="10"/>
    </row>
    <row r="337" spans="1:1">
      <c r="A337" s="10"/>
    </row>
    <row r="338" spans="1:1">
      <c r="A338" s="10"/>
    </row>
    <row r="339" spans="1:1">
      <c r="A339" s="5"/>
    </row>
    <row r="340" spans="1:1">
      <c r="A340" s="5"/>
    </row>
    <row r="341" spans="1:1">
      <c r="A341" s="19"/>
    </row>
    <row r="342" spans="1:1">
      <c r="A342" s="19"/>
    </row>
    <row r="343" spans="1:1">
      <c r="A343" s="5"/>
    </row>
    <row r="344" spans="1:1">
      <c r="A344" s="5"/>
    </row>
    <row r="345" spans="1:1">
      <c r="A345" s="5"/>
    </row>
    <row r="346" spans="1:1">
      <c r="A346" s="10"/>
    </row>
    <row r="347" spans="1:1">
      <c r="A347" s="10"/>
    </row>
    <row r="348" spans="1:1">
      <c r="A348" s="10"/>
    </row>
    <row r="349" spans="1:1">
      <c r="A349" s="5"/>
    </row>
    <row r="350" spans="1:1">
      <c r="A350" s="5"/>
    </row>
    <row r="351" spans="1:1">
      <c r="A351" s="19"/>
    </row>
    <row r="352" spans="1:1">
      <c r="A352" s="19"/>
    </row>
    <row r="353" spans="1:1">
      <c r="A353" s="5"/>
    </row>
    <row r="354" spans="1:1">
      <c r="A354" s="5"/>
    </row>
    <row r="355" spans="1:1">
      <c r="A355" s="5"/>
    </row>
    <row r="356" spans="1:1">
      <c r="A356" s="10"/>
    </row>
    <row r="357" spans="1:1">
      <c r="A357" s="10"/>
    </row>
    <row r="358" spans="1:1">
      <c r="A358" s="10"/>
    </row>
    <row r="359" spans="1:1">
      <c r="A359" s="5"/>
    </row>
    <row r="360" spans="1:1">
      <c r="A360" s="5"/>
    </row>
    <row r="361" spans="1:1">
      <c r="A361" s="19"/>
    </row>
    <row r="362" spans="1:1">
      <c r="A362" s="19"/>
    </row>
    <row r="363" spans="1:1">
      <c r="A363" s="5"/>
    </row>
    <row r="364" spans="1:1">
      <c r="A364" s="5"/>
    </row>
    <row r="365" spans="1:1">
      <c r="A365" s="5"/>
    </row>
    <row r="366" spans="1:1">
      <c r="A366" s="10"/>
    </row>
    <row r="367" spans="1:1">
      <c r="A367" s="10"/>
    </row>
    <row r="368" spans="1:1">
      <c r="A368" s="10"/>
    </row>
    <row r="369" spans="1:6">
      <c r="A369" s="5"/>
    </row>
    <row r="370" spans="1:6">
      <c r="A370" s="5"/>
    </row>
    <row r="371" spans="1:6">
      <c r="A371" s="19"/>
    </row>
    <row r="372" spans="1:6">
      <c r="A372" s="19"/>
    </row>
    <row r="373" spans="1:6">
      <c r="A373" s="5"/>
    </row>
    <row r="374" spans="1:6">
      <c r="A374" s="5"/>
    </row>
    <row r="375" spans="1:6">
      <c r="A375" s="5"/>
    </row>
    <row r="376" spans="1:6">
      <c r="A376" s="10"/>
    </row>
    <row r="377" spans="1:6">
      <c r="A377" s="10"/>
    </row>
    <row r="378" spans="1:6">
      <c r="A378" s="10"/>
    </row>
    <row r="379" spans="1:6">
      <c r="A379" s="5"/>
    </row>
    <row r="380" spans="1:6">
      <c r="A380" s="5"/>
    </row>
    <row r="381" spans="1:6">
      <c r="A381" s="19"/>
      <c r="B381" s="19"/>
      <c r="C381" s="19"/>
      <c r="D381" s="19"/>
      <c r="E381" s="19"/>
      <c r="F381" s="19"/>
    </row>
    <row r="382" spans="1:6">
      <c r="A382" s="19"/>
      <c r="B382" s="19"/>
      <c r="C382" s="19"/>
      <c r="D382" s="19"/>
      <c r="E382" s="19"/>
      <c r="F382" s="19"/>
    </row>
    <row r="383" spans="1:6">
      <c r="A383" s="5"/>
    </row>
    <row r="384" spans="1:6">
      <c r="A384" s="5"/>
    </row>
    <row r="385" spans="1:1">
      <c r="A385" s="5"/>
    </row>
    <row r="386" spans="1:1">
      <c r="A386" s="10"/>
    </row>
    <row r="387" spans="1:1">
      <c r="A387" s="10"/>
    </row>
    <row r="388" spans="1:1">
      <c r="A388" s="10"/>
    </row>
    <row r="389" spans="1:1">
      <c r="A389" s="5"/>
    </row>
    <row r="390" spans="1:1">
      <c r="A390" s="5"/>
    </row>
    <row r="391" spans="1:1">
      <c r="A391" s="19"/>
    </row>
    <row r="392" spans="1:1">
      <c r="A392" s="19"/>
    </row>
    <row r="393" spans="1:1">
      <c r="A393" s="5"/>
    </row>
    <row r="394" spans="1:1">
      <c r="A394" s="5"/>
    </row>
    <row r="395" spans="1:1">
      <c r="A395" s="5"/>
    </row>
    <row r="396" spans="1:1">
      <c r="A396" s="10"/>
    </row>
    <row r="397" spans="1:1">
      <c r="A397" s="10"/>
    </row>
    <row r="398" spans="1:1">
      <c r="A398" s="10"/>
    </row>
    <row r="399" spans="1:1">
      <c r="A399" s="5"/>
    </row>
    <row r="400" spans="1:1">
      <c r="A400" s="5"/>
    </row>
    <row r="401" spans="1:1">
      <c r="A401" s="19"/>
    </row>
    <row r="402" spans="1:1">
      <c r="A402" s="19"/>
    </row>
    <row r="403" spans="1:1">
      <c r="A403" s="5"/>
    </row>
    <row r="404" spans="1:1">
      <c r="A404" s="5"/>
    </row>
    <row r="405" spans="1:1">
      <c r="A405" s="5"/>
    </row>
    <row r="406" spans="1:1">
      <c r="A406" s="10"/>
    </row>
    <row r="407" spans="1:1">
      <c r="A407" s="10"/>
    </row>
    <row r="408" spans="1:1">
      <c r="A408" s="10"/>
    </row>
    <row r="409" spans="1:1">
      <c r="A409" s="5"/>
    </row>
    <row r="410" spans="1:1">
      <c r="A410" s="5"/>
    </row>
    <row r="411" spans="1:1">
      <c r="A411" s="19"/>
    </row>
    <row r="412" spans="1:1">
      <c r="A412" s="19"/>
    </row>
    <row r="413" spans="1:1">
      <c r="A413" s="5"/>
    </row>
    <row r="414" spans="1:1">
      <c r="A414" s="5"/>
    </row>
    <row r="415" spans="1:1">
      <c r="A415" s="5"/>
    </row>
    <row r="416" spans="1:1">
      <c r="A416" s="10"/>
    </row>
    <row r="417" spans="1:6">
      <c r="A417" s="10"/>
    </row>
    <row r="418" spans="1:6">
      <c r="A418" s="10"/>
    </row>
    <row r="419" spans="1:6">
      <c r="A419" s="5"/>
    </row>
    <row r="420" spans="1:6">
      <c r="A420" s="5"/>
    </row>
    <row r="421" spans="1:6">
      <c r="A421" s="19"/>
    </row>
    <row r="422" spans="1:6">
      <c r="A422" s="19"/>
    </row>
    <row r="423" spans="1:6">
      <c r="A423" s="5"/>
    </row>
    <row r="424" spans="1:6">
      <c r="A424" s="5"/>
    </row>
    <row r="425" spans="1:6">
      <c r="A425" s="5"/>
    </row>
    <row r="426" spans="1:6">
      <c r="A426" s="10"/>
    </row>
    <row r="427" spans="1:6">
      <c r="A427" s="10"/>
    </row>
    <row r="428" spans="1:6">
      <c r="A428" s="10"/>
    </row>
    <row r="429" spans="1:6">
      <c r="A429" s="5"/>
    </row>
    <row r="430" spans="1:6">
      <c r="A430" s="5"/>
    </row>
    <row r="431" spans="1:6">
      <c r="A431" s="19"/>
      <c r="B431" s="19"/>
      <c r="C431" s="19"/>
      <c r="D431" s="19"/>
      <c r="E431" s="19"/>
      <c r="F431" s="19"/>
    </row>
    <row r="432" spans="1:6">
      <c r="A432" s="19"/>
      <c r="B432" s="19"/>
      <c r="C432" s="19"/>
      <c r="D432" s="19"/>
      <c r="E432" s="19"/>
      <c r="F432" s="19"/>
    </row>
    <row r="433" spans="1:6" ht="18.75">
      <c r="A433" s="5"/>
      <c r="B433" s="178" t="str">
        <f>P_125</f>
        <v>pátek</v>
      </c>
      <c r="C433" s="19"/>
      <c r="D433" s="5"/>
      <c r="E433" s="4"/>
      <c r="F433" s="5"/>
    </row>
    <row r="434" spans="1:6">
      <c r="A434" s="5"/>
      <c r="B434" s="7"/>
      <c r="C434" s="19"/>
      <c r="D434" s="5"/>
      <c r="E434" s="4"/>
      <c r="F434" s="5"/>
    </row>
    <row r="435" spans="1:6">
      <c r="A435" s="5"/>
      <c r="B435" s="7"/>
      <c r="C435" s="19"/>
      <c r="D435" s="5"/>
      <c r="E435" s="4"/>
      <c r="F435" s="5"/>
    </row>
    <row r="436" spans="1:6">
      <c r="A436" s="10"/>
      <c r="B436" s="1"/>
      <c r="C436" s="19"/>
      <c r="D436" s="9"/>
      <c r="E436" s="4"/>
      <c r="F436" s="8">
        <f>ROUND(D436*E436,0)</f>
        <v>0</v>
      </c>
    </row>
    <row r="437" spans="1:6">
      <c r="A437" s="10"/>
      <c r="B437" s="1"/>
      <c r="C437" s="19"/>
      <c r="D437" s="9"/>
      <c r="E437" s="4"/>
      <c r="F437" s="8">
        <f>ROUND(D437*E437,0)</f>
        <v>0</v>
      </c>
    </row>
    <row r="438" spans="1:6">
      <c r="A438" s="10"/>
      <c r="B438" s="1"/>
      <c r="C438" s="19"/>
      <c r="D438" s="9"/>
      <c r="E438" s="4"/>
      <c r="F438" s="8">
        <f>ROUND(D438*E438,0)</f>
        <v>0</v>
      </c>
    </row>
    <row r="439" spans="1:6">
      <c r="A439" s="5"/>
      <c r="B439" s="7"/>
      <c r="C439" s="19"/>
      <c r="D439" s="5"/>
      <c r="E439" s="4"/>
      <c r="F439" s="5"/>
    </row>
    <row r="440" spans="1:6">
      <c r="A440" s="5"/>
      <c r="B440" s="6" t="str">
        <f>B433&amp;"  -  celkem"</f>
        <v>pátek  -  celkem</v>
      </c>
      <c r="C440" s="19"/>
      <c r="D440" s="5"/>
      <c r="E440" s="4"/>
      <c r="F440" s="3">
        <f>SUM(F433:F439)</f>
        <v>0</v>
      </c>
    </row>
    <row r="441" spans="1:6">
      <c r="A441" s="19"/>
      <c r="B441" s="19"/>
      <c r="C441" s="19"/>
      <c r="D441" s="19"/>
      <c r="E441" s="19"/>
      <c r="F441" s="19"/>
    </row>
    <row r="442" spans="1:6">
      <c r="A442" s="19"/>
      <c r="B442" s="19"/>
      <c r="C442" s="19"/>
      <c r="D442" s="19"/>
      <c r="E442" s="19"/>
      <c r="F442" s="19"/>
    </row>
    <row r="443" spans="1:6" ht="18.75">
      <c r="A443" s="5"/>
      <c r="B443" s="11" t="str">
        <f>P_126</f>
        <v>sobota</v>
      </c>
      <c r="C443" s="19"/>
      <c r="D443" s="5"/>
      <c r="E443" s="4"/>
      <c r="F443" s="5"/>
    </row>
    <row r="444" spans="1:6">
      <c r="A444" s="5"/>
      <c r="B444" s="7"/>
      <c r="C444" s="19"/>
      <c r="D444" s="5"/>
      <c r="E444" s="4"/>
      <c r="F444" s="5"/>
    </row>
    <row r="445" spans="1:6">
      <c r="A445" s="5"/>
      <c r="B445" s="7"/>
      <c r="C445" s="19"/>
      <c r="D445" s="5"/>
      <c r="E445" s="4"/>
      <c r="F445" s="5"/>
    </row>
    <row r="446" spans="1:6">
      <c r="A446" s="10"/>
      <c r="B446" s="1"/>
      <c r="C446" s="19"/>
      <c r="D446" s="9"/>
      <c r="E446" s="4"/>
      <c r="F446" s="8">
        <f>ROUND(D446*E446,0)</f>
        <v>0</v>
      </c>
    </row>
    <row r="447" spans="1:6">
      <c r="A447" s="10"/>
      <c r="B447" s="1"/>
      <c r="C447" s="19"/>
      <c r="D447" s="9"/>
      <c r="E447" s="4"/>
      <c r="F447" s="8">
        <f>ROUND(D447*E447,0)</f>
        <v>0</v>
      </c>
    </row>
    <row r="448" spans="1:6">
      <c r="A448" s="10"/>
      <c r="B448" s="1"/>
      <c r="C448" s="19"/>
      <c r="D448" s="9"/>
      <c r="E448" s="4"/>
      <c r="F448" s="8">
        <f>ROUND(D448*E448,0)</f>
        <v>0</v>
      </c>
    </row>
    <row r="449" spans="1:6">
      <c r="A449" s="5"/>
      <c r="B449" s="7"/>
      <c r="C449" s="19"/>
      <c r="D449" s="5"/>
      <c r="E449" s="4"/>
      <c r="F449" s="5"/>
    </row>
    <row r="450" spans="1:6">
      <c r="A450" s="5"/>
      <c r="B450" s="6" t="str">
        <f>B443&amp;"  -  celkem"</f>
        <v>sobota  -  celkem</v>
      </c>
      <c r="C450" s="19"/>
      <c r="D450" s="5"/>
      <c r="E450" s="4"/>
      <c r="F450" s="3">
        <f>SUM(F443:F449)</f>
        <v>0</v>
      </c>
    </row>
    <row r="451" spans="1:6">
      <c r="A451" s="19"/>
      <c r="B451" s="19"/>
      <c r="C451" s="19"/>
      <c r="D451" s="19"/>
      <c r="E451" s="19"/>
      <c r="F451" s="19"/>
    </row>
    <row r="452" spans="1:6">
      <c r="A452" s="19"/>
      <c r="B452" s="19"/>
      <c r="C452" s="19"/>
      <c r="D452" s="19"/>
      <c r="E452" s="19"/>
      <c r="F452" s="19"/>
    </row>
    <row r="453" spans="1:6" ht="18.75">
      <c r="A453" s="5"/>
      <c r="B453" s="11" t="str">
        <f>P_127</f>
        <v>neděle</v>
      </c>
      <c r="C453" s="19"/>
      <c r="D453" s="5"/>
      <c r="E453" s="4"/>
      <c r="F453" s="5"/>
    </row>
    <row r="454" spans="1:6">
      <c r="A454" s="5"/>
      <c r="B454" s="7"/>
      <c r="C454" s="19"/>
      <c r="D454" s="5"/>
      <c r="E454" s="4"/>
      <c r="F454" s="5"/>
    </row>
    <row r="455" spans="1:6">
      <c r="A455" s="5"/>
      <c r="B455" s="7"/>
      <c r="C455" s="19"/>
      <c r="D455" s="5"/>
      <c r="E455" s="4"/>
      <c r="F455" s="5"/>
    </row>
    <row r="456" spans="1:6">
      <c r="A456" s="10"/>
      <c r="B456" s="1"/>
      <c r="C456" s="19"/>
      <c r="D456" s="9"/>
      <c r="E456" s="4"/>
      <c r="F456" s="8">
        <f>ROUND(D456*E456,0)</f>
        <v>0</v>
      </c>
    </row>
    <row r="457" spans="1:6">
      <c r="A457" s="10"/>
      <c r="B457" s="1"/>
      <c r="C457" s="19"/>
      <c r="D457" s="9"/>
      <c r="E457" s="4"/>
      <c r="F457" s="8">
        <f>ROUND(D457*E457,0)</f>
        <v>0</v>
      </c>
    </row>
    <row r="458" spans="1:6">
      <c r="A458" s="10"/>
      <c r="B458" s="1"/>
      <c r="C458" s="19"/>
      <c r="D458" s="9"/>
      <c r="E458" s="4"/>
      <c r="F458" s="8">
        <f>ROUND(D458*E458,0)</f>
        <v>0</v>
      </c>
    </row>
    <row r="459" spans="1:6">
      <c r="A459" s="5"/>
      <c r="B459" s="7"/>
      <c r="C459" s="19"/>
      <c r="D459" s="5"/>
      <c r="E459" s="4"/>
      <c r="F459" s="5"/>
    </row>
    <row r="460" spans="1:6">
      <c r="A460" s="5"/>
      <c r="B460" s="6" t="str">
        <f>B453&amp;"  -  celkem"</f>
        <v>neděle  -  celkem</v>
      </c>
      <c r="C460" s="19"/>
      <c r="D460" s="5"/>
      <c r="E460" s="4"/>
      <c r="F460" s="3">
        <f>SUM(F453:F459)</f>
        <v>0</v>
      </c>
    </row>
    <row r="461" spans="1:6">
      <c r="A461" s="19"/>
      <c r="B461" s="19"/>
      <c r="C461" s="19"/>
      <c r="D461" s="19"/>
      <c r="E461" s="19"/>
      <c r="F461" s="19"/>
    </row>
    <row r="462" spans="1:6">
      <c r="A462" s="19"/>
      <c r="B462" s="19"/>
      <c r="C462" s="19"/>
      <c r="D462" s="19"/>
      <c r="E462" s="19"/>
      <c r="F462" s="19"/>
    </row>
    <row r="463" spans="1:6" ht="18.75">
      <c r="A463" s="5"/>
      <c r="B463" s="11" t="str">
        <f>P_128</f>
        <v>pondělí</v>
      </c>
      <c r="C463" s="19"/>
      <c r="D463" s="5"/>
      <c r="E463" s="4"/>
      <c r="F463" s="5"/>
    </row>
    <row r="464" spans="1:6">
      <c r="A464" s="5"/>
      <c r="B464" s="7"/>
      <c r="C464" s="19"/>
      <c r="D464" s="5"/>
      <c r="E464" s="4"/>
      <c r="F464" s="5"/>
    </row>
    <row r="465" spans="1:6">
      <c r="A465" s="5"/>
      <c r="B465" s="7"/>
      <c r="C465" s="19"/>
      <c r="D465" s="5"/>
      <c r="E465" s="4"/>
      <c r="F465" s="5"/>
    </row>
    <row r="466" spans="1:6">
      <c r="A466" s="10"/>
      <c r="B466" s="1"/>
      <c r="C466" s="19"/>
      <c r="D466" s="9"/>
      <c r="E466" s="4"/>
      <c r="F466" s="8">
        <f>ROUND(D466*E466,0)</f>
        <v>0</v>
      </c>
    </row>
    <row r="467" spans="1:6">
      <c r="A467" s="10"/>
      <c r="B467" s="1"/>
      <c r="C467" s="19"/>
      <c r="D467" s="9"/>
      <c r="E467" s="4"/>
      <c r="F467" s="8">
        <f>ROUND(D467*E467,0)</f>
        <v>0</v>
      </c>
    </row>
    <row r="468" spans="1:6">
      <c r="A468" s="10"/>
      <c r="B468" s="1"/>
      <c r="C468" s="19"/>
      <c r="D468" s="9"/>
      <c r="E468" s="4"/>
      <c r="F468" s="8">
        <f>ROUND(D468*E468,0)</f>
        <v>0</v>
      </c>
    </row>
    <row r="469" spans="1:6">
      <c r="A469" s="5"/>
      <c r="B469" s="7"/>
      <c r="C469" s="19"/>
      <c r="D469" s="5"/>
      <c r="E469" s="4"/>
      <c r="F469" s="5"/>
    </row>
    <row r="470" spans="1:6">
      <c r="A470" s="5"/>
      <c r="B470" s="6" t="str">
        <f>B463&amp;"  -  celkem"</f>
        <v>pondělí  -  celkem</v>
      </c>
      <c r="C470" s="19"/>
      <c r="D470" s="5"/>
      <c r="E470" s="4"/>
      <c r="F470" s="3">
        <f>SUM(F463:F469)</f>
        <v>0</v>
      </c>
    </row>
    <row r="471" spans="1:6">
      <c r="A471" s="19"/>
      <c r="B471" s="19"/>
      <c r="C471" s="19"/>
      <c r="D471" s="19"/>
      <c r="E471" s="19"/>
      <c r="F471" s="19"/>
    </row>
    <row r="472" spans="1:6">
      <c r="A472" s="19"/>
      <c r="B472" s="19"/>
      <c r="C472" s="19"/>
      <c r="D472" s="19"/>
      <c r="E472" s="19"/>
      <c r="F472" s="19"/>
    </row>
    <row r="473" spans="1:6" ht="18.75">
      <c r="A473" s="5"/>
      <c r="B473" s="11" t="str">
        <f>P_129</f>
        <v>úterý</v>
      </c>
      <c r="C473" s="19"/>
      <c r="D473" s="5"/>
      <c r="E473" s="4"/>
      <c r="F473" s="5"/>
    </row>
    <row r="474" spans="1:6">
      <c r="A474" s="5"/>
      <c r="B474" s="7"/>
      <c r="C474" s="19"/>
      <c r="D474" s="5"/>
      <c r="E474" s="4"/>
      <c r="F474" s="5"/>
    </row>
    <row r="475" spans="1:6">
      <c r="A475" s="5"/>
      <c r="B475" s="7"/>
      <c r="C475" s="19"/>
      <c r="D475" s="5"/>
      <c r="E475" s="4"/>
      <c r="F475" s="5"/>
    </row>
    <row r="476" spans="1:6">
      <c r="A476" s="10"/>
      <c r="B476" s="1"/>
      <c r="C476" s="19"/>
      <c r="D476" s="9"/>
      <c r="E476" s="4"/>
      <c r="F476" s="8">
        <f>ROUND(D476*E476,0)</f>
        <v>0</v>
      </c>
    </row>
    <row r="477" spans="1:6">
      <c r="A477" s="10"/>
      <c r="B477" s="1"/>
      <c r="C477" s="19"/>
      <c r="D477" s="9"/>
      <c r="E477" s="4"/>
      <c r="F477" s="8">
        <f>ROUND(D477*E477,0)</f>
        <v>0</v>
      </c>
    </row>
    <row r="478" spans="1:6">
      <c r="A478" s="10"/>
      <c r="B478" s="1"/>
      <c r="C478" s="19"/>
      <c r="D478" s="9"/>
      <c r="E478" s="4"/>
      <c r="F478" s="8">
        <f>ROUND(D478*E478,0)</f>
        <v>0</v>
      </c>
    </row>
    <row r="479" spans="1:6">
      <c r="A479" s="5"/>
      <c r="B479" s="7"/>
      <c r="C479" s="19"/>
      <c r="D479" s="5"/>
      <c r="E479" s="4"/>
      <c r="F479" s="5"/>
    </row>
    <row r="480" spans="1:6">
      <c r="A480" s="5"/>
      <c r="B480" s="6" t="str">
        <f>B473&amp;"  -  celkem"</f>
        <v>úterý  -  celkem</v>
      </c>
      <c r="C480" s="19"/>
      <c r="D480" s="5"/>
      <c r="E480" s="4"/>
      <c r="F480" s="3">
        <f>SUM(F473:F479)</f>
        <v>0</v>
      </c>
    </row>
    <row r="481" spans="1:6">
      <c r="A481" s="19"/>
      <c r="B481" s="19"/>
      <c r="C481" s="19"/>
      <c r="D481" s="19"/>
      <c r="E481" s="19"/>
      <c r="F481" s="19"/>
    </row>
    <row r="482" spans="1:6">
      <c r="A482" s="19"/>
      <c r="B482" s="19"/>
      <c r="C482" s="19"/>
      <c r="D482" s="19"/>
      <c r="E482" s="19"/>
      <c r="F482" s="19"/>
    </row>
    <row r="483" spans="1:6" ht="18.75">
      <c r="A483" s="5"/>
      <c r="B483" s="11" t="str">
        <f>P_130</f>
        <v>středa</v>
      </c>
      <c r="C483" s="19"/>
      <c r="D483" s="5"/>
      <c r="E483" s="4"/>
      <c r="F483" s="5"/>
    </row>
    <row r="484" spans="1:6">
      <c r="A484" s="5"/>
      <c r="B484" s="7"/>
      <c r="C484" s="19"/>
      <c r="D484" s="5"/>
      <c r="E484" s="4"/>
      <c r="F484" s="5"/>
    </row>
    <row r="485" spans="1:6">
      <c r="A485" s="5"/>
      <c r="B485" s="7"/>
      <c r="C485" s="19"/>
      <c r="D485" s="5"/>
      <c r="E485" s="4"/>
      <c r="F485" s="5"/>
    </row>
    <row r="486" spans="1:6">
      <c r="A486" s="10"/>
      <c r="B486" s="1"/>
      <c r="C486" s="19"/>
      <c r="D486" s="9"/>
      <c r="E486" s="4"/>
      <c r="F486" s="8">
        <f>ROUND(D486*E486,0)</f>
        <v>0</v>
      </c>
    </row>
    <row r="487" spans="1:6">
      <c r="A487" s="10"/>
      <c r="B487" s="1"/>
      <c r="C487" s="19"/>
      <c r="D487" s="9"/>
      <c r="E487" s="4"/>
      <c r="F487" s="8">
        <f>ROUND(D487*E487,0)</f>
        <v>0</v>
      </c>
    </row>
    <row r="488" spans="1:6">
      <c r="A488" s="10"/>
      <c r="B488" s="1"/>
      <c r="C488" s="19"/>
      <c r="D488" s="9"/>
      <c r="E488" s="4"/>
      <c r="F488" s="8">
        <f>ROUND(D488*E488,0)</f>
        <v>0</v>
      </c>
    </row>
    <row r="489" spans="1:6">
      <c r="A489" s="5"/>
      <c r="B489" s="7"/>
      <c r="C489" s="19"/>
      <c r="D489" s="5"/>
      <c r="E489" s="4"/>
      <c r="F489" s="5"/>
    </row>
    <row r="490" spans="1:6">
      <c r="A490" s="5"/>
      <c r="B490" s="6" t="str">
        <f>B483&amp;"  -  celkem"</f>
        <v>středa  -  celkem</v>
      </c>
      <c r="C490" s="19"/>
      <c r="D490" s="5"/>
      <c r="E490" s="4"/>
      <c r="F490" s="3">
        <f>SUM(F483:F489)</f>
        <v>0</v>
      </c>
    </row>
    <row r="491" spans="1:6">
      <c r="A491" s="19"/>
      <c r="B491" s="19"/>
      <c r="C491" s="19"/>
      <c r="D491" s="19"/>
      <c r="E491" s="19"/>
      <c r="F491" s="19"/>
    </row>
    <row r="492" spans="1:6">
      <c r="A492" s="19"/>
      <c r="B492" s="19"/>
      <c r="C492" s="19"/>
      <c r="D492" s="19"/>
      <c r="E492" s="19"/>
      <c r="F492" s="19"/>
    </row>
    <row r="493" spans="1:6" ht="18.75">
      <c r="A493" s="5"/>
      <c r="B493" s="11" t="str">
        <f>P_131</f>
        <v>čtvrtek</v>
      </c>
      <c r="C493" s="19"/>
      <c r="D493" s="5"/>
      <c r="E493" s="4"/>
      <c r="F493" s="5"/>
    </row>
    <row r="494" spans="1:6">
      <c r="A494" s="5"/>
      <c r="B494" s="7"/>
      <c r="C494" s="19"/>
      <c r="D494" s="5"/>
      <c r="E494" s="4"/>
      <c r="F494" s="5"/>
    </row>
    <row r="495" spans="1:6">
      <c r="A495" s="5"/>
      <c r="B495" s="7"/>
      <c r="C495" s="19"/>
      <c r="D495" s="5"/>
      <c r="E495" s="4"/>
      <c r="F495" s="5"/>
    </row>
    <row r="496" spans="1:6">
      <c r="A496" s="10"/>
      <c r="B496" s="1"/>
      <c r="C496" s="19"/>
      <c r="D496" s="9"/>
      <c r="E496" s="4"/>
      <c r="F496" s="8">
        <f>ROUND(D496*E496,0)</f>
        <v>0</v>
      </c>
    </row>
    <row r="497" spans="1:6">
      <c r="A497" s="10"/>
      <c r="B497" s="1"/>
      <c r="C497" s="19"/>
      <c r="D497" s="9"/>
      <c r="E497" s="4"/>
      <c r="F497" s="8">
        <f>ROUND(D497*E497,0)</f>
        <v>0</v>
      </c>
    </row>
    <row r="498" spans="1:6">
      <c r="A498" s="10"/>
      <c r="B498" s="1"/>
      <c r="C498" s="19"/>
      <c r="D498" s="9"/>
      <c r="E498" s="4"/>
      <c r="F498" s="8">
        <f>ROUND(D498*E498,0)</f>
        <v>0</v>
      </c>
    </row>
    <row r="499" spans="1:6">
      <c r="A499" s="5"/>
      <c r="B499" s="7"/>
      <c r="C499" s="19"/>
      <c r="D499" s="5"/>
      <c r="E499" s="4"/>
      <c r="F499" s="5"/>
    </row>
    <row r="500" spans="1:6">
      <c r="A500" s="5"/>
      <c r="B500" s="6" t="str">
        <f>B493&amp;"  -  celkem"</f>
        <v>čtvrtek  -  celkem</v>
      </c>
      <c r="C500" s="19"/>
      <c r="D500" s="5"/>
      <c r="E500" s="4"/>
      <c r="F500" s="3">
        <f>SUM(F493:F499)</f>
        <v>0</v>
      </c>
    </row>
    <row r="501" spans="1:6">
      <c r="A501" s="19"/>
      <c r="B501" s="19"/>
      <c r="C501" s="19"/>
      <c r="D501" s="19"/>
      <c r="E501" s="19"/>
      <c r="F501" s="19"/>
    </row>
    <row r="502" spans="1:6">
      <c r="A502" s="19"/>
      <c r="B502" s="19"/>
      <c r="C502" s="19"/>
      <c r="D502" s="19"/>
      <c r="E502" s="19"/>
      <c r="F502" s="19"/>
    </row>
    <row r="503" spans="1:6" ht="18.75">
      <c r="A503" s="5"/>
      <c r="B503" s="11" t="str">
        <f>P_132</f>
        <v>pátek</v>
      </c>
      <c r="C503" s="19"/>
      <c r="D503" s="5"/>
      <c r="E503" s="4"/>
      <c r="F503" s="5"/>
    </row>
    <row r="504" spans="1:6">
      <c r="A504" s="5"/>
      <c r="B504" s="7"/>
      <c r="C504" s="19"/>
      <c r="D504" s="5"/>
      <c r="E504" s="4"/>
      <c r="F504" s="5"/>
    </row>
    <row r="505" spans="1:6">
      <c r="A505" s="5"/>
      <c r="B505" s="7"/>
      <c r="C505" s="19"/>
      <c r="D505" s="5"/>
      <c r="E505" s="4"/>
      <c r="F505" s="5"/>
    </row>
    <row r="506" spans="1:6">
      <c r="A506" s="10"/>
      <c r="B506" s="1"/>
      <c r="C506" s="19"/>
      <c r="D506" s="9"/>
      <c r="E506" s="4"/>
      <c r="F506" s="8">
        <f>ROUND(D506*E506,0)</f>
        <v>0</v>
      </c>
    </row>
    <row r="507" spans="1:6">
      <c r="A507" s="10"/>
      <c r="B507" s="1"/>
      <c r="C507" s="19"/>
      <c r="D507" s="9"/>
      <c r="E507" s="4"/>
      <c r="F507" s="8">
        <f>ROUND(D507*E507,0)</f>
        <v>0</v>
      </c>
    </row>
    <row r="508" spans="1:6">
      <c r="A508" s="10"/>
      <c r="B508" s="1"/>
      <c r="C508" s="19"/>
      <c r="D508" s="9"/>
      <c r="E508" s="4"/>
      <c r="F508" s="8">
        <f>ROUND(D508*E508,0)</f>
        <v>0</v>
      </c>
    </row>
    <row r="509" spans="1:6">
      <c r="A509" s="5"/>
      <c r="B509" s="7"/>
      <c r="C509" s="19"/>
      <c r="D509" s="5"/>
      <c r="E509" s="4"/>
      <c r="F509" s="5"/>
    </row>
    <row r="510" spans="1:6">
      <c r="A510" s="5"/>
      <c r="B510" s="6" t="str">
        <f>B503&amp;"  -  celkem"</f>
        <v>pátek  -  celkem</v>
      </c>
      <c r="C510" s="19"/>
      <c r="D510" s="5"/>
      <c r="E510" s="4"/>
      <c r="F510" s="3">
        <f>SUM(F503:F509)</f>
        <v>0</v>
      </c>
    </row>
    <row r="511" spans="1:6">
      <c r="A511" s="19"/>
      <c r="B511" s="19"/>
      <c r="C511" s="19"/>
      <c r="D511" s="19"/>
      <c r="E511" s="19"/>
      <c r="F511" s="19"/>
    </row>
    <row r="512" spans="1:6">
      <c r="A512" s="19"/>
      <c r="B512" s="19"/>
      <c r="C512" s="19"/>
      <c r="D512" s="19"/>
      <c r="E512" s="19"/>
      <c r="F512" s="19"/>
    </row>
    <row r="513" spans="1:6" ht="18.75">
      <c r="A513" s="5"/>
      <c r="B513" s="11" t="str">
        <f>P_133</f>
        <v>sobota</v>
      </c>
      <c r="C513" s="19"/>
      <c r="D513" s="5"/>
      <c r="E513" s="4"/>
      <c r="F513" s="5"/>
    </row>
    <row r="514" spans="1:6">
      <c r="A514" s="5"/>
      <c r="B514" s="7"/>
      <c r="C514" s="19"/>
      <c r="D514" s="5"/>
      <c r="E514" s="4"/>
      <c r="F514" s="5"/>
    </row>
    <row r="515" spans="1:6">
      <c r="A515" s="5"/>
      <c r="B515" s="7"/>
      <c r="C515" s="19"/>
      <c r="D515" s="5"/>
      <c r="E515" s="4"/>
      <c r="F515" s="5"/>
    </row>
    <row r="516" spans="1:6">
      <c r="A516" s="10"/>
      <c r="B516" s="1"/>
      <c r="C516" s="19"/>
      <c r="D516" s="9"/>
      <c r="E516" s="4"/>
      <c r="F516" s="8">
        <f>ROUND(D516*E516,0)</f>
        <v>0</v>
      </c>
    </row>
    <row r="517" spans="1:6">
      <c r="A517" s="10"/>
      <c r="B517" s="1"/>
      <c r="C517" s="19"/>
      <c r="D517" s="9"/>
      <c r="E517" s="4"/>
      <c r="F517" s="8">
        <f>ROUND(D517*E517,0)</f>
        <v>0</v>
      </c>
    </row>
    <row r="518" spans="1:6">
      <c r="A518" s="10"/>
      <c r="B518" s="1"/>
      <c r="C518" s="19"/>
      <c r="D518" s="9"/>
      <c r="E518" s="4"/>
      <c r="F518" s="8">
        <f>ROUND(D518*E518,0)</f>
        <v>0</v>
      </c>
    </row>
    <row r="519" spans="1:6">
      <c r="A519" s="5"/>
      <c r="B519" s="7"/>
      <c r="C519" s="19"/>
      <c r="D519" s="5"/>
      <c r="E519" s="4"/>
      <c r="F519" s="5"/>
    </row>
    <row r="520" spans="1:6">
      <c r="A520" s="5"/>
      <c r="B520" s="6" t="str">
        <f>B513&amp;"  -  celkem"</f>
        <v>sobota  -  celkem</v>
      </c>
      <c r="C520" s="19"/>
      <c r="D520" s="5"/>
      <c r="E520" s="4"/>
      <c r="F520" s="3">
        <f>SUM(F513:F519)</f>
        <v>0</v>
      </c>
    </row>
    <row r="521" spans="1:6">
      <c r="A521" s="19"/>
      <c r="B521" s="19"/>
      <c r="C521" s="19"/>
      <c r="D521" s="19"/>
      <c r="E521" s="19"/>
      <c r="F521" s="19"/>
    </row>
    <row r="522" spans="1:6">
      <c r="A522" s="19"/>
      <c r="B522" s="19"/>
      <c r="C522" s="19"/>
      <c r="D522" s="19"/>
      <c r="E522" s="19"/>
      <c r="F522" s="19"/>
    </row>
    <row r="523" spans="1:6" ht="18.75">
      <c r="A523" s="5"/>
      <c r="B523" s="11" t="str">
        <f>P_134</f>
        <v>neděle</v>
      </c>
      <c r="C523" s="19"/>
      <c r="D523" s="5"/>
      <c r="E523" s="4"/>
      <c r="F523" s="5"/>
    </row>
    <row r="524" spans="1:6">
      <c r="A524" s="5"/>
      <c r="B524" s="7"/>
      <c r="C524" s="19"/>
      <c r="D524" s="5"/>
      <c r="E524" s="4"/>
      <c r="F524" s="5"/>
    </row>
    <row r="525" spans="1:6">
      <c r="A525" s="5"/>
      <c r="B525" s="7"/>
      <c r="C525" s="19"/>
      <c r="D525" s="5"/>
      <c r="E525" s="4"/>
      <c r="F525" s="5"/>
    </row>
    <row r="526" spans="1:6">
      <c r="A526" s="10"/>
      <c r="B526" s="1"/>
      <c r="C526" s="19"/>
      <c r="D526" s="9"/>
      <c r="E526" s="4"/>
      <c r="F526" s="8">
        <f>ROUND(D526*E526,0)</f>
        <v>0</v>
      </c>
    </row>
    <row r="527" spans="1:6">
      <c r="A527" s="10"/>
      <c r="B527" s="1"/>
      <c r="C527" s="19"/>
      <c r="D527" s="9"/>
      <c r="E527" s="4"/>
      <c r="F527" s="8">
        <f>ROUND(D527*E527,0)</f>
        <v>0</v>
      </c>
    </row>
    <row r="528" spans="1:6">
      <c r="A528" s="10"/>
      <c r="B528" s="1"/>
      <c r="C528" s="19"/>
      <c r="D528" s="9"/>
      <c r="E528" s="4"/>
      <c r="F528" s="8">
        <f>ROUND(D528*E528,0)</f>
        <v>0</v>
      </c>
    </row>
    <row r="529" spans="1:6">
      <c r="A529" s="5"/>
      <c r="B529" s="7"/>
      <c r="C529" s="19"/>
      <c r="D529" s="5"/>
      <c r="E529" s="4"/>
      <c r="F529" s="5"/>
    </row>
    <row r="530" spans="1:6">
      <c r="A530" s="5"/>
      <c r="B530" s="6" t="str">
        <f>B523&amp;"  -  celkem"</f>
        <v>neděle  -  celkem</v>
      </c>
      <c r="C530" s="19"/>
      <c r="D530" s="5"/>
      <c r="E530" s="4"/>
      <c r="F530" s="3">
        <f>SUM(F523:F529)</f>
        <v>0</v>
      </c>
    </row>
    <row r="531" spans="1:6">
      <c r="A531" s="19"/>
      <c r="B531" s="19"/>
      <c r="C531" s="19"/>
      <c r="D531" s="19"/>
      <c r="E531" s="19"/>
      <c r="F531" s="19"/>
    </row>
    <row r="532" spans="1:6">
      <c r="A532" s="19"/>
      <c r="B532" s="19"/>
      <c r="C532" s="19"/>
      <c r="D532" s="19"/>
      <c r="E532" s="19"/>
      <c r="F532" s="19"/>
    </row>
    <row r="533" spans="1:6" ht="18.75">
      <c r="A533" s="5"/>
      <c r="B533" s="11" t="str">
        <f>P_135</f>
        <v>pondělí</v>
      </c>
      <c r="C533" s="19"/>
      <c r="D533" s="5"/>
      <c r="E533" s="4"/>
      <c r="F533" s="5"/>
    </row>
    <row r="534" spans="1:6">
      <c r="A534" s="5"/>
      <c r="B534" s="7"/>
      <c r="C534" s="19"/>
      <c r="D534" s="5"/>
      <c r="E534" s="4"/>
      <c r="F534" s="5"/>
    </row>
    <row r="535" spans="1:6">
      <c r="A535" s="5"/>
      <c r="B535" s="7"/>
      <c r="C535" s="19"/>
      <c r="D535" s="5"/>
      <c r="E535" s="4"/>
      <c r="F535" s="5"/>
    </row>
    <row r="536" spans="1:6">
      <c r="A536" s="10"/>
      <c r="B536" s="1"/>
      <c r="C536" s="19"/>
      <c r="D536" s="9"/>
      <c r="E536" s="4"/>
      <c r="F536" s="8">
        <f>ROUND(D536*E536,0)</f>
        <v>0</v>
      </c>
    </row>
    <row r="537" spans="1:6">
      <c r="A537" s="10"/>
      <c r="B537" s="1"/>
      <c r="C537" s="19"/>
      <c r="D537" s="9"/>
      <c r="E537" s="4"/>
      <c r="F537" s="8">
        <f>ROUND(D537*E537,0)</f>
        <v>0</v>
      </c>
    </row>
    <row r="538" spans="1:6">
      <c r="A538" s="10"/>
      <c r="B538" s="1"/>
      <c r="C538" s="19"/>
      <c r="D538" s="9"/>
      <c r="E538" s="4"/>
      <c r="F538" s="8">
        <f>ROUND(D538*E538,0)</f>
        <v>0</v>
      </c>
    </row>
    <row r="539" spans="1:6">
      <c r="A539" s="5"/>
      <c r="B539" s="7"/>
      <c r="C539" s="19"/>
      <c r="D539" s="5"/>
      <c r="E539" s="4"/>
      <c r="F539" s="5"/>
    </row>
    <row r="540" spans="1:6">
      <c r="A540" s="5"/>
      <c r="B540" s="6" t="str">
        <f>B533&amp;"  -  celkem"</f>
        <v>pondělí  -  celkem</v>
      </c>
      <c r="C540" s="19"/>
      <c r="D540" s="5"/>
      <c r="E540" s="4"/>
      <c r="F540" s="3">
        <f>SUM(F533:F539)</f>
        <v>0</v>
      </c>
    </row>
    <row r="541" spans="1:6">
      <c r="A541" s="19"/>
      <c r="B541" s="19"/>
      <c r="C541" s="19"/>
      <c r="D541" s="19"/>
      <c r="E541" s="19"/>
      <c r="F541" s="19"/>
    </row>
    <row r="542" spans="1:6">
      <c r="A542" s="19"/>
      <c r="B542" s="19"/>
      <c r="C542" s="19"/>
      <c r="D542" s="19"/>
      <c r="E542" s="19"/>
      <c r="F542" s="19"/>
    </row>
    <row r="543" spans="1:6" ht="18.75">
      <c r="A543" s="5"/>
      <c r="B543" s="11" t="str">
        <f>P_136</f>
        <v>úterý</v>
      </c>
      <c r="C543" s="19"/>
      <c r="D543" s="5"/>
      <c r="E543" s="4"/>
      <c r="F543" s="5"/>
    </row>
    <row r="544" spans="1:6">
      <c r="A544" s="5"/>
      <c r="B544" s="7"/>
      <c r="C544" s="19"/>
      <c r="D544" s="5"/>
      <c r="E544" s="4"/>
      <c r="F544" s="5"/>
    </row>
    <row r="545" spans="1:6">
      <c r="A545" s="5"/>
      <c r="B545" s="7"/>
      <c r="C545" s="19"/>
      <c r="D545" s="5"/>
      <c r="E545" s="4"/>
      <c r="F545" s="5"/>
    </row>
    <row r="546" spans="1:6">
      <c r="A546" s="10"/>
      <c r="B546" s="1"/>
      <c r="C546" s="19"/>
      <c r="D546" s="9"/>
      <c r="E546" s="4"/>
      <c r="F546" s="8">
        <f>ROUND(D546*E546,0)</f>
        <v>0</v>
      </c>
    </row>
    <row r="547" spans="1:6">
      <c r="A547" s="10"/>
      <c r="B547" s="1"/>
      <c r="C547" s="19"/>
      <c r="D547" s="9"/>
      <c r="E547" s="4"/>
      <c r="F547" s="8">
        <f>ROUND(D547*E547,0)</f>
        <v>0</v>
      </c>
    </row>
    <row r="548" spans="1:6">
      <c r="A548" s="10"/>
      <c r="B548" s="1"/>
      <c r="C548" s="19"/>
      <c r="D548" s="9"/>
      <c r="E548" s="4"/>
      <c r="F548" s="8">
        <f>ROUND(D548*E548,0)</f>
        <v>0</v>
      </c>
    </row>
    <row r="549" spans="1:6">
      <c r="A549" s="5"/>
      <c r="B549" s="7"/>
      <c r="C549" s="19"/>
      <c r="D549" s="5"/>
      <c r="E549" s="4"/>
      <c r="F549" s="5"/>
    </row>
    <row r="550" spans="1:6">
      <c r="A550" s="5"/>
      <c r="B550" s="6" t="str">
        <f>B543&amp;"  -  celkem"</f>
        <v>úterý  -  celkem</v>
      </c>
      <c r="C550" s="19"/>
      <c r="D550" s="5"/>
      <c r="E550" s="4"/>
      <c r="F550" s="3">
        <f>SUM(F543:F549)</f>
        <v>0</v>
      </c>
    </row>
    <row r="551" spans="1:6">
      <c r="A551" s="19"/>
      <c r="B551" s="19"/>
      <c r="C551" s="19"/>
      <c r="D551" s="19"/>
      <c r="E551" s="19"/>
      <c r="F551" s="19"/>
    </row>
    <row r="552" spans="1:6">
      <c r="A552" s="19"/>
      <c r="B552" s="19"/>
      <c r="C552" s="19"/>
      <c r="D552" s="19"/>
      <c r="E552" s="19"/>
      <c r="F552" s="19"/>
    </row>
    <row r="553" spans="1:6" ht="18.75">
      <c r="A553" s="5"/>
      <c r="B553" s="11" t="str">
        <f>P_137</f>
        <v>středa</v>
      </c>
      <c r="C553" s="19"/>
      <c r="D553" s="5"/>
      <c r="E553" s="4"/>
      <c r="F553" s="5"/>
    </row>
    <row r="554" spans="1:6">
      <c r="A554" s="5"/>
      <c r="B554" s="7"/>
      <c r="C554" s="19"/>
      <c r="D554" s="5"/>
      <c r="E554" s="4"/>
      <c r="F554" s="5"/>
    </row>
    <row r="555" spans="1:6">
      <c r="A555" s="5"/>
      <c r="B555" s="7"/>
      <c r="C555" s="19"/>
      <c r="D555" s="5"/>
      <c r="E555" s="4"/>
      <c r="F555" s="5"/>
    </row>
    <row r="556" spans="1:6">
      <c r="A556" s="10"/>
      <c r="B556" s="1"/>
      <c r="C556" s="19"/>
      <c r="D556" s="9"/>
      <c r="E556" s="4"/>
      <c r="F556" s="8">
        <f>ROUND(D556*E556,0)</f>
        <v>0</v>
      </c>
    </row>
    <row r="557" spans="1:6">
      <c r="A557" s="10"/>
      <c r="B557" s="1"/>
      <c r="C557" s="19"/>
      <c r="D557" s="9"/>
      <c r="E557" s="4"/>
      <c r="F557" s="8">
        <f>ROUND(D557*E557,0)</f>
        <v>0</v>
      </c>
    </row>
    <row r="558" spans="1:6">
      <c r="A558" s="10"/>
      <c r="B558" s="1"/>
      <c r="C558" s="19"/>
      <c r="D558" s="9"/>
      <c r="E558" s="4"/>
      <c r="F558" s="8">
        <f>ROUND(D558*E558,0)</f>
        <v>0</v>
      </c>
    </row>
    <row r="559" spans="1:6">
      <c r="A559" s="5"/>
      <c r="B559" s="7"/>
      <c r="C559" s="19"/>
      <c r="D559" s="5"/>
      <c r="E559" s="4"/>
      <c r="F559" s="5"/>
    </row>
    <row r="560" spans="1:6">
      <c r="A560" s="5"/>
      <c r="B560" s="6" t="str">
        <f>B553&amp;"  -  celkem"</f>
        <v>středa  -  celkem</v>
      </c>
      <c r="C560" s="19"/>
      <c r="D560" s="5"/>
      <c r="E560" s="4"/>
      <c r="F560" s="3">
        <f>SUM(F553:F559)</f>
        <v>0</v>
      </c>
    </row>
    <row r="561" spans="1:6">
      <c r="A561" s="19"/>
      <c r="B561" s="19"/>
      <c r="C561" s="19"/>
      <c r="D561" s="19"/>
      <c r="E561" s="19"/>
      <c r="F561" s="19"/>
    </row>
    <row r="562" spans="1:6">
      <c r="A562" s="19"/>
      <c r="B562" s="19"/>
      <c r="C562" s="19"/>
      <c r="D562" s="19"/>
      <c r="E562" s="19"/>
      <c r="F562" s="19"/>
    </row>
    <row r="563" spans="1:6" ht="18.75">
      <c r="A563" s="5"/>
      <c r="B563" s="11" t="str">
        <f>P_138</f>
        <v>čtvrtek</v>
      </c>
      <c r="C563" s="19"/>
      <c r="D563" s="5"/>
      <c r="E563" s="4"/>
      <c r="F563" s="5"/>
    </row>
    <row r="564" spans="1:6">
      <c r="A564" s="5"/>
      <c r="B564" s="7"/>
      <c r="C564" s="19"/>
      <c r="D564" s="5"/>
      <c r="E564" s="4"/>
      <c r="F564" s="5"/>
    </row>
    <row r="565" spans="1:6">
      <c r="A565" s="5"/>
      <c r="B565" s="7"/>
      <c r="C565" s="19"/>
      <c r="D565" s="5"/>
      <c r="E565" s="4"/>
      <c r="F565" s="5"/>
    </row>
    <row r="566" spans="1:6">
      <c r="A566" s="10"/>
      <c r="B566" s="1"/>
      <c r="C566" s="19"/>
      <c r="D566" s="9"/>
      <c r="E566" s="4"/>
      <c r="F566" s="8">
        <f>ROUND(D566*E566,0)</f>
        <v>0</v>
      </c>
    </row>
    <row r="567" spans="1:6">
      <c r="A567" s="10"/>
      <c r="B567" s="1"/>
      <c r="C567" s="19"/>
      <c r="D567" s="9"/>
      <c r="E567" s="4"/>
      <c r="F567" s="8">
        <f>ROUND(D567*E567,0)</f>
        <v>0</v>
      </c>
    </row>
    <row r="568" spans="1:6">
      <c r="A568" s="10"/>
      <c r="B568" s="1"/>
      <c r="C568" s="19"/>
      <c r="D568" s="9"/>
      <c r="E568" s="4"/>
      <c r="F568" s="8">
        <f>ROUND(D568*E568,0)</f>
        <v>0</v>
      </c>
    </row>
    <row r="569" spans="1:6">
      <c r="A569" s="5"/>
      <c r="B569" s="7"/>
      <c r="C569" s="19"/>
      <c r="D569" s="5"/>
      <c r="E569" s="4"/>
      <c r="F569" s="5"/>
    </row>
    <row r="570" spans="1:6">
      <c r="A570" s="5"/>
      <c r="B570" s="6" t="str">
        <f>B563&amp;"  -  celkem"</f>
        <v>čtvrtek  -  celkem</v>
      </c>
      <c r="C570" s="19"/>
      <c r="D570" s="5"/>
      <c r="E570" s="4"/>
      <c r="F570" s="3">
        <f>SUM(F563:F569)</f>
        <v>0</v>
      </c>
    </row>
    <row r="571" spans="1:6">
      <c r="A571" s="19"/>
      <c r="B571" s="19"/>
      <c r="C571" s="19"/>
      <c r="D571" s="19"/>
      <c r="E571" s="19"/>
      <c r="F571" s="19"/>
    </row>
    <row r="572" spans="1:6">
      <c r="A572" s="19"/>
      <c r="B572" s="19"/>
      <c r="C572" s="19"/>
      <c r="D572" s="19"/>
      <c r="E572" s="19"/>
      <c r="F572" s="19"/>
    </row>
    <row r="573" spans="1:6" ht="18.75">
      <c r="A573" s="5"/>
      <c r="B573" s="11" t="str">
        <f>P_139</f>
        <v>pátek</v>
      </c>
      <c r="C573" s="19"/>
      <c r="D573" s="5"/>
      <c r="E573" s="4"/>
      <c r="F573" s="5"/>
    </row>
    <row r="574" spans="1:6">
      <c r="A574" s="5"/>
      <c r="B574" s="7"/>
      <c r="C574" s="19"/>
      <c r="D574" s="5"/>
      <c r="E574" s="4"/>
      <c r="F574" s="5"/>
    </row>
    <row r="575" spans="1:6">
      <c r="A575" s="5"/>
      <c r="B575" s="7"/>
      <c r="C575" s="19"/>
      <c r="D575" s="5"/>
      <c r="E575" s="4"/>
      <c r="F575" s="5"/>
    </row>
    <row r="576" spans="1:6">
      <c r="A576" s="10"/>
      <c r="B576" s="1"/>
      <c r="C576" s="19"/>
      <c r="D576" s="9"/>
      <c r="E576" s="4"/>
      <c r="F576" s="8">
        <f>ROUND(D576*E576,0)</f>
        <v>0</v>
      </c>
    </row>
    <row r="577" spans="1:6">
      <c r="A577" s="10"/>
      <c r="B577" s="1"/>
      <c r="C577" s="19"/>
      <c r="D577" s="9"/>
      <c r="E577" s="4"/>
      <c r="F577" s="8">
        <f>ROUND(D577*E577,0)</f>
        <v>0</v>
      </c>
    </row>
    <row r="578" spans="1:6">
      <c r="A578" s="10"/>
      <c r="B578" s="1"/>
      <c r="C578" s="19"/>
      <c r="D578" s="9"/>
      <c r="E578" s="4"/>
      <c r="F578" s="8">
        <f>ROUND(D578*E578,0)</f>
        <v>0</v>
      </c>
    </row>
    <row r="579" spans="1:6">
      <c r="A579" s="5"/>
      <c r="B579" s="7"/>
      <c r="C579" s="19"/>
      <c r="D579" s="5"/>
      <c r="E579" s="4"/>
      <c r="F579" s="5"/>
    </row>
    <row r="580" spans="1:6">
      <c r="A580" s="5"/>
      <c r="B580" s="6" t="str">
        <f>B573&amp;"  -  celkem"</f>
        <v>pátek  -  celkem</v>
      </c>
      <c r="C580" s="19"/>
      <c r="D580" s="5"/>
      <c r="E580" s="4"/>
      <c r="F580" s="3">
        <f>SUM(F573:F579)</f>
        <v>0</v>
      </c>
    </row>
    <row r="581" spans="1:6">
      <c r="A581" s="19"/>
      <c r="B581" s="19"/>
      <c r="C581" s="19"/>
      <c r="D581" s="19"/>
      <c r="E581" s="19"/>
      <c r="F581" s="19"/>
    </row>
    <row r="582" spans="1:6">
      <c r="A582" s="19"/>
      <c r="B582" s="19"/>
      <c r="C582" s="19"/>
      <c r="D582" s="19"/>
      <c r="E582" s="19"/>
      <c r="F582" s="19"/>
    </row>
    <row r="583" spans="1:6" ht="18.75">
      <c r="A583" s="5"/>
      <c r="B583" s="11" t="str">
        <f>P_140</f>
        <v>sobota</v>
      </c>
      <c r="C583" s="19"/>
      <c r="D583" s="5"/>
      <c r="E583" s="4"/>
      <c r="F583" s="5"/>
    </row>
    <row r="584" spans="1:6">
      <c r="A584" s="5"/>
      <c r="B584" s="7"/>
      <c r="C584" s="19"/>
      <c r="D584" s="5"/>
      <c r="E584" s="4"/>
      <c r="F584" s="5"/>
    </row>
    <row r="585" spans="1:6">
      <c r="A585" s="5"/>
      <c r="B585" s="7"/>
      <c r="C585" s="19"/>
      <c r="D585" s="5"/>
      <c r="E585" s="4"/>
      <c r="F585" s="5"/>
    </row>
    <row r="586" spans="1:6">
      <c r="A586" s="10"/>
      <c r="B586" s="1"/>
      <c r="C586" s="19"/>
      <c r="D586" s="9"/>
      <c r="E586" s="4"/>
      <c r="F586" s="8">
        <f>ROUND(D586*E586,0)</f>
        <v>0</v>
      </c>
    </row>
    <row r="587" spans="1:6">
      <c r="A587" s="10"/>
      <c r="B587" s="1"/>
      <c r="C587" s="19"/>
      <c r="D587" s="9"/>
      <c r="E587" s="4"/>
      <c r="F587" s="8">
        <f>ROUND(D587*E587,0)</f>
        <v>0</v>
      </c>
    </row>
    <row r="588" spans="1:6">
      <c r="A588" s="10"/>
      <c r="B588" s="1"/>
      <c r="C588" s="19"/>
      <c r="D588" s="9"/>
      <c r="E588" s="4"/>
      <c r="F588" s="8">
        <f>ROUND(D588*E588,0)</f>
        <v>0</v>
      </c>
    </row>
    <row r="589" spans="1:6">
      <c r="A589" s="5"/>
      <c r="B589" s="7"/>
      <c r="C589" s="19"/>
      <c r="D589" s="5"/>
      <c r="E589" s="4"/>
      <c r="F589" s="5"/>
    </row>
    <row r="590" spans="1:6">
      <c r="A590" s="5"/>
      <c r="B590" s="6" t="str">
        <f>B583&amp;"  -  celkem"</f>
        <v>sobota  -  celkem</v>
      </c>
      <c r="C590" s="19"/>
      <c r="D590" s="5"/>
      <c r="E590" s="4"/>
      <c r="F590" s="3">
        <f>SUM(F583:F589)</f>
        <v>0</v>
      </c>
    </row>
    <row r="591" spans="1:6">
      <c r="A591" s="19"/>
      <c r="B591" s="19"/>
      <c r="C591" s="19"/>
      <c r="D591" s="19"/>
      <c r="E591" s="19"/>
      <c r="F591" s="19"/>
    </row>
    <row r="592" spans="1:6">
      <c r="A592" s="19"/>
      <c r="B592" s="19"/>
      <c r="C592" s="19"/>
      <c r="D592" s="19"/>
      <c r="E592" s="19"/>
      <c r="F592" s="19"/>
    </row>
    <row r="593" spans="1:6" ht="18.75">
      <c r="A593" s="5"/>
      <c r="B593" s="11" t="str">
        <f>P_141</f>
        <v>neděle</v>
      </c>
      <c r="C593" s="19"/>
      <c r="D593" s="5"/>
      <c r="E593" s="4"/>
      <c r="F593" s="5"/>
    </row>
    <row r="594" spans="1:6">
      <c r="A594" s="5"/>
      <c r="B594" s="7"/>
      <c r="C594" s="19"/>
      <c r="D594" s="5"/>
      <c r="E594" s="4"/>
      <c r="F594" s="5"/>
    </row>
    <row r="595" spans="1:6">
      <c r="A595" s="5"/>
      <c r="B595" s="7"/>
      <c r="C595" s="19"/>
      <c r="D595" s="5"/>
      <c r="E595" s="4"/>
      <c r="F595" s="5"/>
    </row>
    <row r="596" spans="1:6">
      <c r="A596" s="10"/>
      <c r="B596" s="1"/>
      <c r="C596" s="19"/>
      <c r="D596" s="9"/>
      <c r="E596" s="4"/>
      <c r="F596" s="8">
        <f>ROUND(D596*E596,0)</f>
        <v>0</v>
      </c>
    </row>
    <row r="597" spans="1:6">
      <c r="A597" s="10"/>
      <c r="B597" s="1"/>
      <c r="C597" s="19"/>
      <c r="D597" s="9"/>
      <c r="E597" s="4"/>
      <c r="F597" s="8">
        <f>ROUND(D597*E597,0)</f>
        <v>0</v>
      </c>
    </row>
    <row r="598" spans="1:6">
      <c r="A598" s="10"/>
      <c r="B598" s="1"/>
      <c r="C598" s="19"/>
      <c r="D598" s="9"/>
      <c r="E598" s="4"/>
      <c r="F598" s="8">
        <f>ROUND(D598*E598,0)</f>
        <v>0</v>
      </c>
    </row>
    <row r="599" spans="1:6">
      <c r="A599" s="5"/>
      <c r="B599" s="7"/>
      <c r="C599" s="19"/>
      <c r="D599" s="5"/>
      <c r="E599" s="4"/>
      <c r="F599" s="5"/>
    </row>
    <row r="600" spans="1:6">
      <c r="A600" s="5"/>
      <c r="B600" s="6" t="str">
        <f>B593&amp;"  -  celkem"</f>
        <v>neděle  -  celkem</v>
      </c>
      <c r="C600" s="19"/>
      <c r="D600" s="5"/>
      <c r="E600" s="4"/>
      <c r="F600" s="3">
        <f>SUM(F593:F599)</f>
        <v>0</v>
      </c>
    </row>
    <row r="601" spans="1:6">
      <c r="A601" s="19"/>
      <c r="B601" s="19"/>
      <c r="C601" s="19"/>
      <c r="D601" s="19"/>
      <c r="E601" s="19"/>
      <c r="F601" s="19"/>
    </row>
    <row r="602" spans="1:6">
      <c r="A602" s="19"/>
      <c r="B602" s="19"/>
      <c r="C602" s="19"/>
      <c r="D602" s="19"/>
      <c r="E602" s="19"/>
      <c r="F602" s="19"/>
    </row>
    <row r="603" spans="1:6" ht="18.75">
      <c r="A603" s="5"/>
      <c r="B603" s="11" t="str">
        <f>P_142</f>
        <v>pondělí</v>
      </c>
      <c r="C603" s="19"/>
      <c r="D603" s="5"/>
      <c r="E603" s="4"/>
      <c r="F603" s="5"/>
    </row>
    <row r="604" spans="1:6">
      <c r="A604" s="5"/>
      <c r="B604" s="7"/>
      <c r="C604" s="19"/>
      <c r="D604" s="5"/>
      <c r="E604" s="4"/>
      <c r="F604" s="5"/>
    </row>
    <row r="605" spans="1:6">
      <c r="A605" s="5"/>
      <c r="B605" s="7"/>
      <c r="C605" s="19"/>
      <c r="D605" s="5"/>
      <c r="E605" s="4"/>
      <c r="F605" s="5"/>
    </row>
    <row r="606" spans="1:6">
      <c r="A606" s="10"/>
      <c r="B606" s="1"/>
      <c r="C606" s="19"/>
      <c r="D606" s="9"/>
      <c r="E606" s="4"/>
      <c r="F606" s="8">
        <f>ROUND(D606*E606,0)</f>
        <v>0</v>
      </c>
    </row>
    <row r="607" spans="1:6">
      <c r="A607" s="10"/>
      <c r="B607" s="1"/>
      <c r="C607" s="19"/>
      <c r="D607" s="9"/>
      <c r="E607" s="4"/>
      <c r="F607" s="8">
        <f>ROUND(D607*E607,0)</f>
        <v>0</v>
      </c>
    </row>
    <row r="608" spans="1:6">
      <c r="A608" s="10"/>
      <c r="B608" s="1"/>
      <c r="C608" s="19"/>
      <c r="D608" s="9"/>
      <c r="E608" s="4"/>
      <c r="F608" s="8">
        <f>ROUND(D608*E608,0)</f>
        <v>0</v>
      </c>
    </row>
    <row r="609" spans="1:6">
      <c r="A609" s="5"/>
      <c r="B609" s="7"/>
      <c r="C609" s="19"/>
      <c r="D609" s="5"/>
      <c r="E609" s="4"/>
      <c r="F609" s="5"/>
    </row>
    <row r="610" spans="1:6">
      <c r="A610" s="5"/>
      <c r="B610" s="6" t="str">
        <f>B603&amp;"  -  celkem"</f>
        <v>pondělí  -  celkem</v>
      </c>
      <c r="C610" s="19"/>
      <c r="D610" s="5"/>
      <c r="E610" s="4"/>
      <c r="F610" s="3">
        <f>SUM(F603:F609)</f>
        <v>0</v>
      </c>
    </row>
    <row r="611" spans="1:6">
      <c r="A611" s="19"/>
      <c r="B611" s="19"/>
      <c r="C611" s="19"/>
      <c r="D611" s="19"/>
      <c r="E611" s="19"/>
      <c r="F611" s="19"/>
    </row>
    <row r="612" spans="1:6">
      <c r="A612" s="19"/>
      <c r="B612" s="19"/>
      <c r="C612" s="19"/>
      <c r="D612" s="19"/>
      <c r="E612" s="19"/>
      <c r="F612" s="19"/>
    </row>
    <row r="613" spans="1:6" ht="18.75">
      <c r="A613" s="5"/>
      <c r="B613" s="11" t="str">
        <f>P_143</f>
        <v>úterý</v>
      </c>
      <c r="C613" s="19"/>
      <c r="D613" s="5"/>
      <c r="E613" s="4"/>
      <c r="F613" s="5"/>
    </row>
    <row r="614" spans="1:6">
      <c r="A614" s="5"/>
      <c r="B614" s="7"/>
      <c r="C614" s="19"/>
      <c r="D614" s="5"/>
      <c r="E614" s="4"/>
      <c r="F614" s="5"/>
    </row>
    <row r="615" spans="1:6">
      <c r="A615" s="5"/>
      <c r="B615" s="7"/>
      <c r="C615" s="19"/>
      <c r="D615" s="5"/>
      <c r="E615" s="4"/>
      <c r="F615" s="5"/>
    </row>
    <row r="616" spans="1:6">
      <c r="A616" s="10"/>
      <c r="B616" s="1"/>
      <c r="C616" s="19"/>
      <c r="D616" s="9"/>
      <c r="E616" s="4"/>
      <c r="F616" s="8">
        <f>ROUND(D616*E616,0)</f>
        <v>0</v>
      </c>
    </row>
    <row r="617" spans="1:6">
      <c r="A617" s="10"/>
      <c r="B617" s="1"/>
      <c r="C617" s="19"/>
      <c r="D617" s="9"/>
      <c r="E617" s="4"/>
      <c r="F617" s="8">
        <f>ROUND(D617*E617,0)</f>
        <v>0</v>
      </c>
    </row>
    <row r="618" spans="1:6">
      <c r="A618" s="10"/>
      <c r="B618" s="1"/>
      <c r="C618" s="19"/>
      <c r="D618" s="9"/>
      <c r="E618" s="4"/>
      <c r="F618" s="8">
        <f>ROUND(D618*E618,0)</f>
        <v>0</v>
      </c>
    </row>
    <row r="619" spans="1:6">
      <c r="A619" s="5"/>
      <c r="B619" s="7"/>
      <c r="C619" s="19"/>
      <c r="D619" s="5"/>
      <c r="E619" s="4"/>
      <c r="F619" s="5"/>
    </row>
    <row r="620" spans="1:6">
      <c r="A620" s="5"/>
      <c r="B620" s="6" t="str">
        <f>B613&amp;"  -  celkem"</f>
        <v>úterý  -  celkem</v>
      </c>
      <c r="C620" s="19"/>
      <c r="D620" s="5"/>
      <c r="E620" s="4"/>
      <c r="F620" s="3">
        <f>SUM(F613:F619)</f>
        <v>0</v>
      </c>
    </row>
    <row r="621" spans="1:6">
      <c r="A621" s="19"/>
      <c r="B621" s="19"/>
      <c r="C621" s="19"/>
      <c r="D621" s="19"/>
      <c r="E621" s="19"/>
      <c r="F621" s="19"/>
    </row>
    <row r="622" spans="1:6">
      <c r="A622" s="19"/>
      <c r="B622" s="19"/>
      <c r="C622" s="19"/>
      <c r="D622" s="19"/>
      <c r="E622" s="19"/>
      <c r="F622" s="19"/>
    </row>
    <row r="623" spans="1:6" ht="18.75">
      <c r="A623" s="5"/>
      <c r="B623" s="11" t="str">
        <f>P_144</f>
        <v>středa</v>
      </c>
      <c r="C623" s="19"/>
      <c r="D623" s="5"/>
      <c r="E623" s="4"/>
      <c r="F623" s="5"/>
    </row>
    <row r="624" spans="1:6">
      <c r="A624" s="5"/>
      <c r="B624" s="7"/>
      <c r="C624" s="19"/>
      <c r="D624" s="5"/>
      <c r="E624" s="4"/>
      <c r="F624" s="5"/>
    </row>
    <row r="625" spans="1:6">
      <c r="A625" s="5"/>
      <c r="B625" s="7"/>
      <c r="C625" s="19"/>
      <c r="D625" s="5"/>
      <c r="E625" s="4"/>
      <c r="F625" s="5"/>
    </row>
    <row r="626" spans="1:6">
      <c r="A626" s="10"/>
      <c r="B626" s="1"/>
      <c r="C626" s="19"/>
      <c r="D626" s="9"/>
      <c r="E626" s="4"/>
      <c r="F626" s="8">
        <f>ROUND(D626*E626,0)</f>
        <v>0</v>
      </c>
    </row>
    <row r="627" spans="1:6">
      <c r="A627" s="10"/>
      <c r="B627" s="1"/>
      <c r="C627" s="19"/>
      <c r="D627" s="9"/>
      <c r="E627" s="4"/>
      <c r="F627" s="8">
        <f>ROUND(D627*E627,0)</f>
        <v>0</v>
      </c>
    </row>
    <row r="628" spans="1:6">
      <c r="A628" s="10"/>
      <c r="B628" s="1"/>
      <c r="C628" s="19"/>
      <c r="D628" s="9"/>
      <c r="E628" s="4"/>
      <c r="F628" s="8">
        <f>ROUND(D628*E628,0)</f>
        <v>0</v>
      </c>
    </row>
    <row r="629" spans="1:6">
      <c r="A629" s="5"/>
      <c r="B629" s="7"/>
      <c r="C629" s="19"/>
      <c r="D629" s="5"/>
      <c r="E629" s="4"/>
      <c r="F629" s="5"/>
    </row>
    <row r="630" spans="1:6">
      <c r="A630" s="5"/>
      <c r="B630" s="6" t="str">
        <f>B623&amp;"  -  celkem"</f>
        <v>středa  -  celkem</v>
      </c>
      <c r="C630" s="19"/>
      <c r="D630" s="5"/>
      <c r="E630" s="4"/>
      <c r="F630" s="3">
        <f>SUM(F623:F629)</f>
        <v>0</v>
      </c>
    </row>
    <row r="631" spans="1:6">
      <c r="A631" s="19"/>
      <c r="B631" s="19"/>
      <c r="C631" s="19"/>
      <c r="D631" s="19"/>
      <c r="E631" s="19"/>
      <c r="F631" s="19"/>
    </row>
    <row r="632" spans="1:6">
      <c r="A632" s="19"/>
      <c r="B632" s="19"/>
      <c r="C632" s="19"/>
      <c r="D632" s="19"/>
      <c r="E632" s="19"/>
      <c r="F632" s="19"/>
    </row>
    <row r="633" spans="1:6" ht="18.75">
      <c r="A633" s="5"/>
      <c r="B633" s="11" t="str">
        <f>P_145</f>
        <v>čtvrtek</v>
      </c>
      <c r="C633" s="19"/>
      <c r="D633" s="5"/>
      <c r="E633" s="4"/>
      <c r="F633" s="5"/>
    </row>
    <row r="634" spans="1:6">
      <c r="A634" s="5"/>
      <c r="B634" s="7"/>
      <c r="C634" s="19"/>
      <c r="D634" s="5"/>
      <c r="E634" s="4"/>
      <c r="F634" s="5"/>
    </row>
    <row r="635" spans="1:6">
      <c r="A635" s="5"/>
      <c r="B635" s="7"/>
      <c r="C635" s="19"/>
      <c r="D635" s="5"/>
      <c r="E635" s="4"/>
      <c r="F635" s="5"/>
    </row>
    <row r="636" spans="1:6">
      <c r="A636" s="10"/>
      <c r="B636" s="1"/>
      <c r="C636" s="19"/>
      <c r="D636" s="9"/>
      <c r="E636" s="4"/>
      <c r="F636" s="8">
        <f>ROUND(D636*E636,0)</f>
        <v>0</v>
      </c>
    </row>
    <row r="637" spans="1:6">
      <c r="A637" s="10"/>
      <c r="B637" s="1"/>
      <c r="C637" s="19"/>
      <c r="D637" s="9"/>
      <c r="E637" s="4"/>
      <c r="F637" s="8">
        <f>ROUND(D637*E637,0)</f>
        <v>0</v>
      </c>
    </row>
    <row r="638" spans="1:6">
      <c r="A638" s="10"/>
      <c r="B638" s="1"/>
      <c r="C638" s="19"/>
      <c r="D638" s="9"/>
      <c r="E638" s="4"/>
      <c r="F638" s="8">
        <f>ROUND(D638*E638,0)</f>
        <v>0</v>
      </c>
    </row>
    <row r="639" spans="1:6">
      <c r="A639" s="5"/>
      <c r="B639" s="7"/>
      <c r="C639" s="19"/>
      <c r="D639" s="5"/>
      <c r="E639" s="4"/>
      <c r="F639" s="5"/>
    </row>
    <row r="640" spans="1:6">
      <c r="A640" s="5"/>
      <c r="B640" s="6" t="str">
        <f>B633&amp;"  -  celkem"</f>
        <v>čtvrtek  -  celkem</v>
      </c>
      <c r="C640" s="19"/>
      <c r="D640" s="5"/>
      <c r="E640" s="4"/>
      <c r="F640" s="3">
        <f>SUM(F633:F639)</f>
        <v>0</v>
      </c>
    </row>
    <row r="641" spans="1:6">
      <c r="A641" s="19"/>
      <c r="B641" s="19"/>
      <c r="C641" s="19"/>
      <c r="D641" s="19"/>
      <c r="E641" s="19"/>
      <c r="F641" s="19"/>
    </row>
    <row r="642" spans="1:6">
      <c r="A642" s="19"/>
      <c r="B642" s="19"/>
      <c r="C642" s="19"/>
      <c r="D642" s="19"/>
      <c r="E642" s="19"/>
      <c r="F642" s="19"/>
    </row>
    <row r="643" spans="1:6" ht="18.75">
      <c r="A643" s="5"/>
      <c r="B643" s="11" t="str">
        <f>P_146</f>
        <v>pátek</v>
      </c>
      <c r="C643" s="19"/>
      <c r="D643" s="5"/>
      <c r="E643" s="4"/>
      <c r="F643" s="5"/>
    </row>
    <row r="644" spans="1:6">
      <c r="A644" s="5"/>
      <c r="B644" s="7"/>
      <c r="C644" s="19"/>
      <c r="D644" s="5"/>
      <c r="E644" s="4"/>
      <c r="F644" s="5"/>
    </row>
    <row r="645" spans="1:6">
      <c r="A645" s="5"/>
      <c r="B645" s="7"/>
      <c r="C645" s="19"/>
      <c r="D645" s="5"/>
      <c r="E645" s="4"/>
      <c r="F645" s="5"/>
    </row>
    <row r="646" spans="1:6">
      <c r="A646" s="10"/>
      <c r="B646" s="1"/>
      <c r="C646" s="19"/>
      <c r="D646" s="9"/>
      <c r="E646" s="4"/>
      <c r="F646" s="8">
        <f>ROUND(D646*E646,0)</f>
        <v>0</v>
      </c>
    </row>
    <row r="647" spans="1:6">
      <c r="A647" s="10"/>
      <c r="B647" s="1"/>
      <c r="C647" s="19"/>
      <c r="D647" s="9"/>
      <c r="E647" s="4"/>
      <c r="F647" s="8">
        <f>ROUND(D647*E647,0)</f>
        <v>0</v>
      </c>
    </row>
    <row r="648" spans="1:6">
      <c r="A648" s="10"/>
      <c r="B648" s="1"/>
      <c r="C648" s="19"/>
      <c r="D648" s="9"/>
      <c r="E648" s="4"/>
      <c r="F648" s="8">
        <f>ROUND(D648*E648,0)</f>
        <v>0</v>
      </c>
    </row>
    <row r="649" spans="1:6">
      <c r="A649" s="5"/>
      <c r="B649" s="7"/>
      <c r="C649" s="19"/>
      <c r="D649" s="5"/>
      <c r="E649" s="4"/>
      <c r="F649" s="5"/>
    </row>
    <row r="650" spans="1:6">
      <c r="A650" s="5"/>
      <c r="B650" s="6" t="str">
        <f>B643&amp;"  -  celkem"</f>
        <v>pátek  -  celkem</v>
      </c>
      <c r="C650" s="19"/>
      <c r="D650" s="5"/>
      <c r="E650" s="4"/>
      <c r="F650" s="3">
        <f>SUM(F643:F649)</f>
        <v>0</v>
      </c>
    </row>
    <row r="651" spans="1:6">
      <c r="A651" s="19"/>
      <c r="B651" s="19"/>
      <c r="C651" s="19"/>
      <c r="D651" s="19"/>
      <c r="E651" s="19"/>
      <c r="F651" s="19"/>
    </row>
    <row r="652" spans="1:6">
      <c r="A652" s="19"/>
      <c r="B652" s="19"/>
      <c r="C652" s="19"/>
      <c r="D652" s="19"/>
      <c r="E652" s="19"/>
      <c r="F652" s="19"/>
    </row>
    <row r="653" spans="1:6" ht="18.75">
      <c r="A653" s="5"/>
      <c r="B653" s="11" t="str">
        <f>P_147</f>
        <v>sobota</v>
      </c>
      <c r="C653" s="19"/>
      <c r="D653" s="5"/>
      <c r="E653" s="4"/>
      <c r="F653" s="5"/>
    </row>
    <row r="654" spans="1:6">
      <c r="A654" s="5"/>
      <c r="B654" s="7"/>
      <c r="C654" s="19"/>
      <c r="D654" s="5"/>
      <c r="E654" s="4"/>
      <c r="F654" s="5"/>
    </row>
    <row r="655" spans="1:6">
      <c r="A655" s="5"/>
      <c r="B655" s="7"/>
      <c r="C655" s="19"/>
      <c r="D655" s="5"/>
      <c r="E655" s="4"/>
      <c r="F655" s="5"/>
    </row>
    <row r="656" spans="1:6">
      <c r="A656" s="10"/>
      <c r="B656" s="1"/>
      <c r="C656" s="19"/>
      <c r="D656" s="9"/>
      <c r="E656" s="4"/>
      <c r="F656" s="8">
        <f>ROUND(D656*E656,0)</f>
        <v>0</v>
      </c>
    </row>
    <row r="657" spans="1:6">
      <c r="A657" s="10"/>
      <c r="B657" s="1"/>
      <c r="C657" s="19"/>
      <c r="D657" s="9"/>
      <c r="E657" s="4"/>
      <c r="F657" s="8">
        <f>ROUND(D657*E657,0)</f>
        <v>0</v>
      </c>
    </row>
    <row r="658" spans="1:6">
      <c r="A658" s="10"/>
      <c r="B658" s="1"/>
      <c r="C658" s="19"/>
      <c r="D658" s="9"/>
      <c r="E658" s="4"/>
      <c r="F658" s="8">
        <f>ROUND(D658*E658,0)</f>
        <v>0</v>
      </c>
    </row>
    <row r="659" spans="1:6">
      <c r="A659" s="5"/>
      <c r="B659" s="7"/>
      <c r="C659" s="19"/>
      <c r="D659" s="5"/>
      <c r="E659" s="4"/>
      <c r="F659" s="5"/>
    </row>
    <row r="660" spans="1:6">
      <c r="A660" s="5"/>
      <c r="B660" s="6" t="str">
        <f>B653&amp;"  -  celkem"</f>
        <v>sobota  -  celkem</v>
      </c>
      <c r="C660" s="19"/>
      <c r="D660" s="5"/>
      <c r="E660" s="4"/>
      <c r="F660" s="3">
        <f>SUM(F653:F659)</f>
        <v>0</v>
      </c>
    </row>
    <row r="661" spans="1:6">
      <c r="A661" s="19"/>
      <c r="B661" s="19"/>
      <c r="C661" s="19"/>
      <c r="D661" s="19"/>
      <c r="E661" s="19"/>
      <c r="F661" s="19"/>
    </row>
    <row r="662" spans="1:6">
      <c r="A662" s="19"/>
      <c r="B662" s="19"/>
      <c r="C662" s="19"/>
      <c r="D662" s="19"/>
      <c r="E662" s="19"/>
      <c r="F662" s="19"/>
    </row>
    <row r="663" spans="1:6" ht="18.75">
      <c r="A663" s="5"/>
      <c r="B663" s="11" t="str">
        <f>P_148</f>
        <v>neděle</v>
      </c>
      <c r="C663" s="19"/>
      <c r="D663" s="5"/>
      <c r="E663" s="4"/>
      <c r="F663" s="5"/>
    </row>
    <row r="664" spans="1:6">
      <c r="A664" s="5"/>
      <c r="B664" s="7"/>
      <c r="C664" s="19"/>
      <c r="D664" s="5"/>
      <c r="E664" s="4"/>
      <c r="F664" s="5"/>
    </row>
    <row r="665" spans="1:6">
      <c r="A665" s="5"/>
      <c r="B665" s="7"/>
      <c r="C665" s="19"/>
      <c r="D665" s="5"/>
      <c r="E665" s="4"/>
      <c r="F665" s="5"/>
    </row>
    <row r="666" spans="1:6">
      <c r="A666" s="10"/>
      <c r="B666" s="1"/>
      <c r="C666" s="19"/>
      <c r="D666" s="9"/>
      <c r="E666" s="4"/>
      <c r="F666" s="8">
        <f>ROUND(D666*E666,0)</f>
        <v>0</v>
      </c>
    </row>
    <row r="667" spans="1:6">
      <c r="A667" s="10"/>
      <c r="B667" s="1"/>
      <c r="C667" s="19"/>
      <c r="D667" s="9"/>
      <c r="E667" s="4"/>
      <c r="F667" s="8">
        <f>ROUND(D667*E667,0)</f>
        <v>0</v>
      </c>
    </row>
    <row r="668" spans="1:6">
      <c r="A668" s="10"/>
      <c r="B668" s="1"/>
      <c r="C668" s="19"/>
      <c r="D668" s="9"/>
      <c r="E668" s="4"/>
      <c r="F668" s="8">
        <f>ROUND(D668*E668,0)</f>
        <v>0</v>
      </c>
    </row>
    <row r="669" spans="1:6">
      <c r="A669" s="5"/>
      <c r="B669" s="7"/>
      <c r="C669" s="19"/>
      <c r="D669" s="5"/>
      <c r="E669" s="4"/>
      <c r="F669" s="5"/>
    </row>
    <row r="670" spans="1:6">
      <c r="A670" s="5"/>
      <c r="B670" s="6" t="str">
        <f>B663&amp;"  -  celkem"</f>
        <v>neděle  -  celkem</v>
      </c>
      <c r="C670" s="19"/>
      <c r="D670" s="5"/>
      <c r="E670" s="4"/>
      <c r="F670" s="3">
        <f>SUM(F663:F669)</f>
        <v>0</v>
      </c>
    </row>
    <row r="671" spans="1:6">
      <c r="A671" s="19"/>
      <c r="B671" s="19"/>
      <c r="C671" s="19"/>
      <c r="D671" s="19"/>
      <c r="E671" s="19"/>
      <c r="F671" s="19"/>
    </row>
    <row r="672" spans="1:6">
      <c r="A672" s="19"/>
      <c r="B672" s="19"/>
      <c r="C672" s="19"/>
      <c r="D672" s="19"/>
      <c r="E672" s="19"/>
      <c r="F672" s="19"/>
    </row>
    <row r="673" spans="1:6" ht="18.75">
      <c r="A673" s="5"/>
      <c r="B673" s="11" t="str">
        <f>P_149</f>
        <v>pondělí</v>
      </c>
      <c r="C673" s="19"/>
      <c r="D673" s="5"/>
      <c r="E673" s="4"/>
      <c r="F673" s="5"/>
    </row>
    <row r="674" spans="1:6">
      <c r="A674" s="5"/>
      <c r="B674" s="7"/>
      <c r="C674" s="19"/>
      <c r="D674" s="5"/>
      <c r="E674" s="4"/>
      <c r="F674" s="5"/>
    </row>
    <row r="675" spans="1:6">
      <c r="A675" s="5"/>
      <c r="B675" s="7"/>
      <c r="C675" s="19"/>
      <c r="D675" s="5"/>
      <c r="E675" s="4"/>
      <c r="F675" s="5"/>
    </row>
    <row r="676" spans="1:6">
      <c r="A676" s="10"/>
      <c r="B676" s="1"/>
      <c r="C676" s="19"/>
      <c r="D676" s="9"/>
      <c r="E676" s="4"/>
      <c r="F676" s="8">
        <f>ROUND(D676*E676,0)</f>
        <v>0</v>
      </c>
    </row>
    <row r="677" spans="1:6">
      <c r="A677" s="10"/>
      <c r="B677" s="1"/>
      <c r="C677" s="19"/>
      <c r="D677" s="9"/>
      <c r="E677" s="4"/>
      <c r="F677" s="8">
        <f>ROUND(D677*E677,0)</f>
        <v>0</v>
      </c>
    </row>
    <row r="678" spans="1:6">
      <c r="A678" s="10"/>
      <c r="B678" s="1"/>
      <c r="C678" s="19"/>
      <c r="D678" s="9"/>
      <c r="E678" s="4"/>
      <c r="F678" s="8">
        <f>ROUND(D678*E678,0)</f>
        <v>0</v>
      </c>
    </row>
    <row r="679" spans="1:6">
      <c r="A679" s="5"/>
      <c r="B679" s="7"/>
      <c r="C679" s="19"/>
      <c r="D679" s="5"/>
      <c r="E679" s="4"/>
      <c r="F679" s="5"/>
    </row>
    <row r="680" spans="1:6">
      <c r="A680" s="5"/>
      <c r="B680" s="6" t="str">
        <f>B673&amp;"  -  celkem"</f>
        <v>pondělí  -  celkem</v>
      </c>
      <c r="C680" s="19"/>
      <c r="D680" s="5"/>
      <c r="E680" s="4"/>
      <c r="F680" s="3">
        <f>SUM(F673:F679)</f>
        <v>0</v>
      </c>
    </row>
    <row r="681" spans="1:6">
      <c r="A681" s="19"/>
      <c r="B681" s="19"/>
      <c r="C681" s="19"/>
      <c r="D681" s="19"/>
      <c r="E681" s="19"/>
      <c r="F681" s="19"/>
    </row>
    <row r="682" spans="1:6">
      <c r="A682" s="19"/>
      <c r="B682" s="19"/>
      <c r="C682" s="19"/>
      <c r="D682" s="19"/>
      <c r="E682" s="19"/>
      <c r="F682" s="19"/>
    </row>
    <row r="683" spans="1:6" ht="18.75">
      <c r="A683" s="5"/>
      <c r="B683" s="11" t="str">
        <f>P_150</f>
        <v>úterý</v>
      </c>
      <c r="C683" s="19"/>
      <c r="D683" s="5"/>
      <c r="E683" s="4"/>
      <c r="F683" s="5"/>
    </row>
    <row r="684" spans="1:6">
      <c r="A684" s="5"/>
      <c r="B684" s="7"/>
      <c r="C684" s="19"/>
      <c r="D684" s="5"/>
      <c r="E684" s="4"/>
      <c r="F684" s="5"/>
    </row>
    <row r="685" spans="1:6">
      <c r="A685" s="5"/>
      <c r="B685" s="7"/>
      <c r="C685" s="19"/>
      <c r="D685" s="5"/>
      <c r="E685" s="4"/>
      <c r="F685" s="5"/>
    </row>
    <row r="686" spans="1:6">
      <c r="A686" s="10"/>
      <c r="B686" s="1"/>
      <c r="C686" s="19"/>
      <c r="D686" s="9"/>
      <c r="E686" s="4"/>
      <c r="F686" s="8">
        <f>ROUND(D686*E686,0)</f>
        <v>0</v>
      </c>
    </row>
    <row r="687" spans="1:6">
      <c r="A687" s="10"/>
      <c r="B687" s="1"/>
      <c r="C687" s="19"/>
      <c r="D687" s="9"/>
      <c r="E687" s="4"/>
      <c r="F687" s="8">
        <f>ROUND(D687*E687,0)</f>
        <v>0</v>
      </c>
    </row>
    <row r="688" spans="1:6">
      <c r="A688" s="10"/>
      <c r="B688" s="1"/>
      <c r="C688" s="19"/>
      <c r="D688" s="9"/>
      <c r="E688" s="4"/>
      <c r="F688" s="8">
        <f>ROUND(D688*E688,0)</f>
        <v>0</v>
      </c>
    </row>
    <row r="689" spans="1:6">
      <c r="A689" s="5"/>
      <c r="B689" s="7"/>
      <c r="C689" s="19"/>
      <c r="D689" s="5"/>
      <c r="E689" s="4"/>
      <c r="F689" s="5"/>
    </row>
    <row r="690" spans="1:6">
      <c r="A690" s="5"/>
      <c r="B690" s="6" t="str">
        <f>B683&amp;"  -  celkem"</f>
        <v>úterý  -  celkem</v>
      </c>
      <c r="C690" s="19"/>
      <c r="D690" s="5"/>
      <c r="E690" s="4"/>
      <c r="F690" s="3">
        <f>SUM(F683:F689)</f>
        <v>0</v>
      </c>
    </row>
    <row r="691" spans="1:6">
      <c r="A691" s="19"/>
      <c r="B691" s="19"/>
      <c r="C691" s="19"/>
      <c r="D691" s="19"/>
      <c r="E691" s="19"/>
      <c r="F691" s="19"/>
    </row>
    <row r="692" spans="1:6">
      <c r="A692" s="19"/>
      <c r="B692" s="19"/>
      <c r="C692" s="19"/>
      <c r="D692" s="19"/>
      <c r="E692" s="19"/>
      <c r="F692" s="19"/>
    </row>
    <row r="693" spans="1:6" ht="18.75">
      <c r="A693" s="5"/>
      <c r="B693" s="11" t="str">
        <f>P_151</f>
        <v>středa</v>
      </c>
      <c r="C693" s="19"/>
      <c r="D693" s="5"/>
      <c r="E693" s="4"/>
      <c r="F693" s="5"/>
    </row>
    <row r="694" spans="1:6">
      <c r="A694" s="5"/>
      <c r="B694" s="7"/>
      <c r="C694" s="19"/>
      <c r="D694" s="5"/>
      <c r="E694" s="4"/>
      <c r="F694" s="5"/>
    </row>
    <row r="695" spans="1:6">
      <c r="A695" s="5"/>
      <c r="B695" s="7"/>
      <c r="C695" s="19"/>
      <c r="D695" s="5"/>
      <c r="E695" s="4"/>
      <c r="F695" s="5"/>
    </row>
    <row r="696" spans="1:6">
      <c r="A696" s="10"/>
      <c r="B696" s="1"/>
      <c r="C696" s="19"/>
      <c r="D696" s="9"/>
      <c r="E696" s="4"/>
      <c r="F696" s="8">
        <f>ROUND(D696*E696,0)</f>
        <v>0</v>
      </c>
    </row>
    <row r="697" spans="1:6">
      <c r="A697" s="10"/>
      <c r="B697" s="1"/>
      <c r="C697" s="19"/>
      <c r="D697" s="9"/>
      <c r="E697" s="4"/>
      <c r="F697" s="8">
        <f>ROUND(D697*E697,0)</f>
        <v>0</v>
      </c>
    </row>
    <row r="698" spans="1:6">
      <c r="A698" s="10"/>
      <c r="B698" s="1"/>
      <c r="C698" s="19"/>
      <c r="D698" s="9"/>
      <c r="E698" s="4"/>
      <c r="F698" s="8">
        <f>ROUND(D698*E698,0)</f>
        <v>0</v>
      </c>
    </row>
    <row r="699" spans="1:6">
      <c r="A699" s="5"/>
      <c r="B699" s="7"/>
      <c r="C699" s="19"/>
      <c r="D699" s="5"/>
      <c r="E699" s="4"/>
      <c r="F699" s="5"/>
    </row>
    <row r="700" spans="1:6">
      <c r="A700" s="5"/>
      <c r="B700" s="6" t="str">
        <f>B693&amp;"  -  celkem"</f>
        <v>středa  -  celkem</v>
      </c>
      <c r="C700" s="19"/>
      <c r="D700" s="5"/>
      <c r="E700" s="4"/>
      <c r="F700" s="3">
        <f>SUM(F693:F699)</f>
        <v>0</v>
      </c>
    </row>
    <row r="701" spans="1:6">
      <c r="A701" s="19"/>
      <c r="B701" s="19"/>
      <c r="C701" s="19"/>
      <c r="D701" s="19"/>
      <c r="E701" s="19"/>
      <c r="F701" s="19"/>
    </row>
    <row r="702" spans="1:6">
      <c r="A702" s="19"/>
      <c r="B702" s="19"/>
      <c r="C702" s="19"/>
      <c r="D702" s="19"/>
      <c r="E702" s="19"/>
      <c r="F702" s="19"/>
    </row>
    <row r="704" spans="1:6" ht="18.75">
      <c r="B704" s="11" t="str">
        <f>R_62</f>
        <v>Zařizovací předměty</v>
      </c>
      <c r="C704" s="19"/>
      <c r="D704" s="5"/>
      <c r="E704" s="4"/>
      <c r="F704" s="5"/>
    </row>
    <row r="705" spans="2:7">
      <c r="B705" s="7"/>
      <c r="C705" s="19"/>
      <c r="D705" s="5"/>
      <c r="E705" s="4"/>
      <c r="F705" s="5"/>
    </row>
    <row r="706" spans="2:7">
      <c r="B706" s="7"/>
      <c r="C706" s="19"/>
      <c r="D706" s="5"/>
      <c r="E706" s="4"/>
      <c r="F706" s="5"/>
    </row>
    <row r="707" spans="2:7">
      <c r="B707" s="7"/>
      <c r="C707" s="19"/>
      <c r="D707" s="5"/>
      <c r="E707" s="4"/>
      <c r="F707" s="5"/>
    </row>
    <row r="708" spans="2:7">
      <c r="B708" s="6" t="str">
        <f>B704&amp;"  -  celkem"</f>
        <v>Zařizovací předměty  -  celkem</v>
      </c>
      <c r="C708" s="19"/>
      <c r="D708" s="5"/>
      <c r="E708" s="4"/>
      <c r="F708" s="3">
        <f>SUM(F704:F707)</f>
        <v>0</v>
      </c>
    </row>
    <row r="713" spans="2:7" ht="18.75">
      <c r="B713" s="11" t="str">
        <f>R_38</f>
        <v>Světlíky</v>
      </c>
      <c r="C713" s="19"/>
      <c r="D713" s="5"/>
      <c r="E713" s="4"/>
      <c r="F713" s="5"/>
      <c r="G713" s="19"/>
    </row>
    <row r="714" spans="2:7">
      <c r="B714" s="7"/>
      <c r="C714" s="19"/>
      <c r="D714" s="5"/>
      <c r="E714" s="4"/>
      <c r="F714" s="5"/>
      <c r="G714" s="19"/>
    </row>
    <row r="715" spans="2:7">
      <c r="B715" s="12" t="s">
        <v>38</v>
      </c>
      <c r="C715" s="19"/>
      <c r="D715" s="5"/>
      <c r="E715" s="4"/>
      <c r="F715" s="5"/>
      <c r="G715" s="19"/>
    </row>
    <row r="716" spans="2:7">
      <c r="B716" s="7"/>
      <c r="C716" s="19"/>
      <c r="D716" s="5"/>
      <c r="E716" s="4"/>
      <c r="F716" s="5"/>
      <c r="G716" s="19"/>
    </row>
    <row r="717" spans="2:7">
      <c r="B717" s="1"/>
      <c r="C717" s="19"/>
      <c r="D717" s="9"/>
      <c r="E717" s="4"/>
      <c r="F717" s="8">
        <f t="shared" ref="F717:F726" si="0">ROUND(D717*E717,0)</f>
        <v>0</v>
      </c>
      <c r="G717" s="19"/>
    </row>
    <row r="718" spans="2:7">
      <c r="B718" s="1"/>
      <c r="C718" s="19"/>
      <c r="D718" s="9"/>
      <c r="E718" s="4"/>
      <c r="F718" s="8">
        <f t="shared" si="0"/>
        <v>0</v>
      </c>
      <c r="G718" s="19"/>
    </row>
    <row r="719" spans="2:7">
      <c r="B719" s="1"/>
      <c r="C719" s="19"/>
      <c r="D719" s="9"/>
      <c r="E719" s="4"/>
      <c r="F719" s="8">
        <f t="shared" si="0"/>
        <v>0</v>
      </c>
      <c r="G719" s="19"/>
    </row>
    <row r="720" spans="2:7">
      <c r="B720" s="1"/>
      <c r="C720" s="19"/>
      <c r="D720" s="9"/>
      <c r="E720" s="4"/>
      <c r="F720" s="8">
        <f t="shared" si="0"/>
        <v>0</v>
      </c>
      <c r="G720" s="19"/>
    </row>
    <row r="721" spans="2:7">
      <c r="B721" s="1"/>
      <c r="C721" s="19"/>
      <c r="D721" s="9"/>
      <c r="E721" s="4"/>
      <c r="F721" s="8">
        <f t="shared" si="0"/>
        <v>0</v>
      </c>
      <c r="G721" s="19"/>
    </row>
    <row r="722" spans="2:7">
      <c r="B722" s="1"/>
      <c r="C722" s="19"/>
      <c r="D722" s="9"/>
      <c r="E722" s="4"/>
      <c r="F722" s="8">
        <f t="shared" si="0"/>
        <v>0</v>
      </c>
      <c r="G722" s="19"/>
    </row>
    <row r="723" spans="2:7">
      <c r="B723" s="1"/>
      <c r="C723" s="19"/>
      <c r="D723" s="9"/>
      <c r="E723" s="4"/>
      <c r="F723" s="8">
        <f t="shared" si="0"/>
        <v>0</v>
      </c>
      <c r="G723" s="19"/>
    </row>
    <row r="724" spans="2:7">
      <c r="B724" s="1"/>
      <c r="C724" s="19"/>
      <c r="D724" s="9"/>
      <c r="E724" s="4"/>
      <c r="F724" s="8">
        <f t="shared" si="0"/>
        <v>0</v>
      </c>
      <c r="G724" s="19"/>
    </row>
    <row r="725" spans="2:7">
      <c r="B725" s="1"/>
      <c r="C725" s="19"/>
      <c r="D725" s="9"/>
      <c r="E725" s="4"/>
      <c r="F725" s="8">
        <f t="shared" si="0"/>
        <v>0</v>
      </c>
      <c r="G725" s="19"/>
    </row>
    <row r="726" spans="2:7">
      <c r="B726" s="1"/>
      <c r="C726" s="19"/>
      <c r="D726" s="9"/>
      <c r="E726" s="4"/>
      <c r="F726" s="8">
        <f t="shared" si="0"/>
        <v>0</v>
      </c>
      <c r="G726" s="19"/>
    </row>
    <row r="727" spans="2:7">
      <c r="B727" s="1"/>
      <c r="C727" s="19"/>
      <c r="D727" s="9"/>
      <c r="E727" s="4"/>
      <c r="F727" s="8"/>
      <c r="G727" s="19"/>
    </row>
    <row r="728" spans="2:7">
      <c r="B728" s="1" t="s">
        <v>44</v>
      </c>
      <c r="C728" s="19" t="s">
        <v>45</v>
      </c>
      <c r="D728" s="9">
        <f>SUM(F713:F727)</f>
        <v>0</v>
      </c>
      <c r="E728" s="17">
        <v>0</v>
      </c>
      <c r="F728" s="8">
        <f>ROUND(D728*E728,0)</f>
        <v>0</v>
      </c>
      <c r="G728" s="19"/>
    </row>
    <row r="729" spans="2:7">
      <c r="B729" s="7"/>
      <c r="C729" s="19"/>
      <c r="D729" s="5"/>
      <c r="E729" s="4"/>
      <c r="F729" s="5"/>
      <c r="G729" s="19"/>
    </row>
    <row r="730" spans="2:7">
      <c r="B730" s="6" t="str">
        <f>B713&amp;"  -  celkem"</f>
        <v>Světlíky  -  celkem</v>
      </c>
      <c r="C730" s="19"/>
      <c r="D730" s="5"/>
      <c r="E730" s="4"/>
      <c r="F730" s="3">
        <f>SUM(F713:F729)</f>
        <v>0</v>
      </c>
      <c r="G730" s="19"/>
    </row>
    <row r="734" spans="2:7" ht="18.75">
      <c r="B734" s="11" t="str">
        <f>R_19</f>
        <v>Konstrukce truhlářské opláštění</v>
      </c>
      <c r="C734" s="19"/>
      <c r="D734" s="5"/>
      <c r="E734" s="4"/>
      <c r="F734" s="5"/>
    </row>
    <row r="735" spans="2:7">
      <c r="B735" s="5"/>
      <c r="C735" s="19"/>
      <c r="D735" s="5"/>
      <c r="E735" s="4"/>
      <c r="F735" s="5"/>
    </row>
    <row r="736" spans="2:7">
      <c r="B736" s="12" t="s">
        <v>38</v>
      </c>
      <c r="C736" s="19"/>
      <c r="D736" s="5"/>
      <c r="E736" s="4"/>
      <c r="F736" s="5"/>
    </row>
    <row r="737" spans="2:6" ht="26.25">
      <c r="B737" s="25" t="str">
        <f>"Schvalovací dokumentace - Dílenská dokumentace - Vypracování vzorků : VIZ "&amp;S_34</f>
        <v>Schvalovací dokumentace - Dílenská dokumentace - Vypracování vzorků : VIZ Kompletace stavby</v>
      </c>
      <c r="C737" s="19"/>
      <c r="D737" s="5"/>
      <c r="E737" s="4"/>
      <c r="F737" s="5"/>
    </row>
    <row r="738" spans="2:6">
      <c r="B738" s="26" t="str">
        <f>"Viz též "&amp;S_35</f>
        <v>Viz též Konstrukce truhlářské</v>
      </c>
      <c r="C738" s="19"/>
      <c r="D738" s="5"/>
      <c r="E738" s="4"/>
      <c r="F738" s="5"/>
    </row>
    <row r="739" spans="2:6">
      <c r="B739" s="7"/>
      <c r="C739" s="19"/>
      <c r="D739" s="5"/>
      <c r="E739" s="4"/>
      <c r="F739" s="5"/>
    </row>
    <row r="740" spans="2:6">
      <c r="B740" s="1"/>
      <c r="C740" s="19"/>
      <c r="D740" s="9"/>
      <c r="E740" s="4"/>
      <c r="F740" s="8">
        <f>ROUND(D740*E740,0)</f>
        <v>0</v>
      </c>
    </row>
    <row r="741" spans="2:6">
      <c r="B741" s="1"/>
      <c r="C741" s="19"/>
      <c r="D741" s="9"/>
      <c r="E741" s="4"/>
      <c r="F741" s="8">
        <f>ROUND(D741*E741,0)</f>
        <v>0</v>
      </c>
    </row>
    <row r="742" spans="2:6">
      <c r="B742" s="1"/>
      <c r="C742" s="19"/>
      <c r="D742" s="9"/>
      <c r="E742" s="4"/>
      <c r="F742" s="8"/>
    </row>
    <row r="743" spans="2:6">
      <c r="B743" s="1" t="s">
        <v>44</v>
      </c>
      <c r="C743" s="19" t="s">
        <v>45</v>
      </c>
      <c r="D743" s="9">
        <f>SUM(F734:F742)</f>
        <v>0</v>
      </c>
      <c r="E743" s="17">
        <v>0</v>
      </c>
      <c r="F743" s="8">
        <f>ROUND(D743*E743,0)</f>
        <v>0</v>
      </c>
    </row>
    <row r="744" spans="2:6">
      <c r="B744" s="7"/>
      <c r="C744" s="19"/>
      <c r="D744" s="5"/>
      <c r="E744" s="4"/>
      <c r="F744" s="5"/>
    </row>
    <row r="745" spans="2:6">
      <c r="B745" s="6" t="str">
        <f>B734&amp;"  -  celkem"</f>
        <v>Konstrukce truhlářské opláštění  -  celkem</v>
      </c>
      <c r="C745" s="19"/>
      <c r="D745" s="5"/>
      <c r="E745" s="4"/>
      <c r="F745" s="3">
        <f>SUM(F734:F744)</f>
        <v>0</v>
      </c>
    </row>
    <row r="746" spans="2:6">
      <c r="B746" s="19"/>
      <c r="C746" s="19"/>
      <c r="D746" s="19"/>
      <c r="E746" s="19"/>
      <c r="F746" s="19"/>
    </row>
    <row r="747" spans="2:6">
      <c r="B747" s="19"/>
      <c r="C747" s="19"/>
      <c r="D747" s="19"/>
      <c r="E747" s="19"/>
      <c r="F747" s="19"/>
    </row>
    <row r="748" spans="2:6">
      <c r="B748" s="19"/>
      <c r="C748" s="19"/>
      <c r="D748" s="19"/>
      <c r="E748" s="19"/>
      <c r="F748" s="19"/>
    </row>
    <row r="749" spans="2:6">
      <c r="B749" s="19"/>
      <c r="C749" s="19"/>
      <c r="D749" s="19"/>
      <c r="E749" s="19"/>
      <c r="F749" s="19"/>
    </row>
    <row r="750" spans="2:6">
      <c r="B750" s="19"/>
      <c r="C750" s="19"/>
      <c r="D750" s="19"/>
      <c r="E750" s="19"/>
      <c r="F750" s="19"/>
    </row>
    <row r="751" spans="2:6">
      <c r="B751" s="19"/>
      <c r="C751" s="19"/>
      <c r="D751" s="19"/>
      <c r="E751" s="19"/>
      <c r="F751" s="19"/>
    </row>
    <row r="752" spans="2:6" ht="18.75">
      <c r="B752" s="11" t="str">
        <f>R_20</f>
        <v>Konstrukce zámečnické opláštění</v>
      </c>
      <c r="C752" s="19"/>
      <c r="D752" s="5"/>
      <c r="E752" s="4"/>
      <c r="F752" s="5"/>
    </row>
    <row r="753" spans="2:6">
      <c r="B753" s="5"/>
      <c r="C753" s="19"/>
      <c r="D753" s="5"/>
      <c r="E753" s="4"/>
      <c r="F753" s="5"/>
    </row>
    <row r="754" spans="2:6">
      <c r="B754" s="12" t="s">
        <v>38</v>
      </c>
      <c r="C754" s="19"/>
      <c r="D754" s="5"/>
      <c r="E754" s="4"/>
      <c r="F754" s="5"/>
    </row>
    <row r="755" spans="2:6" ht="26.25">
      <c r="B755" s="25" t="str">
        <f>"Schvalovací dokumentace - Dílenská dokumentace - Vypracování vzorků : VIZ "&amp;S_34</f>
        <v>Schvalovací dokumentace - Dílenská dokumentace - Vypracování vzorků : VIZ Kompletace stavby</v>
      </c>
      <c r="C755" s="19"/>
      <c r="D755" s="5"/>
      <c r="E755" s="4"/>
      <c r="F755" s="5"/>
    </row>
    <row r="756" spans="2:6">
      <c r="B756" s="7"/>
      <c r="C756" s="19"/>
      <c r="D756" s="5"/>
      <c r="E756" s="4"/>
      <c r="F756" s="5"/>
    </row>
    <row r="757" spans="2:6">
      <c r="B757" s="26" t="str">
        <f>"Chybějící pozice viz:  "&amp;S_36</f>
        <v>Chybějící pozice viz:  Konstrukce zámečnické</v>
      </c>
      <c r="C757" s="19"/>
      <c r="D757" s="5"/>
      <c r="E757" s="4"/>
      <c r="F757" s="5"/>
    </row>
    <row r="758" spans="2:6">
      <c r="B758" s="5"/>
      <c r="C758" s="19"/>
      <c r="D758" s="5"/>
      <c r="E758" s="4"/>
      <c r="F758" s="5"/>
    </row>
    <row r="759" spans="2:6">
      <c r="B759" s="5"/>
      <c r="C759" s="19"/>
      <c r="D759" s="5"/>
      <c r="E759" s="4"/>
      <c r="F759" s="5"/>
    </row>
    <row r="760" spans="2:6">
      <c r="B760" s="1"/>
      <c r="C760" s="19"/>
      <c r="D760" s="9"/>
      <c r="E760" s="4"/>
      <c r="F760" s="8">
        <f>ROUND(D760*E760,0)</f>
        <v>0</v>
      </c>
    </row>
    <row r="761" spans="2:6">
      <c r="B761" s="1"/>
      <c r="C761" s="19"/>
      <c r="D761" s="9"/>
      <c r="E761" s="4"/>
      <c r="F761" s="8">
        <f>ROUND(D761*E761,0)</f>
        <v>0</v>
      </c>
    </row>
    <row r="762" spans="2:6">
      <c r="B762" s="1"/>
      <c r="C762" s="19"/>
      <c r="D762" s="9"/>
      <c r="E762" s="4"/>
      <c r="F762" s="8">
        <f>ROUND(D762*E762,0)</f>
        <v>0</v>
      </c>
    </row>
    <row r="763" spans="2:6">
      <c r="B763" s="1"/>
      <c r="C763" s="19"/>
      <c r="D763" s="9"/>
      <c r="E763" s="4"/>
      <c r="F763" s="8"/>
    </row>
    <row r="764" spans="2:6">
      <c r="B764" s="1" t="s">
        <v>44</v>
      </c>
      <c r="C764" s="19" t="s">
        <v>45</v>
      </c>
      <c r="D764" s="9">
        <f>SUM(F752:F763)</f>
        <v>0</v>
      </c>
      <c r="E764" s="17">
        <v>0</v>
      </c>
      <c r="F764" s="8">
        <f>ROUND(D764*E764,0)</f>
        <v>0</v>
      </c>
    </row>
    <row r="765" spans="2:6">
      <c r="B765" s="7"/>
      <c r="C765" s="19"/>
      <c r="D765" s="5"/>
      <c r="E765" s="4"/>
      <c r="F765" s="5"/>
    </row>
    <row r="766" spans="2:6">
      <c r="B766" s="6" t="str">
        <f>B752&amp;"  -  celkem"</f>
        <v>Konstrukce zámečnické opláštění  -  celkem</v>
      </c>
      <c r="C766" s="19"/>
      <c r="D766" s="5"/>
      <c r="E766" s="4"/>
      <c r="F766" s="3">
        <f>SUM(F752:F765)</f>
        <v>0</v>
      </c>
    </row>
    <row r="771" spans="2:6" ht="18.75">
      <c r="B771" s="11" t="str">
        <f>R_30</f>
        <v>Podlahy kamenné</v>
      </c>
      <c r="C771" s="19"/>
      <c r="D771" s="5"/>
      <c r="E771" s="4"/>
      <c r="F771" s="5"/>
    </row>
    <row r="772" spans="2:6">
      <c r="B772" s="7"/>
      <c r="C772" s="19"/>
      <c r="D772" s="5"/>
      <c r="E772" s="4"/>
      <c r="F772" s="5"/>
    </row>
    <row r="773" spans="2:6">
      <c r="B773" s="7"/>
      <c r="C773" s="19"/>
      <c r="D773" s="5"/>
      <c r="E773" s="4"/>
      <c r="F773" s="5"/>
    </row>
    <row r="774" spans="2:6">
      <c r="B774" s="1"/>
      <c r="C774" s="19"/>
      <c r="D774" s="9"/>
      <c r="E774" s="4"/>
      <c r="F774" s="8">
        <f>ROUND(D774*E774,0)</f>
        <v>0</v>
      </c>
    </row>
    <row r="775" spans="2:6">
      <c r="B775" s="1"/>
      <c r="C775" s="19"/>
      <c r="D775" s="9"/>
      <c r="E775" s="4"/>
      <c r="F775" s="8">
        <f>ROUND(D775*E775,0)</f>
        <v>0</v>
      </c>
    </row>
    <row r="776" spans="2:6">
      <c r="B776" s="1"/>
      <c r="C776" s="19"/>
      <c r="D776" s="9"/>
      <c r="E776" s="4"/>
      <c r="F776" s="8">
        <f>ROUND(D776*E776,0)</f>
        <v>0</v>
      </c>
    </row>
    <row r="777" spans="2:6">
      <c r="B777" s="1"/>
      <c r="C777" s="19"/>
      <c r="D777" s="9"/>
      <c r="E777" s="4"/>
      <c r="F777" s="8">
        <f>ROUND(D777*E777,0)</f>
        <v>0</v>
      </c>
    </row>
    <row r="778" spans="2:6">
      <c r="B778" s="1"/>
      <c r="C778" s="19"/>
      <c r="D778" s="9"/>
      <c r="E778" s="4"/>
      <c r="F778" s="8">
        <f>ROUND(D778*E778,0)</f>
        <v>0</v>
      </c>
    </row>
    <row r="779" spans="2:6">
      <c r="B779" s="1"/>
      <c r="C779" s="19"/>
      <c r="D779" s="9"/>
      <c r="E779" s="4"/>
      <c r="F779" s="8"/>
    </row>
    <row r="780" spans="2:6">
      <c r="B780" s="1" t="s">
        <v>44</v>
      </c>
      <c r="C780" s="19" t="s">
        <v>45</v>
      </c>
      <c r="D780" s="9">
        <f>SUM(F771:F779)</f>
        <v>0</v>
      </c>
      <c r="E780" s="17">
        <v>0</v>
      </c>
      <c r="F780" s="8">
        <f>ROUND(D780*E780,0)</f>
        <v>0</v>
      </c>
    </row>
    <row r="781" spans="2:6">
      <c r="B781" s="7"/>
      <c r="C781" s="19"/>
      <c r="D781" s="5"/>
      <c r="E781" s="4"/>
      <c r="F781" s="5"/>
    </row>
    <row r="782" spans="2:6">
      <c r="B782" s="6" t="str">
        <f>B771&amp;"  -  celkem"</f>
        <v>Podlahy kamenné  -  celkem</v>
      </c>
      <c r="C782" s="19"/>
      <c r="D782" s="5"/>
      <c r="E782" s="4"/>
      <c r="F782" s="3">
        <f>SUM(F771:F781)</f>
        <v>0</v>
      </c>
    </row>
    <row r="787" spans="2:6" ht="18.75">
      <c r="B787" s="11" t="str">
        <f>R_32</f>
        <v>Podlahy povlakové</v>
      </c>
      <c r="C787" s="19"/>
      <c r="D787" s="5"/>
      <c r="E787" s="4"/>
      <c r="F787" s="5"/>
    </row>
    <row r="788" spans="2:6">
      <c r="B788" s="7"/>
      <c r="C788" s="19"/>
      <c r="D788" s="5"/>
      <c r="E788" s="4"/>
      <c r="F788" s="5"/>
    </row>
    <row r="789" spans="2:6">
      <c r="B789" s="7"/>
      <c r="C789" s="19"/>
      <c r="D789" s="5"/>
      <c r="E789" s="4"/>
      <c r="F789" s="5"/>
    </row>
    <row r="790" spans="2:6">
      <c r="B790" s="1"/>
      <c r="C790" s="19"/>
      <c r="D790" s="9"/>
      <c r="E790" s="4"/>
      <c r="F790" s="8">
        <f>ROUND(D790*E790,0)</f>
        <v>0</v>
      </c>
    </row>
    <row r="791" spans="2:6">
      <c r="B791" s="1"/>
      <c r="C791" s="19"/>
      <c r="D791" s="9"/>
      <c r="E791" s="4"/>
      <c r="F791" s="8">
        <f>ROUND(D791*E791,0)</f>
        <v>0</v>
      </c>
    </row>
    <row r="792" spans="2:6">
      <c r="B792" s="1"/>
      <c r="C792" s="19"/>
      <c r="D792" s="9"/>
      <c r="E792" s="4"/>
      <c r="F792" s="8"/>
    </row>
    <row r="793" spans="2:6">
      <c r="B793" s="1" t="s">
        <v>44</v>
      </c>
      <c r="C793" s="19" t="s">
        <v>45</v>
      </c>
      <c r="D793" s="9">
        <f>SUM(F787:F792)</f>
        <v>0</v>
      </c>
      <c r="E793" s="17">
        <v>0</v>
      </c>
      <c r="F793" s="8">
        <f>ROUND(D793*E793,0)</f>
        <v>0</v>
      </c>
    </row>
    <row r="794" spans="2:6">
      <c r="B794" s="7"/>
      <c r="C794" s="19"/>
      <c r="D794" s="5"/>
      <c r="E794" s="4"/>
      <c r="F794" s="5"/>
    </row>
    <row r="795" spans="2:6">
      <c r="B795" s="6" t="str">
        <f>B787&amp;"  -  celkem"</f>
        <v>Podlahy povlakové  -  celkem</v>
      </c>
      <c r="C795" s="19"/>
      <c r="D795" s="5"/>
      <c r="E795" s="4"/>
      <c r="F795" s="3">
        <f>SUM(F787:F794)</f>
        <v>0</v>
      </c>
    </row>
    <row r="809" spans="2:6">
      <c r="B809" s="19"/>
      <c r="C809" s="19"/>
      <c r="D809" s="19"/>
      <c r="E809" s="19"/>
      <c r="F809" s="19"/>
    </row>
    <row r="810" spans="2:6">
      <c r="B810" s="19"/>
      <c r="C810" s="19"/>
      <c r="D810" s="19"/>
      <c r="E810" s="19"/>
      <c r="F810" s="19"/>
    </row>
    <row r="811" spans="2:6">
      <c r="B811" s="19"/>
      <c r="C811" s="19"/>
      <c r="D811" s="19"/>
      <c r="E811" s="19"/>
      <c r="F811" s="19"/>
    </row>
    <row r="812" spans="2:6">
      <c r="B812" s="19"/>
      <c r="C812" s="19"/>
      <c r="D812" s="19"/>
      <c r="E812" s="19"/>
      <c r="F812" s="19"/>
    </row>
    <row r="813" spans="2:6">
      <c r="B813" s="19"/>
      <c r="C813" s="19"/>
      <c r="D813" s="19"/>
      <c r="E813" s="19"/>
      <c r="F813" s="19"/>
    </row>
    <row r="814" spans="2:6">
      <c r="B814" s="19"/>
      <c r="C814" s="19"/>
      <c r="D814" s="19"/>
      <c r="E814" s="19"/>
      <c r="F814" s="19"/>
    </row>
    <row r="815" spans="2:6" ht="18.75">
      <c r="B815" s="11" t="str">
        <f>R_79</f>
        <v>xxx</v>
      </c>
      <c r="C815" s="19"/>
      <c r="D815" s="5"/>
      <c r="E815" s="4"/>
      <c r="F815" s="5"/>
    </row>
    <row r="816" spans="2:6">
      <c r="B816" s="7"/>
      <c r="C816" s="19"/>
      <c r="D816" s="5"/>
      <c r="E816" s="4"/>
      <c r="F816" s="5"/>
    </row>
    <row r="817" spans="2:6">
      <c r="B817" s="1"/>
      <c r="C817" s="19"/>
      <c r="D817" s="9"/>
      <c r="E817" s="4"/>
      <c r="F817" s="8"/>
    </row>
    <row r="818" spans="2:6">
      <c r="B818" s="1"/>
      <c r="C818" s="19"/>
      <c r="D818" s="9"/>
      <c r="E818" s="4"/>
      <c r="F818" s="8">
        <f t="shared" ref="F818:F825" si="1">ROUND(D818*E818,0)</f>
        <v>0</v>
      </c>
    </row>
    <row r="819" spans="2:6">
      <c r="B819" s="1"/>
      <c r="C819" s="19"/>
      <c r="D819" s="9"/>
      <c r="E819" s="4"/>
      <c r="F819" s="8">
        <f t="shared" si="1"/>
        <v>0</v>
      </c>
    </row>
    <row r="820" spans="2:6">
      <c r="B820" s="1"/>
      <c r="C820" s="19"/>
      <c r="D820" s="9"/>
      <c r="E820" s="4"/>
      <c r="F820" s="8">
        <f t="shared" si="1"/>
        <v>0</v>
      </c>
    </row>
    <row r="821" spans="2:6">
      <c r="B821" s="1"/>
      <c r="C821" s="19"/>
      <c r="D821" s="9"/>
      <c r="E821" s="4"/>
      <c r="F821" s="8">
        <f t="shared" si="1"/>
        <v>0</v>
      </c>
    </row>
    <row r="822" spans="2:6">
      <c r="B822" s="1"/>
      <c r="C822" s="19"/>
      <c r="D822" s="9"/>
      <c r="E822" s="4"/>
      <c r="F822" s="8">
        <f t="shared" si="1"/>
        <v>0</v>
      </c>
    </row>
    <row r="823" spans="2:6">
      <c r="B823" s="1"/>
      <c r="C823" s="19"/>
      <c r="D823" s="9"/>
      <c r="E823" s="4"/>
      <c r="F823" s="8">
        <f t="shared" si="1"/>
        <v>0</v>
      </c>
    </row>
    <row r="824" spans="2:6">
      <c r="B824" s="1"/>
      <c r="C824" s="19"/>
      <c r="D824" s="9"/>
      <c r="E824" s="4"/>
      <c r="F824" s="8">
        <f t="shared" si="1"/>
        <v>0</v>
      </c>
    </row>
    <row r="825" spans="2:6">
      <c r="B825" s="1"/>
      <c r="C825" s="19"/>
      <c r="D825" s="9"/>
      <c r="E825" s="4"/>
      <c r="F825" s="8">
        <f t="shared" si="1"/>
        <v>0</v>
      </c>
    </row>
    <row r="826" spans="2:6">
      <c r="B826" s="7"/>
      <c r="C826" s="19"/>
      <c r="D826" s="5"/>
      <c r="E826" s="4"/>
      <c r="F826" s="5"/>
    </row>
    <row r="827" spans="2:6">
      <c r="B827" s="6" t="str">
        <f>B815&amp;"  -  celkem"</f>
        <v>xxx  -  celkem</v>
      </c>
      <c r="C827" s="19"/>
      <c r="D827" s="5"/>
      <c r="E827" s="4"/>
      <c r="F827" s="3">
        <f>SUM(F815:F826)</f>
        <v>0</v>
      </c>
    </row>
    <row r="828" spans="2:6">
      <c r="B828" s="19"/>
      <c r="C828" s="19"/>
      <c r="D828" s="19"/>
      <c r="E828" s="19"/>
      <c r="F828" s="19"/>
    </row>
    <row r="829" spans="2:6">
      <c r="B829" s="19"/>
      <c r="C829" s="19"/>
      <c r="D829" s="19"/>
      <c r="E829" s="19"/>
      <c r="F829" s="19"/>
    </row>
    <row r="830" spans="2:6">
      <c r="B830" s="19"/>
      <c r="C830" s="19"/>
      <c r="D830" s="19"/>
      <c r="E830" s="19"/>
      <c r="F830" s="19"/>
    </row>
    <row r="831" spans="2:6">
      <c r="B831" s="19"/>
      <c r="C831" s="19"/>
      <c r="D831" s="19"/>
      <c r="E831" s="19"/>
      <c r="F831" s="19"/>
    </row>
    <row r="832" spans="2:6">
      <c r="B832" s="19"/>
      <c r="C832" s="19"/>
      <c r="D832" s="19"/>
      <c r="E832" s="19"/>
      <c r="F832" s="19"/>
    </row>
    <row r="833" spans="2:6">
      <c r="B833" s="19"/>
      <c r="C833" s="19"/>
      <c r="D833" s="19"/>
      <c r="E833" s="19"/>
      <c r="F833" s="19"/>
    </row>
    <row r="834" spans="2:6" ht="18.75">
      <c r="B834" s="11" t="str">
        <f>R_80</f>
        <v>xxx</v>
      </c>
      <c r="C834" s="19"/>
      <c r="D834" s="5"/>
      <c r="E834" s="4"/>
      <c r="F834" s="5"/>
    </row>
    <row r="835" spans="2:6">
      <c r="B835" s="7"/>
      <c r="C835" s="19"/>
      <c r="D835" s="5"/>
      <c r="E835" s="4"/>
      <c r="F835" s="5"/>
    </row>
    <row r="836" spans="2:6">
      <c r="B836" s="7"/>
      <c r="C836" s="19"/>
      <c r="D836" s="5"/>
      <c r="E836" s="4"/>
      <c r="F836" s="5"/>
    </row>
    <row r="837" spans="2:6">
      <c r="B837" s="1"/>
      <c r="C837" s="19"/>
      <c r="D837" s="9"/>
      <c r="E837" s="4"/>
      <c r="F837" s="8">
        <f>ROUND(D837*E837,0)</f>
        <v>0</v>
      </c>
    </row>
    <row r="838" spans="2:6">
      <c r="B838" s="1"/>
      <c r="C838" s="19"/>
      <c r="D838" s="9"/>
      <c r="E838" s="4"/>
      <c r="F838" s="8">
        <f>ROUND(D838*E838,0)</f>
        <v>0</v>
      </c>
    </row>
    <row r="839" spans="2:6">
      <c r="B839" s="1"/>
      <c r="C839" s="19"/>
      <c r="D839" s="9"/>
      <c r="E839" s="4"/>
      <c r="F839" s="8">
        <f>ROUND(D839*E839,0)</f>
        <v>0</v>
      </c>
    </row>
    <row r="840" spans="2:6">
      <c r="B840" s="1"/>
      <c r="C840" s="19"/>
      <c r="D840" s="9"/>
      <c r="E840" s="4"/>
      <c r="F840" s="8">
        <f>ROUND(D840*E840,0)</f>
        <v>0</v>
      </c>
    </row>
    <row r="841" spans="2:6">
      <c r="B841" s="7"/>
      <c r="C841" s="19"/>
      <c r="D841" s="5"/>
      <c r="E841" s="4"/>
      <c r="F841" s="5"/>
    </row>
    <row r="842" spans="2:6">
      <c r="B842" s="6" t="str">
        <f>B834&amp;"  -  celkem"</f>
        <v>xxx  -  celkem</v>
      </c>
      <c r="C842" s="19"/>
      <c r="D842" s="5"/>
      <c r="E842" s="4"/>
      <c r="F842" s="3">
        <f>SUM(F834:F841)</f>
        <v>0</v>
      </c>
    </row>
    <row r="849" spans="2:6" ht="18.75">
      <c r="B849" s="11" t="str">
        <f>R_15</f>
        <v>Konstrukce klempířské</v>
      </c>
      <c r="C849" s="19"/>
      <c r="D849" s="5"/>
      <c r="E849" s="4"/>
      <c r="F849" s="5"/>
    </row>
    <row r="850" spans="2:6">
      <c r="B850" s="7"/>
      <c r="C850" s="19"/>
      <c r="D850" s="5"/>
      <c r="E850" s="4"/>
      <c r="F850" s="5"/>
    </row>
    <row r="851" spans="2:6">
      <c r="B851" s="7"/>
      <c r="C851" s="19"/>
      <c r="D851" s="5"/>
      <c r="E851" s="4"/>
      <c r="F851" s="5"/>
    </row>
    <row r="852" spans="2:6" ht="90">
      <c r="B852" s="16" t="s">
        <v>109</v>
      </c>
      <c r="C852" s="19"/>
      <c r="D852" s="5"/>
      <c r="E852" s="4"/>
      <c r="F852" s="5"/>
    </row>
    <row r="853" spans="2:6" ht="26.25">
      <c r="B853" s="25" t="str">
        <f>"Schvalovací dokumentace - Dílenská dokumentace - Vypracování vzorků : VIZ "&amp;S_34</f>
        <v>Schvalovací dokumentace - Dílenská dokumentace - Vypracování vzorků : VIZ Kompletace stavby</v>
      </c>
      <c r="C853" s="19"/>
      <c r="D853" s="5"/>
      <c r="E853" s="4"/>
      <c r="F853" s="5"/>
    </row>
    <row r="854" spans="2:6">
      <c r="B854" s="7"/>
      <c r="C854" s="19"/>
      <c r="D854" s="5"/>
      <c r="E854" s="4"/>
      <c r="F854" s="5"/>
    </row>
    <row r="855" spans="2:6">
      <c r="B855" s="7"/>
      <c r="C855" s="19"/>
      <c r="D855" s="5"/>
      <c r="E855" s="4"/>
      <c r="F855" s="5"/>
    </row>
    <row r="856" spans="2:6">
      <c r="B856" s="1"/>
      <c r="C856" s="19"/>
      <c r="D856" s="5"/>
      <c r="E856" s="4"/>
      <c r="F856" s="8">
        <f>ROUND(D856*E856,0)</f>
        <v>0</v>
      </c>
    </row>
    <row r="857" spans="2:6">
      <c r="B857" s="1"/>
      <c r="C857" s="19"/>
      <c r="D857" s="5"/>
      <c r="E857" s="4"/>
      <c r="F857" s="8">
        <f>ROUND(D857*E857,0)</f>
        <v>0</v>
      </c>
    </row>
    <row r="858" spans="2:6">
      <c r="B858" s="1"/>
      <c r="C858" s="19"/>
      <c r="D858" s="5"/>
      <c r="E858" s="4"/>
      <c r="F858" s="8">
        <f>ROUND(D858*E858,0)</f>
        <v>0</v>
      </c>
    </row>
    <row r="859" spans="2:6">
      <c r="B859" s="1"/>
      <c r="C859" s="19"/>
      <c r="D859" s="5"/>
      <c r="E859" s="4"/>
      <c r="F859" s="8"/>
    </row>
    <row r="860" spans="2:6">
      <c r="B860" s="1" t="s">
        <v>44</v>
      </c>
      <c r="C860" s="19" t="s">
        <v>45</v>
      </c>
      <c r="D860" s="5"/>
      <c r="E860" s="4"/>
      <c r="F860" s="8">
        <f>ROUND(D860*E860,0)</f>
        <v>0</v>
      </c>
    </row>
    <row r="861" spans="2:6">
      <c r="B861" s="7"/>
      <c r="C861" s="19"/>
      <c r="D861" s="5"/>
      <c r="E861" s="4"/>
      <c r="F861" s="5"/>
    </row>
    <row r="862" spans="2:6">
      <c r="B862" s="6" t="str">
        <f>B849&amp;"  -  celkem"</f>
        <v>Konstrukce klempířské  -  celkem</v>
      </c>
      <c r="C862" s="19"/>
      <c r="D862" s="5"/>
      <c r="E862" s="4"/>
      <c r="F862" s="3">
        <f>SUM(F849:F861)</f>
        <v>0</v>
      </c>
    </row>
    <row r="863" spans="2:6">
      <c r="B863" s="19"/>
      <c r="C863" s="19"/>
      <c r="D863" s="5"/>
      <c r="E863" s="4"/>
      <c r="F863" s="19"/>
    </row>
    <row r="864" spans="2:6">
      <c r="B864" s="19"/>
      <c r="C864" s="19"/>
      <c r="D864" s="5"/>
      <c r="E864" s="4"/>
      <c r="F864" s="19"/>
    </row>
    <row r="865" spans="2:6">
      <c r="B865" s="19"/>
      <c r="C865" s="19"/>
      <c r="D865" s="5"/>
      <c r="E865" s="4"/>
      <c r="F865" s="19"/>
    </row>
    <row r="866" spans="2:6">
      <c r="B866" s="19"/>
      <c r="C866" s="19"/>
      <c r="D866" s="5"/>
      <c r="E866" s="4"/>
      <c r="F866" s="19"/>
    </row>
    <row r="867" spans="2:6">
      <c r="B867" s="19"/>
      <c r="C867" s="19"/>
      <c r="D867" s="5"/>
      <c r="E867" s="4"/>
      <c r="F867" s="19"/>
    </row>
    <row r="868" spans="2:6">
      <c r="B868" s="19"/>
      <c r="C868" s="19"/>
      <c r="D868" s="5"/>
      <c r="E868" s="4"/>
      <c r="F868" s="19"/>
    </row>
    <row r="869" spans="2:6" ht="18.75">
      <c r="B869" s="11" t="str">
        <f>R_57</f>
        <v>Obvodové zdivo</v>
      </c>
      <c r="C869" s="19"/>
      <c r="D869" s="5"/>
      <c r="E869" s="4"/>
      <c r="F869" s="5"/>
    </row>
    <row r="870" spans="2:6">
      <c r="B870" s="7"/>
      <c r="C870" s="19"/>
      <c r="D870" s="5"/>
      <c r="E870" s="4"/>
      <c r="F870" s="5"/>
    </row>
    <row r="871" spans="2:6">
      <c r="B871" s="7"/>
      <c r="C871" s="19"/>
      <c r="D871" s="5"/>
      <c r="E871" s="4"/>
      <c r="F871" s="5"/>
    </row>
    <row r="872" spans="2:6">
      <c r="B872" s="1"/>
      <c r="C872" s="19"/>
      <c r="D872" s="5"/>
      <c r="E872" s="4"/>
      <c r="F872" s="8">
        <f>ROUND(D872*E872,0)</f>
        <v>0</v>
      </c>
    </row>
    <row r="873" spans="2:6">
      <c r="B873" s="1"/>
      <c r="C873" s="19"/>
      <c r="D873" s="5"/>
      <c r="E873" s="4"/>
      <c r="F873" s="8">
        <f>ROUND(D873*E873,0)</f>
        <v>0</v>
      </c>
    </row>
    <row r="874" spans="2:6">
      <c r="B874" s="1"/>
      <c r="C874" s="19"/>
      <c r="D874" s="5"/>
      <c r="E874" s="4"/>
      <c r="F874" s="8"/>
    </row>
    <row r="875" spans="2:6">
      <c r="B875" s="48" t="str">
        <f>"Zdivo viz též "&amp;S_04</f>
        <v>Zdivo viz též 2200 - Železobetonové konstrukce</v>
      </c>
      <c r="C875" s="19"/>
      <c r="D875" s="5"/>
      <c r="E875" s="4"/>
      <c r="F875" s="8"/>
    </row>
    <row r="876" spans="2:6">
      <c r="B876" s="7"/>
      <c r="C876" s="19"/>
      <c r="D876" s="5"/>
      <c r="E876" s="4"/>
      <c r="F876" s="5"/>
    </row>
    <row r="877" spans="2:6">
      <c r="B877" s="6" t="str">
        <f>B869&amp;"  -  celkem"</f>
        <v>Obvodové zdivo  -  celkem</v>
      </c>
      <c r="C877" s="19"/>
      <c r="D877" s="5"/>
      <c r="E877" s="4"/>
      <c r="F877" s="3">
        <f>SUM(F869:F876)</f>
        <v>0</v>
      </c>
    </row>
    <row r="878" spans="2:6">
      <c r="B878" s="19"/>
      <c r="C878" s="19"/>
      <c r="D878" s="5"/>
      <c r="E878" s="4"/>
      <c r="F878" s="19"/>
    </row>
    <row r="879" spans="2:6">
      <c r="B879" s="19"/>
      <c r="C879" s="19"/>
      <c r="D879" s="5"/>
      <c r="E879" s="4"/>
      <c r="F879" s="19"/>
    </row>
    <row r="880" spans="2:6">
      <c r="B880" s="19"/>
      <c r="C880" s="19"/>
      <c r="D880" s="5"/>
      <c r="E880" s="4"/>
      <c r="F880" s="19"/>
    </row>
    <row r="881" spans="2:6">
      <c r="B881" s="19"/>
      <c r="C881" s="19"/>
      <c r="D881" s="5"/>
      <c r="E881" s="4"/>
      <c r="F881" s="19"/>
    </row>
    <row r="882" spans="2:6">
      <c r="B882" s="19"/>
      <c r="C882" s="19"/>
      <c r="D882" s="5"/>
      <c r="E882" s="4"/>
      <c r="F882" s="19"/>
    </row>
    <row r="883" spans="2:6">
      <c r="B883" s="19"/>
      <c r="C883" s="19"/>
      <c r="D883" s="5"/>
      <c r="E883" s="4"/>
      <c r="F883" s="19"/>
    </row>
    <row r="884" spans="2:6" ht="18.75">
      <c r="B884" s="11" t="str">
        <f>R_16</f>
        <v>Fasádní systémy a tepelné izolace</v>
      </c>
      <c r="C884" s="19"/>
      <c r="D884" s="5"/>
      <c r="E884" s="4"/>
      <c r="F884" s="5"/>
    </row>
    <row r="885" spans="2:6">
      <c r="B885" s="7"/>
      <c r="C885" s="19"/>
      <c r="D885" s="5"/>
      <c r="E885" s="4"/>
      <c r="F885" s="5"/>
    </row>
    <row r="886" spans="2:6">
      <c r="B886" s="7"/>
      <c r="C886" s="19"/>
      <c r="D886" s="5"/>
      <c r="E886" s="4"/>
      <c r="F886" s="5"/>
    </row>
    <row r="887" spans="2:6">
      <c r="B887" s="1"/>
      <c r="C887" s="19"/>
      <c r="D887" s="5"/>
      <c r="E887" s="4"/>
      <c r="F887" s="8">
        <f>ROUND(D887*E887,0)</f>
        <v>0</v>
      </c>
    </row>
    <row r="888" spans="2:6">
      <c r="B888" s="1"/>
      <c r="C888" s="19"/>
      <c r="D888" s="5"/>
      <c r="E888" s="4"/>
      <c r="F888" s="8">
        <f>ROUND(D888*E888,0)</f>
        <v>0</v>
      </c>
    </row>
    <row r="889" spans="2:6">
      <c r="B889" s="1"/>
      <c r="C889" s="19"/>
      <c r="D889" s="5"/>
      <c r="E889" s="4"/>
      <c r="F889" s="8">
        <f>ROUND(D889*E889,0)</f>
        <v>0</v>
      </c>
    </row>
    <row r="890" spans="2:6">
      <c r="B890" s="7"/>
      <c r="C890" s="19"/>
      <c r="D890" s="5"/>
      <c r="E890" s="4"/>
      <c r="F890" s="5"/>
    </row>
    <row r="891" spans="2:6">
      <c r="B891" s="6" t="str">
        <f>B884&amp;"  -  celkem"</f>
        <v>Fasádní systémy a tepelné izolace  -  celkem</v>
      </c>
      <c r="C891" s="19"/>
      <c r="D891" s="5"/>
      <c r="E891" s="4"/>
      <c r="F891" s="3">
        <f>SUM(F884:F890)</f>
        <v>0</v>
      </c>
    </row>
    <row r="892" spans="2:6">
      <c r="B892" s="19"/>
      <c r="C892" s="19"/>
      <c r="D892" s="5"/>
      <c r="E892" s="4"/>
      <c r="F892" s="19"/>
    </row>
    <row r="893" spans="2:6">
      <c r="B893" s="19"/>
      <c r="C893" s="19"/>
      <c r="D893" s="5"/>
      <c r="E893" s="4"/>
      <c r="F893" s="19"/>
    </row>
    <row r="894" spans="2:6">
      <c r="B894" s="19"/>
      <c r="C894" s="19"/>
      <c r="D894" s="5"/>
      <c r="E894" s="4"/>
      <c r="F894" s="19"/>
    </row>
    <row r="895" spans="2:6">
      <c r="B895" s="19"/>
      <c r="C895" s="19"/>
      <c r="D895" s="5"/>
      <c r="E895" s="4"/>
      <c r="F895" s="19"/>
    </row>
    <row r="896" spans="2:6">
      <c r="B896" s="19"/>
      <c r="C896" s="19"/>
      <c r="D896" s="5"/>
      <c r="E896" s="4"/>
      <c r="F896" s="19"/>
    </row>
    <row r="897" spans="2:6">
      <c r="B897" s="19"/>
      <c r="C897" s="19"/>
      <c r="D897" s="5"/>
      <c r="E897" s="4"/>
      <c r="F897" s="19"/>
    </row>
    <row r="898" spans="2:6" ht="18.75">
      <c r="B898" s="11" t="str">
        <f>R_58</f>
        <v>Dřevěné obložení</v>
      </c>
      <c r="C898" s="19"/>
      <c r="D898" s="5"/>
      <c r="E898" s="4"/>
      <c r="F898" s="5"/>
    </row>
    <row r="899" spans="2:6">
      <c r="B899" s="5"/>
      <c r="C899" s="19"/>
      <c r="D899" s="5"/>
      <c r="E899" s="4"/>
      <c r="F899" s="5"/>
    </row>
    <row r="900" spans="2:6">
      <c r="B900" s="12" t="s">
        <v>38</v>
      </c>
      <c r="C900" s="19"/>
      <c r="D900" s="5"/>
      <c r="E900" s="4"/>
      <c r="F900" s="5"/>
    </row>
    <row r="901" spans="2:6" ht="26.25">
      <c r="B901" s="25" t="str">
        <f>"Schvalovací dokumentace - Dílenská dokumentace - Vypracování vzorků : VIZ "&amp;S_34</f>
        <v>Schvalovací dokumentace - Dílenská dokumentace - Vypracování vzorků : VIZ Kompletace stavby</v>
      </c>
      <c r="C901" s="19"/>
      <c r="D901" s="5"/>
      <c r="E901" s="4"/>
      <c r="F901" s="5"/>
    </row>
    <row r="902" spans="2:6">
      <c r="B902" s="7"/>
      <c r="C902" s="19"/>
      <c r="D902" s="5"/>
      <c r="E902" s="4"/>
      <c r="F902" s="5"/>
    </row>
    <row r="903" spans="2:6">
      <c r="B903" s="1"/>
      <c r="C903" s="19"/>
      <c r="D903" s="5"/>
      <c r="E903" s="4"/>
      <c r="F903" s="8">
        <f>ROUND(D903*E903,0)</f>
        <v>0</v>
      </c>
    </row>
    <row r="904" spans="2:6">
      <c r="B904" s="1"/>
      <c r="C904" s="19"/>
      <c r="D904" s="5"/>
      <c r="E904" s="4"/>
      <c r="F904" s="8">
        <f>ROUND(D904*E904,0)</f>
        <v>0</v>
      </c>
    </row>
    <row r="905" spans="2:6">
      <c r="B905" s="1"/>
      <c r="C905" s="19"/>
      <c r="D905" s="5"/>
      <c r="E905" s="4"/>
      <c r="F905" s="8">
        <f>ROUND(D905*E905,0)</f>
        <v>0</v>
      </c>
    </row>
    <row r="906" spans="2:6">
      <c r="B906" s="1"/>
      <c r="C906" s="19"/>
      <c r="D906" s="5"/>
      <c r="E906" s="4"/>
      <c r="F906" s="8"/>
    </row>
    <row r="907" spans="2:6">
      <c r="B907" s="1" t="s">
        <v>44</v>
      </c>
      <c r="C907" s="19" t="s">
        <v>45</v>
      </c>
      <c r="D907" s="5"/>
      <c r="E907" s="4"/>
      <c r="F907" s="8">
        <f>ROUND(D907*E907,0)</f>
        <v>0</v>
      </c>
    </row>
    <row r="908" spans="2:6">
      <c r="B908" s="7"/>
      <c r="C908" s="19"/>
      <c r="D908" s="5"/>
      <c r="E908" s="4"/>
      <c r="F908" s="5"/>
    </row>
    <row r="909" spans="2:6">
      <c r="B909" s="6" t="str">
        <f>B898&amp;"  -  celkem"</f>
        <v>Dřevěné obložení  -  celkem</v>
      </c>
      <c r="C909" s="19"/>
      <c r="D909" s="5"/>
      <c r="E909" s="4"/>
      <c r="F909" s="3">
        <f>SUM(F898:F908)</f>
        <v>0</v>
      </c>
    </row>
    <row r="910" spans="2:6">
      <c r="B910" s="19"/>
      <c r="C910" s="19"/>
      <c r="D910" s="5"/>
      <c r="E910" s="4"/>
      <c r="F910" s="19"/>
    </row>
    <row r="911" spans="2:6">
      <c r="B911" s="19"/>
      <c r="C911" s="19"/>
      <c r="D911" s="5"/>
      <c r="E911" s="4"/>
      <c r="F911" s="19"/>
    </row>
    <row r="912" spans="2:6">
      <c r="B912" s="19"/>
      <c r="C912" s="19"/>
      <c r="D912" s="5"/>
      <c r="E912" s="4"/>
      <c r="F912" s="19"/>
    </row>
    <row r="913" spans="2:6">
      <c r="B913" s="19"/>
      <c r="C913" s="19"/>
      <c r="D913" s="5"/>
      <c r="E913" s="4"/>
      <c r="F913" s="19"/>
    </row>
    <row r="914" spans="2:6">
      <c r="B914" s="19"/>
      <c r="C914" s="19"/>
      <c r="D914" s="5"/>
      <c r="E914" s="4"/>
      <c r="F914" s="19"/>
    </row>
    <row r="915" spans="2:6">
      <c r="B915" s="19"/>
      <c r="C915" s="19"/>
      <c r="D915" s="5"/>
      <c r="E915" s="4"/>
      <c r="F915" s="19"/>
    </row>
    <row r="916" spans="2:6" ht="18.75">
      <c r="B916" s="11" t="str">
        <f>R_68</f>
        <v>Kamenný obklad</v>
      </c>
      <c r="C916" s="19"/>
      <c r="D916" s="5"/>
      <c r="E916" s="4"/>
      <c r="F916" s="5"/>
    </row>
    <row r="917" spans="2:6">
      <c r="B917" s="7"/>
      <c r="C917" s="19"/>
      <c r="D917" s="5"/>
      <c r="E917" s="4"/>
      <c r="F917" s="5"/>
    </row>
    <row r="918" spans="2:6">
      <c r="B918" s="7"/>
      <c r="C918" s="19"/>
      <c r="D918" s="5"/>
      <c r="E918" s="4"/>
      <c r="F918" s="5"/>
    </row>
    <row r="919" spans="2:6">
      <c r="B919" s="1"/>
      <c r="C919" s="19"/>
      <c r="D919" s="5"/>
      <c r="E919" s="4"/>
      <c r="F919" s="8">
        <f>ROUND(D919*E919,0)</f>
        <v>0</v>
      </c>
    </row>
    <row r="920" spans="2:6">
      <c r="B920" s="1"/>
      <c r="C920" s="19"/>
      <c r="D920" s="5"/>
      <c r="E920" s="4"/>
      <c r="F920" s="8">
        <f>ROUND(D920*E920,0)</f>
        <v>0</v>
      </c>
    </row>
    <row r="921" spans="2:6">
      <c r="B921" s="1"/>
      <c r="C921" s="19"/>
      <c r="D921" s="5"/>
      <c r="E921" s="4"/>
      <c r="F921" s="8">
        <f>ROUND(D921*E921,0)</f>
        <v>0</v>
      </c>
    </row>
    <row r="922" spans="2:6">
      <c r="B922" s="1"/>
      <c r="C922" s="19"/>
      <c r="D922" s="5"/>
      <c r="E922" s="4"/>
      <c r="F922" s="8"/>
    </row>
    <row r="923" spans="2:6">
      <c r="B923" s="1" t="s">
        <v>44</v>
      </c>
      <c r="C923" s="19" t="s">
        <v>45</v>
      </c>
      <c r="D923" s="5"/>
      <c r="E923" s="4"/>
      <c r="F923" s="8">
        <f>ROUND(D923*E923,0)</f>
        <v>0</v>
      </c>
    </row>
    <row r="924" spans="2:6">
      <c r="B924" s="7"/>
      <c r="C924" s="19"/>
      <c r="D924" s="5"/>
      <c r="E924" s="4"/>
      <c r="F924" s="5"/>
    </row>
    <row r="925" spans="2:6">
      <c r="B925" s="6" t="str">
        <f>B916&amp;"  -  celkem"</f>
        <v>Kamenný obklad  -  celkem</v>
      </c>
      <c r="C925" s="19"/>
      <c r="D925" s="5"/>
      <c r="E925" s="4"/>
      <c r="F925" s="3">
        <f>SUM(F916:F924)</f>
        <v>0</v>
      </c>
    </row>
    <row r="926" spans="2:6">
      <c r="B926" s="19"/>
      <c r="C926" s="19"/>
      <c r="D926" s="5"/>
      <c r="E926" s="4"/>
      <c r="F926" s="19"/>
    </row>
    <row r="927" spans="2:6">
      <c r="B927" s="19"/>
      <c r="C927" s="19"/>
      <c r="D927" s="5"/>
      <c r="E927" s="4"/>
      <c r="F927" s="19"/>
    </row>
    <row r="928" spans="2:6">
      <c r="B928" s="19"/>
      <c r="C928" s="19"/>
      <c r="D928" s="5"/>
      <c r="E928" s="4"/>
      <c r="F928" s="19"/>
    </row>
    <row r="929" spans="2:6">
      <c r="B929" s="19"/>
      <c r="C929" s="19"/>
      <c r="D929" s="5"/>
      <c r="E929" s="4"/>
      <c r="F929" s="19"/>
    </row>
    <row r="930" spans="2:6">
      <c r="B930" s="19"/>
      <c r="C930" s="19"/>
      <c r="D930" s="5"/>
      <c r="E930" s="4"/>
      <c r="F930" s="19"/>
    </row>
    <row r="931" spans="2:6">
      <c r="B931" s="19"/>
      <c r="C931" s="19"/>
      <c r="D931" s="5"/>
      <c r="E931" s="4"/>
      <c r="F931" s="19"/>
    </row>
    <row r="932" spans="2:6" ht="18.75">
      <c r="B932" s="11" t="str">
        <f>R_17</f>
        <v>Lešení fasádní</v>
      </c>
      <c r="C932" s="19"/>
      <c r="D932" s="5"/>
      <c r="E932" s="4"/>
      <c r="F932" s="5"/>
    </row>
    <row r="933" spans="2:6">
      <c r="B933" s="7"/>
      <c r="C933" s="19"/>
      <c r="D933" s="5"/>
      <c r="E933" s="4"/>
      <c r="F933" s="5"/>
    </row>
    <row r="934" spans="2:6">
      <c r="B934" s="7"/>
      <c r="C934" s="19"/>
      <c r="D934" s="5"/>
      <c r="E934" s="4"/>
      <c r="F934" s="5"/>
    </row>
    <row r="935" spans="2:6">
      <c r="B935" s="1" t="s">
        <v>86</v>
      </c>
      <c r="C935" s="19" t="s">
        <v>0</v>
      </c>
      <c r="D935" s="5"/>
      <c r="E935" s="4"/>
      <c r="F935" s="8">
        <f>ROUND(D935*E935,0)</f>
        <v>0</v>
      </c>
    </row>
    <row r="936" spans="2:6">
      <c r="B936" s="1" t="s">
        <v>199</v>
      </c>
      <c r="C936" s="19" t="s">
        <v>0</v>
      </c>
      <c r="D936" s="5"/>
      <c r="E936" s="4"/>
      <c r="F936" s="8">
        <f>ROUND(D936*E936,0)</f>
        <v>0</v>
      </c>
    </row>
    <row r="937" spans="2:6">
      <c r="B937" s="1" t="s">
        <v>87</v>
      </c>
      <c r="C937" s="19" t="s">
        <v>0</v>
      </c>
      <c r="D937" s="5"/>
      <c r="E937" s="4"/>
      <c r="F937" s="8">
        <f>ROUND(D937*E937,0)</f>
        <v>0</v>
      </c>
    </row>
    <row r="938" spans="2:6">
      <c r="B938" s="7"/>
      <c r="C938" s="19"/>
      <c r="D938" s="5"/>
      <c r="E938" s="4"/>
      <c r="F938" s="5"/>
    </row>
    <row r="939" spans="2:6">
      <c r="B939" s="6" t="str">
        <f>B932&amp;"  -  celkem"</f>
        <v>Lešení fasádní  -  celkem</v>
      </c>
      <c r="C939" s="19"/>
      <c r="D939" s="5"/>
      <c r="E939" s="4"/>
      <c r="F939" s="3">
        <f>SUM(F932:F938)</f>
        <v>0</v>
      </c>
    </row>
    <row r="940" spans="2:6">
      <c r="B940" s="19"/>
      <c r="C940" s="19"/>
      <c r="D940" s="5"/>
      <c r="E940" s="4"/>
      <c r="F940" s="19"/>
    </row>
    <row r="941" spans="2:6">
      <c r="B941" s="19"/>
      <c r="C941" s="19"/>
      <c r="D941" s="5"/>
      <c r="E941" s="4"/>
      <c r="F941" s="19"/>
    </row>
    <row r="942" spans="2:6">
      <c r="B942" s="19"/>
      <c r="C942" s="19"/>
      <c r="D942" s="5"/>
      <c r="E942" s="4"/>
      <c r="F942" s="19"/>
    </row>
    <row r="943" spans="2:6">
      <c r="B943" s="19"/>
      <c r="C943" s="19"/>
      <c r="D943" s="5"/>
      <c r="E943" s="4"/>
      <c r="F943" s="19"/>
    </row>
    <row r="944" spans="2:6">
      <c r="B944" s="19"/>
      <c r="C944" s="19"/>
      <c r="D944" s="5"/>
      <c r="E944" s="4"/>
      <c r="F944" s="19"/>
    </row>
    <row r="945" spans="2:6">
      <c r="B945" s="19"/>
      <c r="C945" s="19"/>
      <c r="D945" s="5"/>
      <c r="E945" s="4"/>
      <c r="F945" s="19"/>
    </row>
    <row r="946" spans="2:6" ht="18.75">
      <c r="B946" s="11" t="str">
        <f>R_18</f>
        <v>Okna</v>
      </c>
      <c r="C946" s="19"/>
      <c r="D946" s="5"/>
      <c r="E946" s="4"/>
      <c r="F946" s="5"/>
    </row>
    <row r="947" spans="2:6">
      <c r="B947" s="7"/>
      <c r="C947" s="19"/>
      <c r="D947" s="5"/>
      <c r="E947" s="4"/>
      <c r="F947" s="5"/>
    </row>
    <row r="948" spans="2:6">
      <c r="B948" s="12" t="s">
        <v>38</v>
      </c>
      <c r="C948" s="19"/>
      <c r="D948" s="5"/>
      <c r="E948" s="4"/>
      <c r="F948" s="5"/>
    </row>
    <row r="949" spans="2:6" ht="26.25">
      <c r="B949" s="25" t="str">
        <f>"Schvalovací dokumentace - Dílenská dokumentace - Vypracování vzorků : VIZ "&amp;S_34</f>
        <v>Schvalovací dokumentace - Dílenská dokumentace - Vypracování vzorků : VIZ Kompletace stavby</v>
      </c>
      <c r="C949" s="19"/>
      <c r="D949" s="5"/>
      <c r="E949" s="4"/>
      <c r="F949" s="5"/>
    </row>
    <row r="950" spans="2:6">
      <c r="B950" s="7"/>
      <c r="C950" s="19"/>
      <c r="D950" s="5"/>
      <c r="E950" s="4"/>
      <c r="F950" s="5"/>
    </row>
    <row r="951" spans="2:6">
      <c r="B951" s="1"/>
      <c r="C951" s="19"/>
      <c r="D951" s="5"/>
      <c r="E951" s="4"/>
      <c r="F951" s="8">
        <f>ROUND(D951*E951,0)</f>
        <v>0</v>
      </c>
    </row>
    <row r="952" spans="2:6">
      <c r="B952" s="1"/>
      <c r="C952" s="19"/>
      <c r="D952" s="5"/>
      <c r="E952" s="4"/>
      <c r="F952" s="8">
        <f>ROUND(D952*E952,0)</f>
        <v>0</v>
      </c>
    </row>
    <row r="953" spans="2:6">
      <c r="B953" s="1"/>
      <c r="C953" s="19"/>
      <c r="D953" s="5"/>
      <c r="E953" s="4"/>
      <c r="F953" s="8">
        <f>ROUND(D953*E953,0)</f>
        <v>0</v>
      </c>
    </row>
    <row r="954" spans="2:6">
      <c r="B954" s="1"/>
      <c r="C954" s="19"/>
      <c r="D954" s="5"/>
      <c r="E954" s="4"/>
      <c r="F954" s="8"/>
    </row>
    <row r="955" spans="2:6">
      <c r="B955" s="1" t="s">
        <v>39</v>
      </c>
      <c r="C955" s="19"/>
      <c r="D955" s="5"/>
      <c r="E955" s="4"/>
      <c r="F955" s="8"/>
    </row>
    <row r="956" spans="2:6">
      <c r="B956" s="1" t="s">
        <v>3</v>
      </c>
      <c r="C956" s="19" t="s">
        <v>0</v>
      </c>
      <c r="D956" s="5"/>
      <c r="E956" s="4"/>
      <c r="F956" s="13">
        <f>IF(E957&gt;0,"viz níže",ROUND(D956*E956,0))</f>
        <v>0</v>
      </c>
    </row>
    <row r="957" spans="2:6">
      <c r="B957" s="1" t="s">
        <v>4</v>
      </c>
      <c r="C957" s="19" t="s">
        <v>1</v>
      </c>
      <c r="D957" s="5"/>
      <c r="E957" s="4"/>
      <c r="F957" s="13">
        <f>IF(E956&gt;0,"viz výše",ROUND(D957*E957,0))</f>
        <v>0</v>
      </c>
    </row>
    <row r="958" spans="2:6">
      <c r="B958" s="1"/>
      <c r="C958" s="19"/>
      <c r="D958" s="5"/>
      <c r="E958" s="4"/>
      <c r="F958" s="13"/>
    </row>
    <row r="959" spans="2:6">
      <c r="B959" s="1" t="s">
        <v>57</v>
      </c>
      <c r="C959" s="19" t="s">
        <v>45</v>
      </c>
      <c r="D959" s="5"/>
      <c r="E959" s="4"/>
      <c r="F959" s="8">
        <f>ROUND(D959*E959,0)</f>
        <v>0</v>
      </c>
    </row>
    <row r="960" spans="2:6">
      <c r="B960" s="7"/>
      <c r="C960" s="19"/>
      <c r="D960" s="5"/>
      <c r="E960" s="4"/>
      <c r="F960" s="5"/>
    </row>
    <row r="961" spans="2:6">
      <c r="B961" s="6" t="str">
        <f>B946&amp;"  -  celkem"</f>
        <v>Okna  -  celkem</v>
      </c>
      <c r="C961" s="19"/>
      <c r="D961" s="5"/>
      <c r="E961" s="4"/>
      <c r="F961" s="3">
        <f>SUM(F946:F960)</f>
        <v>0</v>
      </c>
    </row>
    <row r="962" spans="2:6">
      <c r="B962" s="19"/>
      <c r="C962" s="19"/>
      <c r="D962" s="5"/>
      <c r="E962" s="4"/>
      <c r="F962" s="19"/>
    </row>
    <row r="963" spans="2:6">
      <c r="B963" s="19"/>
      <c r="C963" s="19"/>
      <c r="D963" s="5"/>
      <c r="E963" s="4"/>
      <c r="F963" s="19"/>
    </row>
    <row r="964" spans="2:6">
      <c r="B964" s="19"/>
      <c r="C964" s="19"/>
      <c r="D964" s="5"/>
      <c r="E964" s="4"/>
      <c r="F964" s="19"/>
    </row>
    <row r="965" spans="2:6">
      <c r="B965" s="19"/>
      <c r="C965" s="19"/>
      <c r="D965" s="5"/>
      <c r="E965" s="4"/>
      <c r="F965" s="19"/>
    </row>
    <row r="966" spans="2:6">
      <c r="B966" s="19"/>
      <c r="C966" s="19"/>
      <c r="D966" s="5"/>
      <c r="E966" s="4"/>
      <c r="F966" s="19"/>
    </row>
    <row r="967" spans="2:6">
      <c r="B967" s="19"/>
      <c r="C967" s="19"/>
      <c r="D967" s="5"/>
      <c r="E967" s="4"/>
      <c r="F967" s="19"/>
    </row>
    <row r="968" spans="2:6" ht="18.75">
      <c r="B968" s="11" t="str">
        <f>R_39</f>
        <v>Vrata</v>
      </c>
      <c r="C968" s="19"/>
      <c r="D968" s="5"/>
      <c r="E968" s="4"/>
      <c r="F968" s="5"/>
    </row>
    <row r="969" spans="2:6">
      <c r="B969" s="5"/>
      <c r="C969" s="19"/>
      <c r="D969" s="5"/>
      <c r="E969" s="4"/>
      <c r="F969" s="5"/>
    </row>
    <row r="970" spans="2:6">
      <c r="B970" s="12" t="s">
        <v>38</v>
      </c>
      <c r="C970" s="19"/>
      <c r="D970" s="5"/>
      <c r="E970" s="4"/>
      <c r="F970" s="5"/>
    </row>
    <row r="971" spans="2:6" ht="26.25">
      <c r="B971" s="25" t="str">
        <f>"Schvalovací dokumentace - Dílenská dokumentace - Vypracování vzorků : VIZ "&amp;S_34</f>
        <v>Schvalovací dokumentace - Dílenská dokumentace - Vypracování vzorků : VIZ Kompletace stavby</v>
      </c>
      <c r="C971" s="19"/>
      <c r="D971" s="5"/>
      <c r="E971" s="4"/>
      <c r="F971" s="5"/>
    </row>
    <row r="972" spans="2:6">
      <c r="B972" s="7"/>
      <c r="C972" s="19"/>
      <c r="D972" s="5"/>
      <c r="E972" s="4"/>
      <c r="F972" s="5"/>
    </row>
    <row r="973" spans="2:6">
      <c r="B973" s="1"/>
      <c r="C973" s="19" t="s">
        <v>43</v>
      </c>
      <c r="D973" s="5"/>
      <c r="E973" s="4"/>
      <c r="F973" s="8">
        <f>ROUND(D973*E973,0)</f>
        <v>0</v>
      </c>
    </row>
    <row r="974" spans="2:6">
      <c r="B974" s="1"/>
      <c r="C974" s="19" t="s">
        <v>43</v>
      </c>
      <c r="D974" s="5"/>
      <c r="E974" s="4"/>
      <c r="F974" s="8">
        <f>ROUND(D974*E974,0)</f>
        <v>0</v>
      </c>
    </row>
    <row r="975" spans="2:6">
      <c r="B975" s="1"/>
      <c r="C975" s="19"/>
      <c r="D975" s="5"/>
      <c r="E975" s="4"/>
      <c r="F975" s="8"/>
    </row>
    <row r="976" spans="2:6">
      <c r="B976" s="1" t="s">
        <v>44</v>
      </c>
      <c r="C976" s="19" t="s">
        <v>45</v>
      </c>
      <c r="D976" s="5"/>
      <c r="E976" s="4"/>
      <c r="F976" s="8">
        <f>ROUND(D976*E976,0)</f>
        <v>0</v>
      </c>
    </row>
    <row r="977" spans="2:6">
      <c r="B977" s="7"/>
      <c r="C977" s="19"/>
      <c r="D977" s="5"/>
      <c r="E977" s="4"/>
      <c r="F977" s="5"/>
    </row>
    <row r="978" spans="2:6">
      <c r="B978" s="6" t="str">
        <f>B968&amp;"  -  celkem"</f>
        <v>Vrata  -  celkem</v>
      </c>
      <c r="C978" s="19"/>
      <c r="D978" s="5"/>
      <c r="E978" s="4"/>
      <c r="F978" s="3">
        <f>SUM(F968:F977)</f>
        <v>0</v>
      </c>
    </row>
    <row r="979" spans="2:6">
      <c r="B979" s="19"/>
      <c r="C979" s="19"/>
      <c r="D979" s="5"/>
      <c r="E979" s="4"/>
      <c r="F979" s="19"/>
    </row>
    <row r="980" spans="2:6">
      <c r="B980" s="19"/>
      <c r="C980" s="19"/>
      <c r="D980" s="5"/>
      <c r="E980" s="4"/>
      <c r="F980" s="19"/>
    </row>
    <row r="981" spans="2:6">
      <c r="B981" s="19"/>
      <c r="C981" s="19"/>
      <c r="D981" s="5"/>
      <c r="E981" s="4"/>
      <c r="F981" s="19"/>
    </row>
    <row r="982" spans="2:6">
      <c r="B982" s="19"/>
      <c r="C982" s="19"/>
      <c r="D982" s="5"/>
      <c r="E982" s="4"/>
      <c r="F982" s="19"/>
    </row>
    <row r="983" spans="2:6">
      <c r="B983" s="19"/>
      <c r="C983" s="19"/>
      <c r="D983" s="5"/>
      <c r="E983" s="4"/>
      <c r="F983" s="19"/>
    </row>
    <row r="984" spans="2:6">
      <c r="B984" s="19"/>
      <c r="C984" s="19"/>
      <c r="D984" s="5"/>
      <c r="E984" s="4"/>
      <c r="F984" s="19"/>
    </row>
    <row r="985" spans="2:6" ht="18.75">
      <c r="B985" s="11" t="str">
        <f>R_21</f>
        <v>Konstrukce svislé dělící</v>
      </c>
      <c r="C985" s="19"/>
      <c r="D985" s="5"/>
      <c r="E985" s="4"/>
      <c r="F985" s="5"/>
    </row>
    <row r="986" spans="2:6">
      <c r="B986" s="7"/>
      <c r="C986" s="19"/>
      <c r="D986" s="5"/>
      <c r="E986" s="4"/>
      <c r="F986" s="5"/>
    </row>
    <row r="987" spans="2:6">
      <c r="B987" s="7"/>
      <c r="C987" s="19"/>
      <c r="D987" s="5"/>
      <c r="E987" s="4"/>
      <c r="F987" s="5"/>
    </row>
    <row r="988" spans="2:6">
      <c r="B988" s="1"/>
      <c r="C988" s="19"/>
      <c r="D988" s="5"/>
      <c r="E988" s="4"/>
      <c r="F988" s="8">
        <f>ROUND(D988*E988,0)</f>
        <v>0</v>
      </c>
    </row>
    <row r="989" spans="2:6">
      <c r="B989" s="1"/>
      <c r="C989" s="19"/>
      <c r="D989" s="5"/>
      <c r="E989" s="4"/>
      <c r="F989" s="8">
        <f>ROUND(D989*E989,0)</f>
        <v>0</v>
      </c>
    </row>
    <row r="990" spans="2:6">
      <c r="B990" s="1"/>
      <c r="C990" s="19"/>
      <c r="D990" s="5"/>
      <c r="E990" s="4"/>
      <c r="F990" s="8">
        <f>ROUND(D990*E990,0)</f>
        <v>0</v>
      </c>
    </row>
    <row r="991" spans="2:6">
      <c r="B991" s="1"/>
      <c r="C991" s="19"/>
      <c r="D991" s="5"/>
      <c r="E991" s="4"/>
      <c r="F991" s="8">
        <f>ROUND(D991*E991,0)</f>
        <v>0</v>
      </c>
    </row>
    <row r="992" spans="2:6">
      <c r="B992" s="1"/>
      <c r="C992" s="19"/>
      <c r="D992" s="5"/>
      <c r="E992" s="4"/>
      <c r="F992" s="8">
        <f>ROUND(D992*E992,0)</f>
        <v>0</v>
      </c>
    </row>
    <row r="993" spans="2:6">
      <c r="B993" s="7"/>
      <c r="C993" s="19"/>
      <c r="D993" s="5"/>
      <c r="E993" s="4"/>
      <c r="F993" s="5"/>
    </row>
    <row r="994" spans="2:6">
      <c r="B994" s="6" t="str">
        <f>B985&amp;"  -  celkem"</f>
        <v>Konstrukce svislé dělící  -  celkem</v>
      </c>
      <c r="C994" s="19"/>
      <c r="D994" s="5"/>
      <c r="E994" s="4"/>
      <c r="F994" s="3">
        <f>SUM(F985:F993)</f>
        <v>0</v>
      </c>
    </row>
    <row r="995" spans="2:6">
      <c r="B995" s="19"/>
      <c r="C995" s="19"/>
      <c r="D995" s="5"/>
      <c r="E995" s="4"/>
      <c r="F995" s="19"/>
    </row>
    <row r="996" spans="2:6">
      <c r="B996" s="19"/>
      <c r="C996" s="19"/>
      <c r="D996" s="5"/>
      <c r="E996" s="4"/>
      <c r="F996" s="19"/>
    </row>
    <row r="997" spans="2:6">
      <c r="B997" s="19"/>
      <c r="C997" s="19"/>
      <c r="D997" s="5"/>
      <c r="E997" s="4"/>
      <c r="F997" s="19"/>
    </row>
    <row r="998" spans="2:6">
      <c r="B998" s="19"/>
      <c r="C998" s="19"/>
      <c r="D998" s="5"/>
      <c r="E998" s="4"/>
      <c r="F998" s="19"/>
    </row>
    <row r="999" spans="2:6">
      <c r="B999" s="19"/>
      <c r="C999" s="19"/>
      <c r="D999" s="5"/>
      <c r="E999" s="4"/>
      <c r="F999" s="19"/>
    </row>
    <row r="1000" spans="2:6">
      <c r="B1000" s="19"/>
      <c r="C1000" s="19"/>
      <c r="D1000" s="5"/>
      <c r="E1000" s="4"/>
      <c r="F1000" s="19"/>
    </row>
    <row r="1001" spans="2:6" ht="18.75">
      <c r="B1001" s="11" t="str">
        <f>R_22</f>
        <v>Dveře</v>
      </c>
      <c r="C1001" s="19"/>
      <c r="D1001" s="5"/>
      <c r="E1001" s="4"/>
      <c r="F1001" s="5"/>
    </row>
    <row r="1002" spans="2:6">
      <c r="B1002" s="5"/>
      <c r="C1002" s="19"/>
      <c r="D1002" s="5"/>
      <c r="E1002" s="4"/>
      <c r="F1002" s="5"/>
    </row>
    <row r="1003" spans="2:6">
      <c r="B1003" s="12" t="s">
        <v>38</v>
      </c>
      <c r="C1003" s="19"/>
      <c r="D1003" s="5"/>
      <c r="E1003" s="4"/>
      <c r="F1003" s="5"/>
    </row>
    <row r="1004" spans="2:6" ht="26.25">
      <c r="B1004" s="25" t="str">
        <f>"Schvalovací dokumentace - Dílenská dokumentace - Vypracování vzorků : VIZ "&amp;S_34</f>
        <v>Schvalovací dokumentace - Dílenská dokumentace - Vypracování vzorků : VIZ Kompletace stavby</v>
      </c>
      <c r="C1004" s="19"/>
      <c r="D1004" s="5"/>
      <c r="E1004" s="4"/>
      <c r="F1004" s="5"/>
    </row>
    <row r="1005" spans="2:6">
      <c r="B1005" s="7"/>
      <c r="C1005" s="19"/>
      <c r="D1005" s="5"/>
      <c r="E1005" s="4"/>
      <c r="F1005" s="5"/>
    </row>
    <row r="1006" spans="2:6">
      <c r="B1006" s="7"/>
      <c r="C1006" s="19"/>
      <c r="D1006" s="5"/>
      <c r="E1006" s="4"/>
      <c r="F1006" s="5"/>
    </row>
    <row r="1007" spans="2:6">
      <c r="B1007" s="1"/>
      <c r="C1007" s="19"/>
      <c r="D1007" s="5"/>
      <c r="E1007" s="4"/>
      <c r="F1007" s="8">
        <f>ROUND(D1007*E1007,0)</f>
        <v>0</v>
      </c>
    </row>
    <row r="1008" spans="2:6">
      <c r="B1008" s="1"/>
      <c r="C1008" s="19"/>
      <c r="D1008" s="5"/>
      <c r="E1008" s="4"/>
      <c r="F1008" s="8">
        <f>ROUND(D1008*E1008,0)</f>
        <v>0</v>
      </c>
    </row>
    <row r="1009" spans="2:6">
      <c r="B1009" s="1"/>
      <c r="C1009" s="19"/>
      <c r="D1009" s="5"/>
      <c r="E1009" s="4"/>
      <c r="F1009" s="8">
        <f>ROUND(D1009*E1009,0)</f>
        <v>0</v>
      </c>
    </row>
    <row r="1010" spans="2:6">
      <c r="B1010" s="1"/>
      <c r="C1010" s="19"/>
      <c r="D1010" s="5"/>
      <c r="E1010" s="4"/>
      <c r="F1010" s="8"/>
    </row>
    <row r="1011" spans="2:6">
      <c r="B1011" s="1" t="s">
        <v>44</v>
      </c>
      <c r="C1011" s="19" t="s">
        <v>45</v>
      </c>
      <c r="D1011" s="5"/>
      <c r="E1011" s="4"/>
      <c r="F1011" s="8">
        <f>ROUND(D1011*E1011,0)</f>
        <v>0</v>
      </c>
    </row>
    <row r="1012" spans="2:6">
      <c r="B1012" s="1"/>
      <c r="C1012" s="19"/>
      <c r="D1012" s="5"/>
      <c r="E1012" s="4"/>
      <c r="F1012" s="8"/>
    </row>
    <row r="1013" spans="2:6" ht="67.5">
      <c r="B1013" s="15" t="s">
        <v>202</v>
      </c>
      <c r="C1013" s="19"/>
      <c r="D1013" s="5"/>
      <c r="E1013" s="4"/>
      <c r="F1013" s="8"/>
    </row>
    <row r="1014" spans="2:6">
      <c r="B1014" s="7"/>
      <c r="C1014" s="19"/>
      <c r="D1014" s="5"/>
      <c r="E1014" s="4"/>
      <c r="F1014" s="5"/>
    </row>
    <row r="1015" spans="2:6">
      <c r="B1015" s="6" t="str">
        <f>B1001&amp;"  -  celkem"</f>
        <v>Dveře  -  celkem</v>
      </c>
      <c r="C1015" s="19"/>
      <c r="D1015" s="5"/>
      <c r="E1015" s="4"/>
      <c r="F1015" s="3">
        <f>SUM(F1001:F1014)</f>
        <v>0</v>
      </c>
    </row>
    <row r="1016" spans="2:6">
      <c r="B1016" s="19"/>
      <c r="C1016" s="19"/>
      <c r="D1016" s="5"/>
      <c r="E1016" s="4"/>
      <c r="F1016" s="19"/>
    </row>
    <row r="1017" spans="2:6">
      <c r="B1017" s="19"/>
      <c r="C1017" s="19"/>
      <c r="D1017" s="5"/>
      <c r="E1017" s="4"/>
      <c r="F1017" s="19"/>
    </row>
    <row r="1018" spans="2:6">
      <c r="B1018" s="19"/>
      <c r="C1018" s="19"/>
      <c r="D1018" s="5"/>
      <c r="E1018" s="4"/>
      <c r="F1018" s="19"/>
    </row>
    <row r="1019" spans="2:6">
      <c r="B1019" s="19"/>
      <c r="C1019" s="19"/>
      <c r="D1019" s="5"/>
      <c r="E1019" s="4"/>
      <c r="F1019" s="19"/>
    </row>
    <row r="1020" spans="2:6">
      <c r="B1020" s="19"/>
      <c r="C1020" s="19"/>
      <c r="D1020" s="5"/>
      <c r="E1020" s="4"/>
      <c r="F1020" s="19"/>
    </row>
    <row r="1021" spans="2:6">
      <c r="B1021" s="19"/>
      <c r="C1021" s="19"/>
      <c r="D1021" s="5"/>
      <c r="E1021" s="4"/>
      <c r="F1021" s="19"/>
    </row>
    <row r="1022" spans="2:6" ht="18.75">
      <c r="B1022" s="11" t="str">
        <f>R_23</f>
        <v>Omítky a malby</v>
      </c>
      <c r="C1022" s="19"/>
      <c r="D1022" s="5"/>
      <c r="E1022" s="4"/>
      <c r="F1022" s="5"/>
    </row>
    <row r="1023" spans="2:6">
      <c r="B1023" s="7"/>
      <c r="C1023" s="19"/>
      <c r="D1023" s="5"/>
      <c r="E1023" s="4"/>
      <c r="F1023" s="5"/>
    </row>
    <row r="1024" spans="2:6">
      <c r="B1024" s="7"/>
      <c r="C1024" s="19"/>
      <c r="D1024" s="5"/>
      <c r="E1024" s="4"/>
      <c r="F1024" s="5"/>
    </row>
    <row r="1025" spans="2:6">
      <c r="B1025" s="6" t="s">
        <v>90</v>
      </c>
      <c r="C1025" s="19"/>
      <c r="D1025" s="5"/>
      <c r="E1025" s="4"/>
      <c r="F1025" s="5"/>
    </row>
    <row r="1026" spans="2:6">
      <c r="B1026" s="7"/>
      <c r="C1026" s="19"/>
      <c r="D1026" s="5"/>
      <c r="E1026" s="4"/>
      <c r="F1026" s="5"/>
    </row>
    <row r="1027" spans="2:6">
      <c r="B1027" s="1"/>
      <c r="C1027" s="19"/>
      <c r="D1027" s="5"/>
      <c r="E1027" s="4"/>
      <c r="F1027" s="8">
        <f>ROUND(D1027*E1027,0)</f>
        <v>0</v>
      </c>
    </row>
    <row r="1028" spans="2:6">
      <c r="B1028" s="1"/>
      <c r="C1028" s="19"/>
      <c r="D1028" s="5"/>
      <c r="E1028" s="4"/>
      <c r="F1028" s="8">
        <f>ROUND(D1028*E1028,0)</f>
        <v>0</v>
      </c>
    </row>
    <row r="1029" spans="2:6">
      <c r="B1029" s="1"/>
      <c r="C1029" s="19"/>
      <c r="D1029" s="5"/>
      <c r="E1029" s="4"/>
      <c r="F1029" s="8">
        <f>ROUND(D1029*E1029,0)</f>
        <v>0</v>
      </c>
    </row>
    <row r="1030" spans="2:6">
      <c r="B1030" s="19"/>
      <c r="C1030" s="19"/>
      <c r="D1030" s="5"/>
      <c r="E1030" s="4"/>
      <c r="F1030" s="19"/>
    </row>
    <row r="1031" spans="2:6">
      <c r="B1031" s="35" t="s">
        <v>91</v>
      </c>
      <c r="C1031" s="19"/>
      <c r="D1031" s="5"/>
      <c r="E1031" s="4"/>
      <c r="F1031" s="19"/>
    </row>
    <row r="1032" spans="2:6">
      <c r="B1032" s="1"/>
      <c r="C1032" s="19"/>
      <c r="D1032" s="5"/>
      <c r="E1032" s="4"/>
      <c r="F1032" s="8"/>
    </row>
    <row r="1033" spans="2:6">
      <c r="B1033" s="1"/>
      <c r="C1033" s="19"/>
      <c r="D1033" s="5"/>
      <c r="E1033" s="4"/>
      <c r="F1033" s="8">
        <f>ROUND(D1033*E1033,0)</f>
        <v>0</v>
      </c>
    </row>
    <row r="1034" spans="2:6">
      <c r="B1034" s="1"/>
      <c r="C1034" s="19"/>
      <c r="D1034" s="5"/>
      <c r="E1034" s="4"/>
      <c r="F1034" s="8"/>
    </row>
    <row r="1035" spans="2:6">
      <c r="B1035" s="14" t="s">
        <v>107</v>
      </c>
      <c r="C1035" s="19"/>
      <c r="D1035" s="5"/>
      <c r="E1035" s="4"/>
      <c r="F1035" s="8"/>
    </row>
    <row r="1036" spans="2:6">
      <c r="B1036" s="1"/>
      <c r="C1036" s="19"/>
      <c r="D1036" s="5"/>
      <c r="E1036" s="4"/>
      <c r="F1036" s="8"/>
    </row>
    <row r="1037" spans="2:6">
      <c r="B1037" s="1" t="s">
        <v>205</v>
      </c>
      <c r="C1037" s="19" t="s">
        <v>0</v>
      </c>
      <c r="D1037" s="5"/>
      <c r="E1037" s="4"/>
      <c r="F1037" s="8">
        <f>ROUND(D1037*E1037,0)</f>
        <v>0</v>
      </c>
    </row>
    <row r="1038" spans="2:6">
      <c r="B1038" s="7"/>
      <c r="C1038" s="19"/>
      <c r="D1038" s="5"/>
      <c r="E1038" s="4"/>
      <c r="F1038" s="5"/>
    </row>
    <row r="1039" spans="2:6">
      <c r="B1039" s="6" t="str">
        <f>B1022&amp;"  -  celkem"</f>
        <v>Omítky a malby  -  celkem</v>
      </c>
      <c r="C1039" s="19"/>
      <c r="D1039" s="5"/>
      <c r="E1039" s="4"/>
      <c r="F1039" s="3">
        <f>SUM(F1022:F1038)</f>
        <v>0</v>
      </c>
    </row>
    <row r="1040" spans="2:6">
      <c r="B1040" s="19"/>
      <c r="C1040" s="19"/>
      <c r="D1040" s="5"/>
      <c r="E1040" s="4"/>
      <c r="F1040" s="19"/>
    </row>
    <row r="1041" spans="2:6">
      <c r="B1041" s="19"/>
      <c r="C1041" s="19"/>
      <c r="D1041" s="5"/>
      <c r="E1041" s="4"/>
      <c r="F1041" s="19"/>
    </row>
    <row r="1042" spans="2:6">
      <c r="B1042" s="19"/>
      <c r="C1042" s="19"/>
      <c r="D1042" s="5"/>
      <c r="E1042" s="4"/>
      <c r="F1042" s="19"/>
    </row>
    <row r="1043" spans="2:6">
      <c r="B1043" s="19"/>
      <c r="C1043" s="19"/>
      <c r="D1043" s="5"/>
      <c r="E1043" s="4"/>
      <c r="F1043" s="19"/>
    </row>
    <row r="1044" spans="2:6">
      <c r="B1044" s="19"/>
      <c r="C1044" s="19"/>
      <c r="D1044" s="5"/>
      <c r="E1044" s="4"/>
      <c r="F1044" s="19"/>
    </row>
    <row r="1045" spans="2:6">
      <c r="B1045" s="19"/>
      <c r="C1045" s="19"/>
      <c r="D1045" s="5"/>
      <c r="E1045" s="4"/>
      <c r="F1045" s="19"/>
    </row>
    <row r="1046" spans="2:6" ht="18.75">
      <c r="B1046" s="11" t="str">
        <f>R_24</f>
        <v>Izolace tepelné stěn a stropů</v>
      </c>
      <c r="C1046" s="19"/>
      <c r="D1046" s="5"/>
      <c r="E1046" s="4"/>
      <c r="F1046" s="5"/>
    </row>
    <row r="1047" spans="2:6">
      <c r="B1047" s="7"/>
      <c r="C1047" s="19"/>
      <c r="D1047" s="5"/>
      <c r="E1047" s="4"/>
      <c r="F1047" s="5"/>
    </row>
    <row r="1048" spans="2:6">
      <c r="B1048" s="7"/>
      <c r="C1048" s="19"/>
      <c r="D1048" s="5"/>
      <c r="E1048" s="4"/>
      <c r="F1048" s="5"/>
    </row>
    <row r="1049" spans="2:6">
      <c r="B1049" s="1"/>
      <c r="C1049" s="19"/>
      <c r="D1049" s="5"/>
      <c r="E1049" s="4"/>
      <c r="F1049" s="8">
        <f>ROUND(D1049*E1049,0)</f>
        <v>0</v>
      </c>
    </row>
    <row r="1050" spans="2:6">
      <c r="B1050" s="5"/>
      <c r="C1050" s="19"/>
      <c r="D1050" s="5"/>
      <c r="E1050" s="4"/>
      <c r="F1050" s="5"/>
    </row>
    <row r="1051" spans="2:6">
      <c r="B1051" s="6" t="str">
        <f>B1046&amp;"  -  celkem"</f>
        <v>Izolace tepelné stěn a stropů  -  celkem</v>
      </c>
      <c r="C1051" s="19"/>
      <c r="D1051" s="5"/>
      <c r="E1051" s="4"/>
      <c r="F1051" s="3">
        <f>SUM(F1046:F1050)</f>
        <v>0</v>
      </c>
    </row>
    <row r="1052" spans="2:6">
      <c r="B1052" s="19"/>
      <c r="C1052" s="19"/>
      <c r="D1052" s="5"/>
      <c r="E1052" s="4"/>
      <c r="F1052" s="19"/>
    </row>
    <row r="1053" spans="2:6">
      <c r="B1053" s="19"/>
      <c r="C1053" s="19"/>
      <c r="D1053" s="5"/>
      <c r="E1053" s="4"/>
      <c r="F1053" s="19"/>
    </row>
    <row r="1054" spans="2:6">
      <c r="B1054" s="19"/>
      <c r="C1054" s="19"/>
      <c r="D1054" s="5"/>
      <c r="E1054" s="4"/>
      <c r="F1054" s="19"/>
    </row>
    <row r="1055" spans="2:6">
      <c r="B1055" s="19"/>
      <c r="C1055" s="19"/>
      <c r="D1055" s="5"/>
      <c r="E1055" s="4"/>
      <c r="F1055" s="19"/>
    </row>
    <row r="1056" spans="2:6">
      <c r="B1056" s="19"/>
      <c r="C1056" s="19"/>
      <c r="D1056" s="5"/>
      <c r="E1056" s="4"/>
      <c r="F1056" s="19"/>
    </row>
    <row r="1057" spans="2:6">
      <c r="B1057" s="19"/>
      <c r="C1057" s="19"/>
      <c r="D1057" s="5"/>
      <c r="E1057" s="4"/>
      <c r="F1057" s="19"/>
    </row>
    <row r="1058" spans="2:6" ht="18.75">
      <c r="B1058" s="11" t="str">
        <f>R_25</f>
        <v>Podhledy</v>
      </c>
      <c r="C1058" s="19"/>
      <c r="D1058" s="5"/>
      <c r="E1058" s="4"/>
      <c r="F1058" s="5"/>
    </row>
    <row r="1059" spans="2:6">
      <c r="B1059" s="7"/>
      <c r="C1059" s="19"/>
      <c r="D1059" s="5"/>
      <c r="E1059" s="4"/>
      <c r="F1059" s="5"/>
    </row>
    <row r="1060" spans="2:6">
      <c r="B1060" s="12" t="s">
        <v>92</v>
      </c>
      <c r="C1060" s="19"/>
      <c r="D1060" s="5"/>
      <c r="E1060" s="4"/>
      <c r="F1060" s="5"/>
    </row>
    <row r="1061" spans="2:6">
      <c r="B1061" s="7"/>
      <c r="C1061" s="19"/>
      <c r="D1061" s="5"/>
      <c r="E1061" s="4"/>
      <c r="F1061" s="5"/>
    </row>
    <row r="1062" spans="2:6">
      <c r="B1062" s="1"/>
      <c r="C1062" s="19"/>
      <c r="D1062" s="5"/>
      <c r="E1062" s="4"/>
      <c r="F1062" s="8">
        <f>ROUND(D1062*E1062,0)</f>
        <v>0</v>
      </c>
    </row>
    <row r="1063" spans="2:6">
      <c r="B1063" s="7"/>
      <c r="C1063" s="19"/>
      <c r="D1063" s="5"/>
      <c r="E1063" s="4"/>
      <c r="F1063" s="5"/>
    </row>
    <row r="1064" spans="2:6">
      <c r="B1064" s="6" t="str">
        <f>B1058&amp;"  -  celkem"</f>
        <v>Podhledy  -  celkem</v>
      </c>
      <c r="C1064" s="19"/>
      <c r="D1064" s="5"/>
      <c r="E1064" s="4"/>
      <c r="F1064" s="3">
        <f>SUM(F1058:F1063)</f>
        <v>0</v>
      </c>
    </row>
    <row r="1065" spans="2:6">
      <c r="B1065" s="19"/>
      <c r="C1065" s="19"/>
      <c r="D1065" s="5"/>
      <c r="E1065" s="4"/>
      <c r="F1065" s="19"/>
    </row>
    <row r="1066" spans="2:6">
      <c r="B1066" s="19"/>
      <c r="C1066" s="19"/>
      <c r="D1066" s="5"/>
      <c r="E1066" s="4"/>
      <c r="F1066" s="19"/>
    </row>
    <row r="1067" spans="2:6">
      <c r="B1067" s="19"/>
      <c r="C1067" s="19"/>
      <c r="D1067" s="5"/>
      <c r="E1067" s="4"/>
      <c r="F1067" s="19"/>
    </row>
    <row r="1068" spans="2:6">
      <c r="B1068" s="1"/>
      <c r="C1068" s="19"/>
      <c r="D1068" s="5"/>
      <c r="E1068" s="4"/>
      <c r="F1068" s="19"/>
    </row>
    <row r="1069" spans="2:6">
      <c r="B1069" s="1"/>
      <c r="C1069" s="19"/>
      <c r="D1069" s="5"/>
      <c r="E1069" s="4"/>
      <c r="F1069" s="19"/>
    </row>
    <row r="1070" spans="2:6">
      <c r="B1070" s="19"/>
      <c r="C1070" s="19"/>
      <c r="D1070" s="5"/>
      <c r="E1070" s="4"/>
      <c r="F1070" s="19"/>
    </row>
    <row r="1071" spans="2:6" ht="18.75">
      <c r="B1071" s="11" t="str">
        <f>R_26</f>
        <v>Keramické obklady</v>
      </c>
      <c r="C1071" s="19"/>
      <c r="D1071" s="5"/>
      <c r="E1071" s="4"/>
      <c r="F1071" s="5"/>
    </row>
    <row r="1072" spans="2:6">
      <c r="B1072" s="7"/>
      <c r="C1072" s="19"/>
      <c r="D1072" s="5"/>
      <c r="E1072" s="4"/>
      <c r="F1072" s="5"/>
    </row>
    <row r="1073" spans="2:6">
      <c r="B1073" s="7"/>
      <c r="C1073" s="19"/>
      <c r="D1073" s="5"/>
      <c r="E1073" s="4"/>
      <c r="F1073" s="5"/>
    </row>
    <row r="1074" spans="2:6">
      <c r="B1074" s="1"/>
      <c r="C1074" s="19"/>
      <c r="D1074" s="5"/>
      <c r="E1074" s="4"/>
      <c r="F1074" s="8">
        <f>ROUND(D1074*E1074,0)</f>
        <v>0</v>
      </c>
    </row>
    <row r="1075" spans="2:6">
      <c r="B1075" s="1"/>
      <c r="C1075" s="19"/>
      <c r="D1075" s="5"/>
      <c r="E1075" s="4"/>
      <c r="F1075" s="8">
        <f>ROUND(D1075*E1075,0)</f>
        <v>0</v>
      </c>
    </row>
    <row r="1076" spans="2:6">
      <c r="B1076" s="1"/>
      <c r="C1076" s="19"/>
      <c r="D1076" s="5"/>
      <c r="E1076" s="4"/>
      <c r="F1076" s="8"/>
    </row>
    <row r="1077" spans="2:6">
      <c r="B1077" s="1" t="s">
        <v>44</v>
      </c>
      <c r="C1077" s="19" t="s">
        <v>45</v>
      </c>
      <c r="D1077" s="5"/>
      <c r="E1077" s="4"/>
      <c r="F1077" s="8">
        <f>ROUND(D1077*E1077,0)</f>
        <v>0</v>
      </c>
    </row>
    <row r="1078" spans="2:6">
      <c r="B1078" s="7"/>
      <c r="C1078" s="19"/>
      <c r="D1078" s="5"/>
      <c r="E1078" s="4"/>
      <c r="F1078" s="5"/>
    </row>
    <row r="1079" spans="2:6">
      <c r="B1079" s="6" t="str">
        <f>B1071&amp;"  -  celkem"</f>
        <v>Keramické obklady  -  celkem</v>
      </c>
      <c r="C1079" s="19"/>
      <c r="D1079" s="5"/>
      <c r="E1079" s="4"/>
      <c r="F1079" s="3">
        <f>SUM(F1071:F1078)</f>
        <v>0</v>
      </c>
    </row>
    <row r="1080" spans="2:6">
      <c r="B1080" s="19"/>
      <c r="C1080" s="19"/>
      <c r="D1080" s="5"/>
      <c r="E1080" s="4"/>
      <c r="F1080" s="19"/>
    </row>
    <row r="1081" spans="2:6">
      <c r="B1081" s="19"/>
      <c r="C1081" s="19"/>
      <c r="D1081" s="5"/>
      <c r="E1081" s="4"/>
      <c r="F1081" s="19"/>
    </row>
    <row r="1082" spans="2:6">
      <c r="B1082" s="19"/>
      <c r="C1082" s="19"/>
      <c r="D1082" s="5"/>
      <c r="E1082" s="4"/>
      <c r="F1082" s="19"/>
    </row>
    <row r="1083" spans="2:6">
      <c r="B1083" s="19"/>
      <c r="C1083" s="19"/>
      <c r="D1083" s="5"/>
      <c r="E1083" s="4"/>
      <c r="F1083" s="19"/>
    </row>
    <row r="1084" spans="2:6">
      <c r="B1084" s="19"/>
      <c r="C1084" s="19"/>
      <c r="D1084" s="5"/>
      <c r="E1084" s="4"/>
      <c r="F1084" s="19"/>
    </row>
    <row r="1085" spans="2:6">
      <c r="B1085" s="19"/>
      <c r="C1085" s="19"/>
      <c r="D1085" s="5"/>
      <c r="E1085" s="4"/>
      <c r="F1085" s="19"/>
    </row>
    <row r="1086" spans="2:6" ht="18.75">
      <c r="B1086" s="11" t="str">
        <f>R_27</f>
        <v>Konstrukce podlah</v>
      </c>
      <c r="C1086" s="19"/>
      <c r="D1086" s="5"/>
      <c r="E1086" s="4"/>
      <c r="F1086" s="5"/>
    </row>
    <row r="1087" spans="2:6">
      <c r="B1087" s="7"/>
      <c r="C1087" s="19"/>
      <c r="D1087" s="5"/>
      <c r="E1087" s="4"/>
      <c r="F1087" s="5"/>
    </row>
    <row r="1088" spans="2:6">
      <c r="B1088" s="7"/>
      <c r="C1088" s="19"/>
      <c r="D1088" s="5"/>
      <c r="E1088" s="4"/>
      <c r="F1088" s="5"/>
    </row>
    <row r="1089" spans="2:6">
      <c r="B1089" s="1"/>
      <c r="C1089" s="19"/>
      <c r="D1089" s="5"/>
      <c r="E1089" s="4"/>
      <c r="F1089" s="8">
        <f>ROUND(D1089*E1089,0)</f>
        <v>0</v>
      </c>
    </row>
    <row r="1090" spans="2:6">
      <c r="B1090" s="1"/>
      <c r="C1090" s="19"/>
      <c r="D1090" s="5"/>
      <c r="E1090" s="4"/>
      <c r="F1090" s="8">
        <f>ROUND(D1090*E1090,0)</f>
        <v>0</v>
      </c>
    </row>
    <row r="1091" spans="2:6">
      <c r="B1091" s="1"/>
      <c r="C1091" s="19"/>
      <c r="D1091" s="5"/>
      <c r="E1091" s="4"/>
      <c r="F1091" s="8">
        <f>ROUND(D1091*E1091,0)</f>
        <v>0</v>
      </c>
    </row>
    <row r="1092" spans="2:6">
      <c r="B1092" s="7"/>
      <c r="C1092" s="19"/>
      <c r="D1092" s="5"/>
      <c r="E1092" s="4"/>
      <c r="F1092" s="5"/>
    </row>
    <row r="1093" spans="2:6">
      <c r="B1093" s="6" t="str">
        <f>B1086&amp;"  -  celkem"</f>
        <v>Konstrukce podlah  -  celkem</v>
      </c>
      <c r="C1093" s="19"/>
      <c r="D1093" s="5"/>
      <c r="E1093" s="4"/>
      <c r="F1093" s="3">
        <f>SUM(F1086:F1092)</f>
        <v>0</v>
      </c>
    </row>
    <row r="1094" spans="2:6">
      <c r="B1094" s="19"/>
      <c r="C1094" s="19"/>
      <c r="D1094" s="5"/>
      <c r="E1094" s="4"/>
      <c r="F1094" s="19"/>
    </row>
    <row r="1095" spans="2:6">
      <c r="B1095" s="19"/>
      <c r="C1095" s="19"/>
      <c r="D1095" s="5"/>
      <c r="E1095" s="4"/>
      <c r="F1095" s="19"/>
    </row>
    <row r="1096" spans="2:6">
      <c r="B1096" s="19"/>
      <c r="C1096" s="19"/>
      <c r="D1096" s="5"/>
      <c r="E1096" s="4"/>
      <c r="F1096" s="19"/>
    </row>
    <row r="1097" spans="2:6">
      <c r="B1097" s="19"/>
      <c r="C1097" s="19"/>
      <c r="D1097" s="5"/>
      <c r="E1097" s="4"/>
      <c r="F1097" s="19"/>
    </row>
    <row r="1098" spans="2:6">
      <c r="B1098" s="19"/>
      <c r="C1098" s="19"/>
      <c r="D1098" s="5"/>
      <c r="E1098" s="4"/>
      <c r="F1098" s="19"/>
    </row>
    <row r="1099" spans="2:6">
      <c r="B1099" s="19"/>
      <c r="C1099" s="19"/>
      <c r="D1099" s="5"/>
      <c r="E1099" s="4"/>
      <c r="F1099" s="19"/>
    </row>
    <row r="1100" spans="2:6" ht="18.75">
      <c r="B1100" s="11" t="str">
        <f>R_28</f>
        <v>Izolace podlah</v>
      </c>
      <c r="C1100" s="19"/>
      <c r="D1100" s="5"/>
      <c r="E1100" s="4"/>
      <c r="F1100" s="5"/>
    </row>
    <row r="1101" spans="2:6">
      <c r="B1101" s="7"/>
      <c r="C1101" s="19"/>
      <c r="D1101" s="5"/>
      <c r="E1101" s="4"/>
      <c r="F1101" s="5"/>
    </row>
    <row r="1102" spans="2:6">
      <c r="B1102" s="6" t="s">
        <v>162</v>
      </c>
      <c r="C1102" s="19"/>
      <c r="D1102" s="5"/>
      <c r="E1102" s="4"/>
      <c r="F1102" s="5"/>
    </row>
    <row r="1103" spans="2:6">
      <c r="B1103" s="7"/>
      <c r="C1103" s="19"/>
      <c r="D1103" s="5"/>
      <c r="E1103" s="4"/>
      <c r="F1103" s="5"/>
    </row>
    <row r="1104" spans="2:6">
      <c r="B1104" s="1"/>
      <c r="C1104" s="19"/>
      <c r="D1104" s="5"/>
      <c r="E1104" s="4"/>
      <c r="F1104" s="8">
        <f>ROUND(D1104*E1104,0)</f>
        <v>0</v>
      </c>
    </row>
    <row r="1105" spans="2:6">
      <c r="B1105" s="1"/>
      <c r="C1105" s="19"/>
      <c r="D1105" s="5"/>
      <c r="E1105" s="4"/>
      <c r="F1105" s="8">
        <f>ROUND(D1105*E1105,0)</f>
        <v>0</v>
      </c>
    </row>
    <row r="1106" spans="2:6">
      <c r="B1106" s="1"/>
      <c r="C1106" s="19"/>
      <c r="D1106" s="5"/>
      <c r="E1106" s="4"/>
      <c r="F1106" s="8">
        <f>ROUND(D1106*E1106,0)</f>
        <v>0</v>
      </c>
    </row>
    <row r="1107" spans="2:6">
      <c r="B1107" s="1"/>
      <c r="C1107" s="19"/>
      <c r="D1107" s="5"/>
      <c r="E1107" s="4"/>
      <c r="F1107" s="8"/>
    </row>
    <row r="1108" spans="2:6">
      <c r="B1108" s="1" t="s">
        <v>44</v>
      </c>
      <c r="C1108" s="19" t="s">
        <v>45</v>
      </c>
      <c r="D1108" s="5"/>
      <c r="E1108" s="4"/>
      <c r="F1108" s="8">
        <f>ROUND(D1108*E1108,0)</f>
        <v>0</v>
      </c>
    </row>
    <row r="1109" spans="2:6">
      <c r="B1109" s="1"/>
      <c r="C1109" s="19"/>
      <c r="D1109" s="5"/>
      <c r="E1109" s="4"/>
      <c r="F1109" s="8"/>
    </row>
    <row r="1110" spans="2:6">
      <c r="B1110" s="1"/>
      <c r="C1110" s="19"/>
      <c r="D1110" s="5"/>
      <c r="E1110" s="4"/>
      <c r="F1110" s="8"/>
    </row>
    <row r="1111" spans="2:6">
      <c r="B1111" s="14" t="s">
        <v>198</v>
      </c>
      <c r="C1111" s="19"/>
      <c r="D1111" s="5"/>
      <c r="E1111" s="4"/>
      <c r="F1111" s="8"/>
    </row>
    <row r="1112" spans="2:6">
      <c r="B1112" s="1"/>
      <c r="C1112" s="19"/>
      <c r="D1112" s="5"/>
      <c r="E1112" s="4"/>
      <c r="F1112" s="8"/>
    </row>
    <row r="1113" spans="2:6">
      <c r="B1113" s="1"/>
      <c r="C1113" s="19"/>
      <c r="D1113" s="5"/>
      <c r="E1113" s="4"/>
      <c r="F1113" s="8">
        <f>ROUND(D1113*E1113,0)</f>
        <v>0</v>
      </c>
    </row>
    <row r="1114" spans="2:6">
      <c r="B1114" s="1"/>
      <c r="C1114" s="19"/>
      <c r="D1114" s="5"/>
      <c r="E1114" s="4"/>
      <c r="F1114" s="8">
        <f>ROUND(D1114*E1114,0)</f>
        <v>0</v>
      </c>
    </row>
    <row r="1115" spans="2:6">
      <c r="B1115" s="1"/>
      <c r="C1115" s="19"/>
      <c r="D1115" s="5"/>
      <c r="E1115" s="4"/>
      <c r="F1115" s="8">
        <f>ROUND(D1115*E1115,0)</f>
        <v>0</v>
      </c>
    </row>
    <row r="1116" spans="2:6">
      <c r="B1116" s="1"/>
      <c r="C1116" s="19"/>
      <c r="D1116" s="5"/>
      <c r="E1116" s="4"/>
      <c r="F1116" s="8"/>
    </row>
    <row r="1117" spans="2:6">
      <c r="B1117" s="1" t="s">
        <v>44</v>
      </c>
      <c r="C1117" s="19" t="s">
        <v>45</v>
      </c>
      <c r="D1117" s="5"/>
      <c r="E1117" s="4"/>
      <c r="F1117" s="8">
        <f>ROUND(D1117*E1117,0)</f>
        <v>0</v>
      </c>
    </row>
    <row r="1118" spans="2:6">
      <c r="B1118" s="7"/>
      <c r="C1118" s="19"/>
      <c r="D1118" s="5"/>
      <c r="E1118" s="4"/>
      <c r="F1118" s="5"/>
    </row>
    <row r="1119" spans="2:6">
      <c r="B1119" s="6" t="str">
        <f>B1100&amp;"  -  celkem"</f>
        <v>Izolace podlah  -  celkem</v>
      </c>
      <c r="C1119" s="19"/>
      <c r="D1119" s="5"/>
      <c r="E1119" s="4"/>
      <c r="F1119" s="3">
        <f>SUM(F1100:F1118)</f>
        <v>0</v>
      </c>
    </row>
    <row r="1120" spans="2:6">
      <c r="B1120" s="19"/>
      <c r="C1120" s="19"/>
      <c r="D1120" s="5"/>
      <c r="E1120" s="4"/>
      <c r="F1120" s="19"/>
    </row>
    <row r="1121" spans="2:6">
      <c r="B1121" s="19"/>
      <c r="C1121" s="19"/>
      <c r="D1121" s="5"/>
      <c r="E1121" s="4"/>
      <c r="F1121" s="19"/>
    </row>
    <row r="1122" spans="2:6">
      <c r="B1122" s="19"/>
      <c r="C1122" s="19"/>
      <c r="D1122" s="5"/>
      <c r="E1122" s="4"/>
      <c r="F1122" s="19"/>
    </row>
    <row r="1123" spans="2:6">
      <c r="B1123" s="19"/>
      <c r="C1123" s="19"/>
      <c r="D1123" s="5"/>
      <c r="E1123" s="4"/>
      <c r="F1123" s="19"/>
    </row>
    <row r="1124" spans="2:6">
      <c r="B1124" s="19"/>
      <c r="C1124" s="19"/>
      <c r="D1124" s="5"/>
      <c r="E1124" s="4"/>
      <c r="F1124" s="19"/>
    </row>
    <row r="1125" spans="2:6">
      <c r="B1125" s="19"/>
      <c r="C1125" s="19"/>
      <c r="D1125" s="5"/>
      <c r="E1125" s="4"/>
      <c r="F1125" s="19"/>
    </row>
    <row r="1126" spans="2:6" ht="18.75">
      <c r="B1126" s="11" t="str">
        <f>R_29</f>
        <v>Podlahy keramické</v>
      </c>
      <c r="C1126" s="19"/>
      <c r="D1126" s="5"/>
      <c r="E1126" s="4"/>
      <c r="F1126" s="5"/>
    </row>
    <row r="1127" spans="2:6">
      <c r="B1127" s="7"/>
      <c r="C1127" s="19"/>
      <c r="D1127" s="5"/>
      <c r="E1127" s="4"/>
      <c r="F1127" s="5"/>
    </row>
    <row r="1128" spans="2:6">
      <c r="B1128" s="7"/>
      <c r="C1128" s="19"/>
      <c r="D1128" s="5"/>
      <c r="E1128" s="4"/>
      <c r="F1128" s="5"/>
    </row>
    <row r="1129" spans="2:6">
      <c r="B1129" s="1"/>
      <c r="C1129" s="19"/>
      <c r="D1129" s="5"/>
      <c r="E1129" s="4"/>
      <c r="F1129" s="8">
        <f>ROUND(D1129*E1129,0)</f>
        <v>0</v>
      </c>
    </row>
    <row r="1130" spans="2:6">
      <c r="B1130" s="1"/>
      <c r="C1130" s="19"/>
      <c r="D1130" s="5"/>
      <c r="E1130" s="4"/>
      <c r="F1130" s="8">
        <f>ROUND(D1130*E1130,0)</f>
        <v>0</v>
      </c>
    </row>
    <row r="1131" spans="2:6">
      <c r="B1131" s="1"/>
      <c r="C1131" s="19"/>
      <c r="D1131" s="5"/>
      <c r="E1131" s="4"/>
      <c r="F1131" s="8">
        <f>ROUND(D1131*E1131,0)</f>
        <v>0</v>
      </c>
    </row>
    <row r="1132" spans="2:6">
      <c r="B1132" s="1"/>
      <c r="C1132" s="19"/>
      <c r="D1132" s="5"/>
      <c r="E1132" s="4"/>
      <c r="F1132" s="8">
        <f>ROUND(D1132*E1132,0)</f>
        <v>0</v>
      </c>
    </row>
    <row r="1133" spans="2:6">
      <c r="B1133" s="1"/>
      <c r="C1133" s="19"/>
      <c r="D1133" s="5"/>
      <c r="E1133" s="4"/>
      <c r="F1133" s="8"/>
    </row>
    <row r="1134" spans="2:6">
      <c r="B1134" s="48" t="str">
        <f>"Viz též "&amp;R_59</f>
        <v>Viz též 6800 - Řídící systémy</v>
      </c>
      <c r="C1134" s="19"/>
      <c r="D1134" s="5"/>
      <c r="E1134" s="4"/>
      <c r="F1134" s="8"/>
    </row>
    <row r="1135" spans="2:6">
      <c r="B1135" s="1"/>
      <c r="C1135" s="19"/>
      <c r="D1135" s="5"/>
      <c r="E1135" s="4"/>
      <c r="F1135" s="8"/>
    </row>
    <row r="1136" spans="2:6">
      <c r="B1136" s="1" t="s">
        <v>44</v>
      </c>
      <c r="C1136" s="19" t="s">
        <v>45</v>
      </c>
      <c r="D1136" s="5"/>
      <c r="E1136" s="4"/>
      <c r="F1136" s="8">
        <f>ROUND(D1136*E1136,0)</f>
        <v>0</v>
      </c>
    </row>
    <row r="1137" spans="2:6">
      <c r="B1137" s="7"/>
      <c r="C1137" s="19"/>
      <c r="D1137" s="5"/>
      <c r="E1137" s="4"/>
      <c r="F1137" s="5"/>
    </row>
    <row r="1138" spans="2:6">
      <c r="B1138" s="6" t="str">
        <f>B1126&amp;"  -  celkem"</f>
        <v>Podlahy keramické  -  celkem</v>
      </c>
      <c r="C1138" s="19"/>
      <c r="D1138" s="5"/>
      <c r="E1138" s="4"/>
      <c r="F1138" s="3">
        <f>SUM(F1126:F1137)</f>
        <v>0</v>
      </c>
    </row>
    <row r="1139" spans="2:6">
      <c r="B1139" s="19"/>
      <c r="C1139" s="19"/>
      <c r="D1139" s="5"/>
      <c r="E1139" s="4"/>
      <c r="F1139" s="19"/>
    </row>
    <row r="1140" spans="2:6">
      <c r="B1140" s="19"/>
      <c r="C1140" s="19"/>
      <c r="D1140" s="5"/>
      <c r="E1140" s="4"/>
      <c r="F1140" s="19"/>
    </row>
    <row r="1141" spans="2:6">
      <c r="B1141" s="19"/>
      <c r="C1141" s="19"/>
      <c r="D1141" s="5"/>
      <c r="E1141" s="4"/>
      <c r="F1141" s="19"/>
    </row>
    <row r="1142" spans="2:6">
      <c r="B1142" s="19"/>
      <c r="C1142" s="19"/>
      <c r="D1142" s="5"/>
      <c r="E1142" s="4"/>
      <c r="F1142" s="19"/>
    </row>
    <row r="1143" spans="2:6">
      <c r="B1143" s="19"/>
      <c r="C1143" s="19"/>
      <c r="D1143" s="5"/>
      <c r="E1143" s="4"/>
      <c r="F1143" s="19"/>
    </row>
    <row r="1144" spans="2:6">
      <c r="B1144" s="19"/>
      <c r="C1144" s="19"/>
      <c r="D1144" s="5"/>
      <c r="E1144" s="4"/>
      <c r="F1144" s="19"/>
    </row>
    <row r="1145" spans="2:6" ht="18.75">
      <c r="B1145" s="11" t="str">
        <f>R_31</f>
        <v>Podlahy dřevěné</v>
      </c>
      <c r="C1145" s="19"/>
      <c r="D1145" s="5"/>
      <c r="E1145" s="4"/>
      <c r="F1145" s="5"/>
    </row>
    <row r="1146" spans="2:6">
      <c r="B1146" s="7"/>
      <c r="C1146" s="19"/>
      <c r="D1146" s="5"/>
      <c r="E1146" s="4"/>
      <c r="F1146" s="5"/>
    </row>
    <row r="1147" spans="2:6">
      <c r="B1147" s="7"/>
      <c r="C1147" s="19"/>
      <c r="D1147" s="5"/>
      <c r="E1147" s="4"/>
      <c r="F1147" s="5"/>
    </row>
    <row r="1148" spans="2:6">
      <c r="B1148" s="1"/>
      <c r="C1148" s="19"/>
      <c r="D1148" s="5"/>
      <c r="E1148" s="4"/>
      <c r="F1148" s="8">
        <f>ROUND(D1148*E1148,0)</f>
        <v>0</v>
      </c>
    </row>
    <row r="1149" spans="2:6">
      <c r="B1149" s="1"/>
      <c r="C1149" s="19"/>
      <c r="D1149" s="5"/>
      <c r="E1149" s="4"/>
      <c r="F1149" s="8">
        <f>ROUND(D1149*E1149,0)</f>
        <v>0</v>
      </c>
    </row>
    <row r="1150" spans="2:6">
      <c r="B1150" s="1"/>
      <c r="C1150" s="19"/>
      <c r="D1150" s="5"/>
      <c r="E1150" s="4"/>
      <c r="F1150" s="8">
        <f>ROUND(D1150*E1150,0)</f>
        <v>0</v>
      </c>
    </row>
    <row r="1151" spans="2:6">
      <c r="B1151" s="1"/>
      <c r="C1151" s="19"/>
      <c r="D1151" s="5"/>
      <c r="E1151" s="4"/>
      <c r="F1151" s="8"/>
    </row>
    <row r="1152" spans="2:6">
      <c r="B1152" s="1" t="s">
        <v>44</v>
      </c>
      <c r="C1152" s="19" t="s">
        <v>45</v>
      </c>
      <c r="D1152" s="5"/>
      <c r="E1152" s="4"/>
      <c r="F1152" s="8">
        <f>ROUND(D1152*E1152,0)</f>
        <v>0</v>
      </c>
    </row>
    <row r="1153" spans="2:6">
      <c r="B1153" s="7"/>
      <c r="C1153" s="19"/>
      <c r="D1153" s="5"/>
      <c r="E1153" s="4"/>
      <c r="F1153" s="5"/>
    </row>
    <row r="1154" spans="2:6">
      <c r="B1154" s="6" t="str">
        <f>B1145&amp;"  -  celkem"</f>
        <v>Podlahy dřevěné  -  celkem</v>
      </c>
      <c r="C1154" s="19"/>
      <c r="D1154" s="5"/>
      <c r="E1154" s="4"/>
      <c r="F1154" s="3">
        <f>SUM(F1145:F1153)</f>
        <v>0</v>
      </c>
    </row>
    <row r="1155" spans="2:6">
      <c r="B1155" s="19"/>
      <c r="C1155" s="19"/>
      <c r="D1155" s="5"/>
      <c r="E1155" s="4"/>
      <c r="F1155" s="19"/>
    </row>
    <row r="1156" spans="2:6">
      <c r="B1156" s="19"/>
      <c r="C1156" s="19"/>
      <c r="D1156" s="5"/>
      <c r="E1156" s="4"/>
      <c r="F1156" s="19"/>
    </row>
    <row r="1157" spans="2:6">
      <c r="B1157" s="19"/>
      <c r="C1157" s="19"/>
      <c r="D1157" s="5"/>
      <c r="E1157" s="4"/>
      <c r="F1157" s="19"/>
    </row>
    <row r="1158" spans="2:6">
      <c r="B1158" s="19"/>
      <c r="C1158" s="19"/>
      <c r="D1158" s="5"/>
      <c r="E1158" s="4"/>
      <c r="F1158" s="19"/>
    </row>
    <row r="1159" spans="2:6">
      <c r="B1159" s="19"/>
      <c r="C1159" s="19"/>
      <c r="D1159" s="5"/>
      <c r="E1159" s="4"/>
      <c r="F1159" s="19"/>
    </row>
    <row r="1160" spans="2:6">
      <c r="B1160" s="19"/>
      <c r="C1160" s="19"/>
      <c r="D1160" s="5"/>
      <c r="E1160" s="4"/>
      <c r="F1160" s="19"/>
    </row>
    <row r="1161" spans="2:6" ht="18.75">
      <c r="B1161" s="11" t="str">
        <f>R_33</f>
        <v>Podlahy syntetické</v>
      </c>
      <c r="C1161" s="19"/>
      <c r="D1161" s="5"/>
      <c r="E1161" s="4"/>
      <c r="F1161" s="5"/>
    </row>
    <row r="1162" spans="2:6">
      <c r="B1162" s="7"/>
      <c r="C1162" s="19"/>
      <c r="D1162" s="5"/>
      <c r="E1162" s="4"/>
      <c r="F1162" s="5"/>
    </row>
    <row r="1163" spans="2:6">
      <c r="B1163" s="7"/>
      <c r="C1163" s="19"/>
      <c r="D1163" s="5"/>
      <c r="E1163" s="4"/>
      <c r="F1163" s="5"/>
    </row>
    <row r="1164" spans="2:6">
      <c r="B1164" s="1"/>
      <c r="C1164" s="19"/>
      <c r="D1164" s="5"/>
      <c r="E1164" s="4"/>
      <c r="F1164" s="8">
        <f>ROUND(D1164*E1164,0)</f>
        <v>0</v>
      </c>
    </row>
    <row r="1165" spans="2:6">
      <c r="B1165" s="1"/>
      <c r="C1165" s="19"/>
      <c r="D1165" s="5"/>
      <c r="E1165" s="4"/>
      <c r="F1165" s="8"/>
    </row>
    <row r="1166" spans="2:6">
      <c r="B1166" s="1" t="s">
        <v>44</v>
      </c>
      <c r="C1166" s="19" t="s">
        <v>45</v>
      </c>
      <c r="D1166" s="5"/>
      <c r="E1166" s="4"/>
      <c r="F1166" s="8">
        <f>ROUND(D1166*E1166,0)</f>
        <v>0</v>
      </c>
    </row>
    <row r="1167" spans="2:6">
      <c r="B1167" s="7"/>
      <c r="C1167" s="19"/>
      <c r="D1167" s="5"/>
      <c r="E1167" s="4"/>
      <c r="F1167" s="5"/>
    </row>
    <row r="1168" spans="2:6">
      <c r="B1168" s="6" t="str">
        <f>B1161&amp;"  -  celkem"</f>
        <v>Podlahy syntetické  -  celkem</v>
      </c>
      <c r="C1168" s="19"/>
      <c r="D1168" s="5"/>
      <c r="E1168" s="4"/>
      <c r="F1168" s="3">
        <f>SUM(F1161:F1167)</f>
        <v>0</v>
      </c>
    </row>
    <row r="1169" spans="2:6">
      <c r="B1169" s="19"/>
      <c r="C1169" s="19"/>
      <c r="D1169" s="5"/>
      <c r="E1169" s="4"/>
      <c r="F1169" s="19"/>
    </row>
    <row r="1170" spans="2:6">
      <c r="B1170" s="19"/>
      <c r="C1170" s="19"/>
      <c r="D1170" s="5"/>
      <c r="E1170" s="4"/>
      <c r="F1170" s="19"/>
    </row>
    <row r="1171" spans="2:6">
      <c r="B1171" s="19"/>
      <c r="C1171" s="19"/>
      <c r="D1171" s="5"/>
      <c r="E1171" s="4"/>
      <c r="F1171" s="19"/>
    </row>
    <row r="1172" spans="2:6">
      <c r="B1172" s="19"/>
      <c r="C1172" s="19"/>
      <c r="D1172" s="5"/>
      <c r="E1172" s="4"/>
      <c r="F1172" s="19"/>
    </row>
    <row r="1173" spans="2:6">
      <c r="B1173" s="19"/>
      <c r="C1173" s="19"/>
      <c r="D1173" s="5"/>
      <c r="E1173" s="4"/>
      <c r="F1173" s="19"/>
    </row>
    <row r="1174" spans="2:6">
      <c r="B1174" s="19"/>
      <c r="C1174" s="19"/>
      <c r="D1174" s="5"/>
      <c r="E1174" s="4"/>
      <c r="F1174" s="19"/>
    </row>
    <row r="1175" spans="2:6" ht="18.75">
      <c r="B1175" s="11" t="str">
        <f>R_34</f>
        <v>Kompletace stavby</v>
      </c>
      <c r="C1175" s="19"/>
      <c r="D1175" s="5"/>
      <c r="E1175" s="4"/>
      <c r="F1175" s="5"/>
    </row>
    <row r="1176" spans="2:6">
      <c r="B1176" s="7"/>
      <c r="C1176" s="19"/>
      <c r="D1176" s="5"/>
      <c r="E1176" s="4"/>
      <c r="F1176" s="5"/>
    </row>
    <row r="1177" spans="2:6">
      <c r="B1177" s="7"/>
      <c r="C1177" s="19"/>
      <c r="D1177" s="5"/>
      <c r="E1177" s="4"/>
      <c r="F1177" s="5"/>
    </row>
    <row r="1178" spans="2:6">
      <c r="B1178" s="1" t="s">
        <v>54</v>
      </c>
      <c r="C1178" s="19" t="s">
        <v>0</v>
      </c>
      <c r="D1178" s="5"/>
      <c r="E1178" s="4"/>
      <c r="F1178" s="8">
        <f>ROUND(D1178*E1178,0)</f>
        <v>0</v>
      </c>
    </row>
    <row r="1179" spans="2:6">
      <c r="B1179" s="1"/>
      <c r="C1179" s="19"/>
      <c r="D1179" s="5"/>
      <c r="E1179" s="4"/>
      <c r="F1179" s="8"/>
    </row>
    <row r="1180" spans="2:6">
      <c r="B1180" s="1" t="s">
        <v>53</v>
      </c>
      <c r="C1180" s="19" t="s">
        <v>45</v>
      </c>
      <c r="D1180" s="5"/>
      <c r="E1180" s="4"/>
      <c r="F1180" s="8">
        <f>ROUND(D1180*E1180,0)</f>
        <v>0</v>
      </c>
    </row>
    <row r="1181" spans="2:6">
      <c r="B1181" s="1" t="s">
        <v>51</v>
      </c>
      <c r="C1181" s="19" t="s">
        <v>45</v>
      </c>
      <c r="D1181" s="5"/>
      <c r="E1181" s="4"/>
      <c r="F1181" s="8">
        <f>ROUND(D1181*E1181,0)</f>
        <v>0</v>
      </c>
    </row>
    <row r="1182" spans="2:6">
      <c r="B1182" s="1" t="s">
        <v>52</v>
      </c>
      <c r="C1182" s="19" t="s">
        <v>45</v>
      </c>
      <c r="D1182" s="5"/>
      <c r="E1182" s="4"/>
      <c r="F1182" s="8">
        <f>ROUND(D1182*E1182,0)</f>
        <v>0</v>
      </c>
    </row>
    <row r="1183" spans="2:6">
      <c r="B1183" s="1"/>
      <c r="C1183" s="19"/>
      <c r="D1183" s="5"/>
      <c r="E1183" s="4"/>
      <c r="F1183" s="8"/>
    </row>
    <row r="1184" spans="2:6">
      <c r="B1184" s="14" t="s">
        <v>47</v>
      </c>
      <c r="C1184" s="19"/>
      <c r="D1184" s="5"/>
      <c r="E1184" s="4"/>
      <c r="F1184" s="8"/>
    </row>
    <row r="1185" spans="2:6">
      <c r="B1185" s="1"/>
      <c r="C1185" s="19"/>
      <c r="D1185" s="5"/>
      <c r="E1185" s="4"/>
      <c r="F1185" s="8"/>
    </row>
    <row r="1186" spans="2:6">
      <c r="B1186" s="1" t="s">
        <v>48</v>
      </c>
      <c r="C1186" s="19" t="s">
        <v>43</v>
      </c>
      <c r="D1186" s="5"/>
      <c r="E1186" s="4"/>
      <c r="F1186" s="8">
        <f>ROUND(D1186*E1186,0)</f>
        <v>0</v>
      </c>
    </row>
    <row r="1187" spans="2:6">
      <c r="B1187" s="1" t="s">
        <v>49</v>
      </c>
      <c r="C1187" s="19" t="s">
        <v>43</v>
      </c>
      <c r="D1187" s="5"/>
      <c r="E1187" s="4"/>
      <c r="F1187" s="8">
        <f>ROUND(D1187*E1187,0)</f>
        <v>0</v>
      </c>
    </row>
    <row r="1188" spans="2:6">
      <c r="B1188" s="1" t="s">
        <v>50</v>
      </c>
      <c r="C1188" s="19" t="s">
        <v>43</v>
      </c>
      <c r="D1188" s="5"/>
      <c r="E1188" s="4"/>
      <c r="F1188" s="8">
        <f>ROUND(D1188*E1188,0)</f>
        <v>0</v>
      </c>
    </row>
    <row r="1189" spans="2:6">
      <c r="B1189" s="1" t="s">
        <v>55</v>
      </c>
      <c r="C1189" s="19" t="s">
        <v>43</v>
      </c>
      <c r="D1189" s="5"/>
      <c r="E1189" s="4"/>
      <c r="F1189" s="8">
        <f>ROUND(D1189*E1189,0)</f>
        <v>0</v>
      </c>
    </row>
    <row r="1190" spans="2:6">
      <c r="B1190" s="1"/>
      <c r="C1190" s="19"/>
      <c r="D1190" s="5"/>
      <c r="E1190" s="4"/>
      <c r="F1190" s="8"/>
    </row>
    <row r="1191" spans="2:6">
      <c r="B1191" s="6" t="str">
        <f>B1175&amp;"  -  celkem"</f>
        <v>Kompletace stavby  -  celkem</v>
      </c>
      <c r="C1191" s="19"/>
      <c r="D1191" s="5"/>
      <c r="E1191" s="4"/>
      <c r="F1191" s="3">
        <f>SUM(F1175:F1190)</f>
        <v>0</v>
      </c>
    </row>
    <row r="1192" spans="2:6">
      <c r="B1192" s="19"/>
      <c r="C1192" s="19"/>
      <c r="D1192" s="5"/>
      <c r="E1192" s="4"/>
      <c r="F1192" s="19"/>
    </row>
    <row r="1193" spans="2:6">
      <c r="B1193" s="19"/>
      <c r="C1193" s="19"/>
      <c r="D1193" s="5"/>
      <c r="E1193" s="4"/>
      <c r="F1193" s="19"/>
    </row>
    <row r="1194" spans="2:6">
      <c r="B1194" s="19"/>
      <c r="C1194" s="19"/>
      <c r="D1194" s="5"/>
      <c r="E1194" s="4"/>
      <c r="F1194" s="19"/>
    </row>
    <row r="1195" spans="2:6">
      <c r="B1195" s="19"/>
      <c r="C1195" s="19"/>
      <c r="D1195" s="5"/>
      <c r="E1195" s="4"/>
      <c r="F1195" s="19"/>
    </row>
    <row r="1196" spans="2:6">
      <c r="B1196" s="19"/>
      <c r="C1196" s="19"/>
      <c r="D1196" s="5"/>
      <c r="E1196" s="4"/>
      <c r="F1196" s="19"/>
    </row>
    <row r="1197" spans="2:6">
      <c r="B1197" s="19"/>
      <c r="C1197" s="19"/>
      <c r="D1197" s="5"/>
      <c r="E1197" s="4"/>
      <c r="F1197" s="19"/>
    </row>
    <row r="1198" spans="2:6" ht="18.75">
      <c r="B1198" s="11" t="str">
        <f>R_35</f>
        <v>Konstrukce truhlářské</v>
      </c>
      <c r="C1198" s="19"/>
      <c r="D1198" s="5"/>
      <c r="E1198" s="4"/>
      <c r="F1198" s="5"/>
    </row>
    <row r="1199" spans="2:6">
      <c r="B1199" s="5"/>
      <c r="C1199" s="19"/>
      <c r="D1199" s="5"/>
      <c r="E1199" s="4"/>
      <c r="F1199" s="5"/>
    </row>
    <row r="1200" spans="2:6">
      <c r="B1200" s="12" t="s">
        <v>38</v>
      </c>
      <c r="C1200" s="19"/>
      <c r="D1200" s="5"/>
      <c r="E1200" s="4"/>
      <c r="F1200" s="5"/>
    </row>
    <row r="1201" spans="2:6" ht="26.25">
      <c r="B1201" s="25" t="str">
        <f>"Schvalovací dokumentace - Dílenská dokumentace - Vypracování vzorků : VIZ "&amp;S_34</f>
        <v>Schvalovací dokumentace - Dílenská dokumentace - Vypracování vzorků : VIZ Kompletace stavby</v>
      </c>
      <c r="C1201" s="19"/>
      <c r="D1201" s="5"/>
      <c r="E1201" s="4"/>
      <c r="F1201" s="5"/>
    </row>
    <row r="1202" spans="2:6">
      <c r="B1202" s="26" t="str">
        <f>"Viz též "&amp;S_19</f>
        <v>Viz též Konstrukce truhlářské opláštění</v>
      </c>
      <c r="C1202" s="19"/>
      <c r="D1202" s="5"/>
      <c r="E1202" s="4"/>
      <c r="F1202" s="5"/>
    </row>
    <row r="1203" spans="2:6">
      <c r="B1203" s="5"/>
      <c r="C1203" s="19"/>
      <c r="D1203" s="5"/>
      <c r="E1203" s="4"/>
      <c r="F1203" s="5"/>
    </row>
    <row r="1204" spans="2:6" ht="68.25">
      <c r="B1204" s="27" t="s">
        <v>56</v>
      </c>
      <c r="C1204" s="19"/>
      <c r="D1204" s="5"/>
      <c r="E1204" s="4"/>
      <c r="F1204" s="5"/>
    </row>
    <row r="1205" spans="2:6">
      <c r="B1205" s="5"/>
      <c r="C1205" s="19"/>
      <c r="D1205" s="5"/>
      <c r="E1205" s="4"/>
      <c r="F1205" s="5"/>
    </row>
    <row r="1206" spans="2:6">
      <c r="B1206" s="1"/>
      <c r="C1206" s="19"/>
      <c r="D1206" s="5"/>
      <c r="E1206" s="4"/>
      <c r="F1206" s="8">
        <f>ROUND(D1206*E1206,0)</f>
        <v>0</v>
      </c>
    </row>
    <row r="1207" spans="2:6">
      <c r="B1207" s="1"/>
      <c r="C1207" s="19"/>
      <c r="D1207" s="5"/>
      <c r="E1207" s="4"/>
      <c r="F1207" s="8">
        <f>ROUND(D1207*E1207,0)</f>
        <v>0</v>
      </c>
    </row>
    <row r="1208" spans="2:6">
      <c r="B1208" s="1"/>
      <c r="C1208" s="19"/>
      <c r="D1208" s="5"/>
      <c r="E1208" s="4"/>
      <c r="F1208" s="8">
        <f>ROUND(D1208*E1208,0)</f>
        <v>0</v>
      </c>
    </row>
    <row r="1209" spans="2:6">
      <c r="B1209" s="1"/>
      <c r="C1209" s="19"/>
      <c r="D1209" s="5"/>
      <c r="E1209" s="4"/>
      <c r="F1209" s="8"/>
    </row>
    <row r="1210" spans="2:6">
      <c r="B1210" s="1" t="s">
        <v>44</v>
      </c>
      <c r="C1210" s="19" t="s">
        <v>45</v>
      </c>
      <c r="D1210" s="5"/>
      <c r="E1210" s="4"/>
      <c r="F1210" s="8">
        <f>ROUND(D1210*E1210,0)</f>
        <v>0</v>
      </c>
    </row>
    <row r="1211" spans="2:6">
      <c r="B1211" s="7"/>
      <c r="C1211" s="19"/>
      <c r="D1211" s="5"/>
      <c r="E1211" s="4"/>
      <c r="F1211" s="5"/>
    </row>
    <row r="1212" spans="2:6">
      <c r="B1212" s="6" t="str">
        <f>B1198&amp;"  -  celkem"</f>
        <v>Konstrukce truhlářské  -  celkem</v>
      </c>
      <c r="C1212" s="19"/>
      <c r="D1212" s="5"/>
      <c r="E1212" s="4"/>
      <c r="F1212" s="3">
        <f>SUM(F1198:F1211)</f>
        <v>0</v>
      </c>
    </row>
    <row r="1213" spans="2:6">
      <c r="B1213" s="19"/>
      <c r="C1213" s="19"/>
      <c r="D1213" s="5"/>
      <c r="E1213" s="4"/>
      <c r="F1213" s="19"/>
    </row>
    <row r="1214" spans="2:6">
      <c r="B1214" s="19"/>
      <c r="C1214" s="19"/>
      <c r="D1214" s="5"/>
      <c r="E1214" s="4"/>
      <c r="F1214" s="19"/>
    </row>
    <row r="1215" spans="2:6">
      <c r="B1215" s="19"/>
      <c r="C1215" s="19"/>
      <c r="D1215" s="5"/>
      <c r="E1215" s="4"/>
      <c r="F1215" s="19"/>
    </row>
    <row r="1216" spans="2:6">
      <c r="B1216" s="19"/>
      <c r="C1216" s="19"/>
      <c r="D1216" s="5"/>
      <c r="E1216" s="4"/>
      <c r="F1216" s="19"/>
    </row>
    <row r="1217" spans="2:6">
      <c r="B1217" s="19"/>
      <c r="C1217" s="19"/>
      <c r="D1217" s="5"/>
      <c r="E1217" s="4"/>
      <c r="F1217" s="19"/>
    </row>
    <row r="1218" spans="2:6">
      <c r="B1218" s="19"/>
      <c r="C1218" s="19"/>
      <c r="D1218" s="5"/>
      <c r="E1218" s="4"/>
      <c r="F1218" s="19"/>
    </row>
    <row r="1219" spans="2:6" ht="18.75">
      <c r="B1219" s="11" t="str">
        <f>R_36</f>
        <v>Konstrukce zámečnické</v>
      </c>
      <c r="C1219" s="19"/>
      <c r="D1219" s="5"/>
      <c r="E1219" s="4"/>
      <c r="F1219" s="5"/>
    </row>
    <row r="1220" spans="2:6">
      <c r="B1220" s="5"/>
      <c r="C1220" s="19"/>
      <c r="D1220" s="5"/>
      <c r="E1220" s="4"/>
      <c r="F1220" s="5"/>
    </row>
    <row r="1221" spans="2:6">
      <c r="B1221" s="12" t="s">
        <v>38</v>
      </c>
      <c r="C1221" s="19"/>
      <c r="D1221" s="5"/>
      <c r="E1221" s="4"/>
      <c r="F1221" s="5"/>
    </row>
    <row r="1222" spans="2:6" ht="26.25">
      <c r="B1222" s="25" t="str">
        <f>"Schvalovací dokumentace - Dílenská dokumentace - Vypracování vzorků : VIZ "&amp;S_34</f>
        <v>Schvalovací dokumentace - Dílenská dokumentace - Vypracování vzorků : VIZ Kompletace stavby</v>
      </c>
      <c r="C1222" s="19"/>
      <c r="D1222" s="5"/>
      <c r="E1222" s="4"/>
      <c r="F1222" s="5"/>
    </row>
    <row r="1223" spans="2:6">
      <c r="B1223" s="7"/>
      <c r="C1223" s="19"/>
      <c r="D1223" s="5"/>
      <c r="E1223" s="4"/>
      <c r="F1223" s="5"/>
    </row>
    <row r="1224" spans="2:6">
      <c r="B1224" s="7"/>
      <c r="C1224" s="19"/>
      <c r="D1224" s="5"/>
      <c r="E1224" s="4"/>
      <c r="F1224" s="5"/>
    </row>
    <row r="1225" spans="2:6">
      <c r="B1225" s="1"/>
      <c r="C1225" s="19" t="s">
        <v>2</v>
      </c>
      <c r="D1225" s="5"/>
      <c r="E1225" s="4"/>
      <c r="F1225" s="8">
        <f>ROUND(D1225*E1225,0)</f>
        <v>0</v>
      </c>
    </row>
    <row r="1226" spans="2:6">
      <c r="B1226" s="1"/>
      <c r="C1226" s="19" t="s">
        <v>2</v>
      </c>
      <c r="D1226" s="5"/>
      <c r="E1226" s="4"/>
      <c r="F1226" s="8">
        <f>ROUND(D1226*E1226,0)</f>
        <v>0</v>
      </c>
    </row>
    <row r="1227" spans="2:6">
      <c r="B1227" s="1"/>
      <c r="C1227" s="19" t="s">
        <v>2</v>
      </c>
      <c r="D1227" s="5"/>
      <c r="E1227" s="4"/>
      <c r="F1227" s="8">
        <f>ROUND(D1227*E1227,0)</f>
        <v>0</v>
      </c>
    </row>
    <row r="1228" spans="2:6">
      <c r="B1228" s="1"/>
      <c r="C1228" s="19"/>
      <c r="D1228" s="5"/>
      <c r="E1228" s="4"/>
      <c r="F1228" s="8"/>
    </row>
    <row r="1229" spans="2:6">
      <c r="B1229" s="1" t="s">
        <v>44</v>
      </c>
      <c r="C1229" s="19" t="s">
        <v>45</v>
      </c>
      <c r="D1229" s="5"/>
      <c r="E1229" s="4"/>
      <c r="F1229" s="8">
        <f>ROUND(D1229*E1229,0)</f>
        <v>0</v>
      </c>
    </row>
    <row r="1230" spans="2:6">
      <c r="B1230" s="1"/>
      <c r="C1230" s="19"/>
      <c r="D1230" s="5"/>
      <c r="E1230" s="4"/>
      <c r="F1230" s="8"/>
    </row>
    <row r="1231" spans="2:6" ht="56.25">
      <c r="B1231" s="15" t="s">
        <v>204</v>
      </c>
      <c r="C1231" s="19"/>
      <c r="D1231" s="5"/>
      <c r="E1231" s="4"/>
      <c r="F1231" s="8"/>
    </row>
    <row r="1232" spans="2:6">
      <c r="B1232" s="7"/>
      <c r="C1232" s="19"/>
      <c r="D1232" s="5"/>
      <c r="E1232" s="4"/>
      <c r="F1232" s="5"/>
    </row>
    <row r="1233" spans="2:6">
      <c r="B1233" s="6" t="str">
        <f>B1219&amp;"  -  celkem"</f>
        <v>Konstrukce zámečnické  -  celkem</v>
      </c>
      <c r="C1233" s="19"/>
      <c r="D1233" s="5"/>
      <c r="E1233" s="4"/>
      <c r="F1233" s="3">
        <f>SUM(F1219:F1232)</f>
        <v>0</v>
      </c>
    </row>
    <row r="1234" spans="2:6">
      <c r="B1234" s="19"/>
      <c r="C1234" s="19"/>
      <c r="D1234" s="5"/>
      <c r="E1234" s="4"/>
      <c r="F1234" s="19"/>
    </row>
    <row r="1235" spans="2:6">
      <c r="B1235" s="19"/>
      <c r="C1235" s="19"/>
      <c r="D1235" s="5"/>
      <c r="E1235" s="4"/>
      <c r="F1235" s="19"/>
    </row>
    <row r="1236" spans="2:6">
      <c r="B1236" s="19"/>
      <c r="C1236" s="19"/>
      <c r="D1236" s="5"/>
      <c r="E1236" s="4"/>
      <c r="F1236" s="19"/>
    </row>
    <row r="1237" spans="2:6">
      <c r="B1237" s="19"/>
      <c r="C1237" s="19"/>
      <c r="D1237" s="5"/>
      <c r="E1237" s="4"/>
      <c r="F1237" s="19"/>
    </row>
    <row r="1238" spans="2:6">
      <c r="B1238" s="19"/>
      <c r="C1238" s="19"/>
      <c r="D1238" s="5"/>
      <c r="E1238" s="4"/>
      <c r="F1238" s="19"/>
    </row>
    <row r="1239" spans="2:6">
      <c r="B1239" s="19"/>
      <c r="C1239" s="19"/>
      <c r="D1239" s="5"/>
      <c r="E1239" s="4"/>
      <c r="F1239" s="19"/>
    </row>
    <row r="1240" spans="2:6" ht="18.75">
      <c r="B1240" s="11" t="str">
        <f>R_37</f>
        <v>Zařizovací předměty sanity</v>
      </c>
      <c r="C1240" s="19"/>
      <c r="D1240" s="5"/>
      <c r="E1240" s="4"/>
      <c r="F1240" s="5"/>
    </row>
    <row r="1241" spans="2:6">
      <c r="B1241" s="7"/>
      <c r="C1241" s="19"/>
      <c r="D1241" s="5"/>
      <c r="E1241" s="4"/>
      <c r="F1241" s="5"/>
    </row>
    <row r="1242" spans="2:6">
      <c r="B1242" s="7"/>
      <c r="C1242" s="19"/>
      <c r="D1242" s="5"/>
      <c r="E1242" s="4"/>
      <c r="F1242" s="5"/>
    </row>
    <row r="1243" spans="2:6">
      <c r="B1243" s="1"/>
      <c r="C1243" s="19"/>
      <c r="D1243" s="5"/>
      <c r="E1243" s="4"/>
      <c r="F1243" s="8">
        <f>ROUND(D1243*E1243,0)</f>
        <v>0</v>
      </c>
    </row>
    <row r="1244" spans="2:6">
      <c r="B1244" s="1"/>
      <c r="C1244" s="19"/>
      <c r="D1244" s="5"/>
      <c r="E1244" s="4"/>
      <c r="F1244" s="8">
        <f>ROUND(D1244*E1244,0)</f>
        <v>0</v>
      </c>
    </row>
    <row r="1245" spans="2:6">
      <c r="B1245" s="1"/>
      <c r="C1245" s="19"/>
      <c r="D1245" s="5"/>
      <c r="E1245" s="4"/>
      <c r="F1245" s="8">
        <f>ROUND(D1245*E1245,0)</f>
        <v>0</v>
      </c>
    </row>
    <row r="1246" spans="2:6">
      <c r="B1246" s="1"/>
      <c r="C1246" s="19"/>
      <c r="D1246" s="5"/>
      <c r="E1246" s="4"/>
      <c r="F1246" s="8"/>
    </row>
    <row r="1247" spans="2:6">
      <c r="B1247" s="1" t="s">
        <v>44</v>
      </c>
      <c r="C1247" s="19" t="s">
        <v>45</v>
      </c>
      <c r="D1247" s="5"/>
      <c r="E1247" s="4"/>
      <c r="F1247" s="8">
        <f>ROUND(D1247*E1247,0)</f>
        <v>0</v>
      </c>
    </row>
    <row r="1248" spans="2:6">
      <c r="B1248" s="7"/>
      <c r="C1248" s="19"/>
      <c r="D1248" s="5"/>
      <c r="E1248" s="4"/>
      <c r="F1248" s="5"/>
    </row>
    <row r="1249" spans="2:6">
      <c r="B1249" s="6" t="str">
        <f>B1240&amp;"  -  celkem"</f>
        <v>Zařizovací předměty sanity  -  celkem</v>
      </c>
      <c r="C1249" s="19"/>
      <c r="D1249" s="5"/>
      <c r="E1249" s="4"/>
      <c r="F1249" s="3">
        <f>SUM(F1240:F1248)</f>
        <v>0</v>
      </c>
    </row>
    <row r="1250" spans="2:6">
      <c r="B1250" s="19"/>
      <c r="C1250" s="19"/>
      <c r="D1250" s="5"/>
      <c r="E1250" s="4"/>
      <c r="F1250" s="19"/>
    </row>
    <row r="1251" spans="2:6">
      <c r="B1251" s="19"/>
      <c r="C1251" s="19"/>
      <c r="D1251" s="5"/>
      <c r="E1251" s="4"/>
      <c r="F1251" s="19"/>
    </row>
    <row r="1252" spans="2:6">
      <c r="B1252" s="19"/>
      <c r="C1252" s="19"/>
      <c r="D1252" s="5"/>
      <c r="E1252" s="4"/>
      <c r="F1252" s="19"/>
    </row>
    <row r="1253" spans="2:6">
      <c r="B1253" s="19"/>
      <c r="C1253" s="19"/>
      <c r="D1253" s="5"/>
      <c r="E1253" s="4"/>
      <c r="F1253" s="19"/>
    </row>
    <row r="1254" spans="2:6">
      <c r="B1254" s="19"/>
      <c r="C1254" s="19"/>
      <c r="D1254" s="5"/>
      <c r="E1254" s="4"/>
      <c r="F1254" s="19"/>
    </row>
    <row r="1255" spans="2:6">
      <c r="B1255" s="19"/>
      <c r="C1255" s="19"/>
      <c r="D1255" s="5"/>
      <c r="E1255" s="4"/>
      <c r="F1255" s="19"/>
    </row>
    <row r="1256" spans="2:6" ht="18.75">
      <c r="B1256" s="11" t="str">
        <f>R_60</f>
        <v>Kanalizace</v>
      </c>
      <c r="C1256" s="19"/>
      <c r="D1256" s="5"/>
      <c r="E1256" s="4"/>
      <c r="F1256" s="5"/>
    </row>
    <row r="1257" spans="2:6">
      <c r="B1257" s="7"/>
      <c r="C1257" s="19"/>
      <c r="D1257" s="5"/>
      <c r="E1257" s="4"/>
      <c r="F1257" s="5"/>
    </row>
    <row r="1258" spans="2:6">
      <c r="B1258" s="7"/>
      <c r="C1258" s="19"/>
      <c r="D1258" s="5"/>
      <c r="E1258" s="4"/>
      <c r="F1258" s="5"/>
    </row>
    <row r="1259" spans="2:6">
      <c r="B1259" s="1"/>
      <c r="C1259" s="19"/>
      <c r="D1259" s="5"/>
      <c r="E1259" s="4"/>
      <c r="F1259" s="8">
        <f>ROUND(D1259*E1259,0)</f>
        <v>0</v>
      </c>
    </row>
    <row r="1260" spans="2:6">
      <c r="B1260" s="1"/>
      <c r="C1260" s="19"/>
      <c r="D1260" s="5"/>
      <c r="E1260" s="4"/>
      <c r="F1260" s="8">
        <f>ROUND(D1260*E1260,0)</f>
        <v>0</v>
      </c>
    </row>
    <row r="1261" spans="2:6">
      <c r="B1261" s="1"/>
      <c r="C1261" s="19"/>
      <c r="D1261" s="5"/>
      <c r="E1261" s="4"/>
      <c r="F1261" s="8">
        <f>ROUND(D1261*E1261,0)</f>
        <v>0</v>
      </c>
    </row>
    <row r="1262" spans="2:6">
      <c r="B1262" s="19"/>
      <c r="C1262" s="19"/>
      <c r="D1262" s="5"/>
      <c r="E1262" s="4"/>
      <c r="F1262" s="8"/>
    </row>
    <row r="1263" spans="2:6">
      <c r="B1263" s="1" t="s">
        <v>44</v>
      </c>
      <c r="C1263" s="19" t="s">
        <v>45</v>
      </c>
      <c r="D1263" s="5"/>
      <c r="E1263" s="4"/>
      <c r="F1263" s="8">
        <f>ROUND(D1263*E1263,0)</f>
        <v>0</v>
      </c>
    </row>
    <row r="1264" spans="2:6">
      <c r="B1264" s="19"/>
      <c r="C1264" s="19"/>
      <c r="D1264" s="5"/>
      <c r="E1264" s="4"/>
      <c r="F1264" s="8"/>
    </row>
    <row r="1265" spans="2:6" ht="24">
      <c r="B1265" s="29" t="s">
        <v>60</v>
      </c>
      <c r="C1265" s="19"/>
      <c r="D1265" s="5"/>
      <c r="E1265" s="4"/>
      <c r="F1265" s="8"/>
    </row>
    <row r="1266" spans="2:6">
      <c r="B1266" s="7"/>
      <c r="C1266" s="19"/>
      <c r="D1266" s="5"/>
      <c r="E1266" s="4"/>
      <c r="F1266" s="5"/>
    </row>
    <row r="1267" spans="2:6">
      <c r="B1267" s="6" t="str">
        <f>B1256&amp;"  -  celkem"</f>
        <v>Kanalizace  -  celkem</v>
      </c>
      <c r="C1267" s="19"/>
      <c r="D1267" s="5"/>
      <c r="E1267" s="4"/>
      <c r="F1267" s="3">
        <f>SUM(F1256:F1266)</f>
        <v>0</v>
      </c>
    </row>
    <row r="1268" spans="2:6">
      <c r="B1268" s="19"/>
      <c r="C1268" s="19"/>
      <c r="D1268" s="5"/>
      <c r="E1268" s="4"/>
      <c r="F1268" s="19"/>
    </row>
    <row r="1269" spans="2:6">
      <c r="B1269" s="19"/>
      <c r="C1269" s="19"/>
      <c r="D1269" s="5"/>
      <c r="E1269" s="4"/>
      <c r="F1269" s="19"/>
    </row>
    <row r="1270" spans="2:6">
      <c r="B1270" s="19"/>
      <c r="C1270" s="19"/>
      <c r="D1270" s="5"/>
      <c r="E1270" s="4"/>
      <c r="F1270" s="19"/>
    </row>
    <row r="1271" spans="2:6">
      <c r="B1271" s="19"/>
      <c r="C1271" s="19"/>
      <c r="D1271" s="5"/>
      <c r="E1271" s="4"/>
      <c r="F1271" s="19"/>
    </row>
    <row r="1272" spans="2:6">
      <c r="B1272" s="19"/>
      <c r="C1272" s="19"/>
      <c r="D1272" s="5"/>
      <c r="E1272" s="4"/>
      <c r="F1272" s="19"/>
    </row>
    <row r="1273" spans="2:6">
      <c r="B1273" s="19"/>
      <c r="C1273" s="19"/>
      <c r="D1273" s="5"/>
      <c r="E1273" s="4"/>
      <c r="F1273" s="19"/>
    </row>
    <row r="1274" spans="2:6" ht="18.75">
      <c r="B1274" s="11" t="str">
        <f>R_61</f>
        <v>Vodovod</v>
      </c>
      <c r="C1274" s="19"/>
      <c r="D1274" s="5"/>
      <c r="E1274" s="4"/>
      <c r="F1274" s="5"/>
    </row>
    <row r="1275" spans="2:6">
      <c r="B1275" s="7"/>
      <c r="C1275" s="19"/>
      <c r="D1275" s="5"/>
      <c r="E1275" s="4"/>
      <c r="F1275" s="5"/>
    </row>
    <row r="1276" spans="2:6">
      <c r="B1276" s="7"/>
      <c r="C1276" s="19"/>
      <c r="D1276" s="5"/>
      <c r="E1276" s="4"/>
      <c r="F1276" s="5"/>
    </row>
    <row r="1277" spans="2:6">
      <c r="B1277" s="1"/>
      <c r="C1277" s="19"/>
      <c r="D1277" s="5"/>
      <c r="E1277" s="4"/>
      <c r="F1277" s="8">
        <f>ROUND(D1277*E1277,0)</f>
        <v>0</v>
      </c>
    </row>
    <row r="1278" spans="2:6">
      <c r="B1278" s="1"/>
      <c r="C1278" s="19"/>
      <c r="D1278" s="5"/>
      <c r="E1278" s="4"/>
      <c r="F1278" s="8">
        <f>ROUND(D1278*E1278,0)</f>
        <v>0</v>
      </c>
    </row>
    <row r="1279" spans="2:6">
      <c r="B1279" s="1"/>
      <c r="C1279" s="19"/>
      <c r="D1279" s="5"/>
      <c r="E1279" s="4"/>
      <c r="F1279" s="8">
        <f>ROUND(D1279*E1279,0)</f>
        <v>0</v>
      </c>
    </row>
    <row r="1280" spans="2:6">
      <c r="B1280" s="1"/>
      <c r="C1280" s="19"/>
      <c r="D1280" s="5"/>
      <c r="E1280" s="4"/>
      <c r="F1280" s="8"/>
    </row>
    <row r="1281" spans="2:6">
      <c r="B1281" s="1" t="s">
        <v>44</v>
      </c>
      <c r="C1281" s="19" t="s">
        <v>45</v>
      </c>
      <c r="D1281" s="5"/>
      <c r="E1281" s="4"/>
      <c r="F1281" s="8">
        <f>ROUND(D1281*E1281,0)</f>
        <v>0</v>
      </c>
    </row>
    <row r="1282" spans="2:6">
      <c r="B1282" s="7"/>
      <c r="C1282" s="19"/>
      <c r="D1282" s="5"/>
      <c r="E1282" s="4"/>
      <c r="F1282" s="5"/>
    </row>
    <row r="1283" spans="2:6">
      <c r="B1283" s="6" t="str">
        <f>B1274&amp;"  -  celkem"</f>
        <v>Vodovod  -  celkem</v>
      </c>
      <c r="C1283" s="19"/>
      <c r="D1283" s="5"/>
      <c r="E1283" s="4"/>
      <c r="F1283" s="3">
        <f>SUM(F1274:F1282)</f>
        <v>0</v>
      </c>
    </row>
    <row r="1284" spans="2:6">
      <c r="B1284" s="19"/>
      <c r="C1284" s="19"/>
      <c r="D1284" s="5"/>
      <c r="E1284" s="4"/>
      <c r="F1284" s="19"/>
    </row>
    <row r="1285" spans="2:6">
      <c r="B1285" s="19"/>
      <c r="C1285" s="19"/>
      <c r="D1285" s="5"/>
      <c r="E1285" s="4"/>
      <c r="F1285" s="19"/>
    </row>
    <row r="1286" spans="2:6">
      <c r="B1286" s="19"/>
      <c r="C1286" s="19"/>
      <c r="D1286" s="5"/>
      <c r="E1286" s="4"/>
      <c r="F1286" s="19"/>
    </row>
    <row r="1287" spans="2:6">
      <c r="B1287" s="19"/>
      <c r="C1287" s="19"/>
      <c r="D1287" s="5"/>
      <c r="E1287" s="4"/>
      <c r="F1287" s="19"/>
    </row>
    <row r="1288" spans="2:6">
      <c r="B1288" s="19"/>
      <c r="C1288" s="19"/>
      <c r="D1288" s="5"/>
      <c r="E1288" s="4"/>
      <c r="F1288" s="19"/>
    </row>
    <row r="1289" spans="2:6">
      <c r="B1289" s="19"/>
      <c r="C1289" s="19"/>
      <c r="D1289" s="5"/>
      <c r="E1289" s="4"/>
      <c r="F1289" s="19"/>
    </row>
    <row r="1290" spans="2:6" ht="18.75">
      <c r="B1290" s="11" t="str">
        <f>P_152</f>
        <v>Plynovod</v>
      </c>
      <c r="C1290" s="19"/>
      <c r="D1290" s="5"/>
      <c r="E1290" s="4"/>
      <c r="F1290" s="5"/>
    </row>
    <row r="1291" spans="2:6">
      <c r="B1291" s="7"/>
      <c r="C1291" s="19"/>
      <c r="D1291" s="5"/>
      <c r="E1291" s="4"/>
      <c r="F1291" s="5"/>
    </row>
    <row r="1292" spans="2:6">
      <c r="B1292" s="7"/>
      <c r="C1292" s="19"/>
      <c r="D1292" s="5"/>
      <c r="E1292" s="4"/>
      <c r="F1292" s="5"/>
    </row>
    <row r="1293" spans="2:6" ht="15.75">
      <c r="B1293" s="34"/>
      <c r="C1293" s="19"/>
      <c r="D1293" s="5"/>
      <c r="E1293" s="4"/>
      <c r="F1293" s="8">
        <f>ROUND(D1293*E1293,0)</f>
        <v>0</v>
      </c>
    </row>
    <row r="1294" spans="2:6" ht="15.75">
      <c r="B1294" s="34"/>
      <c r="C1294" s="19"/>
      <c r="D1294" s="5"/>
      <c r="E1294" s="4"/>
      <c r="F1294" s="8">
        <f>ROUND(D1294*E1294,0)</f>
        <v>0</v>
      </c>
    </row>
    <row r="1295" spans="2:6" ht="15.75">
      <c r="B1295" s="34"/>
      <c r="C1295" s="19"/>
      <c r="D1295" s="5"/>
      <c r="E1295" s="4"/>
      <c r="F1295" s="8">
        <f>ROUND(D1295*E1295,0)</f>
        <v>0</v>
      </c>
    </row>
    <row r="1296" spans="2:6" ht="15.75">
      <c r="B1296" s="34"/>
      <c r="C1296" s="19"/>
      <c r="D1296" s="5"/>
      <c r="E1296" s="4"/>
      <c r="F1296" s="8"/>
    </row>
    <row r="1297" spans="2:6">
      <c r="B1297" s="1" t="s">
        <v>44</v>
      </c>
      <c r="C1297" s="19" t="s">
        <v>45</v>
      </c>
      <c r="D1297" s="5"/>
      <c r="E1297" s="4"/>
      <c r="F1297" s="8">
        <f>ROUND(D1297*E1297,0)</f>
        <v>0</v>
      </c>
    </row>
    <row r="1298" spans="2:6">
      <c r="B1298" s="7"/>
      <c r="C1298" s="19"/>
      <c r="D1298" s="5"/>
      <c r="E1298" s="4"/>
      <c r="F1298" s="5"/>
    </row>
    <row r="1299" spans="2:6">
      <c r="B1299" s="6" t="str">
        <f>B1290&amp;"  -  celkem"</f>
        <v>Plynovod  -  celkem</v>
      </c>
      <c r="C1299" s="19"/>
      <c r="D1299" s="5"/>
      <c r="E1299" s="4"/>
      <c r="F1299" s="3">
        <f>SUM(F1290:F1298)</f>
        <v>0</v>
      </c>
    </row>
    <row r="1300" spans="2:6">
      <c r="B1300" s="19"/>
      <c r="C1300" s="19"/>
      <c r="D1300" s="5"/>
      <c r="E1300" s="4"/>
      <c r="F1300" s="19"/>
    </row>
    <row r="1301" spans="2:6">
      <c r="B1301" s="19"/>
      <c r="C1301" s="19"/>
      <c r="D1301" s="5"/>
      <c r="E1301" s="4"/>
      <c r="F1301" s="19"/>
    </row>
    <row r="1302" spans="2:6">
      <c r="B1302" s="19"/>
      <c r="C1302" s="19"/>
      <c r="D1302" s="5"/>
      <c r="E1302" s="4"/>
      <c r="F1302" s="19"/>
    </row>
    <row r="1303" spans="2:6">
      <c r="B1303" s="19"/>
      <c r="C1303" s="19"/>
      <c r="D1303" s="5"/>
      <c r="E1303" s="4"/>
      <c r="F1303" s="19"/>
    </row>
    <row r="1304" spans="2:6">
      <c r="B1304" s="19"/>
      <c r="C1304" s="19"/>
      <c r="D1304" s="5"/>
      <c r="E1304" s="4"/>
      <c r="F1304" s="19"/>
    </row>
    <row r="1305" spans="2:6">
      <c r="B1305" s="19"/>
      <c r="C1305" s="19"/>
      <c r="D1305" s="5"/>
      <c r="E1305" s="4"/>
      <c r="F1305" s="19"/>
    </row>
    <row r="1306" spans="2:6" ht="18.75">
      <c r="B1306" s="11" t="str">
        <f>R_63</f>
        <v>Kanalizační přípojka</v>
      </c>
      <c r="C1306" s="19"/>
      <c r="D1306" s="5"/>
      <c r="E1306" s="4"/>
      <c r="F1306" s="5"/>
    </row>
    <row r="1307" spans="2:6">
      <c r="B1307" s="7"/>
      <c r="C1307" s="19"/>
      <c r="D1307" s="5"/>
      <c r="E1307" s="4"/>
      <c r="F1307" s="5"/>
    </row>
    <row r="1308" spans="2:6">
      <c r="B1308" s="7"/>
      <c r="C1308" s="19"/>
      <c r="D1308" s="5"/>
      <c r="E1308" s="4"/>
      <c r="F1308" s="5"/>
    </row>
    <row r="1309" spans="2:6">
      <c r="B1309" s="1"/>
      <c r="C1309" s="19"/>
      <c r="D1309" s="5"/>
      <c r="E1309" s="4"/>
      <c r="F1309" s="8">
        <f>ROUND(D1309*E1309,0)</f>
        <v>0</v>
      </c>
    </row>
    <row r="1310" spans="2:6">
      <c r="B1310" s="1"/>
      <c r="C1310" s="19"/>
      <c r="D1310" s="5"/>
      <c r="E1310" s="4"/>
      <c r="F1310" s="8">
        <f>ROUND(D1310*E1310,0)</f>
        <v>0</v>
      </c>
    </row>
    <row r="1311" spans="2:6">
      <c r="B1311" s="1"/>
      <c r="C1311" s="19"/>
      <c r="D1311" s="5"/>
      <c r="E1311" s="4"/>
      <c r="F1311" s="8">
        <f>ROUND(D1311*E1311,0)</f>
        <v>0</v>
      </c>
    </row>
    <row r="1312" spans="2:6">
      <c r="B1312" s="7"/>
      <c r="C1312" s="19"/>
      <c r="D1312" s="5"/>
      <c r="E1312" s="4"/>
      <c r="F1312" s="5"/>
    </row>
    <row r="1313" spans="2:6">
      <c r="B1313" s="6" t="str">
        <f>B1306&amp;"  -  celkem"</f>
        <v>Kanalizační přípojka  -  celkem</v>
      </c>
      <c r="C1313" s="19"/>
      <c r="D1313" s="5"/>
      <c r="E1313" s="4"/>
      <c r="F1313" s="3">
        <f>SUM(F1306:F1312)</f>
        <v>0</v>
      </c>
    </row>
    <row r="1314" spans="2:6">
      <c r="B1314" s="19"/>
      <c r="C1314" s="19"/>
      <c r="D1314" s="5"/>
      <c r="E1314" s="4"/>
      <c r="F1314" s="19"/>
    </row>
    <row r="1315" spans="2:6">
      <c r="B1315" s="19"/>
      <c r="C1315" s="19"/>
      <c r="D1315" s="5"/>
      <c r="E1315" s="4"/>
      <c r="F1315" s="19"/>
    </row>
    <row r="1316" spans="2:6">
      <c r="B1316" s="19"/>
      <c r="C1316" s="19"/>
      <c r="D1316" s="5"/>
      <c r="E1316" s="4"/>
      <c r="F1316" s="19"/>
    </row>
    <row r="1317" spans="2:6">
      <c r="B1317" s="19"/>
      <c r="C1317" s="19"/>
      <c r="D1317" s="5"/>
      <c r="E1317" s="4"/>
      <c r="F1317" s="19"/>
    </row>
    <row r="1318" spans="2:6">
      <c r="B1318" s="19"/>
      <c r="C1318" s="19"/>
      <c r="D1318" s="5"/>
      <c r="E1318" s="4"/>
      <c r="F1318" s="19"/>
    </row>
    <row r="1319" spans="2:6">
      <c r="B1319" s="19"/>
      <c r="C1319" s="19"/>
      <c r="D1319" s="5"/>
      <c r="E1319" s="4"/>
      <c r="F1319" s="19"/>
    </row>
    <row r="1320" spans="2:6" ht="18.75">
      <c r="B1320" s="11" t="str">
        <f>R_64</f>
        <v>Vodovodní přípojka</v>
      </c>
      <c r="C1320" s="19"/>
      <c r="D1320" s="5"/>
      <c r="E1320" s="4"/>
      <c r="F1320" s="5"/>
    </row>
    <row r="1321" spans="2:6">
      <c r="B1321" s="7"/>
      <c r="C1321" s="19"/>
      <c r="D1321" s="5"/>
      <c r="E1321" s="4"/>
      <c r="F1321" s="5"/>
    </row>
    <row r="1322" spans="2:6">
      <c r="B1322" s="7"/>
      <c r="C1322" s="19"/>
      <c r="D1322" s="5"/>
      <c r="E1322" s="4"/>
      <c r="F1322" s="5"/>
    </row>
    <row r="1323" spans="2:6">
      <c r="B1323" s="1"/>
      <c r="C1323" s="19"/>
      <c r="D1323" s="5"/>
      <c r="E1323" s="4"/>
      <c r="F1323" s="8">
        <f>ROUND(D1323*E1323,0)</f>
        <v>0</v>
      </c>
    </row>
    <row r="1324" spans="2:6">
      <c r="B1324" s="1"/>
      <c r="C1324" s="19"/>
      <c r="D1324" s="5"/>
      <c r="E1324" s="4"/>
      <c r="F1324" s="8">
        <f>ROUND(D1324*E1324,0)</f>
        <v>0</v>
      </c>
    </row>
    <row r="1325" spans="2:6">
      <c r="B1325" s="1"/>
      <c r="C1325" s="19"/>
      <c r="D1325" s="5"/>
      <c r="E1325" s="4"/>
      <c r="F1325" s="8">
        <f>ROUND(D1325*E1325,0)</f>
        <v>0</v>
      </c>
    </row>
    <row r="1326" spans="2:6">
      <c r="B1326" s="7"/>
      <c r="C1326" s="19"/>
      <c r="D1326" s="5"/>
      <c r="E1326" s="4"/>
      <c r="F1326" s="5"/>
    </row>
    <row r="1327" spans="2:6">
      <c r="B1327" s="6" t="str">
        <f>B1320&amp;"  -  celkem"</f>
        <v>Vodovodní přípojka  -  celkem</v>
      </c>
      <c r="C1327" s="19"/>
      <c r="D1327" s="5"/>
      <c r="E1327" s="4"/>
      <c r="F1327" s="3">
        <f>SUM(F1320:F1326)</f>
        <v>0</v>
      </c>
    </row>
    <row r="1328" spans="2:6">
      <c r="B1328" s="19"/>
      <c r="C1328" s="19"/>
      <c r="D1328" s="5"/>
      <c r="E1328" s="4"/>
      <c r="F1328" s="19"/>
    </row>
    <row r="1329" spans="2:6">
      <c r="B1329" s="19"/>
      <c r="C1329" s="19"/>
      <c r="D1329" s="5"/>
      <c r="E1329" s="4"/>
      <c r="F1329" s="19"/>
    </row>
    <row r="1330" spans="2:6">
      <c r="B1330" s="19"/>
      <c r="C1330" s="19"/>
      <c r="D1330" s="5"/>
      <c r="E1330" s="4"/>
      <c r="F1330" s="19"/>
    </row>
    <row r="1331" spans="2:6">
      <c r="B1331" s="19"/>
      <c r="C1331" s="19"/>
      <c r="D1331" s="5"/>
      <c r="E1331" s="4"/>
      <c r="F1331" s="19"/>
    </row>
    <row r="1332" spans="2:6">
      <c r="B1332" s="19"/>
      <c r="C1332" s="19"/>
      <c r="D1332" s="5"/>
      <c r="E1332" s="4"/>
      <c r="F1332" s="19"/>
    </row>
    <row r="1333" spans="2:6">
      <c r="B1333" s="19"/>
      <c r="C1333" s="19"/>
      <c r="D1333" s="5"/>
      <c r="E1333" s="4"/>
      <c r="F1333" s="19"/>
    </row>
    <row r="1334" spans="2:6" ht="18.75">
      <c r="B1334" s="11" t="str">
        <f>R_40</f>
        <v>Plynovodní přípojka</v>
      </c>
      <c r="C1334" s="19"/>
      <c r="D1334" s="5"/>
      <c r="E1334" s="4"/>
      <c r="F1334" s="5"/>
    </row>
    <row r="1335" spans="2:6">
      <c r="B1335" s="7"/>
      <c r="C1335" s="19"/>
      <c r="D1335" s="5"/>
      <c r="E1335" s="4"/>
      <c r="F1335" s="5"/>
    </row>
    <row r="1336" spans="2:6">
      <c r="B1336" s="7"/>
      <c r="C1336" s="19"/>
      <c r="D1336" s="5"/>
      <c r="E1336" s="4"/>
      <c r="F1336" s="5"/>
    </row>
    <row r="1337" spans="2:6">
      <c r="B1337" s="1"/>
      <c r="C1337" s="19"/>
      <c r="D1337" s="5"/>
      <c r="E1337" s="4"/>
      <c r="F1337" s="8">
        <f>ROUND(D1337*E1337,0)</f>
        <v>0</v>
      </c>
    </row>
    <row r="1338" spans="2:6">
      <c r="B1338" s="1"/>
      <c r="C1338" s="19"/>
      <c r="D1338" s="5"/>
      <c r="E1338" s="4"/>
      <c r="F1338" s="8">
        <f>ROUND(D1338*E1338,0)</f>
        <v>0</v>
      </c>
    </row>
    <row r="1339" spans="2:6">
      <c r="B1339" s="1"/>
      <c r="C1339" s="19"/>
      <c r="D1339" s="5"/>
      <c r="E1339" s="4"/>
      <c r="F1339" s="8">
        <f>ROUND(D1339*E1339,0)</f>
        <v>0</v>
      </c>
    </row>
    <row r="1340" spans="2:6">
      <c r="B1340" s="7"/>
      <c r="C1340" s="19"/>
      <c r="D1340" s="5"/>
      <c r="E1340" s="4"/>
      <c r="F1340" s="5"/>
    </row>
    <row r="1341" spans="2:6">
      <c r="B1341" s="6" t="str">
        <f>B1334&amp;"  -  celkem"</f>
        <v>Plynovodní přípojka  -  celkem</v>
      </c>
      <c r="C1341" s="19"/>
      <c r="D1341" s="5"/>
      <c r="E1341" s="4"/>
      <c r="F1341" s="3">
        <f>SUM(F1334:F1340)</f>
        <v>0</v>
      </c>
    </row>
    <row r="1342" spans="2:6">
      <c r="B1342" s="19"/>
      <c r="C1342" s="19"/>
      <c r="D1342" s="5"/>
      <c r="E1342" s="4"/>
      <c r="F1342" s="19"/>
    </row>
    <row r="1343" spans="2:6">
      <c r="B1343" s="19"/>
      <c r="C1343" s="19"/>
      <c r="D1343" s="5"/>
      <c r="E1343" s="4"/>
      <c r="F1343" s="19"/>
    </row>
    <row r="1344" spans="2:6">
      <c r="B1344" s="19"/>
      <c r="C1344" s="19"/>
      <c r="D1344" s="5"/>
      <c r="E1344" s="4"/>
      <c r="F1344" s="19"/>
    </row>
    <row r="1345" spans="2:6">
      <c r="B1345" s="19"/>
      <c r="C1345" s="19"/>
      <c r="D1345" s="5"/>
      <c r="E1345" s="4"/>
      <c r="F1345" s="19"/>
    </row>
    <row r="1346" spans="2:6">
      <c r="B1346" s="19"/>
      <c r="C1346" s="19"/>
      <c r="D1346" s="5"/>
      <c r="E1346" s="4"/>
      <c r="F1346" s="19"/>
    </row>
    <row r="1347" spans="2:6">
      <c r="B1347" s="19"/>
      <c r="C1347" s="19"/>
      <c r="D1347" s="5"/>
      <c r="E1347" s="4"/>
      <c r="F1347" s="19"/>
    </row>
    <row r="1348" spans="2:6" ht="18.75">
      <c r="B1348" s="11" t="str">
        <f>R_65</f>
        <v>Vytápění</v>
      </c>
      <c r="C1348" s="19"/>
      <c r="D1348" s="5"/>
      <c r="E1348" s="4"/>
      <c r="F1348" s="5"/>
    </row>
    <row r="1349" spans="2:6">
      <c r="B1349" s="7"/>
      <c r="C1349" s="19"/>
      <c r="D1349" s="5"/>
      <c r="E1349" s="4"/>
      <c r="F1349" s="5"/>
    </row>
    <row r="1350" spans="2:6">
      <c r="B1350" s="7"/>
      <c r="C1350" s="19"/>
      <c r="D1350" s="5"/>
      <c r="E1350" s="4"/>
      <c r="F1350" s="5"/>
    </row>
    <row r="1351" spans="2:6">
      <c r="B1351" s="1"/>
      <c r="C1351" s="19"/>
      <c r="D1351" s="5"/>
      <c r="E1351" s="4"/>
      <c r="F1351" s="8">
        <f>ROUND(D1351*E1351,0)</f>
        <v>0</v>
      </c>
    </row>
    <row r="1352" spans="2:6">
      <c r="B1352" s="1"/>
      <c r="C1352" s="19"/>
      <c r="D1352" s="5"/>
      <c r="E1352" s="4"/>
      <c r="F1352" s="8">
        <f>ROUND(D1352*E1352,0)</f>
        <v>0</v>
      </c>
    </row>
    <row r="1353" spans="2:6">
      <c r="B1353" s="1"/>
      <c r="C1353" s="19"/>
      <c r="D1353" s="5"/>
      <c r="E1353" s="4"/>
      <c r="F1353" s="8">
        <f>ROUND(D1353*E1353,0)</f>
        <v>0</v>
      </c>
    </row>
    <row r="1354" spans="2:6">
      <c r="B1354" s="2"/>
      <c r="C1354" s="2"/>
      <c r="D1354" s="5"/>
      <c r="E1354" s="4"/>
      <c r="F1354" s="8"/>
    </row>
    <row r="1355" spans="2:6">
      <c r="B1355" s="1" t="s">
        <v>100</v>
      </c>
      <c r="C1355" s="47" t="s">
        <v>101</v>
      </c>
      <c r="D1355" s="5"/>
      <c r="E1355" s="4"/>
      <c r="F1355" s="8">
        <f>ROUND(D1355*E1355,0)</f>
        <v>0</v>
      </c>
    </row>
    <row r="1356" spans="2:6">
      <c r="B1356" s="1"/>
      <c r="C1356" s="19"/>
      <c r="D1356" s="5"/>
      <c r="E1356" s="4"/>
      <c r="F1356" s="8"/>
    </row>
    <row r="1357" spans="2:6">
      <c r="B1357" s="1" t="s">
        <v>44</v>
      </c>
      <c r="C1357" s="19" t="s">
        <v>45</v>
      </c>
      <c r="D1357" s="5"/>
      <c r="E1357" s="4"/>
      <c r="F1357" s="8">
        <f>ROUND(D1357*E1357,0)</f>
        <v>0</v>
      </c>
    </row>
    <row r="1358" spans="2:6">
      <c r="B1358" s="7"/>
      <c r="C1358" s="19"/>
      <c r="D1358" s="5"/>
      <c r="E1358" s="4"/>
      <c r="F1358" s="5"/>
    </row>
    <row r="1359" spans="2:6">
      <c r="B1359" s="6" t="str">
        <f>B1348&amp;"  -  celkem"</f>
        <v>Vytápění  -  celkem</v>
      </c>
      <c r="C1359" s="19"/>
      <c r="D1359" s="5"/>
      <c r="E1359" s="4"/>
      <c r="F1359" s="3">
        <f>SUM(F1348:F1358)</f>
        <v>0</v>
      </c>
    </row>
    <row r="1360" spans="2:6">
      <c r="B1360" s="19"/>
      <c r="C1360" s="19"/>
      <c r="D1360" s="5"/>
      <c r="E1360" s="4"/>
      <c r="F1360" s="19"/>
    </row>
    <row r="1361" spans="2:6">
      <c r="B1361" s="19"/>
      <c r="C1361" s="19"/>
      <c r="D1361" s="5"/>
      <c r="E1361" s="4"/>
      <c r="F1361" s="19"/>
    </row>
    <row r="1362" spans="2:6">
      <c r="B1362" s="19"/>
      <c r="C1362" s="19"/>
      <c r="D1362" s="5"/>
      <c r="E1362" s="4"/>
      <c r="F1362" s="19"/>
    </row>
    <row r="1363" spans="2:6">
      <c r="B1363" s="19"/>
      <c r="C1363" s="19"/>
      <c r="D1363" s="5"/>
      <c r="E1363" s="4"/>
      <c r="F1363" s="19"/>
    </row>
    <row r="1364" spans="2:6">
      <c r="B1364" s="19"/>
      <c r="C1364" s="19"/>
      <c r="D1364" s="5"/>
      <c r="E1364" s="4"/>
      <c r="F1364" s="19"/>
    </row>
    <row r="1365" spans="2:6">
      <c r="B1365" s="19"/>
      <c r="C1365" s="19"/>
      <c r="D1365" s="5"/>
      <c r="E1365" s="4"/>
      <c r="F1365" s="19"/>
    </row>
    <row r="1366" spans="2:6" ht="18.75">
      <c r="B1366" s="11" t="str">
        <f>R_66</f>
        <v>Otopná tělesa</v>
      </c>
      <c r="C1366" s="19"/>
      <c r="D1366" s="5"/>
      <c r="E1366" s="4"/>
      <c r="F1366" s="5"/>
    </row>
    <row r="1367" spans="2:6">
      <c r="B1367" s="7"/>
      <c r="C1367" s="19"/>
      <c r="D1367" s="5"/>
      <c r="E1367" s="4"/>
      <c r="F1367" s="5"/>
    </row>
    <row r="1368" spans="2:6">
      <c r="B1368" s="7"/>
      <c r="C1368" s="19"/>
      <c r="D1368" s="5"/>
      <c r="E1368" s="4"/>
      <c r="F1368" s="5"/>
    </row>
    <row r="1369" spans="2:6">
      <c r="B1369" s="1"/>
      <c r="C1369" s="19"/>
      <c r="D1369" s="5"/>
      <c r="E1369" s="4"/>
      <c r="F1369" s="8">
        <f>ROUND(D1369*E1369,0)</f>
        <v>0</v>
      </c>
    </row>
    <row r="1370" spans="2:6">
      <c r="B1370" s="1"/>
      <c r="C1370" s="19"/>
      <c r="D1370" s="5"/>
      <c r="E1370" s="4"/>
      <c r="F1370" s="8">
        <f>ROUND(D1370*E1370,0)</f>
        <v>0</v>
      </c>
    </row>
    <row r="1371" spans="2:6">
      <c r="B1371" s="1"/>
      <c r="C1371" s="19"/>
      <c r="D1371" s="5"/>
      <c r="E1371" s="4"/>
      <c r="F1371" s="8">
        <f>ROUND(D1371*E1371,0)</f>
        <v>0</v>
      </c>
    </row>
    <row r="1372" spans="2:6">
      <c r="B1372" s="1"/>
      <c r="C1372" s="19"/>
      <c r="D1372" s="5"/>
      <c r="E1372" s="4"/>
      <c r="F1372" s="8"/>
    </row>
    <row r="1373" spans="2:6">
      <c r="B1373" s="1" t="s">
        <v>100</v>
      </c>
      <c r="C1373" s="47" t="s">
        <v>101</v>
      </c>
      <c r="D1373" s="5"/>
      <c r="E1373" s="4"/>
      <c r="F1373" s="8">
        <f>ROUND(D1373*E1373,0)</f>
        <v>0</v>
      </c>
    </row>
    <row r="1374" spans="2:6">
      <c r="B1374" s="1"/>
      <c r="C1374" s="19"/>
      <c r="D1374" s="5"/>
      <c r="E1374" s="4"/>
      <c r="F1374" s="8"/>
    </row>
    <row r="1375" spans="2:6">
      <c r="B1375" s="1" t="s">
        <v>44</v>
      </c>
      <c r="C1375" s="19" t="s">
        <v>45</v>
      </c>
      <c r="D1375" s="5"/>
      <c r="E1375" s="4"/>
      <c r="F1375" s="8">
        <f>ROUND(D1375*E1375,0)</f>
        <v>0</v>
      </c>
    </row>
    <row r="1376" spans="2:6">
      <c r="B1376" s="7"/>
      <c r="C1376" s="19"/>
      <c r="D1376" s="5"/>
      <c r="E1376" s="4"/>
      <c r="F1376" s="5"/>
    </row>
    <row r="1377" spans="2:6">
      <c r="B1377" s="6" t="str">
        <f>B1366&amp;"  -  celkem"</f>
        <v>Otopná tělesa  -  celkem</v>
      </c>
      <c r="C1377" s="19"/>
      <c r="D1377" s="5"/>
      <c r="E1377" s="4"/>
      <c r="F1377" s="3">
        <f>SUM(F1366:F1376)</f>
        <v>0</v>
      </c>
    </row>
    <row r="1378" spans="2:6">
      <c r="B1378" s="19"/>
      <c r="C1378" s="19"/>
      <c r="D1378" s="5"/>
      <c r="E1378" s="4"/>
      <c r="F1378" s="19"/>
    </row>
    <row r="1379" spans="2:6">
      <c r="B1379" s="19"/>
      <c r="C1379" s="19"/>
      <c r="D1379" s="5"/>
      <c r="E1379" s="4"/>
      <c r="F1379" s="19"/>
    </row>
    <row r="1380" spans="2:6">
      <c r="B1380" s="19"/>
      <c r="C1380" s="19"/>
      <c r="D1380" s="5"/>
      <c r="E1380" s="4"/>
      <c r="F1380" s="19"/>
    </row>
    <row r="1381" spans="2:6">
      <c r="B1381" s="19"/>
      <c r="C1381" s="19"/>
      <c r="D1381" s="5"/>
      <c r="E1381" s="4"/>
      <c r="F1381" s="19"/>
    </row>
    <row r="1382" spans="2:6">
      <c r="B1382" s="19"/>
      <c r="C1382" s="19"/>
      <c r="D1382" s="5"/>
      <c r="E1382" s="4"/>
      <c r="F1382" s="19"/>
    </row>
    <row r="1383" spans="2:6">
      <c r="B1383" s="19"/>
      <c r="C1383" s="19"/>
      <c r="D1383" s="5"/>
      <c r="E1383" s="4"/>
      <c r="F1383" s="19"/>
    </row>
    <row r="1384" spans="2:6" ht="18.75">
      <c r="B1384" s="11" t="str">
        <f>R_67</f>
        <v>Vzduchotechnika</v>
      </c>
      <c r="C1384" s="19"/>
      <c r="D1384" s="5"/>
      <c r="E1384" s="4"/>
      <c r="F1384" s="5"/>
    </row>
    <row r="1385" spans="2:6">
      <c r="B1385" s="7"/>
      <c r="C1385" s="19"/>
      <c r="D1385" s="5"/>
      <c r="E1385" s="4"/>
      <c r="F1385" s="5"/>
    </row>
    <row r="1386" spans="2:6">
      <c r="B1386" s="7"/>
      <c r="C1386" s="19"/>
      <c r="D1386" s="5"/>
      <c r="E1386" s="4"/>
      <c r="F1386" s="5"/>
    </row>
    <row r="1387" spans="2:6" ht="45">
      <c r="B1387" s="46" t="s">
        <v>96</v>
      </c>
      <c r="C1387" s="19"/>
      <c r="D1387" s="5"/>
      <c r="E1387" s="4"/>
      <c r="F1387" s="8"/>
    </row>
    <row r="1388" spans="2:6">
      <c r="B1388" s="46" t="s">
        <v>97</v>
      </c>
      <c r="C1388" s="19"/>
      <c r="D1388" s="5"/>
      <c r="E1388" s="4"/>
      <c r="F1388" s="8"/>
    </row>
    <row r="1389" spans="2:6" ht="30">
      <c r="B1389" s="46" t="s">
        <v>98</v>
      </c>
      <c r="C1389" s="19"/>
      <c r="D1389" s="5"/>
      <c r="E1389" s="4"/>
      <c r="F1389" s="8"/>
    </row>
    <row r="1390" spans="2:6" ht="30">
      <c r="B1390" s="46" t="s">
        <v>99</v>
      </c>
      <c r="C1390" s="19"/>
      <c r="D1390" s="5"/>
      <c r="E1390" s="4"/>
      <c r="F1390" s="8"/>
    </row>
    <row r="1391" spans="2:6">
      <c r="B1391" s="1"/>
      <c r="C1391" s="19"/>
      <c r="D1391" s="5"/>
      <c r="E1391" s="4"/>
      <c r="F1391" s="8"/>
    </row>
    <row r="1392" spans="2:6">
      <c r="B1392" s="1"/>
      <c r="C1392" s="19"/>
      <c r="D1392" s="5"/>
      <c r="E1392" s="4"/>
      <c r="F1392" s="8"/>
    </row>
    <row r="1393" spans="2:6">
      <c r="B1393" s="1"/>
      <c r="C1393" s="19"/>
      <c r="D1393" s="5"/>
      <c r="E1393" s="4"/>
      <c r="F1393" s="8">
        <f>ROUND(D1393*E1393,0)</f>
        <v>0</v>
      </c>
    </row>
    <row r="1394" spans="2:6">
      <c r="B1394" s="1"/>
      <c r="C1394" s="19"/>
      <c r="D1394" s="5"/>
      <c r="E1394" s="4"/>
      <c r="F1394" s="8">
        <f>ROUND(D1394*E1394,0)</f>
        <v>0</v>
      </c>
    </row>
    <row r="1395" spans="2:6">
      <c r="B1395" s="1"/>
      <c r="C1395" s="19"/>
      <c r="D1395" s="5"/>
      <c r="E1395" s="4"/>
      <c r="F1395" s="8">
        <f>ROUND(D1395*E1395,0)</f>
        <v>0</v>
      </c>
    </row>
    <row r="1396" spans="2:6">
      <c r="B1396" s="1"/>
      <c r="C1396" s="19"/>
      <c r="D1396" s="5"/>
      <c r="E1396" s="4"/>
      <c r="F1396" s="8"/>
    </row>
    <row r="1397" spans="2:6">
      <c r="B1397" s="1" t="s">
        <v>100</v>
      </c>
      <c r="C1397" s="47" t="s">
        <v>101</v>
      </c>
      <c r="D1397" s="5"/>
      <c r="E1397" s="4"/>
      <c r="F1397" s="8">
        <f>ROUND(D1397*E1397,0)</f>
        <v>0</v>
      </c>
    </row>
    <row r="1398" spans="2:6">
      <c r="B1398" s="19"/>
      <c r="C1398" s="19"/>
      <c r="D1398" s="5"/>
      <c r="E1398" s="4"/>
      <c r="F1398" s="8"/>
    </row>
    <row r="1399" spans="2:6">
      <c r="B1399" s="7"/>
      <c r="C1399" s="19"/>
      <c r="D1399" s="5"/>
      <c r="E1399" s="4"/>
      <c r="F1399" s="5"/>
    </row>
    <row r="1400" spans="2:6">
      <c r="B1400" s="6" t="str">
        <f>B1384&amp;"  -  celkem"</f>
        <v>Vzduchotechnika  -  celkem</v>
      </c>
      <c r="C1400" s="19"/>
      <c r="D1400" s="5"/>
      <c r="E1400" s="4"/>
      <c r="F1400" s="3">
        <f>SUM(F1384:F1399)</f>
        <v>0</v>
      </c>
    </row>
    <row r="1401" spans="2:6">
      <c r="B1401" s="19"/>
      <c r="C1401" s="19"/>
      <c r="D1401" s="5"/>
      <c r="E1401" s="4"/>
      <c r="F1401" s="19"/>
    </row>
    <row r="1402" spans="2:6">
      <c r="B1402" s="19"/>
      <c r="C1402" s="19"/>
      <c r="D1402" s="5"/>
      <c r="E1402" s="4"/>
      <c r="F1402" s="19"/>
    </row>
    <row r="1403" spans="2:6">
      <c r="B1403" s="19"/>
      <c r="C1403" s="19"/>
      <c r="D1403" s="5"/>
      <c r="E1403" s="4"/>
      <c r="F1403" s="19"/>
    </row>
    <row r="1404" spans="2:6">
      <c r="B1404" s="19"/>
      <c r="C1404" s="19"/>
      <c r="D1404" s="5"/>
      <c r="E1404" s="4"/>
      <c r="F1404" s="19"/>
    </row>
    <row r="1405" spans="2:6">
      <c r="B1405" s="19"/>
      <c r="C1405" s="19"/>
      <c r="D1405" s="5"/>
      <c r="E1405" s="4"/>
      <c r="F1405" s="19"/>
    </row>
    <row r="1406" spans="2:6">
      <c r="B1406" s="19"/>
      <c r="C1406" s="19"/>
      <c r="D1406" s="5"/>
      <c r="E1406" s="4"/>
      <c r="F1406" s="19"/>
    </row>
    <row r="1407" spans="2:6" ht="18.75">
      <c r="B1407" s="11" t="str">
        <f>R_69</f>
        <v>Svítidla</v>
      </c>
      <c r="C1407" s="19"/>
      <c r="D1407" s="5"/>
      <c r="E1407" s="4"/>
      <c r="F1407" s="5"/>
    </row>
    <row r="1408" spans="2:6">
      <c r="B1408" s="7"/>
      <c r="C1408" s="19"/>
      <c r="D1408" s="5"/>
      <c r="E1408" s="4"/>
      <c r="F1408" s="5"/>
    </row>
    <row r="1409" spans="2:6" ht="45">
      <c r="B1409" s="31" t="s">
        <v>70</v>
      </c>
      <c r="C1409" s="19"/>
      <c r="D1409" s="5"/>
      <c r="E1409" s="4"/>
      <c r="F1409" s="5"/>
    </row>
    <row r="1410" spans="2:6">
      <c r="B1410" s="1"/>
      <c r="C1410" s="19"/>
      <c r="D1410" s="5"/>
      <c r="E1410" s="4"/>
      <c r="F1410" s="8"/>
    </row>
    <row r="1411" spans="2:6">
      <c r="B1411" s="1"/>
      <c r="C1411" s="19"/>
      <c r="D1411" s="5"/>
      <c r="E1411" s="4"/>
      <c r="F1411" s="8">
        <f>ROUND(D1411*E1411,0)</f>
        <v>0</v>
      </c>
    </row>
    <row r="1412" spans="2:6">
      <c r="B1412" s="1"/>
      <c r="C1412" s="19"/>
      <c r="D1412" s="5"/>
      <c r="E1412" s="4"/>
      <c r="F1412" s="8">
        <f>ROUND(D1412*E1412,0)</f>
        <v>0</v>
      </c>
    </row>
    <row r="1413" spans="2:6">
      <c r="B1413" s="1"/>
      <c r="C1413" s="19"/>
      <c r="D1413" s="5"/>
      <c r="E1413" s="4"/>
      <c r="F1413" s="8">
        <f>ROUND(D1413*E1413,0)</f>
        <v>0</v>
      </c>
    </row>
    <row r="1414" spans="2:6">
      <c r="B1414" s="1"/>
      <c r="C1414" s="19"/>
      <c r="D1414" s="5"/>
      <c r="E1414" s="4"/>
      <c r="F1414" s="8"/>
    </row>
    <row r="1415" spans="2:6" ht="22.5">
      <c r="B1415" s="30" t="s">
        <v>71</v>
      </c>
      <c r="C1415" s="19"/>
      <c r="D1415" s="5"/>
      <c r="E1415" s="4"/>
      <c r="F1415" s="8"/>
    </row>
    <row r="1416" spans="2:6">
      <c r="B1416" s="7"/>
      <c r="C1416" s="19"/>
      <c r="D1416" s="5"/>
      <c r="E1416" s="4"/>
      <c r="F1416" s="5"/>
    </row>
    <row r="1417" spans="2:6">
      <c r="B1417" s="6" t="str">
        <f>B1407&amp;"  -  celkem"</f>
        <v>Svítidla  -  celkem</v>
      </c>
      <c r="C1417" s="19"/>
      <c r="D1417" s="5"/>
      <c r="E1417" s="4"/>
      <c r="F1417" s="3">
        <f>SUM(F1407:F1416)</f>
        <v>0</v>
      </c>
    </row>
    <row r="1418" spans="2:6">
      <c r="B1418" s="19"/>
      <c r="C1418" s="19"/>
      <c r="D1418" s="5"/>
      <c r="E1418" s="4"/>
      <c r="F1418" s="19"/>
    </row>
    <row r="1419" spans="2:6">
      <c r="B1419" s="19"/>
      <c r="C1419" s="19"/>
      <c r="D1419" s="5"/>
      <c r="E1419" s="4"/>
      <c r="F1419" s="19"/>
    </row>
    <row r="1420" spans="2:6">
      <c r="B1420" s="19"/>
      <c r="C1420" s="19"/>
      <c r="D1420" s="5"/>
      <c r="E1420" s="4"/>
      <c r="F1420" s="19"/>
    </row>
    <row r="1421" spans="2:6">
      <c r="B1421" s="19"/>
      <c r="C1421" s="19"/>
      <c r="D1421" s="5"/>
      <c r="E1421" s="4"/>
      <c r="F1421" s="19"/>
    </row>
    <row r="1422" spans="2:6">
      <c r="B1422" s="19"/>
      <c r="C1422" s="19"/>
      <c r="D1422" s="5"/>
      <c r="E1422" s="4"/>
      <c r="F1422" s="19"/>
    </row>
    <row r="1423" spans="2:6">
      <c r="B1423" s="19"/>
      <c r="C1423" s="19"/>
      <c r="D1423" s="5"/>
      <c r="E1423" s="4"/>
      <c r="F1423" s="19"/>
    </row>
    <row r="1424" spans="2:6" ht="18.75">
      <c r="B1424" s="11" t="str">
        <f>R_70</f>
        <v>Rozvody silnoproudé</v>
      </c>
      <c r="C1424" s="19"/>
      <c r="D1424" s="5"/>
      <c r="E1424" s="4"/>
      <c r="F1424" s="5"/>
    </row>
    <row r="1425" spans="2:6">
      <c r="B1425" s="7"/>
      <c r="C1425" s="19"/>
      <c r="D1425" s="5"/>
      <c r="E1425" s="4"/>
      <c r="F1425" s="5"/>
    </row>
    <row r="1426" spans="2:6" ht="45">
      <c r="B1426" s="31" t="s">
        <v>70</v>
      </c>
      <c r="C1426" s="19"/>
      <c r="D1426" s="5"/>
      <c r="E1426" s="4"/>
      <c r="F1426" s="5"/>
    </row>
    <row r="1427" spans="2:6">
      <c r="B1427" s="7"/>
      <c r="C1427" s="19"/>
      <c r="D1427" s="5"/>
      <c r="E1427" s="4"/>
      <c r="F1427" s="5"/>
    </row>
    <row r="1428" spans="2:6">
      <c r="B1428" s="1"/>
      <c r="C1428" s="19"/>
      <c r="D1428" s="5"/>
      <c r="E1428" s="4"/>
      <c r="F1428" s="8">
        <f>ROUND(D1428*E1428,0)</f>
        <v>0</v>
      </c>
    </row>
    <row r="1429" spans="2:6">
      <c r="B1429" s="1"/>
      <c r="C1429" s="19"/>
      <c r="D1429" s="5"/>
      <c r="E1429" s="4"/>
      <c r="F1429" s="8">
        <f>ROUND(D1429*E1429,0)</f>
        <v>0</v>
      </c>
    </row>
    <row r="1430" spans="2:6">
      <c r="B1430" s="1"/>
      <c r="C1430" s="19"/>
      <c r="D1430" s="5"/>
      <c r="E1430" s="4"/>
      <c r="F1430" s="8">
        <f>ROUND(D1430*E1430,0)</f>
        <v>0</v>
      </c>
    </row>
    <row r="1431" spans="2:6">
      <c r="B1431" s="7"/>
      <c r="C1431" s="19"/>
      <c r="D1431" s="5"/>
      <c r="E1431" s="4"/>
      <c r="F1431" s="5"/>
    </row>
    <row r="1432" spans="2:6">
      <c r="B1432" s="6" t="str">
        <f>B1424&amp;"  -  celkem"</f>
        <v>Rozvody silnoproudé  -  celkem</v>
      </c>
      <c r="C1432" s="19"/>
      <c r="D1432" s="5"/>
      <c r="E1432" s="4"/>
      <c r="F1432" s="3">
        <f>SUM(F1424:F1431)</f>
        <v>0</v>
      </c>
    </row>
    <row r="1433" spans="2:6">
      <c r="B1433" s="19"/>
      <c r="C1433" s="19"/>
      <c r="D1433" s="5"/>
      <c r="E1433" s="4"/>
      <c r="F1433" s="19"/>
    </row>
    <row r="1434" spans="2:6">
      <c r="B1434" s="19"/>
      <c r="C1434" s="19"/>
      <c r="D1434" s="5"/>
      <c r="E1434" s="4"/>
      <c r="F1434" s="19"/>
    </row>
    <row r="1435" spans="2:6">
      <c r="B1435" s="19"/>
      <c r="C1435" s="19"/>
      <c r="D1435" s="5"/>
      <c r="E1435" s="4"/>
      <c r="F1435" s="19"/>
    </row>
    <row r="1436" spans="2:6">
      <c r="B1436" s="19"/>
      <c r="C1436" s="19"/>
      <c r="D1436" s="5"/>
      <c r="E1436" s="4"/>
      <c r="F1436" s="19"/>
    </row>
    <row r="1437" spans="2:6">
      <c r="B1437" s="19"/>
      <c r="C1437" s="19"/>
      <c r="D1437" s="5"/>
      <c r="E1437" s="4"/>
      <c r="F1437" s="19"/>
    </row>
    <row r="1438" spans="2:6">
      <c r="B1438" s="19"/>
      <c r="C1438" s="19"/>
      <c r="D1438" s="5"/>
      <c r="E1438" s="4"/>
      <c r="F1438" s="19"/>
    </row>
    <row r="1439" spans="2:6" ht="18.75">
      <c r="B1439" s="11" t="str">
        <f>R_71</f>
        <v>Hromosvod a uzemnění</v>
      </c>
      <c r="C1439" s="19"/>
      <c r="D1439" s="5"/>
      <c r="E1439" s="4"/>
      <c r="F1439" s="5"/>
    </row>
    <row r="1440" spans="2:6">
      <c r="B1440" s="7"/>
      <c r="C1440" s="19"/>
      <c r="D1440" s="5"/>
      <c r="E1440" s="4"/>
      <c r="F1440" s="5"/>
    </row>
    <row r="1441" spans="2:6" ht="45">
      <c r="B1441" s="31" t="s">
        <v>70</v>
      </c>
      <c r="C1441" s="19"/>
      <c r="D1441" s="5"/>
      <c r="E1441" s="4"/>
      <c r="F1441" s="5"/>
    </row>
    <row r="1442" spans="2:6">
      <c r="B1442" s="1"/>
      <c r="C1442" s="19"/>
      <c r="D1442" s="5"/>
      <c r="E1442" s="4"/>
      <c r="F1442" s="8"/>
    </row>
    <row r="1443" spans="2:6">
      <c r="B1443" s="1"/>
      <c r="C1443" s="19"/>
      <c r="D1443" s="5"/>
      <c r="E1443" s="4"/>
      <c r="F1443" s="8">
        <f>ROUND(D1443*E1443,0)</f>
        <v>0</v>
      </c>
    </row>
    <row r="1444" spans="2:6">
      <c r="B1444" s="1"/>
      <c r="C1444" s="19"/>
      <c r="D1444" s="5"/>
      <c r="E1444" s="4"/>
      <c r="F1444" s="8">
        <f>ROUND(D1444*E1444,0)</f>
        <v>0</v>
      </c>
    </row>
    <row r="1445" spans="2:6">
      <c r="B1445" s="1"/>
      <c r="C1445" s="19"/>
      <c r="D1445" s="5"/>
      <c r="E1445" s="4"/>
      <c r="F1445" s="8">
        <f>ROUND(D1445*E1445,0)</f>
        <v>0</v>
      </c>
    </row>
    <row r="1446" spans="2:6">
      <c r="B1446" s="7"/>
      <c r="C1446" s="53"/>
      <c r="D1446" s="5"/>
      <c r="E1446" s="4"/>
      <c r="F1446" s="5"/>
    </row>
    <row r="1447" spans="2:6">
      <c r="B1447" s="6" t="str">
        <f>B1439&amp;"  -  celkem"</f>
        <v>Hromosvod a uzemnění  -  celkem</v>
      </c>
      <c r="C1447" s="53"/>
      <c r="D1447" s="5"/>
      <c r="E1447" s="4"/>
      <c r="F1447" s="3">
        <f>SUM(F1439:F1446)</f>
        <v>0</v>
      </c>
    </row>
    <row r="1448" spans="2:6">
      <c r="B1448" s="19"/>
      <c r="C1448" s="19"/>
      <c r="D1448" s="5"/>
      <c r="E1448" s="4"/>
      <c r="F1448" s="19"/>
    </row>
    <row r="1449" spans="2:6">
      <c r="B1449" s="19"/>
      <c r="C1449" s="19"/>
      <c r="D1449" s="5"/>
      <c r="E1449" s="4"/>
      <c r="F1449" s="19"/>
    </row>
    <row r="1450" spans="2:6">
      <c r="B1450" s="19"/>
      <c r="C1450" s="19"/>
      <c r="D1450" s="5"/>
      <c r="E1450" s="4"/>
      <c r="F1450" s="19"/>
    </row>
    <row r="1451" spans="2:6">
      <c r="B1451" s="19"/>
      <c r="C1451" s="19"/>
      <c r="D1451" s="5"/>
      <c r="E1451" s="4"/>
      <c r="F1451" s="19"/>
    </row>
    <row r="1452" spans="2:6">
      <c r="B1452" s="19"/>
      <c r="C1452" s="19"/>
      <c r="D1452" s="5"/>
      <c r="E1452" s="4"/>
      <c r="F1452" s="19"/>
    </row>
    <row r="1453" spans="2:6">
      <c r="B1453" s="19"/>
      <c r="C1453" s="19"/>
      <c r="D1453" s="5"/>
      <c r="E1453" s="4"/>
      <c r="F1453" s="19"/>
    </row>
    <row r="1454" spans="2:6" ht="18.75">
      <c r="B1454" s="11" t="str">
        <f>R_72</f>
        <v>Rozváděče</v>
      </c>
      <c r="C1454" s="19"/>
      <c r="D1454" s="5"/>
      <c r="E1454" s="4"/>
      <c r="F1454" s="5"/>
    </row>
    <row r="1455" spans="2:6">
      <c r="B1455" s="7"/>
      <c r="C1455" s="19"/>
      <c r="D1455" s="5"/>
      <c r="E1455" s="4"/>
      <c r="F1455" s="5"/>
    </row>
    <row r="1456" spans="2:6" ht="45">
      <c r="B1456" s="31" t="s">
        <v>70</v>
      </c>
      <c r="C1456" s="19"/>
      <c r="D1456" s="5"/>
      <c r="E1456" s="4"/>
      <c r="F1456" s="5"/>
    </row>
    <row r="1457" spans="2:6">
      <c r="B1457" s="7"/>
      <c r="C1457" s="19"/>
      <c r="D1457" s="5"/>
      <c r="E1457" s="4"/>
      <c r="F1457" s="5"/>
    </row>
    <row r="1458" spans="2:6">
      <c r="B1458" s="1"/>
      <c r="C1458" s="19"/>
      <c r="D1458" s="5"/>
      <c r="E1458" s="4"/>
      <c r="F1458" s="8">
        <f>ROUND(D1458*E1458,0)</f>
        <v>0</v>
      </c>
    </row>
    <row r="1459" spans="2:6">
      <c r="B1459" s="1"/>
      <c r="C1459" s="19"/>
      <c r="D1459" s="5"/>
      <c r="E1459" s="4"/>
      <c r="F1459" s="8">
        <f>ROUND(D1459*E1459,0)</f>
        <v>0</v>
      </c>
    </row>
    <row r="1460" spans="2:6">
      <c r="B1460" s="1"/>
      <c r="C1460" s="19"/>
      <c r="D1460" s="5"/>
      <c r="E1460" s="4"/>
      <c r="F1460" s="8">
        <f>ROUND(D1460*E1460,0)</f>
        <v>0</v>
      </c>
    </row>
    <row r="1461" spans="2:6">
      <c r="B1461" s="7"/>
      <c r="C1461" s="19"/>
      <c r="D1461" s="5"/>
      <c r="E1461" s="4"/>
      <c r="F1461" s="5"/>
    </row>
    <row r="1462" spans="2:6">
      <c r="B1462" s="6" t="str">
        <f>B1454&amp;"  -  celkem"</f>
        <v>Rozváděče  -  celkem</v>
      </c>
      <c r="C1462" s="19"/>
      <c r="D1462" s="5"/>
      <c r="E1462" s="4"/>
      <c r="F1462" s="3">
        <f>SUM(F1454:F1461)</f>
        <v>0</v>
      </c>
    </row>
    <row r="1463" spans="2:6">
      <c r="B1463" s="19"/>
      <c r="C1463" s="19"/>
      <c r="D1463" s="5"/>
      <c r="E1463" s="4"/>
      <c r="F1463" s="19"/>
    </row>
    <row r="1464" spans="2:6">
      <c r="B1464" s="19"/>
      <c r="C1464" s="19"/>
      <c r="D1464" s="5"/>
      <c r="E1464" s="4"/>
      <c r="F1464" s="19"/>
    </row>
    <row r="1465" spans="2:6">
      <c r="B1465" s="19"/>
      <c r="C1465" s="19"/>
      <c r="D1465" s="5"/>
      <c r="E1465" s="4"/>
      <c r="F1465" s="19"/>
    </row>
    <row r="1466" spans="2:6">
      <c r="B1466" s="19"/>
      <c r="C1466" s="19"/>
      <c r="D1466" s="5"/>
      <c r="E1466" s="4"/>
      <c r="F1466" s="19"/>
    </row>
    <row r="1467" spans="2:6">
      <c r="B1467" s="19"/>
      <c r="C1467" s="19"/>
      <c r="D1467" s="5"/>
      <c r="E1467" s="4"/>
      <c r="F1467" s="19"/>
    </row>
    <row r="1468" spans="2:6">
      <c r="B1468" s="19"/>
      <c r="C1468" s="19"/>
      <c r="D1468" s="5"/>
      <c r="E1468" s="4"/>
      <c r="F1468" s="19"/>
    </row>
    <row r="1469" spans="2:6" ht="18.75">
      <c r="B1469" s="11" t="str">
        <f>R_73</f>
        <v>Domácí audiotelefon - FERMAX</v>
      </c>
      <c r="C1469" s="19"/>
      <c r="D1469" s="5"/>
      <c r="E1469" s="4"/>
      <c r="F1469" s="5"/>
    </row>
    <row r="1470" spans="2:6">
      <c r="B1470" s="7"/>
      <c r="C1470" s="19"/>
      <c r="D1470" s="5"/>
      <c r="E1470" s="4"/>
      <c r="F1470" s="5"/>
    </row>
    <row r="1471" spans="2:6" ht="45">
      <c r="B1471" s="31" t="s">
        <v>70</v>
      </c>
      <c r="C1471" s="19"/>
      <c r="D1471" s="5"/>
      <c r="E1471" s="4"/>
      <c r="F1471" s="5"/>
    </row>
    <row r="1472" spans="2:6">
      <c r="B1472" s="7"/>
      <c r="C1472" s="19"/>
      <c r="D1472" s="5"/>
      <c r="E1472" s="4"/>
      <c r="F1472" s="5"/>
    </row>
    <row r="1473" spans="2:6">
      <c r="B1473" s="1"/>
      <c r="C1473" s="19"/>
      <c r="D1473" s="5"/>
      <c r="E1473" s="4"/>
      <c r="F1473" s="8">
        <f>ROUND(D1473*E1473,0)</f>
        <v>0</v>
      </c>
    </row>
    <row r="1474" spans="2:6">
      <c r="B1474" s="1"/>
      <c r="C1474" s="19"/>
      <c r="D1474" s="5"/>
      <c r="E1474" s="4"/>
      <c r="F1474" s="8">
        <f>ROUND(D1474*E1474,0)</f>
        <v>0</v>
      </c>
    </row>
    <row r="1475" spans="2:6">
      <c r="B1475" s="1"/>
      <c r="C1475" s="19"/>
      <c r="D1475" s="5"/>
      <c r="E1475" s="4"/>
      <c r="F1475" s="8">
        <f>ROUND(D1475*E1475,0)</f>
        <v>0</v>
      </c>
    </row>
    <row r="1476" spans="2:6">
      <c r="B1476" s="7"/>
      <c r="C1476" s="19"/>
      <c r="D1476" s="5"/>
      <c r="E1476" s="4"/>
      <c r="F1476" s="5"/>
    </row>
    <row r="1477" spans="2:6">
      <c r="B1477" s="6" t="str">
        <f>B1469&amp;"  -  celkem"</f>
        <v>Domácí audiotelefon - FERMAX  -  celkem</v>
      </c>
      <c r="C1477" s="19"/>
      <c r="D1477" s="5"/>
      <c r="E1477" s="4"/>
      <c r="F1477" s="3">
        <f>SUM(F1469:F1476)</f>
        <v>0</v>
      </c>
    </row>
    <row r="1478" spans="2:6">
      <c r="B1478" s="19"/>
      <c r="C1478" s="19"/>
      <c r="D1478" s="5"/>
      <c r="E1478" s="4"/>
      <c r="F1478" s="19"/>
    </row>
    <row r="1479" spans="2:6">
      <c r="B1479" s="19"/>
      <c r="C1479" s="19"/>
      <c r="D1479" s="5"/>
      <c r="E1479" s="4"/>
      <c r="F1479" s="19"/>
    </row>
    <row r="1480" spans="2:6">
      <c r="B1480" s="19"/>
      <c r="C1480" s="19"/>
      <c r="D1480" s="5"/>
      <c r="E1480" s="4"/>
      <c r="F1480" s="19"/>
    </row>
    <row r="1481" spans="2:6">
      <c r="B1481" s="19"/>
      <c r="C1481" s="19"/>
      <c r="D1481" s="5"/>
      <c r="E1481" s="4"/>
      <c r="F1481" s="19"/>
    </row>
    <row r="1482" spans="2:6">
      <c r="B1482" s="19"/>
      <c r="C1482" s="19"/>
      <c r="D1482" s="5"/>
      <c r="E1482" s="4"/>
      <c r="F1482" s="19"/>
    </row>
    <row r="1483" spans="2:6">
      <c r="B1483" s="19"/>
      <c r="C1483" s="19"/>
      <c r="D1483" s="5"/>
      <c r="E1483" s="4"/>
      <c r="F1483" s="19"/>
    </row>
    <row r="1484" spans="2:6" ht="18.75">
      <c r="B1484" s="11" t="str">
        <f>R_74</f>
        <v>STA - ALCAD</v>
      </c>
      <c r="C1484" s="19"/>
      <c r="D1484" s="5"/>
      <c r="E1484" s="4"/>
      <c r="F1484" s="5"/>
    </row>
    <row r="1485" spans="2:6">
      <c r="B1485" s="7"/>
      <c r="C1485" s="19"/>
      <c r="D1485" s="5"/>
      <c r="E1485" s="4"/>
      <c r="F1485" s="5"/>
    </row>
    <row r="1486" spans="2:6" ht="45">
      <c r="B1486" s="31" t="s">
        <v>82</v>
      </c>
      <c r="C1486" s="19"/>
      <c r="D1486" s="5"/>
      <c r="E1486" s="4"/>
      <c r="F1486" s="5"/>
    </row>
    <row r="1487" spans="2:6">
      <c r="B1487" s="5"/>
      <c r="C1487" s="19"/>
      <c r="D1487" s="5"/>
      <c r="E1487" s="4"/>
      <c r="F1487" s="5"/>
    </row>
    <row r="1488" spans="2:6">
      <c r="B1488" s="7"/>
      <c r="C1488" s="19"/>
      <c r="D1488" s="5"/>
      <c r="E1488" s="4"/>
      <c r="F1488" s="5"/>
    </row>
    <row r="1489" spans="2:6">
      <c r="B1489" s="1"/>
      <c r="C1489" s="19"/>
      <c r="D1489" s="5"/>
      <c r="E1489" s="4"/>
      <c r="F1489" s="8">
        <f>ROUND(D1489*E1489,0)</f>
        <v>0</v>
      </c>
    </row>
    <row r="1490" spans="2:6">
      <c r="B1490" s="1"/>
      <c r="C1490" s="19"/>
      <c r="D1490" s="5"/>
      <c r="E1490" s="4"/>
      <c r="F1490" s="8">
        <f>ROUND(D1490*E1490,0)</f>
        <v>0</v>
      </c>
    </row>
    <row r="1491" spans="2:6">
      <c r="B1491" s="1"/>
      <c r="C1491" s="19"/>
      <c r="D1491" s="5"/>
      <c r="E1491" s="4"/>
      <c r="F1491" s="8">
        <f>ROUND(D1491*E1491,0)</f>
        <v>0</v>
      </c>
    </row>
    <row r="1492" spans="2:6">
      <c r="B1492" s="7"/>
      <c r="C1492" s="19"/>
      <c r="D1492" s="5"/>
      <c r="E1492" s="4"/>
      <c r="F1492" s="5"/>
    </row>
    <row r="1493" spans="2:6">
      <c r="B1493" s="6" t="str">
        <f>B1484&amp;"  -  celkem"</f>
        <v>STA - ALCAD  -  celkem</v>
      </c>
      <c r="C1493" s="19"/>
      <c r="D1493" s="5"/>
      <c r="E1493" s="4"/>
      <c r="F1493" s="3">
        <f>SUM(F1484:F1492)</f>
        <v>0</v>
      </c>
    </row>
    <row r="1494" spans="2:6">
      <c r="B1494" s="19"/>
      <c r="C1494" s="19"/>
      <c r="D1494" s="5"/>
      <c r="E1494" s="4"/>
      <c r="F1494" s="19"/>
    </row>
    <row r="1495" spans="2:6">
      <c r="B1495" s="19"/>
      <c r="C1495" s="19"/>
      <c r="D1495" s="5"/>
      <c r="E1495" s="4"/>
      <c r="F1495" s="19"/>
    </row>
    <row r="1496" spans="2:6">
      <c r="B1496" s="19"/>
      <c r="C1496" s="19"/>
      <c r="D1496" s="5"/>
      <c r="E1496" s="4"/>
      <c r="F1496" s="19"/>
    </row>
    <row r="1497" spans="2:6">
      <c r="B1497" s="19"/>
      <c r="C1497" s="19"/>
      <c r="D1497" s="5"/>
      <c r="E1497" s="4"/>
      <c r="F1497" s="19"/>
    </row>
    <row r="1498" spans="2:6">
      <c r="B1498" s="19"/>
      <c r="C1498" s="19"/>
      <c r="D1498" s="5"/>
      <c r="E1498" s="4"/>
      <c r="F1498" s="19"/>
    </row>
    <row r="1499" spans="2:6">
      <c r="B1499" s="19"/>
      <c r="C1499" s="19"/>
      <c r="D1499" s="5"/>
      <c r="E1499" s="4"/>
      <c r="F1499" s="19"/>
    </row>
    <row r="1500" spans="2:6" ht="18.75">
      <c r="B1500" s="11" t="str">
        <f>R_75</f>
        <v>Telefonní rozvody</v>
      </c>
      <c r="C1500" s="19"/>
      <c r="D1500" s="5"/>
      <c r="E1500" s="4"/>
      <c r="F1500" s="5"/>
    </row>
    <row r="1501" spans="2:6">
      <c r="B1501" s="7"/>
      <c r="C1501" s="19"/>
      <c r="D1501" s="5"/>
      <c r="E1501" s="4"/>
      <c r="F1501" s="5"/>
    </row>
    <row r="1502" spans="2:6" ht="45">
      <c r="B1502" s="31" t="s">
        <v>82</v>
      </c>
      <c r="C1502" s="19"/>
      <c r="D1502" s="5"/>
      <c r="E1502" s="4"/>
      <c r="F1502" s="5"/>
    </row>
    <row r="1503" spans="2:6">
      <c r="B1503" s="50"/>
      <c r="C1503" s="19"/>
      <c r="D1503" s="5"/>
      <c r="E1503" s="4"/>
      <c r="F1503" s="8"/>
    </row>
    <row r="1504" spans="2:6">
      <c r="B1504" s="50"/>
      <c r="C1504" s="19"/>
      <c r="D1504" s="5"/>
      <c r="E1504" s="4"/>
      <c r="F1504" s="8"/>
    </row>
    <row r="1505" spans="2:6">
      <c r="B1505" s="1"/>
      <c r="C1505" s="19"/>
      <c r="D1505" s="5"/>
      <c r="E1505" s="4"/>
      <c r="F1505" s="8">
        <f>ROUND(D1505*E1505,0)</f>
        <v>0</v>
      </c>
    </row>
    <row r="1506" spans="2:6">
      <c r="B1506" s="1"/>
      <c r="C1506" s="19"/>
      <c r="D1506" s="5"/>
      <c r="E1506" s="4"/>
      <c r="F1506" s="8">
        <f>ROUND(D1506*E1506,0)</f>
        <v>0</v>
      </c>
    </row>
    <row r="1507" spans="2:6">
      <c r="B1507" s="1"/>
      <c r="C1507" s="19"/>
      <c r="D1507" s="5"/>
      <c r="E1507" s="4"/>
      <c r="F1507" s="8">
        <f>ROUND(D1507*E1507,0)</f>
        <v>0</v>
      </c>
    </row>
    <row r="1508" spans="2:6">
      <c r="B1508" s="7"/>
      <c r="C1508" s="19"/>
      <c r="D1508" s="5"/>
      <c r="E1508" s="4"/>
      <c r="F1508" s="5"/>
    </row>
    <row r="1509" spans="2:6">
      <c r="B1509" s="6" t="str">
        <f>B1500&amp;"  -  celkem"</f>
        <v>Telefonní rozvody  -  celkem</v>
      </c>
      <c r="C1509" s="19"/>
      <c r="D1509" s="5"/>
      <c r="E1509" s="4"/>
      <c r="F1509" s="3">
        <f>SUM(F1500:F1508)</f>
        <v>0</v>
      </c>
    </row>
    <row r="1510" spans="2:6">
      <c r="B1510" s="19"/>
      <c r="C1510" s="19"/>
      <c r="D1510" s="5"/>
      <c r="E1510" s="4"/>
      <c r="F1510" s="19"/>
    </row>
    <row r="1511" spans="2:6">
      <c r="B1511" s="19"/>
      <c r="C1511" s="19"/>
      <c r="D1511" s="5"/>
      <c r="E1511" s="4"/>
      <c r="F1511" s="19"/>
    </row>
    <row r="1512" spans="2:6">
      <c r="B1512" s="19"/>
      <c r="C1512" s="19"/>
      <c r="D1512" s="5"/>
      <c r="E1512" s="4"/>
      <c r="F1512" s="19"/>
    </row>
    <row r="1513" spans="2:6">
      <c r="B1513" s="19"/>
      <c r="C1513" s="19"/>
      <c r="D1513" s="5"/>
      <c r="E1513" s="4"/>
      <c r="F1513" s="19"/>
    </row>
    <row r="1514" spans="2:6">
      <c r="B1514" s="19"/>
      <c r="C1514" s="19"/>
      <c r="D1514" s="5"/>
      <c r="E1514" s="4"/>
      <c r="F1514" s="19"/>
    </row>
    <row r="1515" spans="2:6">
      <c r="B1515" s="19"/>
      <c r="C1515" s="19"/>
      <c r="D1515" s="5"/>
      <c r="E1515" s="4"/>
      <c r="F1515" s="19"/>
    </row>
    <row r="1516" spans="2:6" ht="18.75">
      <c r="B1516" s="11" t="str">
        <f>R_76</f>
        <v>Elektronická zabezpečovací signalizace - EZS</v>
      </c>
      <c r="C1516" s="19"/>
      <c r="D1516" s="5"/>
      <c r="E1516" s="4"/>
      <c r="F1516" s="5"/>
    </row>
    <row r="1517" spans="2:6">
      <c r="B1517" s="7"/>
      <c r="C1517" s="19"/>
      <c r="D1517" s="5"/>
      <c r="E1517" s="4"/>
      <c r="F1517" s="5"/>
    </row>
    <row r="1518" spans="2:6" ht="45">
      <c r="B1518" s="31" t="s">
        <v>82</v>
      </c>
      <c r="C1518" s="19"/>
      <c r="D1518" s="5"/>
      <c r="E1518" s="4"/>
      <c r="F1518" s="5"/>
    </row>
    <row r="1519" spans="2:6">
      <c r="B1519" s="7"/>
      <c r="C1519" s="19"/>
      <c r="D1519" s="5"/>
      <c r="E1519" s="4"/>
      <c r="F1519" s="5"/>
    </row>
    <row r="1520" spans="2:6">
      <c r="B1520" s="7"/>
      <c r="C1520" s="19"/>
      <c r="D1520" s="5"/>
      <c r="E1520" s="4"/>
      <c r="F1520" s="5"/>
    </row>
    <row r="1521" spans="2:6">
      <c r="B1521" s="1"/>
      <c r="C1521" s="19"/>
      <c r="D1521" s="5"/>
      <c r="E1521" s="4"/>
      <c r="F1521" s="8">
        <f>ROUND(D1521*E1521,0)</f>
        <v>0</v>
      </c>
    </row>
    <row r="1522" spans="2:6">
      <c r="B1522" s="1"/>
      <c r="C1522" s="19"/>
      <c r="D1522" s="5"/>
      <c r="E1522" s="4"/>
      <c r="F1522" s="8">
        <f>ROUND(D1522*E1522,0)</f>
        <v>0</v>
      </c>
    </row>
    <row r="1523" spans="2:6">
      <c r="B1523" s="1"/>
      <c r="C1523" s="19"/>
      <c r="D1523" s="5"/>
      <c r="E1523" s="4"/>
      <c r="F1523" s="8">
        <f>ROUND(D1523*E1523,0)</f>
        <v>0</v>
      </c>
    </row>
    <row r="1524" spans="2:6">
      <c r="B1524" s="7"/>
      <c r="C1524" s="19"/>
      <c r="D1524" s="5"/>
      <c r="E1524" s="4"/>
      <c r="F1524" s="5"/>
    </row>
    <row r="1525" spans="2:6">
      <c r="B1525" s="28" t="s">
        <v>73</v>
      </c>
      <c r="C1525" s="19"/>
      <c r="D1525" s="5"/>
      <c r="E1525" s="4"/>
      <c r="F1525" s="5"/>
    </row>
    <row r="1526" spans="2:6" ht="54">
      <c r="B1526" s="32" t="s">
        <v>74</v>
      </c>
      <c r="C1526" s="19"/>
      <c r="D1526" s="5"/>
      <c r="E1526" s="4"/>
      <c r="F1526" s="5"/>
    </row>
    <row r="1527" spans="2:6" ht="18">
      <c r="B1527" s="32" t="s">
        <v>75</v>
      </c>
      <c r="C1527" s="19"/>
      <c r="D1527" s="5"/>
      <c r="E1527" s="4"/>
      <c r="F1527" s="5"/>
    </row>
    <row r="1528" spans="2:6" ht="18">
      <c r="B1528" s="32" t="s">
        <v>76</v>
      </c>
      <c r="C1528" s="19"/>
      <c r="D1528" s="5"/>
      <c r="E1528" s="4"/>
      <c r="F1528" s="5"/>
    </row>
    <row r="1529" spans="2:6" ht="18">
      <c r="B1529" s="32" t="s">
        <v>77</v>
      </c>
      <c r="C1529" s="19"/>
      <c r="D1529" s="5"/>
      <c r="E1529" s="4"/>
      <c r="F1529" s="5"/>
    </row>
    <row r="1530" spans="2:6" ht="36">
      <c r="B1530" s="32" t="s">
        <v>78</v>
      </c>
      <c r="C1530" s="19"/>
      <c r="D1530" s="5"/>
      <c r="E1530" s="4"/>
      <c r="F1530" s="5"/>
    </row>
    <row r="1531" spans="2:6" ht="18">
      <c r="B1531" s="32" t="s">
        <v>79</v>
      </c>
      <c r="C1531" s="19"/>
      <c r="D1531" s="5"/>
      <c r="E1531" s="4"/>
      <c r="F1531" s="5"/>
    </row>
    <row r="1532" spans="2:6" ht="18">
      <c r="B1532" s="32" t="s">
        <v>80</v>
      </c>
      <c r="C1532" s="19"/>
      <c r="D1532" s="5"/>
      <c r="E1532" s="4"/>
      <c r="F1532" s="5"/>
    </row>
    <row r="1533" spans="2:6">
      <c r="B1533" s="32" t="s">
        <v>81</v>
      </c>
      <c r="C1533" s="19"/>
      <c r="D1533" s="5"/>
      <c r="E1533" s="4"/>
      <c r="F1533" s="5"/>
    </row>
    <row r="1534" spans="2:6">
      <c r="B1534" s="7"/>
      <c r="C1534" s="19"/>
      <c r="D1534" s="5"/>
      <c r="E1534" s="4"/>
      <c r="F1534" s="5"/>
    </row>
    <row r="1535" spans="2:6">
      <c r="B1535" s="6" t="str">
        <f>B1516&amp;"  -  celkem"</f>
        <v>Elektronická zabezpečovací signalizace - EZS  -  celkem</v>
      </c>
      <c r="C1535" s="19"/>
      <c r="D1535" s="5"/>
      <c r="E1535" s="4"/>
      <c r="F1535" s="3">
        <f>SUM(F1516:F1534)</f>
        <v>0</v>
      </c>
    </row>
    <row r="1536" spans="2:6">
      <c r="B1536" s="19"/>
      <c r="C1536" s="19"/>
      <c r="D1536" s="5"/>
      <c r="E1536" s="4"/>
      <c r="F1536" s="19"/>
    </row>
    <row r="1537" spans="2:6">
      <c r="B1537" s="19"/>
      <c r="C1537" s="19"/>
      <c r="D1537" s="5"/>
      <c r="E1537" s="4"/>
      <c r="F1537" s="19"/>
    </row>
    <row r="1538" spans="2:6">
      <c r="B1538" s="19"/>
      <c r="C1538" s="19"/>
      <c r="D1538" s="5"/>
      <c r="E1538" s="4"/>
      <c r="F1538" s="19"/>
    </row>
    <row r="1539" spans="2:6">
      <c r="B1539" s="19"/>
      <c r="C1539" s="19"/>
      <c r="D1539" s="5"/>
      <c r="E1539" s="4"/>
      <c r="F1539" s="19"/>
    </row>
    <row r="1540" spans="2:6">
      <c r="B1540" s="19"/>
      <c r="C1540" s="19"/>
      <c r="D1540" s="5"/>
      <c r="E1540" s="4"/>
      <c r="F1540" s="19"/>
    </row>
    <row r="1541" spans="2:6">
      <c r="B1541" s="19"/>
      <c r="C1541" s="19"/>
      <c r="D1541" s="5"/>
      <c r="E1541" s="4"/>
      <c r="F1541" s="19"/>
    </row>
    <row r="1542" spans="2:6" ht="18.75">
      <c r="B1542" s="11" t="str">
        <f>R_77</f>
        <v>Páteřní rozvody</v>
      </c>
      <c r="C1542" s="19"/>
      <c r="D1542" s="5"/>
      <c r="E1542" s="4"/>
      <c r="F1542" s="5"/>
    </row>
    <row r="1543" spans="2:6">
      <c r="B1543" s="7"/>
      <c r="C1543" s="19"/>
      <c r="D1543" s="5"/>
      <c r="E1543" s="4"/>
      <c r="F1543" s="5"/>
    </row>
    <row r="1544" spans="2:6" ht="45">
      <c r="B1544" s="31" t="s">
        <v>82</v>
      </c>
      <c r="C1544" s="19"/>
      <c r="D1544" s="5"/>
      <c r="E1544" s="4"/>
      <c r="F1544" s="5"/>
    </row>
    <row r="1545" spans="2:6" ht="56.25">
      <c r="B1545" s="31" t="s">
        <v>83</v>
      </c>
      <c r="C1545" s="19"/>
      <c r="D1545" s="5"/>
      <c r="E1545" s="4"/>
      <c r="F1545" s="5"/>
    </row>
    <row r="1546" spans="2:6">
      <c r="B1546" s="7"/>
      <c r="C1546" s="19"/>
      <c r="D1546" s="5"/>
      <c r="E1546" s="4"/>
      <c r="F1546" s="5"/>
    </row>
    <row r="1547" spans="2:6">
      <c r="B1547" s="7"/>
      <c r="C1547" s="19"/>
      <c r="D1547" s="5"/>
      <c r="E1547" s="4"/>
      <c r="F1547" s="5"/>
    </row>
    <row r="1548" spans="2:6">
      <c r="B1548" s="1"/>
      <c r="C1548" s="19"/>
      <c r="D1548" s="5"/>
      <c r="E1548" s="4"/>
      <c r="F1548" s="8">
        <f>ROUND(D1548*E1548,0)</f>
        <v>0</v>
      </c>
    </row>
    <row r="1549" spans="2:6">
      <c r="B1549" s="7"/>
      <c r="C1549" s="19"/>
      <c r="D1549" s="5"/>
      <c r="E1549" s="4"/>
      <c r="F1549" s="5"/>
    </row>
    <row r="1550" spans="2:6">
      <c r="B1550" s="6" t="str">
        <f>B1542&amp;"  -  celkem"</f>
        <v>Páteřní rozvody  -  celkem</v>
      </c>
      <c r="C1550" s="19"/>
      <c r="D1550" s="5"/>
      <c r="E1550" s="4"/>
      <c r="F1550" s="3">
        <f>SUM(F1542:F1549)</f>
        <v>0</v>
      </c>
    </row>
    <row r="1551" spans="2:6">
      <c r="D1551" s="5"/>
      <c r="E1551" s="4"/>
    </row>
    <row r="1552" spans="2:6">
      <c r="D1552" s="5"/>
      <c r="E1552" s="4"/>
    </row>
    <row r="1553" spans="2:6">
      <c r="D1553" s="5"/>
      <c r="E1553" s="4"/>
    </row>
    <row r="1554" spans="2:6">
      <c r="D1554" s="5"/>
      <c r="E1554" s="4"/>
    </row>
    <row r="1555" spans="2:6">
      <c r="D1555" s="5"/>
      <c r="E1555" s="4"/>
    </row>
    <row r="1556" spans="2:6">
      <c r="D1556" s="5"/>
      <c r="E1556" s="4"/>
    </row>
    <row r="1557" spans="2:6" ht="18.75">
      <c r="B1557" s="11" t="str">
        <f>R_46</f>
        <v>9600 - Náklady ze sousedství</v>
      </c>
      <c r="C1557" s="19"/>
      <c r="D1557" s="5"/>
      <c r="E1557" s="4"/>
      <c r="F1557" s="5"/>
    </row>
    <row r="1558" spans="2:6">
      <c r="B1558" s="7"/>
      <c r="C1558" s="19"/>
      <c r="D1558" s="5"/>
      <c r="E1558" s="4"/>
      <c r="F1558" s="4"/>
    </row>
    <row r="1559" spans="2:6">
      <c r="B1559" s="7"/>
      <c r="C1559" s="19"/>
      <c r="D1559" s="5"/>
      <c r="E1559" s="4"/>
      <c r="F1559" s="5"/>
    </row>
    <row r="1560" spans="2:6">
      <c r="B1560" s="1"/>
      <c r="C1560" s="19"/>
      <c r="D1560" s="9"/>
      <c r="E1560" s="4"/>
      <c r="F1560" s="8">
        <f>ROUND(D1560*E1560,0)</f>
        <v>0</v>
      </c>
    </row>
    <row r="1561" spans="2:6">
      <c r="B1561" s="119"/>
      <c r="C1561" s="19"/>
      <c r="D1561" s="9"/>
      <c r="E1561" s="4"/>
      <c r="F1561" s="8">
        <f>ROUND(D1561*E1561,0)</f>
        <v>0</v>
      </c>
    </row>
    <row r="1562" spans="2:6">
      <c r="B1562" s="1"/>
      <c r="C1562" s="19"/>
      <c r="D1562" s="9"/>
      <c r="E1562" s="4"/>
      <c r="F1562" s="8">
        <f>ROUND(D1562*E1562,0)</f>
        <v>0</v>
      </c>
    </row>
    <row r="1563" spans="2:6">
      <c r="B1563" s="7"/>
      <c r="C1563" s="19"/>
      <c r="D1563" s="5"/>
      <c r="E1563" s="4"/>
      <c r="F1563" s="5"/>
    </row>
    <row r="1564" spans="2:6">
      <c r="B1564" s="6" t="str">
        <f>B1557&amp;"  -  celkem"</f>
        <v>9600 - Náklady ze sousedství  -  celkem</v>
      </c>
      <c r="C1564" s="19"/>
      <c r="D1564" s="5"/>
      <c r="E1564" s="4"/>
      <c r="F1564" s="3">
        <f>SUM(F1557:F1563)</f>
        <v>0</v>
      </c>
    </row>
    <row r="1567" spans="2:6">
      <c r="B1567" s="19"/>
      <c r="C1567" s="19"/>
      <c r="D1567" s="19"/>
      <c r="E1567" s="19"/>
      <c r="F1567" s="19"/>
    </row>
    <row r="1568" spans="2:6">
      <c r="B1568" s="19"/>
      <c r="C1568" s="19"/>
      <c r="D1568" s="19"/>
      <c r="E1568" s="19"/>
      <c r="F1568" s="19"/>
    </row>
    <row r="1569" spans="2:6">
      <c r="B1569" s="19"/>
      <c r="C1569" s="19"/>
      <c r="D1569" s="19"/>
      <c r="E1569" s="19"/>
      <c r="F1569" s="19"/>
    </row>
    <row r="1570" spans="2:6" ht="18.75">
      <c r="B1570" s="11" t="str">
        <f>R_50</f>
        <v>4350 - Obklady stěn</v>
      </c>
      <c r="C1570" s="19"/>
      <c r="D1570" s="5"/>
      <c r="E1570" s="4"/>
      <c r="F1570" s="5"/>
    </row>
    <row r="1571" spans="2:6">
      <c r="B1571" s="7"/>
      <c r="C1571" s="19"/>
      <c r="D1571" s="5"/>
      <c r="E1571" s="4"/>
      <c r="F1571" s="5"/>
    </row>
    <row r="1572" spans="2:6">
      <c r="B1572" s="7"/>
      <c r="C1572" s="19"/>
      <c r="D1572" s="5"/>
      <c r="E1572" s="4"/>
      <c r="F1572" s="5"/>
    </row>
    <row r="1573" spans="2:6">
      <c r="B1573" s="1"/>
      <c r="C1573" s="19"/>
      <c r="D1573" s="9"/>
      <c r="E1573" s="4"/>
      <c r="F1573" s="8">
        <f>ROUND(D1573*E1573,0)</f>
        <v>0</v>
      </c>
    </row>
    <row r="1574" spans="2:6">
      <c r="B1574" s="1"/>
      <c r="C1574" s="19"/>
      <c r="D1574" s="9"/>
      <c r="E1574" s="4"/>
      <c r="F1574" s="8">
        <f>ROUND(D1574*E1574,0)</f>
        <v>0</v>
      </c>
    </row>
    <row r="1575" spans="2:6">
      <c r="B1575" s="7"/>
      <c r="C1575" s="19"/>
      <c r="D1575" s="5"/>
      <c r="E1575" s="4"/>
      <c r="F1575" s="5"/>
    </row>
    <row r="1576" spans="2:6">
      <c r="B1576" s="6" t="str">
        <f>B1570&amp;"  -  celkem"</f>
        <v>4350 - Obklady stěn  -  celkem</v>
      </c>
      <c r="C1576" s="19"/>
      <c r="D1576" s="5"/>
      <c r="E1576" s="4"/>
      <c r="F1576" s="3">
        <f>SUM(F1570:F1575)</f>
        <v>0</v>
      </c>
    </row>
    <row r="1577" spans="2:6">
      <c r="B1577" s="19"/>
      <c r="C1577" s="19"/>
      <c r="D1577" s="19"/>
      <c r="E1577" s="19"/>
      <c r="F1577" s="19"/>
    </row>
    <row r="1578" spans="2:6">
      <c r="B1578" s="19"/>
      <c r="C1578" s="19"/>
      <c r="D1578" s="19"/>
      <c r="E1578" s="19"/>
      <c r="F1578" s="19"/>
    </row>
    <row r="1579" spans="2:6">
      <c r="B1579" s="19"/>
      <c r="C1579" s="19"/>
      <c r="D1579" s="19"/>
      <c r="E1579" s="19"/>
      <c r="F1579" s="19"/>
    </row>
    <row r="1580" spans="2:6">
      <c r="B1580" s="19"/>
      <c r="C1580" s="19"/>
      <c r="D1580" s="19"/>
      <c r="E1580" s="19"/>
      <c r="F1580" s="19"/>
    </row>
    <row r="1581" spans="2:6">
      <c r="B1581" s="19"/>
      <c r="C1581" s="19"/>
      <c r="D1581" s="19"/>
      <c r="E1581" s="19"/>
      <c r="F1581" s="19"/>
    </row>
    <row r="1582" spans="2:6">
      <c r="B1582" s="19"/>
      <c r="C1582" s="19"/>
      <c r="D1582" s="19"/>
      <c r="E1582" s="19"/>
      <c r="F1582" s="19"/>
    </row>
    <row r="1583" spans="2:6" ht="18.75">
      <c r="B1583" s="11" t="str">
        <f>R_51</f>
        <v>4500 - Ostatní dokončující práce</v>
      </c>
      <c r="C1583" s="19"/>
      <c r="D1583" s="5"/>
      <c r="E1583" s="4"/>
      <c r="F1583" s="5"/>
    </row>
    <row r="1584" spans="2:6">
      <c r="B1584" s="7"/>
      <c r="C1584" s="19"/>
      <c r="D1584" s="5"/>
      <c r="E1584" s="4"/>
      <c r="F1584" s="5"/>
    </row>
    <row r="1585" spans="2:6">
      <c r="B1585" s="7"/>
      <c r="C1585" s="19"/>
      <c r="D1585" s="5"/>
      <c r="E1585" s="4"/>
      <c r="F1585" s="5"/>
    </row>
    <row r="1586" spans="2:6">
      <c r="B1586" s="19"/>
      <c r="C1586" s="19"/>
      <c r="D1586" s="19"/>
      <c r="E1586" s="19"/>
      <c r="F1586" s="19"/>
    </row>
    <row r="1587" spans="2:6">
      <c r="B1587" s="19"/>
      <c r="C1587" s="19"/>
      <c r="D1587" s="19"/>
      <c r="E1587" s="19"/>
      <c r="F1587" s="19"/>
    </row>
    <row r="1588" spans="2:6">
      <c r="B1588" s="7"/>
      <c r="C1588" s="19"/>
      <c r="D1588" s="5"/>
      <c r="E1588" s="4"/>
      <c r="F1588" s="5"/>
    </row>
    <row r="1589" spans="2:6">
      <c r="B1589" s="6" t="str">
        <f>B1583&amp;"  -  celkem"</f>
        <v>4500 - Ostatní dokončující práce  -  celkem</v>
      </c>
      <c r="C1589" s="19"/>
      <c r="D1589" s="5"/>
      <c r="E1589" s="4"/>
      <c r="F1589" s="3">
        <f>SUM(F1583:F1588)</f>
        <v>0</v>
      </c>
    </row>
    <row r="1590" spans="2:6">
      <c r="B1590" s="19"/>
      <c r="C1590" s="19"/>
      <c r="D1590" s="19"/>
      <c r="E1590" s="19"/>
      <c r="F1590" s="19"/>
    </row>
    <row r="1591" spans="2:6">
      <c r="B1591" s="19"/>
      <c r="C1591" s="19"/>
      <c r="D1591" s="19"/>
      <c r="E1591" s="19"/>
      <c r="F1591" s="19"/>
    </row>
    <row r="1592" spans="2:6">
      <c r="B1592" s="19"/>
      <c r="C1592" s="19"/>
      <c r="D1592" s="19"/>
      <c r="E1592" s="19"/>
      <c r="F1592" s="19"/>
    </row>
    <row r="1593" spans="2:6">
      <c r="B1593" s="19"/>
      <c r="C1593" s="19"/>
      <c r="D1593" s="19"/>
      <c r="E1593" s="19"/>
      <c r="F1593" s="19"/>
    </row>
    <row r="1594" spans="2:6">
      <c r="B1594" s="19"/>
      <c r="C1594" s="19"/>
      <c r="D1594" s="19"/>
      <c r="E1594" s="19"/>
      <c r="F1594" s="19"/>
    </row>
    <row r="1595" spans="2:6">
      <c r="B1595" s="19"/>
      <c r="C1595" s="19"/>
      <c r="D1595" s="19"/>
      <c r="E1595" s="19"/>
      <c r="F1595" s="19"/>
    </row>
    <row r="1596" spans="2:6" ht="18.75">
      <c r="B1596" s="11" t="str">
        <f>R_81</f>
        <v>4800 - Kompletace stavby</v>
      </c>
      <c r="C1596" s="19"/>
      <c r="D1596" s="5"/>
      <c r="E1596" s="4"/>
      <c r="F1596" s="5"/>
    </row>
    <row r="1597" spans="2:6">
      <c r="B1597" s="7"/>
      <c r="C1597" s="19"/>
      <c r="D1597" s="5"/>
      <c r="E1597" s="4"/>
      <c r="F1597" s="5"/>
    </row>
    <row r="1598" spans="2:6">
      <c r="B1598" s="7"/>
      <c r="C1598" s="19"/>
      <c r="D1598" s="5"/>
      <c r="E1598" s="4"/>
      <c r="F1598" s="5"/>
    </row>
    <row r="1599" spans="2:6">
      <c r="B1599" s="1" t="s">
        <v>631</v>
      </c>
      <c r="C1599" s="19" t="s">
        <v>45</v>
      </c>
      <c r="D1599" s="22"/>
      <c r="E1599" s="17">
        <v>0</v>
      </c>
      <c r="F1599" s="8">
        <f>ROUND(D1599*E1599,0)</f>
        <v>0</v>
      </c>
    </row>
    <row r="1600" spans="2:6">
      <c r="B1600" s="1"/>
      <c r="C1600" s="19"/>
      <c r="D1600" s="9"/>
      <c r="E1600" s="4"/>
      <c r="F1600" s="8"/>
    </row>
    <row r="1601" spans="2:6">
      <c r="B1601" s="14" t="s">
        <v>47</v>
      </c>
      <c r="C1601" s="19"/>
      <c r="D1601" s="9"/>
      <c r="E1601" s="4"/>
      <c r="F1601" s="8"/>
    </row>
    <row r="1602" spans="2:6">
      <c r="B1602" s="1"/>
      <c r="C1602" s="19"/>
      <c r="D1602" s="9"/>
      <c r="E1602" s="4"/>
      <c r="F1602" s="8"/>
    </row>
    <row r="1603" spans="2:6">
      <c r="B1603" s="1" t="s">
        <v>49</v>
      </c>
      <c r="C1603" s="19" t="s">
        <v>43</v>
      </c>
      <c r="D1603" s="9">
        <v>1</v>
      </c>
      <c r="E1603" s="4"/>
      <c r="F1603" s="8">
        <f>ROUND(D1603*E1603,0)</f>
        <v>0</v>
      </c>
    </row>
    <row r="1604" spans="2:6">
      <c r="B1604" s="1" t="s">
        <v>50</v>
      </c>
      <c r="C1604" s="19" t="s">
        <v>43</v>
      </c>
      <c r="D1604" s="9">
        <v>1</v>
      </c>
      <c r="E1604" s="4"/>
      <c r="F1604" s="8">
        <f>ROUND(D1604*E1604,0)</f>
        <v>0</v>
      </c>
    </row>
    <row r="1605" spans="2:6">
      <c r="B1605" s="1" t="s">
        <v>55</v>
      </c>
      <c r="C1605" s="19" t="s">
        <v>43</v>
      </c>
      <c r="D1605" s="9">
        <v>1</v>
      </c>
      <c r="E1605" s="4"/>
      <c r="F1605" s="8">
        <f>ROUND(D1605*E1605,0)</f>
        <v>0</v>
      </c>
    </row>
    <row r="1606" spans="2:6">
      <c r="B1606" s="7"/>
      <c r="C1606" s="19"/>
      <c r="D1606" s="5"/>
      <c r="E1606" s="4"/>
      <c r="F1606" s="5"/>
    </row>
    <row r="1607" spans="2:6">
      <c r="B1607" s="6" t="str">
        <f>B1596&amp;"  -  celkem"</f>
        <v>4800 - Kompletace stavby  -  celkem</v>
      </c>
      <c r="C1607" s="19"/>
      <c r="D1607" s="5"/>
      <c r="E1607" s="4"/>
      <c r="F1607" s="3">
        <f>SUM(F1596:F1606)</f>
        <v>0</v>
      </c>
    </row>
    <row r="1608" spans="2:6">
      <c r="B1608" s="19"/>
      <c r="C1608" s="19"/>
      <c r="D1608" s="19"/>
      <c r="E1608" s="19"/>
      <c r="F1608" s="19"/>
    </row>
    <row r="1609" spans="2:6">
      <c r="B1609" s="19"/>
      <c r="C1609" s="19"/>
      <c r="D1609" s="19"/>
      <c r="E1609" s="19"/>
      <c r="F1609" s="19"/>
    </row>
    <row r="1610" spans="2:6">
      <c r="B1610" s="19"/>
      <c r="C1610" s="19"/>
      <c r="D1610" s="19"/>
      <c r="E1610" s="19"/>
      <c r="F1610" s="19"/>
    </row>
    <row r="1611" spans="2:6">
      <c r="B1611" s="19"/>
      <c r="C1611" s="19"/>
      <c r="D1611" s="19"/>
      <c r="E1611" s="19"/>
      <c r="F1611" s="19"/>
    </row>
    <row r="1612" spans="2:6">
      <c r="B1612" s="19"/>
      <c r="C1612" s="19"/>
      <c r="D1612" s="19"/>
      <c r="E1612" s="19"/>
      <c r="F1612" s="19"/>
    </row>
    <row r="1613" spans="2:6">
      <c r="B1613" s="19"/>
      <c r="C1613" s="19"/>
      <c r="D1613" s="19"/>
      <c r="E1613" s="19"/>
      <c r="F1613" s="19"/>
    </row>
    <row r="1614" spans="2:6" ht="18.75">
      <c r="B1614" s="11" t="str">
        <f>R_52</f>
        <v>5100 - Truhlářské konstrukce</v>
      </c>
      <c r="C1614" s="19"/>
      <c r="D1614" s="5"/>
      <c r="E1614" s="4"/>
      <c r="F1614" s="5"/>
    </row>
    <row r="1615" spans="2:6">
      <c r="B1615" s="7"/>
      <c r="C1615" s="19"/>
      <c r="D1615" s="5"/>
      <c r="E1615" s="4"/>
      <c r="F1615" s="5"/>
    </row>
    <row r="1616" spans="2:6">
      <c r="B1616" s="7"/>
      <c r="C1616" s="19"/>
      <c r="D1616" s="5"/>
      <c r="E1616" s="4"/>
      <c r="F1616" s="5"/>
    </row>
    <row r="1617" spans="2:6">
      <c r="B1617" s="1"/>
      <c r="C1617" s="19"/>
      <c r="D1617" s="9"/>
      <c r="E1617" s="4"/>
      <c r="F1617" s="8">
        <f>ROUND(D1617*E1617,0)</f>
        <v>0</v>
      </c>
    </row>
    <row r="1618" spans="2:6">
      <c r="B1618" s="1"/>
      <c r="C1618" s="19"/>
      <c r="D1618" s="9"/>
      <c r="E1618" s="4"/>
      <c r="F1618" s="8">
        <f>ROUND(D1618*E1618,0)</f>
        <v>0</v>
      </c>
    </row>
    <row r="1619" spans="2:6">
      <c r="B1619" s="7"/>
      <c r="C1619" s="19"/>
      <c r="D1619" s="5"/>
      <c r="E1619" s="4"/>
      <c r="F1619" s="5"/>
    </row>
    <row r="1620" spans="2:6">
      <c r="B1620" s="6" t="str">
        <f>B1614&amp;"  -  celkem"</f>
        <v>5100 - Truhlářské konstrukce  -  celkem</v>
      </c>
      <c r="C1620" s="19"/>
      <c r="D1620" s="5"/>
      <c r="E1620" s="4"/>
      <c r="F1620" s="3">
        <f>SUM(F1614:F1619)</f>
        <v>0</v>
      </c>
    </row>
    <row r="1621" spans="2:6">
      <c r="B1621" s="19"/>
      <c r="C1621" s="19"/>
      <c r="D1621" s="19"/>
      <c r="E1621" s="19"/>
      <c r="F1621" s="19"/>
    </row>
    <row r="1622" spans="2:6">
      <c r="B1622" s="19"/>
      <c r="C1622" s="19"/>
      <c r="D1622" s="19"/>
      <c r="E1622" s="19"/>
      <c r="F1622" s="19"/>
    </row>
    <row r="1623" spans="2:6">
      <c r="B1623" s="19"/>
      <c r="C1623" s="19"/>
      <c r="D1623" s="19"/>
      <c r="E1623" s="19"/>
      <c r="F1623" s="19"/>
    </row>
    <row r="1624" spans="2:6">
      <c r="B1624" s="19"/>
      <c r="C1624" s="19"/>
      <c r="D1624" s="19"/>
      <c r="E1624" s="19"/>
      <c r="F1624" s="19"/>
    </row>
    <row r="1625" spans="2:6">
      <c r="B1625" s="19"/>
      <c r="C1625" s="19"/>
      <c r="D1625" s="19"/>
      <c r="E1625" s="19"/>
      <c r="F1625" s="19"/>
    </row>
    <row r="1626" spans="2:6">
      <c r="B1626" s="19"/>
      <c r="C1626" s="19"/>
      <c r="D1626" s="19"/>
      <c r="E1626" s="19"/>
      <c r="F1626" s="19"/>
    </row>
    <row r="1627" spans="2:6" ht="18.75">
      <c r="B1627" s="11" t="str">
        <f>R_53</f>
        <v>5200 - Zámečnické konstrukce</v>
      </c>
      <c r="C1627" s="19"/>
      <c r="D1627" s="5"/>
      <c r="E1627" s="4"/>
      <c r="F1627" s="5"/>
    </row>
    <row r="1628" spans="2:6">
      <c r="B1628" s="7"/>
      <c r="C1628" s="19"/>
      <c r="D1628" s="5"/>
      <c r="E1628" s="4"/>
      <c r="F1628" s="5"/>
    </row>
    <row r="1629" spans="2:6">
      <c r="B1629" s="7"/>
      <c r="C1629" s="19"/>
      <c r="D1629" s="5"/>
      <c r="E1629" s="4"/>
      <c r="F1629" s="5"/>
    </row>
    <row r="1630" spans="2:6">
      <c r="B1630" s="1"/>
      <c r="C1630" s="19"/>
      <c r="D1630" s="9"/>
      <c r="E1630" s="4"/>
      <c r="F1630" s="8">
        <f>ROUND(D1630*E1630,0)</f>
        <v>0</v>
      </c>
    </row>
    <row r="1631" spans="2:6">
      <c r="B1631" s="1"/>
      <c r="C1631" s="19"/>
      <c r="D1631" s="9"/>
      <c r="E1631" s="4"/>
      <c r="F1631" s="8">
        <f>ROUND(D1631*E1631,0)</f>
        <v>0</v>
      </c>
    </row>
    <row r="1632" spans="2:6">
      <c r="B1632" s="1"/>
      <c r="C1632" s="19"/>
      <c r="D1632" s="9"/>
      <c r="E1632" s="4"/>
      <c r="F1632" s="8">
        <f>ROUND(D1632*E1632,0)</f>
        <v>0</v>
      </c>
    </row>
    <row r="1633" spans="2:6">
      <c r="B1633" s="7"/>
      <c r="C1633" s="19"/>
      <c r="D1633" s="5"/>
      <c r="E1633" s="4"/>
      <c r="F1633" s="5"/>
    </row>
    <row r="1634" spans="2:6">
      <c r="B1634" s="6" t="str">
        <f>B1627&amp;"  -  celkem"</f>
        <v>5200 - Zámečnické konstrukce  -  celkem</v>
      </c>
      <c r="C1634" s="19"/>
      <c r="D1634" s="5"/>
      <c r="E1634" s="4"/>
      <c r="F1634" s="3">
        <f>SUM(F1627:F1633)</f>
        <v>0</v>
      </c>
    </row>
    <row r="1635" spans="2:6">
      <c r="B1635" s="19"/>
      <c r="C1635" s="19"/>
      <c r="D1635" s="19"/>
      <c r="E1635" s="19"/>
      <c r="F1635" s="19"/>
    </row>
    <row r="1636" spans="2:6">
      <c r="B1636" s="19"/>
      <c r="C1636" s="19"/>
      <c r="D1636" s="19"/>
      <c r="E1636" s="19"/>
      <c r="F1636" s="19"/>
    </row>
    <row r="1637" spans="2:6">
      <c r="B1637" s="19"/>
      <c r="C1637" s="19"/>
      <c r="D1637" s="19"/>
      <c r="E1637" s="19"/>
      <c r="F1637" s="19"/>
    </row>
    <row r="1638" spans="2:6">
      <c r="B1638" s="19"/>
      <c r="C1638" s="19"/>
      <c r="D1638" s="19"/>
      <c r="E1638" s="19"/>
      <c r="F1638" s="19"/>
    </row>
    <row r="1639" spans="2:6">
      <c r="B1639" s="19"/>
      <c r="C1639" s="19"/>
      <c r="D1639" s="19"/>
      <c r="E1639" s="19"/>
      <c r="F1639" s="19"/>
    </row>
    <row r="1640" spans="2:6">
      <c r="B1640" s="19"/>
      <c r="C1640" s="19"/>
      <c r="D1640" s="19"/>
      <c r="E1640" s="19"/>
      <c r="F1640" s="19"/>
    </row>
    <row r="1641" spans="2:6" ht="18.75">
      <c r="B1641" s="11" t="str">
        <f>R_54</f>
        <v>5300 - Zařizovací předměty zdravotechniky</v>
      </c>
      <c r="C1641" s="19"/>
      <c r="D1641" s="5"/>
      <c r="E1641" s="4"/>
      <c r="F1641" s="5"/>
    </row>
    <row r="1642" spans="2:6">
      <c r="B1642" s="7"/>
      <c r="C1642" s="19"/>
      <c r="D1642" s="5"/>
      <c r="E1642" s="4"/>
      <c r="F1642" s="5"/>
    </row>
    <row r="1643" spans="2:6">
      <c r="B1643" s="7"/>
      <c r="C1643" s="19"/>
      <c r="D1643" s="5"/>
      <c r="E1643" s="4"/>
      <c r="F1643" s="5"/>
    </row>
    <row r="1644" spans="2:6">
      <c r="B1644" s="1"/>
      <c r="C1644" s="19"/>
      <c r="D1644" s="9"/>
      <c r="E1644" s="4"/>
      <c r="F1644" s="8">
        <f>ROUND(D1644*E1644,0)</f>
        <v>0</v>
      </c>
    </row>
    <row r="1645" spans="2:6">
      <c r="B1645" s="1"/>
      <c r="C1645" s="19"/>
      <c r="D1645" s="9"/>
      <c r="E1645" s="4"/>
      <c r="F1645" s="8">
        <f>ROUND(D1645*E1645,0)</f>
        <v>0</v>
      </c>
    </row>
    <row r="1646" spans="2:6">
      <c r="B1646" s="1"/>
      <c r="C1646" s="19"/>
      <c r="D1646" s="9"/>
      <c r="E1646" s="4"/>
      <c r="F1646" s="8">
        <f>ROUND(D1646*E1646,0)</f>
        <v>0</v>
      </c>
    </row>
    <row r="1647" spans="2:6">
      <c r="B1647" s="7"/>
      <c r="C1647" s="19"/>
      <c r="D1647" s="5"/>
      <c r="E1647" s="4"/>
      <c r="F1647" s="5"/>
    </row>
    <row r="1648" spans="2:6">
      <c r="B1648" s="6" t="str">
        <f>B1641&amp;"  -  celkem"</f>
        <v>5300 - Zařizovací předměty zdravotechniky  -  celkem</v>
      </c>
      <c r="C1648" s="19"/>
      <c r="D1648" s="5"/>
      <c r="E1648" s="4"/>
      <c r="F1648" s="3">
        <f>SUM(F1641:F1647)</f>
        <v>0</v>
      </c>
    </row>
    <row r="1649" spans="2:6">
      <c r="D1649" s="5"/>
      <c r="E1649" s="4"/>
    </row>
    <row r="1650" spans="2:6">
      <c r="D1650" s="5"/>
      <c r="E1650" s="4"/>
    </row>
    <row r="1651" spans="2:6">
      <c r="D1651" s="5"/>
      <c r="E1651" s="4"/>
    </row>
    <row r="1652" spans="2:6">
      <c r="D1652" s="5"/>
      <c r="E1652" s="4"/>
    </row>
    <row r="1653" spans="2:6" ht="18.75">
      <c r="B1653" s="11" t="str">
        <f>R_06</f>
        <v>2100 - Založení</v>
      </c>
      <c r="C1653" s="19"/>
      <c r="D1653" s="5"/>
      <c r="E1653" s="4"/>
      <c r="F1653" s="5"/>
    </row>
    <row r="1654" spans="2:6">
      <c r="B1654" s="7"/>
      <c r="C1654" s="19"/>
      <c r="D1654" s="5"/>
      <c r="E1654" s="4"/>
      <c r="F1654" s="5"/>
    </row>
    <row r="1655" spans="2:6">
      <c r="B1655" s="7"/>
      <c r="C1655" s="19"/>
      <c r="D1655" s="5"/>
      <c r="E1655" s="4"/>
      <c r="F1655" s="5"/>
    </row>
    <row r="1656" spans="2:6">
      <c r="B1656" s="19"/>
      <c r="C1656" s="19"/>
      <c r="D1656" s="5"/>
      <c r="E1656" s="4"/>
      <c r="F1656" s="8">
        <f>ROUND(D1656*E1656,0)</f>
        <v>0</v>
      </c>
    </row>
    <row r="1657" spans="2:6">
      <c r="B1657" s="19"/>
      <c r="C1657" s="19"/>
      <c r="D1657" s="5"/>
      <c r="E1657" s="4"/>
      <c r="F1657" s="8">
        <f>ROUND(D1657*E1657,0)</f>
        <v>0</v>
      </c>
    </row>
    <row r="1658" spans="2:6">
      <c r="B1658" s="19"/>
      <c r="C1658" s="19"/>
      <c r="D1658" s="5"/>
      <c r="E1658" s="4"/>
      <c r="F1658" s="8">
        <f>ROUND(D1658*E1658,0)</f>
        <v>0</v>
      </c>
    </row>
    <row r="1659" spans="2:6">
      <c r="B1659" s="19"/>
      <c r="C1659" s="19"/>
      <c r="D1659" s="5"/>
      <c r="E1659" s="4"/>
      <c r="F1659" s="8">
        <f>ROUND(D1659*E1659,0)</f>
        <v>0</v>
      </c>
    </row>
    <row r="1660" spans="2:6">
      <c r="B1660" s="7"/>
      <c r="C1660" s="19"/>
      <c r="D1660" s="5"/>
      <c r="E1660" s="4"/>
      <c r="F1660" s="5"/>
    </row>
    <row r="1661" spans="2:6">
      <c r="B1661" s="6" t="str">
        <f>B1653&amp;"  -  celkem"</f>
        <v>2100 - Založení  -  celkem</v>
      </c>
      <c r="C1661" s="19"/>
      <c r="D1661" s="5"/>
      <c r="E1661" s="4"/>
      <c r="F1661" s="3">
        <f>SUM(F1653:F1660)</f>
        <v>0</v>
      </c>
    </row>
    <row r="1662" spans="2:6">
      <c r="B1662" s="19"/>
      <c r="C1662" s="19"/>
      <c r="D1662" s="19"/>
      <c r="E1662" s="19"/>
      <c r="F1662" s="19"/>
    </row>
    <row r="1663" spans="2:6">
      <c r="B1663" s="19"/>
      <c r="C1663" s="19"/>
      <c r="D1663" s="19"/>
      <c r="E1663" s="19"/>
      <c r="F1663" s="19"/>
    </row>
    <row r="1664" spans="2:6">
      <c r="B1664" s="19"/>
      <c r="C1664" s="19"/>
      <c r="D1664" s="19"/>
      <c r="E1664" s="19"/>
      <c r="F1664" s="19"/>
    </row>
    <row r="1665" spans="2:6">
      <c r="B1665" s="19"/>
      <c r="C1665" s="19"/>
      <c r="D1665" s="19"/>
      <c r="E1665" s="19"/>
      <c r="F1665" s="19"/>
    </row>
    <row r="1666" spans="2:6">
      <c r="B1666" s="19"/>
      <c r="C1666" s="19"/>
      <c r="D1666" s="19"/>
      <c r="E1666" s="19"/>
      <c r="F1666" s="19"/>
    </row>
    <row r="1667" spans="2:6">
      <c r="B1667" s="19"/>
      <c r="C1667" s="19"/>
      <c r="D1667" s="19"/>
      <c r="E1667" s="19"/>
      <c r="F1667" s="19"/>
    </row>
    <row r="1668" spans="2:6" ht="18.75">
      <c r="B1668" s="11" t="str">
        <f>R_05</f>
        <v>2200 - Izolace spodní stavby</v>
      </c>
      <c r="C1668" s="19"/>
      <c r="D1668" s="19"/>
      <c r="E1668" s="19"/>
      <c r="F1668" s="5"/>
    </row>
    <row r="1669" spans="2:6">
      <c r="B1669" s="7"/>
      <c r="C1669" s="19"/>
      <c r="D1669" s="19"/>
      <c r="E1669" s="19"/>
      <c r="F1669" s="5"/>
    </row>
    <row r="1670" spans="2:6">
      <c r="B1670" s="7"/>
      <c r="C1670" s="19"/>
      <c r="D1670" s="19"/>
      <c r="E1670" s="19"/>
      <c r="F1670" s="5"/>
    </row>
    <row r="1671" spans="2:6">
      <c r="B1671" s="19"/>
      <c r="C1671" s="19"/>
      <c r="D1671" s="19"/>
      <c r="E1671" s="19"/>
      <c r="F1671" s="8">
        <f>ROUND(D1671*E1671,0)</f>
        <v>0</v>
      </c>
    </row>
    <row r="1672" spans="2:6">
      <c r="B1672" s="19"/>
      <c r="C1672" s="19"/>
      <c r="D1672" s="19"/>
      <c r="E1672" s="19"/>
      <c r="F1672" s="8">
        <f>ROUND(D1672*E1672,0)</f>
        <v>0</v>
      </c>
    </row>
    <row r="1673" spans="2:6">
      <c r="B1673" s="19"/>
      <c r="C1673" s="19"/>
      <c r="D1673" s="19"/>
      <c r="E1673" s="19"/>
      <c r="F1673" s="8">
        <f>ROUND(D1673*E1673,0)</f>
        <v>0</v>
      </c>
    </row>
    <row r="1674" spans="2:6">
      <c r="B1674" s="7"/>
      <c r="C1674" s="19"/>
      <c r="D1674" s="19"/>
      <c r="E1674" s="19"/>
      <c r="F1674" s="5"/>
    </row>
    <row r="1675" spans="2:6">
      <c r="B1675" s="6" t="str">
        <f>B1668&amp;"  -  celkem"</f>
        <v>2200 - Izolace spodní stavby  -  celkem</v>
      </c>
      <c r="C1675" s="19"/>
      <c r="D1675" s="19"/>
      <c r="E1675" s="19"/>
      <c r="F1675" s="3">
        <f>SUM(F1668:F1674)</f>
        <v>0</v>
      </c>
    </row>
    <row r="1676" spans="2:6">
      <c r="B1676" s="19"/>
      <c r="C1676" s="19"/>
      <c r="D1676" s="19"/>
      <c r="E1676" s="19"/>
      <c r="F1676" s="19"/>
    </row>
    <row r="1677" spans="2:6">
      <c r="B1677" s="19"/>
      <c r="C1677" s="19"/>
      <c r="D1677" s="19"/>
      <c r="E1677" s="19"/>
      <c r="F1677" s="19"/>
    </row>
    <row r="1678" spans="2:6">
      <c r="B1678" s="19"/>
      <c r="C1678" s="19"/>
      <c r="D1678" s="19"/>
      <c r="E1678" s="19"/>
      <c r="F1678" s="19"/>
    </row>
    <row r="1679" spans="2:6">
      <c r="B1679" s="19"/>
      <c r="C1679" s="19"/>
      <c r="D1679" s="19"/>
      <c r="E1679" s="19"/>
      <c r="F1679" s="19"/>
    </row>
    <row r="1680" spans="2:6">
      <c r="B1680" s="19"/>
      <c r="C1680" s="19"/>
      <c r="D1680" s="19"/>
      <c r="E1680" s="19"/>
      <c r="F1680" s="19"/>
    </row>
    <row r="1681" spans="2:12">
      <c r="B1681" s="19"/>
      <c r="C1681" s="19"/>
      <c r="D1681" s="19"/>
      <c r="E1681" s="19"/>
      <c r="F1681" s="19"/>
    </row>
    <row r="1682" spans="2:12" ht="18.75">
      <c r="B1682" s="11" t="str">
        <f>R_04</f>
        <v>2200 - Železobetonové konstrukce</v>
      </c>
      <c r="C1682" s="19"/>
      <c r="D1682" s="19"/>
      <c r="E1682" s="19"/>
      <c r="F1682" s="5"/>
    </row>
    <row r="1683" spans="2:12">
      <c r="B1683" s="7"/>
      <c r="C1683" s="19"/>
      <c r="D1683" s="19"/>
      <c r="E1683" s="19"/>
      <c r="F1683" s="5"/>
    </row>
    <row r="1684" spans="2:12">
      <c r="B1684" s="19"/>
      <c r="C1684" s="19"/>
      <c r="D1684" s="19"/>
      <c r="E1684" s="19"/>
      <c r="F1684" s="8"/>
    </row>
    <row r="1685" spans="2:12">
      <c r="B1685" s="19"/>
      <c r="C1685" s="19"/>
      <c r="D1685" s="19"/>
      <c r="E1685" s="19"/>
      <c r="F1685" s="8">
        <f>ROUND(D1685*E1685,0)</f>
        <v>0</v>
      </c>
    </row>
    <row r="1686" spans="2:12" ht="15.75">
      <c r="B1686" s="19"/>
      <c r="C1686" s="19"/>
      <c r="D1686" s="19"/>
      <c r="E1686" s="19"/>
      <c r="F1686" s="8">
        <f>ROUND(D1686*E1686,0)</f>
        <v>0</v>
      </c>
      <c r="I1686" s="60" t="s">
        <v>274</v>
      </c>
      <c r="J1686"/>
      <c r="K1686" s="5"/>
      <c r="L1686" s="4"/>
    </row>
    <row r="1687" spans="2:12" ht="15.75">
      <c r="B1687" s="19"/>
      <c r="C1687" s="19"/>
      <c r="D1687" s="19"/>
      <c r="E1687" s="19"/>
      <c r="F1687" s="8">
        <f>ROUND(D1687*E1687,0)</f>
        <v>0</v>
      </c>
      <c r="I1687" s="63" t="s">
        <v>275</v>
      </c>
      <c r="J1687"/>
      <c r="K1687" s="5" t="str">
        <f>TRIM(RIGHT(I1687,LEN(I1687)-9))</f>
        <v>Odstrojení spodní části</v>
      </c>
      <c r="L1687" s="4"/>
    </row>
    <row r="1688" spans="2:12" ht="15.75">
      <c r="B1688" s="10"/>
      <c r="C1688" s="19"/>
      <c r="D1688" s="19"/>
      <c r="E1688" s="19"/>
      <c r="F1688" s="5"/>
      <c r="I1688" s="63" t="s">
        <v>276</v>
      </c>
      <c r="J1688"/>
      <c r="K1688" s="5" t="str">
        <f>TRIM(RIGHT(I1688,LEN(I1688)-9))</f>
        <v>Demontáž světel</v>
      </c>
      <c r="L1688" s="4"/>
    </row>
    <row r="1689" spans="2:12" ht="15.75">
      <c r="B1689" s="6" t="str">
        <f>B1682&amp;"  -  celkem"</f>
        <v>2200 - Železobetonové konstrukce  -  celkem</v>
      </c>
      <c r="C1689" s="19"/>
      <c r="D1689" s="19"/>
      <c r="E1689" s="19"/>
      <c r="F1689" s="3">
        <f>SUM(F1682:F1688)</f>
        <v>0</v>
      </c>
      <c r="I1689" s="63" t="s">
        <v>277</v>
      </c>
      <c r="J1689"/>
      <c r="K1689" s="5" t="str">
        <f t="shared" ref="K1689:K1700" si="2">TRIM(RIGHT(I1689,LEN(I1689)-9))</f>
        <v>Demontáž podhledů</v>
      </c>
      <c r="L1689" s="4"/>
    </row>
    <row r="1690" spans="2:12" ht="15.75">
      <c r="B1690" s="19"/>
      <c r="C1690" s="19"/>
      <c r="D1690" s="19"/>
      <c r="E1690" s="19"/>
      <c r="F1690" s="19"/>
      <c r="I1690" s="63" t="s">
        <v>278</v>
      </c>
      <c r="J1690"/>
      <c r="K1690" s="5" t="str">
        <f t="shared" si="2"/>
        <v>Demontáž elektroinstalace</v>
      </c>
      <c r="L1690" s="4"/>
    </row>
    <row r="1691" spans="2:12" ht="15.75">
      <c r="B1691" s="19"/>
      <c r="C1691" s="19"/>
      <c r="D1691" s="19"/>
      <c r="E1691" s="19"/>
      <c r="F1691" s="19"/>
      <c r="I1691" s="63" t="s">
        <v>279</v>
      </c>
      <c r="J1691"/>
      <c r="K1691" s="5" t="str">
        <f t="shared" si="2"/>
        <v>Odstrojení horní části</v>
      </c>
      <c r="L1691" s="4"/>
    </row>
    <row r="1692" spans="2:12" ht="15.75">
      <c r="B1692" s="19"/>
      <c r="C1692" s="19"/>
      <c r="D1692" s="19"/>
      <c r="E1692" s="19"/>
      <c r="F1692" s="19"/>
      <c r="I1692" s="63" t="s">
        <v>280</v>
      </c>
      <c r="J1692"/>
      <c r="K1692" s="5" t="str">
        <f t="shared" si="2"/>
        <v>Demontáž VZT</v>
      </c>
      <c r="L1692" s="4"/>
    </row>
    <row r="1693" spans="2:12" ht="15.75">
      <c r="B1693" s="19"/>
      <c r="C1693" s="19"/>
      <c r="D1693" s="19"/>
      <c r="E1693" s="19"/>
      <c r="F1693" s="19"/>
      <c r="I1693" s="63" t="s">
        <v>281</v>
      </c>
      <c r="J1693"/>
      <c r="K1693" s="5" t="str">
        <f t="shared" si="2"/>
        <v>Demontáž skladby střechy včetně hydroizolace</v>
      </c>
      <c r="L1693" s="4"/>
    </row>
    <row r="1694" spans="2:12" ht="15.75">
      <c r="B1694" s="19"/>
      <c r="C1694" s="19"/>
      <c r="D1694" s="19"/>
      <c r="E1694" s="19"/>
      <c r="F1694" s="19"/>
      <c r="I1694" s="63" t="s">
        <v>282</v>
      </c>
      <c r="J1694"/>
      <c r="K1694" s="5" t="str">
        <f t="shared" si="2"/>
        <v>Zkoušky stropní desky a sloupů pro získání vstupních parametrů statického výpočtu</v>
      </c>
      <c r="L1694" s="4"/>
    </row>
    <row r="1695" spans="2:12" ht="15.75">
      <c r="B1695" s="19"/>
      <c r="C1695" s="19"/>
      <c r="D1695" s="19"/>
      <c r="E1695" s="19"/>
      <c r="F1695" s="19"/>
      <c r="I1695" s="63" t="s">
        <v>283</v>
      </c>
      <c r="J1695"/>
      <c r="K1695" s="5" t="str">
        <f t="shared" si="2"/>
        <v>Určení třída betonu, min. 6 ks jádrových vrtů, zkoušky nedestruktivní</v>
      </c>
      <c r="L1695" s="4"/>
    </row>
    <row r="1696" spans="2:12" ht="18.75">
      <c r="B1696" s="11" t="str">
        <f>R_85</f>
        <v>2500 - Ocelové konstrukce</v>
      </c>
      <c r="C1696" s="19"/>
      <c r="D1696" s="19"/>
      <c r="E1696" s="19"/>
      <c r="F1696" s="5"/>
      <c r="I1696" s="63" t="s">
        <v>284</v>
      </c>
      <c r="J1696"/>
      <c r="K1696" s="5" t="str">
        <f t="shared" si="2"/>
        <v>Určení třídy výztužné oceli (dle povrchu, odběr vzorku, trhací zkouška)</v>
      </c>
      <c r="L1696" s="4"/>
    </row>
    <row r="1697" spans="2:12" ht="15.75">
      <c r="B1697" s="7"/>
      <c r="C1697" s="19"/>
      <c r="D1697" s="19"/>
      <c r="E1697" s="19"/>
      <c r="F1697" s="5"/>
      <c r="I1697" s="63" t="s">
        <v>285</v>
      </c>
      <c r="J1697"/>
      <c r="K1697" s="5" t="str">
        <f t="shared" si="2"/>
        <v>Stanovení vyztužení desky v poli při jejím spodním líci, nedestruktivně profometrem nebo obdobně</v>
      </c>
      <c r="L1697" s="4"/>
    </row>
    <row r="1698" spans="2:12" ht="15.75">
      <c r="B1698" s="7"/>
      <c r="C1698" s="19"/>
      <c r="D1698" s="19"/>
      <c r="E1698" s="19"/>
      <c r="F1698" s="5"/>
      <c r="I1698" s="63" t="s">
        <v>286</v>
      </c>
      <c r="J1698"/>
      <c r="K1698" s="5" t="str">
        <f t="shared" si="2"/>
        <v>Stanovení vyztužení desky nad podporou při jejím horním líci, nedestruktivně profometrem nebo obdobně</v>
      </c>
      <c r="L1698" s="4"/>
    </row>
    <row r="1699" spans="2:12" ht="15.75">
      <c r="B1699" s="138"/>
      <c r="C1699" s="19"/>
      <c r="D1699" s="19"/>
      <c r="E1699" s="19"/>
      <c r="F1699" s="8">
        <f>ROUND(D1699*E1699,0)</f>
        <v>0</v>
      </c>
      <c r="I1699" s="63" t="s">
        <v>287</v>
      </c>
      <c r="J1699"/>
      <c r="K1699" s="5" t="str">
        <f t="shared" si="2"/>
        <v>Stanovení vyztužení nad sloupy smykovou výztuží</v>
      </c>
      <c r="L1699" s="4"/>
    </row>
    <row r="1700" spans="2:12" ht="15.75">
      <c r="B1700" s="157"/>
      <c r="C1700" s="19"/>
      <c r="D1700" s="19"/>
      <c r="E1700" s="19"/>
      <c r="F1700" s="8">
        <f>ROUND(D1700*E1700,0)</f>
        <v>0</v>
      </c>
      <c r="I1700" s="63" t="s">
        <v>288</v>
      </c>
      <c r="J1700"/>
      <c r="K1700" s="5" t="str">
        <f t="shared" si="2"/>
        <v>Stanovení betonu a vyztužení sloupů</v>
      </c>
      <c r="L1700" s="4"/>
    </row>
    <row r="1701" spans="2:12" ht="236.25">
      <c r="B1701" s="7"/>
      <c r="C1701" s="19"/>
      <c r="D1701" s="19"/>
      <c r="E1701" s="19"/>
      <c r="F1701" s="5"/>
      <c r="I1701" s="62" t="s">
        <v>289</v>
      </c>
      <c r="K1701" s="5"/>
      <c r="L1701" s="4"/>
    </row>
    <row r="1702" spans="2:12" ht="157.5">
      <c r="B1702" s="6" t="str">
        <f>B1696&amp;"  -  celkem"</f>
        <v>2500 - Ocelové konstrukce  -  celkem</v>
      </c>
      <c r="C1702" s="19"/>
      <c r="D1702" s="19"/>
      <c r="E1702" s="19"/>
      <c r="F1702" s="3">
        <f>SUM(F1696:F1701)</f>
        <v>0</v>
      </c>
      <c r="I1702" s="62" t="s">
        <v>290</v>
      </c>
      <c r="J1702"/>
      <c r="K1702" s="5"/>
      <c r="L1702" s="4"/>
    </row>
    <row r="1703" spans="2:12">
      <c r="B1703" s="19"/>
      <c r="C1703" s="19"/>
      <c r="D1703" s="19"/>
      <c r="E1703" s="19"/>
      <c r="F1703" s="19"/>
      <c r="K1703" s="5"/>
      <c r="L1703" s="4"/>
    </row>
    <row r="1704" spans="2:12">
      <c r="B1704" s="19"/>
      <c r="C1704" s="19"/>
      <c r="D1704" s="19"/>
      <c r="E1704" s="19"/>
      <c r="F1704" s="19"/>
      <c r="K1704" s="5"/>
      <c r="L1704" s="4"/>
    </row>
    <row r="1705" spans="2:12">
      <c r="B1705" s="19"/>
      <c r="C1705" s="19"/>
      <c r="D1705" s="19"/>
      <c r="E1705" s="19"/>
      <c r="F1705" s="19"/>
      <c r="K1705" s="5" t="str">
        <f>K1707&amp;" - "&amp;K1708</f>
        <v>Návrh zesílení nosných konstrukcí, zpracování výkresů zesílení včetně příslušných detailů, technická zpráva, výkazy výměr - Detailní posouzení únosnosti stávajících nosných konstrukcí na základě skutečností zjištěných průzkumem - statický výpočet</v>
      </c>
      <c r="L1705" s="4"/>
    </row>
    <row r="1706" spans="2:12">
      <c r="B1706" s="19"/>
      <c r="C1706" s="19"/>
      <c r="D1706" s="19"/>
      <c r="E1706" s="19"/>
      <c r="F1706" s="19"/>
      <c r="K1706" s="5"/>
      <c r="L1706" s="4"/>
    </row>
    <row r="1707" spans="2:12" ht="15.75">
      <c r="B1707" s="19"/>
      <c r="C1707" s="19"/>
      <c r="D1707" s="19"/>
      <c r="E1707" s="19"/>
      <c r="F1707" s="19"/>
      <c r="I1707" s="61" t="s">
        <v>291</v>
      </c>
      <c r="K1707" s="5" t="str">
        <f>TRIM(RIGHT(I1707,LEN(I1707)-9))</f>
        <v>Návrh zesílení nosných konstrukcí, zpracování výkresů zesílení včetně příslušných detailů, technická zpráva, výkazy výměr</v>
      </c>
      <c r="L1707" s="4"/>
    </row>
    <row r="1708" spans="2:12" ht="15.75">
      <c r="B1708" s="19"/>
      <c r="C1708" s="19"/>
      <c r="D1708" s="19"/>
      <c r="E1708" s="19"/>
      <c r="F1708" s="19"/>
      <c r="I1708" s="61" t="s">
        <v>292</v>
      </c>
      <c r="K1708" s="5" t="str">
        <f>TRIM(RIGHT(I1708,LEN(I1708)-9))</f>
        <v>Detailní posouzení únosnosti stávajících nosných konstrukcí na základě skutečností zjištěných průzkumem - statický výpočet</v>
      </c>
      <c r="L1708" s="4"/>
    </row>
    <row r="1709" spans="2:12" ht="18.75">
      <c r="B1709" s="11" t="str">
        <f>R_08</f>
        <v>3100 - Střechy</v>
      </c>
      <c r="C1709" s="19"/>
      <c r="D1709" s="19"/>
      <c r="E1709" s="19"/>
      <c r="F1709" s="5"/>
      <c r="I1709" s="64"/>
      <c r="K1709" s="5"/>
      <c r="L1709" s="4"/>
    </row>
    <row r="1710" spans="2:12">
      <c r="B1710" s="7"/>
      <c r="C1710" s="19"/>
      <c r="D1710" s="19"/>
      <c r="E1710" s="19"/>
      <c r="F1710" s="5"/>
      <c r="K1710" s="5"/>
      <c r="L1710" s="4"/>
    </row>
    <row r="1711" spans="2:12">
      <c r="B1711" s="7"/>
      <c r="C1711" s="19"/>
      <c r="D1711" s="19"/>
      <c r="E1711" s="19"/>
      <c r="F1711" s="5"/>
      <c r="K1711" s="5"/>
      <c r="L1711" s="4"/>
    </row>
    <row r="1712" spans="2:12">
      <c r="B1712" s="157"/>
      <c r="C1712" s="19"/>
      <c r="D1712" s="19"/>
      <c r="E1712" s="19"/>
      <c r="F1712" s="8">
        <f>ROUND(D1712*E1712,0)</f>
        <v>0</v>
      </c>
      <c r="K1712" s="5"/>
      <c r="L1712" s="4"/>
    </row>
    <row r="1713" spans="2:12">
      <c r="B1713" s="157"/>
      <c r="C1713" s="19"/>
      <c r="D1713" s="19"/>
      <c r="E1713" s="19"/>
      <c r="F1713" s="8">
        <f>ROUND(D1713*E1713,0)</f>
        <v>0</v>
      </c>
      <c r="K1713" s="5"/>
      <c r="L1713" s="4"/>
    </row>
    <row r="1714" spans="2:12">
      <c r="B1714" s="157"/>
      <c r="C1714" s="19"/>
      <c r="D1714" s="19"/>
      <c r="E1714" s="19"/>
      <c r="F1714" s="8">
        <f>ROUND(D1714*E1714,0)</f>
        <v>0</v>
      </c>
    </row>
    <row r="1715" spans="2:12">
      <c r="B1715" s="138"/>
      <c r="C1715" s="19"/>
      <c r="D1715" s="19"/>
      <c r="E1715" s="19"/>
      <c r="F1715" s="8"/>
    </row>
    <row r="1716" spans="2:12">
      <c r="B1716" s="19"/>
      <c r="C1716" s="19"/>
      <c r="D1716" s="19"/>
      <c r="E1716" s="19"/>
      <c r="F1716" s="8"/>
    </row>
    <row r="1717" spans="2:12">
      <c r="B1717" s="6" t="str">
        <f>B1709&amp;"  -  celkem"</f>
        <v>3100 - Střechy  -  celkem</v>
      </c>
      <c r="C1717" s="19"/>
      <c r="D1717" s="19"/>
      <c r="E1717" s="19"/>
      <c r="F1717" s="3">
        <f>SUM(F1709:F1716)</f>
        <v>0</v>
      </c>
    </row>
    <row r="1718" spans="2:12">
      <c r="B1718" s="19"/>
      <c r="C1718" s="19"/>
      <c r="D1718" s="19"/>
      <c r="E1718" s="19"/>
      <c r="F1718" s="19"/>
    </row>
    <row r="1719" spans="2:12">
      <c r="B1719" s="19"/>
      <c r="C1719" s="19"/>
      <c r="D1719" s="19"/>
      <c r="E1719" s="19"/>
      <c r="F1719" s="19"/>
    </row>
    <row r="1720" spans="2:12">
      <c r="B1720" s="19"/>
      <c r="C1720" s="19"/>
      <c r="D1720" s="19"/>
      <c r="E1720" s="19"/>
      <c r="F1720" s="19"/>
    </row>
    <row r="1721" spans="2:12">
      <c r="B1721" s="19"/>
      <c r="C1721" s="19"/>
      <c r="D1721" s="19"/>
      <c r="E1721" s="19"/>
      <c r="F1721" s="19"/>
    </row>
    <row r="1722" spans="2:12">
      <c r="B1722" s="19"/>
      <c r="C1722" s="19"/>
      <c r="D1722" s="19"/>
      <c r="E1722" s="19"/>
      <c r="F1722" s="19"/>
    </row>
    <row r="1723" spans="2:12">
      <c r="B1723" s="19"/>
      <c r="C1723" s="19"/>
      <c r="D1723" s="19"/>
      <c r="E1723" s="19"/>
      <c r="F1723" s="19"/>
    </row>
    <row r="1724" spans="2:12" ht="18.75">
      <c r="B1724" s="11" t="str">
        <f>R_07</f>
        <v>3200 - Konstrukce opláštění</v>
      </c>
      <c r="C1724" s="19"/>
      <c r="D1724" s="19"/>
      <c r="E1724" s="19"/>
      <c r="F1724" s="5"/>
    </row>
    <row r="1725" spans="2:12">
      <c r="B1725" s="7"/>
      <c r="C1725" s="19"/>
      <c r="D1725" s="19"/>
      <c r="E1725" s="19"/>
      <c r="F1725" s="5"/>
    </row>
    <row r="1726" spans="2:12">
      <c r="B1726" s="7"/>
      <c r="C1726" s="19"/>
      <c r="D1726" s="19"/>
      <c r="E1726" s="19"/>
      <c r="F1726" s="5"/>
    </row>
    <row r="1727" spans="2:12">
      <c r="B1727" s="140"/>
      <c r="C1727" s="19"/>
      <c r="D1727" s="19"/>
      <c r="E1727" s="19"/>
      <c r="F1727" s="8">
        <f>ROUND(D1727*E1727,0)</f>
        <v>0</v>
      </c>
    </row>
    <row r="1728" spans="2:12">
      <c r="B1728" s="140"/>
      <c r="C1728" s="19"/>
      <c r="D1728" s="19"/>
      <c r="E1728" s="19"/>
      <c r="F1728" s="8">
        <f>ROUND(D1728*E1728,0)</f>
        <v>0</v>
      </c>
    </row>
    <row r="1729" spans="2:6">
      <c r="B1729" s="1"/>
      <c r="C1729" s="19"/>
      <c r="D1729" s="19"/>
      <c r="E1729" s="19"/>
      <c r="F1729" s="8">
        <f>ROUND(D1729*E1729,0)</f>
        <v>0</v>
      </c>
    </row>
    <row r="1730" spans="2:6">
      <c r="B1730" s="7"/>
      <c r="C1730" s="19"/>
      <c r="D1730" s="19"/>
      <c r="E1730" s="19"/>
      <c r="F1730" s="5"/>
    </row>
    <row r="1731" spans="2:6">
      <c r="B1731" s="6" t="str">
        <f>B1724&amp;"  -  celkem"</f>
        <v>3200 - Konstrukce opláštění  -  celkem</v>
      </c>
      <c r="C1731" s="19"/>
      <c r="D1731" s="19"/>
      <c r="E1731" s="19"/>
      <c r="F1731" s="3">
        <f>SUM(F1724:F1730)</f>
        <v>0</v>
      </c>
    </row>
    <row r="1732" spans="2:6">
      <c r="B1732" s="19"/>
      <c r="C1732" s="19"/>
      <c r="D1732" s="19"/>
      <c r="E1732" s="19"/>
      <c r="F1732" s="19"/>
    </row>
    <row r="1733" spans="2:6">
      <c r="B1733" s="19"/>
      <c r="C1733" s="19"/>
      <c r="D1733" s="19"/>
      <c r="E1733" s="19"/>
      <c r="F1733" s="19"/>
    </row>
    <row r="1734" spans="2:6">
      <c r="B1734" s="19"/>
      <c r="C1734" s="19"/>
      <c r="D1734" s="19"/>
      <c r="E1734" s="19"/>
      <c r="F1734" s="19"/>
    </row>
    <row r="1735" spans="2:6">
      <c r="B1735" s="19"/>
      <c r="C1735" s="19"/>
      <c r="D1735" s="19"/>
      <c r="E1735" s="19"/>
      <c r="F1735" s="19"/>
    </row>
    <row r="1736" spans="2:6">
      <c r="B1736" s="19"/>
      <c r="C1736" s="19"/>
      <c r="D1736" s="19"/>
      <c r="E1736" s="19"/>
      <c r="F1736" s="19"/>
    </row>
    <row r="1737" spans="2:6">
      <c r="B1737" s="19"/>
      <c r="C1737" s="19"/>
      <c r="D1737" s="19"/>
      <c r="E1737" s="19"/>
      <c r="F1737" s="19"/>
    </row>
    <row r="1738" spans="2:6" ht="18.75">
      <c r="B1738" s="11" t="str">
        <f>R_09</f>
        <v>3300 - Fasády</v>
      </c>
      <c r="C1738" s="19"/>
      <c r="D1738" s="19"/>
      <c r="E1738" s="19"/>
      <c r="F1738" s="5"/>
    </row>
    <row r="1739" spans="2:6">
      <c r="B1739" s="7"/>
      <c r="C1739" s="19"/>
      <c r="D1739" s="19"/>
      <c r="E1739" s="19"/>
      <c r="F1739" s="5"/>
    </row>
    <row r="1740" spans="2:6">
      <c r="B1740" s="7"/>
      <c r="C1740" s="19"/>
      <c r="D1740" s="19"/>
      <c r="E1740" s="19"/>
      <c r="F1740" s="5"/>
    </row>
    <row r="1741" spans="2:6">
      <c r="B1741" s="140"/>
      <c r="C1741" s="19"/>
      <c r="D1741" s="19"/>
      <c r="E1741" s="19"/>
      <c r="F1741" s="8">
        <f>ROUND(D1741*E1741,0)</f>
        <v>0</v>
      </c>
    </row>
    <row r="1742" spans="2:6">
      <c r="B1742" s="140"/>
      <c r="C1742" s="19"/>
      <c r="D1742" s="19"/>
      <c r="E1742" s="19"/>
      <c r="F1742" s="8">
        <f>ROUND(D1742*E1742,0)</f>
        <v>0</v>
      </c>
    </row>
    <row r="1743" spans="2:6">
      <c r="B1743" s="140"/>
      <c r="C1743" s="19"/>
      <c r="D1743" s="19"/>
      <c r="E1743" s="19"/>
      <c r="F1743" s="8">
        <f>ROUND(D1743*E1743,0)</f>
        <v>0</v>
      </c>
    </row>
    <row r="1744" spans="2:6">
      <c r="B1744" s="140"/>
      <c r="C1744" s="19"/>
      <c r="D1744" s="19"/>
      <c r="E1744" s="19"/>
      <c r="F1744" s="8">
        <f>ROUND(D1744*E1744,0)</f>
        <v>0</v>
      </c>
    </row>
    <row r="1745" spans="2:6">
      <c r="B1745" s="7"/>
      <c r="C1745" s="19"/>
      <c r="D1745" s="19"/>
      <c r="E1745" s="19"/>
      <c r="F1745" s="5"/>
    </row>
    <row r="1746" spans="2:6">
      <c r="B1746" s="6" t="str">
        <f>B1738&amp;"  -  celkem"</f>
        <v>3300 - Fasády  -  celkem</v>
      </c>
      <c r="C1746" s="19"/>
      <c r="D1746" s="19"/>
      <c r="E1746" s="19"/>
      <c r="F1746" s="3">
        <f>SUM(F1738:F1745)</f>
        <v>0</v>
      </c>
    </row>
    <row r="1747" spans="2:6">
      <c r="B1747" s="19"/>
      <c r="C1747" s="19"/>
      <c r="D1747" s="19"/>
      <c r="E1747" s="19"/>
      <c r="F1747" s="19"/>
    </row>
    <row r="1748" spans="2:6">
      <c r="B1748" s="19"/>
      <c r="C1748" s="19"/>
      <c r="D1748" s="19"/>
      <c r="E1748" s="19"/>
      <c r="F1748" s="19"/>
    </row>
    <row r="1749" spans="2:6">
      <c r="B1749" s="19"/>
      <c r="C1749" s="19"/>
      <c r="D1749" s="19"/>
      <c r="E1749" s="19"/>
      <c r="F1749" s="19"/>
    </row>
    <row r="1750" spans="2:6">
      <c r="B1750" s="19"/>
      <c r="C1750" s="19"/>
      <c r="D1750" s="19"/>
      <c r="E1750" s="19"/>
      <c r="F1750" s="19"/>
    </row>
    <row r="1751" spans="2:6">
      <c r="B1751" s="19"/>
      <c r="C1751" s="19"/>
      <c r="D1751" s="19"/>
      <c r="E1751" s="19"/>
      <c r="F1751" s="19"/>
    </row>
    <row r="1752" spans="2:6">
      <c r="B1752" s="19"/>
      <c r="C1752" s="19"/>
      <c r="D1752" s="19"/>
      <c r="E1752" s="19"/>
      <c r="F1752" s="19"/>
    </row>
    <row r="1753" spans="2:6" ht="18.75">
      <c r="B1753" s="11" t="str">
        <f>R_11</f>
        <v>4100 - Vnitřní stavba (dispoziční členění)</v>
      </c>
      <c r="C1753" s="19"/>
      <c r="D1753" s="19"/>
      <c r="E1753" s="19"/>
      <c r="F1753" s="5"/>
    </row>
    <row r="1754" spans="2:6">
      <c r="B1754" s="7"/>
      <c r="C1754" s="19"/>
      <c r="D1754" s="19"/>
      <c r="E1754" s="19"/>
      <c r="F1754" s="5"/>
    </row>
    <row r="1755" spans="2:6">
      <c r="B1755" s="7"/>
      <c r="C1755" s="19"/>
      <c r="D1755" s="19"/>
      <c r="E1755" s="19"/>
      <c r="F1755" s="5"/>
    </row>
    <row r="1756" spans="2:6">
      <c r="B1756" s="19"/>
      <c r="C1756" s="19"/>
      <c r="D1756" s="19"/>
      <c r="E1756" s="19"/>
      <c r="F1756" s="8">
        <f>ROUND(D1756*E1756,0)</f>
        <v>0</v>
      </c>
    </row>
    <row r="1757" spans="2:6">
      <c r="B1757" s="19"/>
      <c r="C1757" s="19"/>
      <c r="D1757" s="19"/>
      <c r="E1757" s="19"/>
      <c r="F1757" s="8">
        <f>ROUND(D1757*E1757,0)</f>
        <v>0</v>
      </c>
    </row>
    <row r="1758" spans="2:6">
      <c r="B1758" s="19"/>
      <c r="C1758" s="19"/>
      <c r="D1758" s="19"/>
      <c r="E1758" s="19"/>
      <c r="F1758" s="8">
        <f>ROUND(D1758*E1758,0)</f>
        <v>0</v>
      </c>
    </row>
    <row r="1759" spans="2:6">
      <c r="B1759" s="19"/>
      <c r="C1759" s="19"/>
      <c r="D1759" s="19"/>
      <c r="E1759" s="19"/>
      <c r="F1759" s="8">
        <f>ROUND(D1759*E1759,0)</f>
        <v>0</v>
      </c>
    </row>
    <row r="1760" spans="2:6">
      <c r="B1760" s="19"/>
      <c r="C1760" s="19"/>
      <c r="D1760" s="19"/>
      <c r="E1760" s="19"/>
      <c r="F1760" s="8"/>
    </row>
    <row r="1761" spans="2:6">
      <c r="B1761" s="6" t="str">
        <f>B1753&amp;"  -  celkem"</f>
        <v>4100 - Vnitřní stavba (dispoziční členění)  -  celkem</v>
      </c>
      <c r="C1761" s="19"/>
      <c r="D1761" s="19"/>
      <c r="E1761" s="19"/>
      <c r="F1761" s="3">
        <f>SUM(F1753:F1760)</f>
        <v>0</v>
      </c>
    </row>
    <row r="1762" spans="2:6">
      <c r="B1762" s="19"/>
      <c r="C1762" s="19"/>
      <c r="D1762" s="19"/>
      <c r="E1762" s="19"/>
      <c r="F1762" s="19"/>
    </row>
    <row r="1763" spans="2:6">
      <c r="B1763" s="19"/>
      <c r="C1763" s="19"/>
      <c r="D1763" s="19"/>
      <c r="E1763" s="19"/>
      <c r="F1763" s="19"/>
    </row>
    <row r="1764" spans="2:6">
      <c r="B1764" s="19"/>
      <c r="C1764" s="19"/>
      <c r="D1764" s="19"/>
      <c r="E1764" s="19"/>
      <c r="F1764" s="19"/>
    </row>
    <row r="1765" spans="2:6">
      <c r="B1765" s="19"/>
      <c r="C1765" s="19"/>
      <c r="D1765" s="19"/>
      <c r="E1765" s="19"/>
      <c r="F1765" s="19"/>
    </row>
    <row r="1766" spans="2:6">
      <c r="B1766" s="113"/>
      <c r="C1766" s="19"/>
      <c r="D1766" s="19"/>
      <c r="E1766" s="19"/>
      <c r="F1766" s="19"/>
    </row>
    <row r="1767" spans="2:6">
      <c r="B1767" s="19"/>
      <c r="C1767" s="19"/>
      <c r="D1767" s="19"/>
      <c r="E1767" s="19"/>
      <c r="F1767" s="19"/>
    </row>
    <row r="1768" spans="2:6" ht="18.75">
      <c r="B1768" s="11" t="str">
        <f>R_42</f>
        <v>4200 - Podlahy</v>
      </c>
      <c r="C1768" s="19"/>
      <c r="D1768" s="19"/>
      <c r="E1768" s="19"/>
      <c r="F1768" s="5"/>
    </row>
    <row r="1769" spans="2:6">
      <c r="B1769" s="7"/>
      <c r="C1769" s="19"/>
      <c r="D1769" s="19"/>
      <c r="E1769" s="19"/>
      <c r="F1769" s="5"/>
    </row>
    <row r="1770" spans="2:6">
      <c r="B1770" s="7"/>
      <c r="C1770" s="19"/>
      <c r="D1770" s="19"/>
      <c r="E1770" s="19"/>
      <c r="F1770" s="5"/>
    </row>
    <row r="1771" spans="2:6">
      <c r="B1771" s="1"/>
      <c r="C1771" s="19"/>
      <c r="D1771" s="19"/>
      <c r="E1771" s="19"/>
      <c r="F1771" s="8">
        <f>ROUND(D1771*E1771,0)</f>
        <v>0</v>
      </c>
    </row>
    <row r="1772" spans="2:6">
      <c r="B1772" s="1"/>
      <c r="C1772" s="19"/>
      <c r="D1772" s="19"/>
      <c r="E1772" s="19"/>
      <c r="F1772" s="8">
        <f>ROUND(D1772*E1772,0)</f>
        <v>0</v>
      </c>
    </row>
    <row r="1773" spans="2:6">
      <c r="B1773" s="1"/>
      <c r="C1773" s="19"/>
      <c r="D1773" s="19"/>
      <c r="E1773" s="19"/>
      <c r="F1773" s="8">
        <f>ROUND(D1773*E1773,0)</f>
        <v>0</v>
      </c>
    </row>
    <row r="1774" spans="2:6">
      <c r="B1774" s="7"/>
      <c r="C1774" s="19"/>
      <c r="D1774" s="19"/>
      <c r="E1774" s="19"/>
      <c r="F1774" s="5"/>
    </row>
    <row r="1775" spans="2:6">
      <c r="B1775" s="6" t="str">
        <f>B1768&amp;"  -  celkem"</f>
        <v>4200 - Podlahy  -  celkem</v>
      </c>
      <c r="C1775" s="19"/>
      <c r="D1775" s="19"/>
      <c r="E1775" s="19"/>
      <c r="F1775" s="3">
        <f>SUM(F1768:F1774)</f>
        <v>0</v>
      </c>
    </row>
    <row r="1776" spans="2:6">
      <c r="B1776" s="19"/>
      <c r="C1776" s="19"/>
      <c r="D1776" s="19"/>
      <c r="E1776" s="19"/>
      <c r="F1776" s="19"/>
    </row>
    <row r="1777" spans="2:6">
      <c r="B1777" s="19"/>
      <c r="C1777" s="19"/>
      <c r="D1777" s="19"/>
      <c r="E1777" s="19"/>
      <c r="F1777" s="19"/>
    </row>
    <row r="1778" spans="2:6">
      <c r="B1778" s="19"/>
      <c r="C1778" s="19"/>
      <c r="D1778" s="19"/>
      <c r="E1778" s="19"/>
      <c r="F1778" s="19"/>
    </row>
    <row r="1779" spans="2:6">
      <c r="B1779" s="19"/>
      <c r="C1779" s="19"/>
      <c r="D1779" s="19"/>
      <c r="E1779" s="19"/>
      <c r="F1779" s="19"/>
    </row>
    <row r="1780" spans="2:6">
      <c r="B1780" s="19"/>
      <c r="C1780" s="19"/>
      <c r="D1780" s="19"/>
      <c r="E1780" s="19"/>
      <c r="F1780" s="19"/>
    </row>
    <row r="1781" spans="2:6">
      <c r="B1781" s="19"/>
      <c r="C1781" s="19"/>
      <c r="D1781" s="19"/>
      <c r="E1781" s="19"/>
      <c r="F1781" s="19"/>
    </row>
    <row r="1782" spans="2:6" ht="18.75">
      <c r="B1782" s="11" t="str">
        <f>R_55</f>
        <v>4300 - Stěny a stropy</v>
      </c>
      <c r="C1782" s="19"/>
      <c r="D1782" s="19"/>
      <c r="E1782" s="19"/>
      <c r="F1782" s="5"/>
    </row>
    <row r="1783" spans="2:6">
      <c r="B1783" s="7"/>
      <c r="C1783" s="19"/>
      <c r="D1783" s="19"/>
      <c r="E1783" s="19"/>
      <c r="F1783" s="5"/>
    </row>
    <row r="1784" spans="2:6">
      <c r="B1784" s="7"/>
      <c r="C1784" s="19"/>
      <c r="D1784" s="19"/>
      <c r="E1784" s="19"/>
      <c r="F1784" s="5"/>
    </row>
    <row r="1785" spans="2:6">
      <c r="B1785" s="1"/>
      <c r="C1785" s="19"/>
      <c r="D1785" s="19"/>
      <c r="E1785" s="19"/>
      <c r="F1785" s="8">
        <f>ROUND(D1785*E1785,0)</f>
        <v>0</v>
      </c>
    </row>
    <row r="1786" spans="2:6">
      <c r="B1786" s="1"/>
      <c r="C1786" s="19"/>
      <c r="D1786" s="19"/>
      <c r="E1786" s="19"/>
      <c r="F1786" s="8">
        <f>ROUND(D1786*E1786,0)</f>
        <v>0</v>
      </c>
    </row>
    <row r="1787" spans="2:6">
      <c r="B1787" s="1"/>
      <c r="C1787" s="19"/>
      <c r="D1787" s="19"/>
      <c r="E1787" s="19"/>
      <c r="F1787" s="8">
        <f>ROUND(D1787*E1787,0)</f>
        <v>0</v>
      </c>
    </row>
    <row r="1788" spans="2:6">
      <c r="B1788" s="7"/>
      <c r="C1788" s="19"/>
      <c r="D1788" s="19"/>
      <c r="E1788" s="19"/>
      <c r="F1788" s="5"/>
    </row>
    <row r="1789" spans="2:6">
      <c r="B1789" s="6" t="str">
        <f>B1782&amp;"  -  celkem"</f>
        <v>4300 - Stěny a stropy  -  celkem</v>
      </c>
      <c r="C1789" s="19"/>
      <c r="D1789" s="19"/>
      <c r="E1789" s="19"/>
      <c r="F1789" s="3">
        <f>SUM(F1782:F1788)</f>
        <v>0</v>
      </c>
    </row>
    <row r="1790" spans="2:6">
      <c r="B1790" s="19"/>
      <c r="C1790" s="19"/>
      <c r="D1790" s="19"/>
      <c r="E1790" s="19"/>
      <c r="F1790" s="19"/>
    </row>
    <row r="1791" spans="2:6">
      <c r="B1791" s="19"/>
      <c r="C1791" s="19"/>
      <c r="D1791" s="19"/>
      <c r="E1791" s="19"/>
      <c r="F1791" s="19"/>
    </row>
    <row r="1792" spans="2:6">
      <c r="B1792" s="19"/>
      <c r="C1792" s="19"/>
      <c r="D1792" s="19"/>
      <c r="E1792" s="19"/>
      <c r="F1792" s="19"/>
    </row>
    <row r="1793" spans="2:6">
      <c r="B1793" s="19"/>
      <c r="C1793" s="19"/>
      <c r="D1793" s="19"/>
      <c r="E1793" s="19"/>
      <c r="F1793" s="19"/>
    </row>
    <row r="1794" spans="2:6">
      <c r="B1794" s="19"/>
      <c r="C1794" s="19"/>
      <c r="D1794" s="19"/>
      <c r="E1794" s="19"/>
      <c r="F1794" s="19"/>
    </row>
    <row r="1795" spans="2:6">
      <c r="B1795" s="19"/>
      <c r="C1795" s="19"/>
      <c r="D1795" s="19"/>
      <c r="E1795" s="19"/>
      <c r="F1795" s="19"/>
    </row>
    <row r="1796" spans="2:6" ht="18.75">
      <c r="B1796" s="11" t="str">
        <f>R_43</f>
        <v>4500 - Zařizovací dodávky</v>
      </c>
      <c r="C1796" s="19"/>
      <c r="D1796" s="19"/>
      <c r="E1796" s="19"/>
      <c r="F1796" s="5"/>
    </row>
    <row r="1797" spans="2:6">
      <c r="B1797" s="7"/>
      <c r="C1797" s="19"/>
      <c r="D1797" s="19"/>
      <c r="E1797" s="19"/>
      <c r="F1797" s="5"/>
    </row>
    <row r="1798" spans="2:6">
      <c r="B1798" s="7"/>
      <c r="C1798" s="19"/>
      <c r="D1798" s="19"/>
      <c r="E1798" s="19"/>
      <c r="F1798" s="5"/>
    </row>
    <row r="1799" spans="2:6">
      <c r="B1799" s="1"/>
      <c r="C1799" s="19"/>
      <c r="D1799" s="19"/>
      <c r="E1799" s="19"/>
      <c r="F1799" s="8">
        <f>ROUND(D1799*E1799,0)</f>
        <v>0</v>
      </c>
    </row>
    <row r="1800" spans="2:6">
      <c r="B1800" s="1"/>
      <c r="C1800" s="19"/>
      <c r="D1800" s="19"/>
      <c r="E1800" s="19"/>
      <c r="F1800" s="8">
        <f>ROUND(D1800*E1800,0)</f>
        <v>0</v>
      </c>
    </row>
    <row r="1801" spans="2:6">
      <c r="B1801" s="1"/>
      <c r="C1801" s="19"/>
      <c r="D1801" s="19"/>
      <c r="E1801" s="19"/>
      <c r="F1801" s="8">
        <f>ROUND(D1801*E1801,0)</f>
        <v>0</v>
      </c>
    </row>
    <row r="1802" spans="2:6">
      <c r="B1802" s="1"/>
      <c r="C1802" s="19"/>
      <c r="D1802" s="19"/>
      <c r="E1802" s="19"/>
      <c r="F1802" s="8">
        <f>ROUND(D1802*E1802,0)</f>
        <v>0</v>
      </c>
    </row>
    <row r="1803" spans="2:6">
      <c r="B1803" s="1"/>
      <c r="C1803" s="19"/>
      <c r="D1803" s="19"/>
      <c r="E1803" s="19"/>
      <c r="F1803" s="8">
        <f>ROUND(D1803*E1803,0)</f>
        <v>0</v>
      </c>
    </row>
    <row r="1804" spans="2:6">
      <c r="B1804" s="7"/>
      <c r="C1804" s="19"/>
      <c r="D1804" s="19"/>
      <c r="E1804" s="19"/>
      <c r="F1804" s="5"/>
    </row>
    <row r="1805" spans="2:6">
      <c r="B1805" s="6" t="str">
        <f>B1796&amp;"  -  celkem"</f>
        <v>4500 - Zařizovací dodávky  -  celkem</v>
      </c>
      <c r="C1805" s="19"/>
      <c r="D1805" s="19"/>
      <c r="E1805" s="19"/>
      <c r="F1805" s="3">
        <f>SUM(F1796:F1804)</f>
        <v>0</v>
      </c>
    </row>
    <row r="1812" spans="2:6" ht="18.75">
      <c r="B1812" s="11" t="str">
        <f>R_82</f>
        <v>5100 - Zdravotechnické instalace</v>
      </c>
      <c r="C1812" s="19"/>
      <c r="D1812" s="5"/>
      <c r="E1812" s="4"/>
      <c r="F1812" s="5"/>
    </row>
    <row r="1813" spans="2:6">
      <c r="B1813" s="7"/>
      <c r="C1813" s="19"/>
      <c r="D1813" s="5"/>
      <c r="E1813" s="4"/>
      <c r="F1813" s="5"/>
    </row>
    <row r="1814" spans="2:6">
      <c r="B1814" s="7"/>
      <c r="C1814" s="19"/>
      <c r="D1814" s="5"/>
      <c r="E1814" s="4"/>
      <c r="F1814" s="5"/>
    </row>
    <row r="1815" spans="2:6">
      <c r="B1815" s="1"/>
      <c r="C1815" s="19"/>
      <c r="D1815" s="5"/>
      <c r="E1815" s="4"/>
      <c r="F1815" s="8">
        <f>ROUND(D1815*E1815,0)</f>
        <v>0</v>
      </c>
    </row>
    <row r="1816" spans="2:6">
      <c r="B1816" s="1"/>
      <c r="C1816" s="19"/>
      <c r="D1816" s="5"/>
      <c r="E1816" s="4"/>
      <c r="F1816" s="8">
        <f>ROUND(D1816*E1816,0)</f>
        <v>0</v>
      </c>
    </row>
    <row r="1817" spans="2:6">
      <c r="B1817" s="1"/>
      <c r="C1817" s="19"/>
      <c r="D1817" s="5"/>
      <c r="E1817" s="4"/>
      <c r="F1817" s="8">
        <f>ROUND(D1817*E1817,0)</f>
        <v>0</v>
      </c>
    </row>
    <row r="1818" spans="2:6">
      <c r="B1818" s="7"/>
      <c r="C1818" s="19"/>
      <c r="D1818" s="5"/>
      <c r="E1818" s="4"/>
      <c r="F1818" s="5"/>
    </row>
    <row r="1819" spans="2:6">
      <c r="B1819" s="6" t="str">
        <f>B1812&amp;"  -  celkem"</f>
        <v>5100 - Zdravotechnické instalace  -  celkem</v>
      </c>
      <c r="C1819" s="19"/>
      <c r="D1819" s="5"/>
      <c r="E1819" s="4"/>
      <c r="F1819" s="3">
        <f>SUM(F1812:F1818)</f>
        <v>0</v>
      </c>
    </row>
    <row r="1820" spans="2:6">
      <c r="B1820" s="19"/>
      <c r="C1820" s="19"/>
      <c r="D1820" s="5"/>
      <c r="E1820" s="4"/>
      <c r="F1820" s="19"/>
    </row>
    <row r="1821" spans="2:6">
      <c r="B1821" s="19"/>
      <c r="C1821" s="19"/>
      <c r="D1821" s="5"/>
      <c r="E1821" s="4"/>
      <c r="F1821" s="19"/>
    </row>
    <row r="1822" spans="2:6">
      <c r="B1822" s="19"/>
      <c r="C1822" s="19"/>
      <c r="D1822" s="5"/>
      <c r="E1822" s="4"/>
      <c r="F1822" s="19"/>
    </row>
    <row r="1823" spans="2:6">
      <c r="B1823" s="19"/>
      <c r="C1823" s="19"/>
      <c r="D1823" s="5"/>
      <c r="E1823" s="4"/>
      <c r="F1823" s="19"/>
    </row>
    <row r="1824" spans="2:6">
      <c r="B1824" s="19"/>
      <c r="C1824" s="19"/>
      <c r="D1824" s="5"/>
      <c r="E1824" s="4"/>
      <c r="F1824" s="19"/>
    </row>
    <row r="1825" spans="2:6">
      <c r="B1825" s="19"/>
      <c r="C1825" s="19"/>
      <c r="D1825" s="5"/>
      <c r="E1825" s="4"/>
      <c r="F1825" s="19"/>
    </row>
    <row r="1826" spans="2:6" ht="18.75">
      <c r="B1826" s="11" t="str">
        <f>R_92</f>
        <v>5200 - Vytápění</v>
      </c>
      <c r="C1826" s="19"/>
      <c r="D1826" s="5"/>
      <c r="E1826" s="4"/>
      <c r="F1826" s="5"/>
    </row>
    <row r="1827" spans="2:6">
      <c r="B1827" s="7"/>
      <c r="C1827" s="19"/>
      <c r="D1827" s="5"/>
      <c r="E1827" s="4"/>
      <c r="F1827" s="5"/>
    </row>
    <row r="1828" spans="2:6">
      <c r="B1828" s="7"/>
      <c r="C1828" s="19"/>
      <c r="D1828" s="5"/>
      <c r="E1828" s="4"/>
      <c r="F1828" s="5"/>
    </row>
    <row r="1829" spans="2:6">
      <c r="B1829" s="1"/>
      <c r="C1829" s="19"/>
      <c r="D1829" s="5"/>
      <c r="E1829" s="4"/>
      <c r="F1829" s="8">
        <f>ROUND(D1829*E1829,0)</f>
        <v>0</v>
      </c>
    </row>
    <row r="1830" spans="2:6">
      <c r="B1830" s="1"/>
      <c r="C1830" s="19"/>
      <c r="D1830" s="5"/>
      <c r="E1830" s="4"/>
      <c r="F1830" s="8">
        <f>ROUND(D1830*E1830,0)</f>
        <v>0</v>
      </c>
    </row>
    <row r="1831" spans="2:6">
      <c r="B1831" s="1"/>
      <c r="C1831" s="19"/>
      <c r="D1831" s="5"/>
      <c r="E1831" s="4"/>
      <c r="F1831" s="8">
        <f>ROUND(D1831*E1831,0)</f>
        <v>0</v>
      </c>
    </row>
    <row r="1832" spans="2:6">
      <c r="B1832" s="7"/>
      <c r="C1832" s="19"/>
      <c r="D1832" s="5"/>
      <c r="E1832" s="4"/>
      <c r="F1832" s="5"/>
    </row>
    <row r="1833" spans="2:6">
      <c r="B1833" s="6" t="str">
        <f>B1826&amp;"  -  celkem"</f>
        <v>5200 - Vytápění  -  celkem</v>
      </c>
      <c r="C1833" s="19"/>
      <c r="D1833" s="5"/>
      <c r="E1833" s="4"/>
      <c r="F1833" s="3">
        <f>SUM(F1826:F1832)</f>
        <v>0</v>
      </c>
    </row>
    <row r="1834" spans="2:6">
      <c r="B1834" s="19"/>
      <c r="C1834" s="19"/>
      <c r="D1834" s="5"/>
      <c r="E1834" s="4"/>
      <c r="F1834" s="19"/>
    </row>
    <row r="1835" spans="2:6">
      <c r="B1835" s="19"/>
      <c r="C1835" s="19"/>
      <c r="D1835" s="5"/>
      <c r="E1835" s="4"/>
      <c r="F1835" s="19"/>
    </row>
    <row r="1836" spans="2:6">
      <c r="B1836" s="19"/>
      <c r="C1836" s="19"/>
      <c r="D1836" s="5"/>
      <c r="E1836" s="4"/>
      <c r="F1836" s="19"/>
    </row>
    <row r="1837" spans="2:6">
      <c r="B1837" s="19"/>
      <c r="C1837" s="19"/>
      <c r="D1837" s="5"/>
      <c r="E1837" s="4"/>
      <c r="F1837" s="19"/>
    </row>
    <row r="1838" spans="2:6">
      <c r="B1838" s="19"/>
      <c r="C1838" s="19"/>
      <c r="D1838" s="5"/>
      <c r="E1838" s="4"/>
      <c r="F1838" s="19"/>
    </row>
    <row r="1839" spans="2:6">
      <c r="B1839" s="19"/>
      <c r="C1839" s="19"/>
      <c r="D1839" s="5"/>
      <c r="E1839" s="4"/>
      <c r="F1839" s="19"/>
    </row>
    <row r="1840" spans="2:6" ht="18.75">
      <c r="B1840" s="11" t="str">
        <f>R_83</f>
        <v>5300 - Chlazení</v>
      </c>
      <c r="C1840" s="19"/>
      <c r="D1840" s="5"/>
      <c r="E1840" s="4"/>
      <c r="F1840" s="5"/>
    </row>
    <row r="1841" spans="2:6">
      <c r="B1841" s="7"/>
      <c r="C1841" s="19"/>
      <c r="D1841" s="5"/>
      <c r="E1841" s="4"/>
      <c r="F1841" s="5"/>
    </row>
    <row r="1842" spans="2:6">
      <c r="B1842" s="7"/>
      <c r="C1842" s="19"/>
      <c r="D1842" s="5"/>
      <c r="E1842" s="4"/>
      <c r="F1842" s="5"/>
    </row>
    <row r="1843" spans="2:6">
      <c r="B1843" s="1"/>
      <c r="C1843" s="19"/>
      <c r="D1843" s="5"/>
      <c r="E1843" s="4"/>
      <c r="F1843" s="8">
        <f>ROUND(D1843*E1843,0)</f>
        <v>0</v>
      </c>
    </row>
    <row r="1844" spans="2:6">
      <c r="B1844" s="1"/>
      <c r="C1844" s="19"/>
      <c r="D1844" s="5"/>
      <c r="E1844" s="4"/>
      <c r="F1844" s="8">
        <f>ROUND(D1844*E1844,0)</f>
        <v>0</v>
      </c>
    </row>
    <row r="1845" spans="2:6">
      <c r="B1845" s="1"/>
      <c r="C1845" s="19"/>
      <c r="D1845" s="5"/>
      <c r="E1845" s="4"/>
      <c r="F1845" s="8">
        <f>ROUND(D1845*E1845,0)</f>
        <v>0</v>
      </c>
    </row>
    <row r="1846" spans="2:6">
      <c r="B1846" s="1"/>
      <c r="C1846" s="19"/>
      <c r="D1846" s="5"/>
      <c r="E1846" s="4"/>
      <c r="F1846" s="8">
        <f>ROUND(D1846*E1846,0)</f>
        <v>0</v>
      </c>
    </row>
    <row r="1847" spans="2:6">
      <c r="B1847" s="7"/>
      <c r="C1847" s="19"/>
      <c r="D1847" s="5"/>
      <c r="E1847" s="4"/>
      <c r="F1847" s="5"/>
    </row>
    <row r="1848" spans="2:6">
      <c r="B1848" s="6" t="str">
        <f>B1840&amp;"  -  celkem"</f>
        <v>5300 - Chlazení  -  celkem</v>
      </c>
      <c r="C1848" s="19"/>
      <c r="D1848" s="5"/>
      <c r="E1848" s="4"/>
      <c r="F1848" s="3">
        <f>SUM(F1840:F1847)</f>
        <v>0</v>
      </c>
    </row>
    <row r="1849" spans="2:6">
      <c r="B1849" s="19"/>
      <c r="C1849" s="19"/>
      <c r="D1849" s="5"/>
      <c r="E1849" s="4"/>
      <c r="F1849" s="19"/>
    </row>
    <row r="1850" spans="2:6">
      <c r="B1850" s="19"/>
      <c r="C1850" s="19"/>
      <c r="D1850" s="5"/>
      <c r="E1850" s="4"/>
      <c r="F1850" s="19"/>
    </row>
    <row r="1851" spans="2:6">
      <c r="B1851" s="19"/>
      <c r="C1851" s="19"/>
      <c r="D1851" s="5"/>
      <c r="E1851" s="4"/>
      <c r="F1851" s="19"/>
    </row>
    <row r="1852" spans="2:6">
      <c r="B1852" s="19"/>
      <c r="C1852" s="19"/>
      <c r="D1852" s="5"/>
      <c r="E1852" s="4"/>
      <c r="F1852" s="19"/>
    </row>
    <row r="1853" spans="2:6">
      <c r="B1853" s="19"/>
      <c r="C1853" s="19"/>
      <c r="D1853" s="5"/>
      <c r="E1853" s="4"/>
      <c r="F1853" s="19"/>
    </row>
    <row r="1854" spans="2:6">
      <c r="B1854" s="19"/>
      <c r="C1854" s="19"/>
      <c r="D1854" s="5"/>
      <c r="E1854" s="4"/>
      <c r="F1854" s="19"/>
    </row>
    <row r="1855" spans="2:6" ht="18.75">
      <c r="B1855" s="11" t="str">
        <f>R_93</f>
        <v>5400 - Vzduchotechnika a klimatizace</v>
      </c>
      <c r="C1855" s="19"/>
      <c r="D1855" s="5"/>
      <c r="E1855" s="4"/>
      <c r="F1855" s="5"/>
    </row>
    <row r="1856" spans="2:6">
      <c r="B1856" s="7"/>
      <c r="C1856" s="19"/>
      <c r="D1856" s="5"/>
      <c r="E1856" s="4"/>
      <c r="F1856" s="5"/>
    </row>
    <row r="1857" spans="2:6">
      <c r="B1857" s="7"/>
      <c r="C1857" s="19"/>
      <c r="D1857" s="5"/>
      <c r="E1857" s="4"/>
      <c r="F1857" s="5"/>
    </row>
    <row r="1858" spans="2:6">
      <c r="B1858" s="1"/>
      <c r="C1858" s="19"/>
      <c r="D1858" s="5"/>
      <c r="E1858" s="4"/>
      <c r="F1858" s="8">
        <f>ROUND(D1858*E1858,0)</f>
        <v>0</v>
      </c>
    </row>
    <row r="1859" spans="2:6">
      <c r="B1859" s="1"/>
      <c r="C1859" s="19"/>
      <c r="D1859" s="5"/>
      <c r="E1859" s="4"/>
      <c r="F1859" s="8">
        <f>ROUND(D1859*E1859,0)</f>
        <v>0</v>
      </c>
    </row>
    <row r="1860" spans="2:6">
      <c r="B1860" s="1"/>
      <c r="C1860" s="19"/>
      <c r="D1860" s="5"/>
      <c r="E1860" s="4"/>
      <c r="F1860" s="8">
        <f>ROUND(D1860*E1860,0)</f>
        <v>0</v>
      </c>
    </row>
    <row r="1861" spans="2:6">
      <c r="B1861" s="1"/>
      <c r="C1861" s="19"/>
      <c r="D1861" s="5"/>
      <c r="E1861" s="4"/>
      <c r="F1861" s="8">
        <f>ROUND(D1861*E1861,0)</f>
        <v>0</v>
      </c>
    </row>
    <row r="1862" spans="2:6">
      <c r="B1862" s="7"/>
      <c r="C1862" s="19"/>
      <c r="D1862" s="5"/>
      <c r="E1862" s="4"/>
      <c r="F1862" s="5"/>
    </row>
    <row r="1863" spans="2:6">
      <c r="B1863" s="6" t="str">
        <f>B1855&amp;"  -  celkem"</f>
        <v>5400 - Vzduchotechnika a klimatizace  -  celkem</v>
      </c>
      <c r="C1863" s="19"/>
      <c r="D1863" s="5"/>
      <c r="E1863" s="4"/>
      <c r="F1863" s="3">
        <f>SUM(F1855:F1862)</f>
        <v>0</v>
      </c>
    </row>
    <row r="1864" spans="2:6">
      <c r="B1864" s="19"/>
      <c r="C1864" s="19"/>
      <c r="D1864" s="5"/>
      <c r="E1864" s="4"/>
      <c r="F1864" s="19"/>
    </row>
    <row r="1865" spans="2:6">
      <c r="B1865" s="19"/>
      <c r="C1865" s="19"/>
      <c r="D1865" s="5"/>
      <c r="E1865" s="4"/>
      <c r="F1865" s="19"/>
    </row>
    <row r="1866" spans="2:6">
      <c r="B1866" s="19"/>
      <c r="C1866" s="19"/>
      <c r="D1866" s="5"/>
      <c r="E1866" s="4"/>
      <c r="F1866" s="19"/>
    </row>
    <row r="1867" spans="2:6">
      <c r="B1867" s="19"/>
      <c r="C1867" s="19"/>
      <c r="D1867" s="5"/>
      <c r="E1867" s="4"/>
      <c r="F1867" s="19"/>
    </row>
    <row r="1868" spans="2:6">
      <c r="B1868" s="19"/>
      <c r="C1868" s="19"/>
      <c r="D1868" s="5"/>
      <c r="E1868" s="4"/>
      <c r="F1868" s="19"/>
    </row>
    <row r="1869" spans="2:6">
      <c r="B1869" s="19"/>
      <c r="C1869" s="19"/>
      <c r="D1869" s="5"/>
      <c r="E1869" s="4"/>
      <c r="F1869" s="19"/>
    </row>
    <row r="1870" spans="2:6" ht="18.75">
      <c r="B1870" s="11" t="str">
        <f>R_84</f>
        <v>6100 - Zdroje energie</v>
      </c>
      <c r="C1870" s="19"/>
      <c r="D1870" s="5"/>
      <c r="E1870" s="4"/>
      <c r="F1870" s="5"/>
    </row>
    <row r="1871" spans="2:6">
      <c r="B1871" s="7"/>
      <c r="C1871" s="19"/>
      <c r="D1871" s="5"/>
      <c r="E1871" s="4"/>
      <c r="F1871" s="5"/>
    </row>
    <row r="1872" spans="2:6">
      <c r="B1872" s="7"/>
      <c r="C1872" s="19"/>
      <c r="D1872" s="5"/>
      <c r="E1872" s="4"/>
      <c r="F1872" s="5"/>
    </row>
    <row r="1873" spans="2:6">
      <c r="B1873" s="7"/>
      <c r="C1873" s="19"/>
      <c r="D1873" s="5"/>
      <c r="E1873" s="4"/>
      <c r="F1873" s="8">
        <f>ROUND(D1873*E1873,0)</f>
        <v>0</v>
      </c>
    </row>
    <row r="1874" spans="2:6">
      <c r="B1874" s="1"/>
      <c r="C1874" s="19"/>
      <c r="D1874" s="5"/>
      <c r="E1874" s="4"/>
      <c r="F1874" s="8">
        <f>ROUND(D1874*E1874,0)</f>
        <v>0</v>
      </c>
    </row>
    <row r="1875" spans="2:6">
      <c r="B1875" s="1"/>
      <c r="C1875" s="19"/>
      <c r="D1875" s="5"/>
      <c r="E1875" s="4"/>
      <c r="F1875" s="8">
        <f>ROUND(D1875*E1875,0)</f>
        <v>0</v>
      </c>
    </row>
    <row r="1876" spans="2:6">
      <c r="B1876" s="19"/>
      <c r="C1876" s="19"/>
      <c r="D1876" s="5"/>
      <c r="E1876" s="4"/>
      <c r="F1876" s="5"/>
    </row>
    <row r="1877" spans="2:6">
      <c r="B1877" s="6" t="str">
        <f>B1870&amp;"  -  celkem"</f>
        <v>6100 - Zdroje energie  -  celkem</v>
      </c>
      <c r="C1877" s="19"/>
      <c r="D1877" s="5"/>
      <c r="E1877" s="4"/>
      <c r="F1877" s="3">
        <f>SUM(F1870:F1876)</f>
        <v>0</v>
      </c>
    </row>
    <row r="1878" spans="2:6">
      <c r="B1878" s="19"/>
      <c r="C1878" s="19"/>
      <c r="D1878" s="5"/>
      <c r="E1878" s="4"/>
      <c r="F1878" s="19"/>
    </row>
    <row r="1879" spans="2:6">
      <c r="B1879" s="19"/>
      <c r="C1879" s="19"/>
      <c r="D1879" s="5"/>
      <c r="E1879" s="4"/>
      <c r="F1879" s="19"/>
    </row>
    <row r="1880" spans="2:6">
      <c r="B1880" s="19"/>
      <c r="C1880" s="19"/>
      <c r="D1880" s="5"/>
      <c r="E1880" s="4"/>
      <c r="F1880" s="19"/>
    </row>
    <row r="1881" spans="2:6">
      <c r="B1881" s="19"/>
      <c r="C1881" s="19"/>
      <c r="D1881" s="5"/>
      <c r="E1881" s="4"/>
      <c r="F1881" s="19"/>
    </row>
    <row r="1882" spans="2:6">
      <c r="B1882" s="19"/>
      <c r="C1882" s="19"/>
      <c r="D1882" s="5"/>
      <c r="E1882" s="4"/>
      <c r="F1882" s="19"/>
    </row>
    <row r="1883" spans="2:6">
      <c r="B1883" s="19"/>
      <c r="C1883" s="19"/>
      <c r="D1883" s="5"/>
      <c r="E1883" s="4"/>
      <c r="F1883" s="19"/>
    </row>
    <row r="1884" spans="2:6" ht="18.75">
      <c r="B1884" s="11" t="str">
        <f>R_13</f>
        <v>6200 - Silnoproudé rozvody a příslušenství</v>
      </c>
      <c r="C1884" s="19"/>
      <c r="D1884" s="5"/>
      <c r="E1884" s="4"/>
      <c r="F1884" s="5"/>
    </row>
    <row r="1885" spans="2:6">
      <c r="B1885" s="7"/>
      <c r="C1885" s="19"/>
      <c r="D1885" s="5"/>
      <c r="E1885" s="4"/>
      <c r="F1885" s="5"/>
    </row>
    <row r="1886" spans="2:6">
      <c r="B1886" s="7"/>
      <c r="C1886" s="19"/>
      <c r="D1886" s="5"/>
      <c r="E1886" s="4"/>
      <c r="F1886" s="5"/>
    </row>
    <row r="1887" spans="2:6">
      <c r="B1887" s="142"/>
      <c r="C1887" s="19"/>
      <c r="D1887" s="5"/>
      <c r="E1887" s="4"/>
      <c r="F1887" s="8">
        <f>ROUND(D1887*E1887,0)</f>
        <v>0</v>
      </c>
    </row>
    <row r="1888" spans="2:6">
      <c r="B1888" s="142"/>
      <c r="C1888" s="19"/>
      <c r="D1888" s="5"/>
      <c r="E1888" s="4"/>
      <c r="F1888" s="8">
        <f>ROUND(D1888*E1888,0)</f>
        <v>0</v>
      </c>
    </row>
    <row r="1889" spans="2:6">
      <c r="B1889" s="142"/>
      <c r="C1889" s="19"/>
      <c r="D1889" s="5"/>
      <c r="E1889" s="4"/>
      <c r="F1889" s="8">
        <f>ROUND(D1889*E1889,0)</f>
        <v>0</v>
      </c>
    </row>
    <row r="1890" spans="2:6">
      <c r="B1890" s="1"/>
      <c r="C1890" s="19"/>
      <c r="D1890" s="5"/>
      <c r="E1890" s="4"/>
      <c r="F1890" s="8"/>
    </row>
    <row r="1891" spans="2:6">
      <c r="B1891" s="6" t="str">
        <f>B1884&amp;"  -  celkem"</f>
        <v>6200 - Silnoproudé rozvody a příslušenství  -  celkem</v>
      </c>
      <c r="C1891" s="19"/>
      <c r="D1891" s="5"/>
      <c r="E1891" s="4"/>
      <c r="F1891" s="3">
        <f>SUM(F1884:F1890)</f>
        <v>0</v>
      </c>
    </row>
    <row r="1892" spans="2:6">
      <c r="B1892" s="19"/>
      <c r="C1892" s="19"/>
      <c r="D1892" s="5"/>
      <c r="E1892" s="4"/>
      <c r="F1892" s="19"/>
    </row>
    <row r="1893" spans="2:6">
      <c r="B1893" s="19"/>
      <c r="C1893" s="19"/>
      <c r="D1893" s="5"/>
      <c r="E1893" s="4"/>
      <c r="F1893" s="19"/>
    </row>
    <row r="1894" spans="2:6">
      <c r="B1894" s="19"/>
      <c r="C1894" s="19"/>
      <c r="D1894" s="5"/>
      <c r="E1894" s="4"/>
      <c r="F1894" s="19"/>
    </row>
    <row r="1895" spans="2:6">
      <c r="B1895" s="19"/>
      <c r="C1895" s="19"/>
      <c r="D1895" s="5"/>
      <c r="E1895" s="4"/>
      <c r="F1895" s="19"/>
    </row>
    <row r="1896" spans="2:6">
      <c r="B1896" s="19"/>
      <c r="C1896" s="19"/>
      <c r="D1896" s="5"/>
      <c r="E1896" s="4"/>
      <c r="F1896" s="19"/>
    </row>
    <row r="1897" spans="2:6">
      <c r="B1897" s="19"/>
      <c r="C1897" s="19"/>
      <c r="D1897" s="5"/>
      <c r="E1897" s="4"/>
      <c r="F1897" s="19"/>
    </row>
    <row r="1898" spans="2:6" ht="18.75">
      <c r="B1898" s="11" t="str">
        <f>R_14</f>
        <v>6300 - Svítidla vč.zdrojů, slavnostní osvětlení</v>
      </c>
      <c r="C1898" s="19"/>
      <c r="D1898" s="5"/>
      <c r="E1898" s="4"/>
      <c r="F1898" s="5"/>
    </row>
    <row r="1899" spans="2:6">
      <c r="B1899" s="7"/>
      <c r="C1899" s="19"/>
      <c r="D1899" s="5"/>
      <c r="E1899" s="4"/>
      <c r="F1899" s="5"/>
    </row>
    <row r="1900" spans="2:6">
      <c r="B1900" s="5"/>
      <c r="C1900" s="19"/>
      <c r="D1900" s="5"/>
      <c r="E1900" s="4"/>
      <c r="F1900" s="5"/>
    </row>
    <row r="1901" spans="2:6">
      <c r="B1901" s="5"/>
      <c r="C1901" s="19"/>
      <c r="D1901" s="5"/>
      <c r="E1901" s="4"/>
      <c r="F1901" s="8">
        <f>ROUND(D1901*E1901,0)</f>
        <v>0</v>
      </c>
    </row>
    <row r="1902" spans="2:6">
      <c r="B1902" s="5"/>
      <c r="C1902" s="19"/>
      <c r="D1902" s="5"/>
      <c r="E1902" s="4"/>
      <c r="F1902" s="8">
        <f>ROUND(D1902*E1902,0)</f>
        <v>0</v>
      </c>
    </row>
    <row r="1903" spans="2:6">
      <c r="B1903" s="1"/>
      <c r="C1903" s="19"/>
      <c r="D1903" s="5"/>
      <c r="E1903" s="4"/>
      <c r="F1903" s="8"/>
    </row>
    <row r="1904" spans="2:6">
      <c r="B1904" s="6" t="str">
        <f>B1898&amp;"  -  celkem"</f>
        <v>6300 - Svítidla vč.zdrojů, slavnostní osvětlení  -  celkem</v>
      </c>
      <c r="C1904" s="19"/>
      <c r="D1904" s="5"/>
      <c r="E1904" s="4"/>
      <c r="F1904" s="3">
        <f>SUM(F1898:F1903)</f>
        <v>0</v>
      </c>
    </row>
    <row r="1905" spans="2:6">
      <c r="B1905" s="19"/>
      <c r="C1905" s="19"/>
      <c r="D1905" s="5"/>
      <c r="E1905" s="4"/>
      <c r="F1905" s="19"/>
    </row>
    <row r="1906" spans="2:6">
      <c r="B1906" s="19"/>
      <c r="C1906" s="19"/>
      <c r="D1906" s="5"/>
      <c r="E1906" s="4"/>
      <c r="F1906" s="19"/>
    </row>
    <row r="1907" spans="2:6">
      <c r="B1907" s="19"/>
      <c r="C1907" s="19"/>
      <c r="D1907" s="5"/>
      <c r="E1907" s="4"/>
      <c r="F1907" s="19"/>
    </row>
    <row r="1908" spans="2:6">
      <c r="B1908" s="19"/>
      <c r="C1908" s="19"/>
      <c r="D1908" s="5"/>
      <c r="E1908" s="4"/>
      <c r="F1908" s="19"/>
    </row>
    <row r="1909" spans="2:6">
      <c r="B1909" s="19"/>
      <c r="C1909" s="19"/>
      <c r="D1909" s="5"/>
      <c r="E1909" s="4"/>
      <c r="F1909" s="19"/>
    </row>
    <row r="1910" spans="2:6">
      <c r="B1910" s="19"/>
      <c r="C1910" s="19"/>
      <c r="D1910" s="5"/>
      <c r="E1910" s="4"/>
      <c r="F1910" s="19"/>
    </row>
    <row r="1911" spans="2:6" ht="18.75">
      <c r="B1911" s="11" t="str">
        <f>R_87</f>
        <v>6400 - Hromosvod</v>
      </c>
      <c r="C1911" s="19"/>
      <c r="D1911" s="5"/>
      <c r="E1911" s="4"/>
      <c r="F1911" s="5"/>
    </row>
    <row r="1912" spans="2:6">
      <c r="B1912" s="7"/>
      <c r="C1912" s="19"/>
      <c r="D1912" s="5"/>
      <c r="E1912" s="4"/>
      <c r="F1912" s="5"/>
    </row>
    <row r="1913" spans="2:6">
      <c r="B1913" s="7"/>
      <c r="C1913" s="19"/>
      <c r="D1913" s="5"/>
      <c r="E1913" s="4"/>
      <c r="F1913" s="5"/>
    </row>
    <row r="1914" spans="2:6">
      <c r="B1914" s="7"/>
      <c r="C1914" s="19"/>
      <c r="D1914" s="5"/>
      <c r="E1914" s="4"/>
      <c r="F1914" s="8">
        <f>ROUND(D1914*E1914,0)</f>
        <v>0</v>
      </c>
    </row>
    <row r="1915" spans="2:6">
      <c r="B1915" s="7"/>
      <c r="C1915" s="19"/>
      <c r="D1915" s="5"/>
      <c r="E1915" s="4"/>
      <c r="F1915" s="5"/>
    </row>
    <row r="1916" spans="2:6">
      <c r="B1916" s="6" t="str">
        <f>B1911&amp;"  -  celkem"</f>
        <v>6400 - Hromosvod  -  celkem</v>
      </c>
      <c r="C1916" s="19"/>
      <c r="D1916" s="5"/>
      <c r="E1916" s="4"/>
      <c r="F1916" s="3">
        <f>SUM(F1911:F1915)</f>
        <v>0</v>
      </c>
    </row>
    <row r="1917" spans="2:6">
      <c r="B1917" s="19"/>
      <c r="C1917" s="19"/>
      <c r="D1917" s="5"/>
      <c r="E1917" s="4"/>
      <c r="F1917" s="19"/>
    </row>
    <row r="1918" spans="2:6">
      <c r="B1918" s="19"/>
      <c r="C1918" s="19"/>
      <c r="D1918" s="5"/>
      <c r="E1918" s="4"/>
      <c r="F1918" s="19"/>
    </row>
    <row r="1919" spans="2:6">
      <c r="B1919" s="19"/>
      <c r="C1919" s="19"/>
      <c r="D1919" s="5"/>
      <c r="E1919" s="4"/>
      <c r="F1919" s="19"/>
    </row>
    <row r="1920" spans="2:6">
      <c r="B1920" s="19"/>
      <c r="C1920" s="19"/>
      <c r="D1920" s="5"/>
      <c r="E1920" s="4"/>
      <c r="F1920" s="19"/>
    </row>
    <row r="1921" spans="2:6">
      <c r="B1921" s="19"/>
      <c r="C1921" s="19"/>
      <c r="D1921" s="5"/>
      <c r="E1921" s="4"/>
      <c r="F1921" s="19"/>
    </row>
    <row r="1922" spans="2:6">
      <c r="B1922" s="19"/>
      <c r="C1922" s="19"/>
      <c r="D1922" s="5"/>
      <c r="E1922" s="4"/>
      <c r="F1922" s="19"/>
    </row>
    <row r="1923" spans="2:6" ht="18.75">
      <c r="B1923" s="11" t="str">
        <f>R_88</f>
        <v>6600 - Telekomunikace</v>
      </c>
      <c r="C1923" s="19"/>
      <c r="D1923" s="5"/>
      <c r="E1923" s="4"/>
      <c r="F1923" s="5"/>
    </row>
    <row r="1924" spans="2:6">
      <c r="B1924" s="7"/>
      <c r="C1924" s="19"/>
      <c r="D1924" s="5"/>
      <c r="E1924" s="4"/>
      <c r="F1924" s="5"/>
    </row>
    <row r="1925" spans="2:6">
      <c r="B1925" s="7"/>
      <c r="C1925" s="19"/>
      <c r="D1925" s="5"/>
      <c r="E1925" s="4"/>
      <c r="F1925" s="5"/>
    </row>
    <row r="1926" spans="2:6">
      <c r="B1926" s="7"/>
      <c r="C1926" s="19"/>
      <c r="D1926" s="5"/>
      <c r="E1926" s="4"/>
      <c r="F1926" s="8">
        <f>ROUND(D1926*E1926,0)</f>
        <v>0</v>
      </c>
    </row>
    <row r="1927" spans="2:6">
      <c r="B1927" s="7"/>
      <c r="C1927" s="19"/>
      <c r="D1927" s="5"/>
      <c r="E1927" s="4"/>
      <c r="F1927" s="8">
        <f>ROUND(D1927*E1927,0)</f>
        <v>0</v>
      </c>
    </row>
    <row r="1928" spans="2:6">
      <c r="B1928" s="7"/>
      <c r="C1928" s="19"/>
      <c r="D1928" s="5"/>
      <c r="E1928" s="4"/>
      <c r="F1928" s="8">
        <f>ROUND(D1928*E1928,0)</f>
        <v>0</v>
      </c>
    </row>
    <row r="1929" spans="2:6">
      <c r="B1929" s="7"/>
      <c r="C1929" s="19"/>
      <c r="D1929" s="5"/>
      <c r="E1929" s="4"/>
      <c r="F1929" s="8">
        <f>ROUND(D1929*E1929,0)</f>
        <v>0</v>
      </c>
    </row>
    <row r="1930" spans="2:6">
      <c r="B1930" s="7"/>
      <c r="C1930" s="19"/>
      <c r="D1930" s="5"/>
      <c r="E1930" s="4"/>
      <c r="F1930" s="8"/>
    </row>
    <row r="1931" spans="2:6">
      <c r="B1931" s="6" t="str">
        <f>B1923&amp;"  -  celkem"</f>
        <v>6600 - Telekomunikace  -  celkem</v>
      </c>
      <c r="C1931" s="19"/>
      <c r="D1931" s="5"/>
      <c r="E1931" s="4"/>
      <c r="F1931" s="3">
        <f>SUM(F1923:F1930)</f>
        <v>0</v>
      </c>
    </row>
    <row r="1932" spans="2:6">
      <c r="B1932" s="19"/>
      <c r="C1932" s="19"/>
      <c r="D1932" s="5"/>
      <c r="E1932" s="4"/>
      <c r="F1932" s="19"/>
    </row>
    <row r="1933" spans="2:6">
      <c r="B1933" s="19"/>
      <c r="C1933" s="19"/>
      <c r="D1933" s="5"/>
      <c r="E1933" s="4"/>
      <c r="F1933" s="19"/>
    </row>
    <row r="1934" spans="2:6">
      <c r="B1934" s="19"/>
      <c r="C1934" s="19"/>
      <c r="D1934" s="5"/>
      <c r="E1934" s="4"/>
      <c r="F1934" s="19"/>
    </row>
    <row r="1935" spans="2:6">
      <c r="B1935" s="19"/>
      <c r="C1935" s="19"/>
      <c r="D1935" s="5"/>
      <c r="E1935" s="4"/>
      <c r="F1935" s="19"/>
    </row>
    <row r="1936" spans="2:6">
      <c r="B1936" s="19"/>
      <c r="C1936" s="19"/>
      <c r="D1936" s="5"/>
      <c r="E1936" s="4"/>
      <c r="F1936" s="19"/>
    </row>
    <row r="1937" spans="2:6">
      <c r="B1937" s="19"/>
      <c r="C1937" s="19"/>
      <c r="D1937" s="5"/>
      <c r="E1937" s="4"/>
      <c r="F1937" s="19"/>
    </row>
    <row r="1938" spans="2:6" ht="18.75">
      <c r="B1938" s="11" t="str">
        <f>R_89</f>
        <v>6700 - Zabezpečení</v>
      </c>
      <c r="C1938" s="19"/>
      <c r="D1938" s="5"/>
      <c r="E1938" s="4"/>
      <c r="F1938" s="5"/>
    </row>
    <row r="1939" spans="2:6">
      <c r="B1939" s="7"/>
      <c r="C1939" s="19"/>
      <c r="D1939" s="5"/>
      <c r="E1939" s="4"/>
      <c r="F1939" s="5"/>
    </row>
    <row r="1940" spans="2:6">
      <c r="B1940" s="7"/>
      <c r="C1940" s="19"/>
      <c r="D1940" s="5"/>
      <c r="E1940" s="4"/>
      <c r="F1940" s="5"/>
    </row>
    <row r="1941" spans="2:6">
      <c r="B1941" s="7"/>
      <c r="C1941" s="19"/>
      <c r="D1941" s="5"/>
      <c r="E1941" s="4"/>
      <c r="F1941" s="8">
        <f>ROUND(D1941*E1941,0)</f>
        <v>0</v>
      </c>
    </row>
    <row r="1942" spans="2:6">
      <c r="B1942" s="7"/>
      <c r="C1942" s="19"/>
      <c r="D1942" s="5"/>
      <c r="E1942" s="4"/>
      <c r="F1942" s="8">
        <f>ROUND(D1942*E1942,0)</f>
        <v>0</v>
      </c>
    </row>
    <row r="1943" spans="2:6">
      <c r="B1943" s="7"/>
      <c r="C1943" s="19"/>
      <c r="D1943" s="5"/>
      <c r="E1943" s="4"/>
      <c r="F1943" s="8">
        <f>ROUND(D1943*E1943,0)</f>
        <v>0</v>
      </c>
    </row>
    <row r="1944" spans="2:6">
      <c r="B1944" s="7"/>
      <c r="C1944" s="19"/>
      <c r="D1944" s="5"/>
      <c r="E1944" s="4"/>
      <c r="F1944" s="8">
        <f>ROUND(D1944*E1944,0)</f>
        <v>0</v>
      </c>
    </row>
    <row r="1945" spans="2:6">
      <c r="B1945" s="7"/>
      <c r="C1945" s="19"/>
      <c r="D1945" s="5"/>
      <c r="E1945" s="4"/>
      <c r="F1945" s="5"/>
    </row>
    <row r="1946" spans="2:6">
      <c r="B1946" s="6" t="str">
        <f>B1938&amp;"  -  celkem"</f>
        <v>6700 - Zabezpečení  -  celkem</v>
      </c>
      <c r="C1946" s="19"/>
      <c r="D1946" s="5"/>
      <c r="E1946" s="4"/>
      <c r="F1946" s="3">
        <f>SUM(F1938:F1945)</f>
        <v>0</v>
      </c>
    </row>
    <row r="1947" spans="2:6">
      <c r="B1947" s="19"/>
      <c r="C1947" s="19"/>
      <c r="D1947" s="5"/>
      <c r="E1947" s="4"/>
      <c r="F1947" s="19"/>
    </row>
    <row r="1948" spans="2:6">
      <c r="B1948" s="19"/>
      <c r="C1948" s="19"/>
      <c r="D1948" s="5"/>
      <c r="E1948" s="4"/>
      <c r="F1948" s="19"/>
    </row>
    <row r="1949" spans="2:6">
      <c r="B1949" s="19"/>
      <c r="C1949" s="19"/>
      <c r="D1949" s="5"/>
      <c r="E1949" s="4"/>
      <c r="F1949" s="19"/>
    </row>
    <row r="1950" spans="2:6">
      <c r="B1950" s="19"/>
      <c r="C1950" s="19"/>
      <c r="D1950" s="5"/>
      <c r="E1950" s="4"/>
      <c r="F1950" s="19"/>
    </row>
    <row r="1951" spans="2:6">
      <c r="B1951" s="19"/>
      <c r="C1951" s="19"/>
      <c r="D1951" s="5"/>
      <c r="E1951" s="4"/>
      <c r="F1951" s="19"/>
    </row>
    <row r="1952" spans="2:6" ht="18.75">
      <c r="B1952" s="11" t="str">
        <f>R_59</f>
        <v>6800 - Řídící systémy</v>
      </c>
      <c r="C1952" s="19"/>
      <c r="D1952" s="5"/>
      <c r="E1952" s="4"/>
      <c r="F1952" s="5"/>
    </row>
    <row r="1953" spans="2:6">
      <c r="B1953" s="7"/>
      <c r="C1953" s="19"/>
      <c r="D1953" s="5"/>
      <c r="E1953" s="4"/>
      <c r="F1953" s="5"/>
    </row>
    <row r="1954" spans="2:6">
      <c r="B1954" s="7"/>
      <c r="C1954" s="19"/>
      <c r="D1954" s="5"/>
      <c r="E1954" s="4"/>
      <c r="F1954" s="5"/>
    </row>
    <row r="1955" spans="2:6">
      <c r="B1955" s="19"/>
      <c r="C1955" s="19"/>
      <c r="D1955" s="5"/>
      <c r="E1955" s="4"/>
      <c r="F1955" s="8">
        <f>ROUND(D1955*E1955,0)</f>
        <v>0</v>
      </c>
    </row>
    <row r="1956" spans="2:6">
      <c r="B1956" s="19"/>
      <c r="C1956" s="19"/>
      <c r="D1956" s="5"/>
      <c r="E1956" s="4"/>
      <c r="F1956" s="8">
        <f>ROUND(D1956*E1956,0)</f>
        <v>0</v>
      </c>
    </row>
    <row r="1957" spans="2:6">
      <c r="B1957" s="19"/>
      <c r="C1957" s="19"/>
      <c r="D1957" s="5"/>
      <c r="E1957" s="4"/>
      <c r="F1957" s="8">
        <f>ROUND(D1957*E1957,0)</f>
        <v>0</v>
      </c>
    </row>
    <row r="1958" spans="2:6">
      <c r="B1958" s="19"/>
      <c r="C1958" s="19"/>
      <c r="D1958" s="5"/>
      <c r="E1958" s="4"/>
      <c r="F1958" s="8">
        <f>ROUND(D1958*E1958,0)</f>
        <v>0</v>
      </c>
    </row>
    <row r="1959" spans="2:6">
      <c r="B1959" s="7"/>
      <c r="C1959" s="19"/>
      <c r="D1959" s="5"/>
      <c r="E1959" s="4"/>
      <c r="F1959" s="5"/>
    </row>
    <row r="1960" spans="2:6">
      <c r="B1960" s="6" t="str">
        <f>B1952&amp;"  -  celkem"</f>
        <v>6800 - Řídící systémy  -  celkem</v>
      </c>
      <c r="C1960" s="19"/>
      <c r="D1960" s="5"/>
      <c r="E1960" s="4"/>
      <c r="F1960" s="3">
        <f>SUM(F1952:F1959)</f>
        <v>0</v>
      </c>
    </row>
    <row r="1961" spans="2:6">
      <c r="B1961" s="19"/>
      <c r="C1961" s="19"/>
      <c r="D1961" s="5"/>
      <c r="E1961" s="4"/>
      <c r="F1961" s="19"/>
    </row>
    <row r="1962" spans="2:6">
      <c r="B1962" s="19"/>
      <c r="C1962" s="19"/>
      <c r="D1962" s="5"/>
      <c r="E1962" s="4"/>
      <c r="F1962" s="19"/>
    </row>
    <row r="1963" spans="2:6">
      <c r="B1963" s="19"/>
      <c r="C1963" s="19"/>
      <c r="D1963" s="5"/>
      <c r="E1963" s="4"/>
      <c r="F1963" s="19"/>
    </row>
    <row r="1964" spans="2:6">
      <c r="B1964" s="19"/>
      <c r="C1964" s="19"/>
      <c r="D1964" s="5"/>
      <c r="E1964" s="4"/>
      <c r="F1964" s="19"/>
    </row>
    <row r="1965" spans="2:6">
      <c r="B1965" s="19"/>
      <c r="C1965" s="19"/>
      <c r="D1965" s="5"/>
      <c r="E1965" s="4"/>
      <c r="F1965" s="19"/>
    </row>
    <row r="1966" spans="2:6">
      <c r="B1966" s="19"/>
      <c r="C1966" s="19"/>
      <c r="D1966" s="5"/>
      <c r="E1966" s="4"/>
      <c r="F1966" s="19"/>
    </row>
    <row r="1967" spans="2:6" ht="18.75">
      <c r="B1967" s="11" t="str">
        <f>R_56</f>
        <v>6900 - Přepravní zařízení</v>
      </c>
      <c r="C1967" s="19"/>
      <c r="D1967" s="5"/>
      <c r="E1967" s="4"/>
      <c r="F1967" s="5"/>
    </row>
    <row r="1968" spans="2:6">
      <c r="B1968" s="7"/>
      <c r="C1968" s="19"/>
      <c r="D1968" s="5"/>
      <c r="E1968" s="4"/>
      <c r="F1968" s="5"/>
    </row>
    <row r="1969" spans="2:6">
      <c r="B1969" s="19"/>
      <c r="C1969" s="19"/>
      <c r="D1969" s="5"/>
      <c r="E1969" s="4"/>
      <c r="F1969" s="5"/>
    </row>
    <row r="1970" spans="2:6">
      <c r="B1970" s="1"/>
      <c r="C1970" s="19"/>
      <c r="D1970" s="5"/>
      <c r="E1970" s="4"/>
      <c r="F1970" s="8">
        <f>ROUND(D1970*E1970,0)</f>
        <v>0</v>
      </c>
    </row>
    <row r="1971" spans="2:6">
      <c r="B1971" s="1"/>
      <c r="C1971" s="19"/>
      <c r="D1971" s="5"/>
      <c r="E1971" s="4"/>
      <c r="F1971" s="8">
        <f>ROUND(D1971*E1971,0)</f>
        <v>0</v>
      </c>
    </row>
    <row r="1972" spans="2:6">
      <c r="B1972" s="1"/>
      <c r="C1972" s="19"/>
      <c r="D1972" s="5"/>
      <c r="E1972" s="4"/>
      <c r="F1972" s="8">
        <f>ROUND(D1972*E1972,0)</f>
        <v>0</v>
      </c>
    </row>
    <row r="1973" spans="2:6">
      <c r="B1973" s="1"/>
      <c r="C1973" s="19"/>
      <c r="D1973" s="5"/>
      <c r="E1973" s="4"/>
      <c r="F1973" s="8">
        <f>ROUND(D1973*E1973,0)</f>
        <v>0</v>
      </c>
    </row>
    <row r="1974" spans="2:6">
      <c r="B1974" s="7"/>
      <c r="C1974" s="19"/>
      <c r="D1974" s="5"/>
      <c r="E1974" s="4"/>
      <c r="F1974" s="5"/>
    </row>
    <row r="1975" spans="2:6">
      <c r="B1975" s="6" t="str">
        <f>B1967&amp;"  -  celkem"</f>
        <v>6900 - Přepravní zařízení  -  celkem</v>
      </c>
      <c r="C1975" s="19"/>
      <c r="D1975" s="5"/>
      <c r="E1975" s="4"/>
      <c r="F1975" s="3">
        <f>SUM(F1967:F1974)</f>
        <v>0</v>
      </c>
    </row>
    <row r="1976" spans="2:6">
      <c r="B1976" s="19"/>
      <c r="C1976" s="19"/>
      <c r="D1976" s="5"/>
      <c r="E1976" s="4"/>
      <c r="F1976" s="19"/>
    </row>
    <row r="1977" spans="2:6">
      <c r="B1977" s="19"/>
      <c r="C1977" s="19"/>
      <c r="D1977" s="5"/>
      <c r="E1977" s="4"/>
      <c r="F1977" s="19"/>
    </row>
    <row r="1978" spans="2:6">
      <c r="B1978" s="19"/>
      <c r="C1978" s="19"/>
      <c r="D1978" s="5"/>
      <c r="E1978" s="4"/>
      <c r="F1978" s="19"/>
    </row>
    <row r="1979" spans="2:6">
      <c r="B1979" s="19"/>
      <c r="C1979" s="19"/>
      <c r="D1979" s="5"/>
      <c r="E1979" s="4"/>
      <c r="F1979" s="19"/>
    </row>
    <row r="1980" spans="2:6">
      <c r="B1980" s="19"/>
      <c r="C1980" s="19"/>
      <c r="D1980" s="5"/>
      <c r="E1980" s="4"/>
      <c r="F1980" s="19"/>
    </row>
    <row r="1981" spans="2:6">
      <c r="B1981" s="19"/>
      <c r="C1981" s="19"/>
      <c r="D1981" s="5"/>
      <c r="E1981" s="4"/>
      <c r="F1981" s="19"/>
    </row>
    <row r="1982" spans="2:6" ht="18.75">
      <c r="B1982" s="11" t="str">
        <f>R_91</f>
        <v>7100 - Interierové vybavení</v>
      </c>
      <c r="C1982" s="19"/>
      <c r="D1982" s="5"/>
      <c r="E1982" s="4"/>
      <c r="F1982" s="5"/>
    </row>
    <row r="1983" spans="2:6">
      <c r="B1983" s="7"/>
      <c r="C1983" s="19"/>
      <c r="D1983" s="5"/>
      <c r="E1983" s="4"/>
      <c r="F1983" s="5"/>
    </row>
    <row r="1984" spans="2:6">
      <c r="B1984" s="7"/>
      <c r="C1984" s="19"/>
      <c r="D1984" s="5"/>
      <c r="E1984" s="4"/>
      <c r="F1984" s="5"/>
    </row>
    <row r="1985" spans="2:6">
      <c r="B1985" s="1"/>
      <c r="C1985" s="19"/>
      <c r="D1985" s="5"/>
      <c r="E1985" s="4"/>
      <c r="F1985" s="8">
        <f>ROUND(D1985*E1985,0)</f>
        <v>0</v>
      </c>
    </row>
    <row r="1986" spans="2:6">
      <c r="B1986" s="1"/>
      <c r="C1986" s="19"/>
      <c r="D1986" s="5"/>
      <c r="E1986" s="4"/>
      <c r="F1986" s="8">
        <f>ROUND(D1986*E1986,0)</f>
        <v>0</v>
      </c>
    </row>
    <row r="1987" spans="2:6">
      <c r="B1987" s="7"/>
      <c r="C1987" s="19"/>
      <c r="D1987" s="5"/>
      <c r="E1987" s="4"/>
      <c r="F1987" s="5"/>
    </row>
    <row r="1988" spans="2:6">
      <c r="B1988" s="6" t="str">
        <f>B1982&amp;"  -  celkem"</f>
        <v>7100 - Interierové vybavení  -  celkem</v>
      </c>
      <c r="C1988" s="19"/>
      <c r="D1988" s="5"/>
      <c r="E1988" s="4"/>
      <c r="F1988" s="3">
        <f>SUM(F1982:F1987)</f>
        <v>0</v>
      </c>
    </row>
    <row r="1989" spans="2:6">
      <c r="B1989" s="19"/>
      <c r="C1989" s="19"/>
      <c r="D1989" s="5"/>
      <c r="E1989" s="4"/>
      <c r="F1989" s="19"/>
    </row>
    <row r="1990" spans="2:6">
      <c r="B1990" s="19"/>
      <c r="C1990" s="19"/>
      <c r="D1990" s="5"/>
      <c r="E1990" s="4"/>
      <c r="F1990" s="19"/>
    </row>
    <row r="1991" spans="2:6">
      <c r="B1991" s="19"/>
      <c r="C1991" s="19"/>
      <c r="D1991" s="5"/>
      <c r="E1991" s="4"/>
      <c r="F1991" s="19"/>
    </row>
    <row r="1992" spans="2:6">
      <c r="B1992" s="19"/>
      <c r="C1992" s="19"/>
      <c r="D1992" s="5"/>
      <c r="E1992" s="4"/>
      <c r="F1992" s="19"/>
    </row>
    <row r="1993" spans="2:6">
      <c r="B1993" s="19"/>
      <c r="C1993" s="19"/>
      <c r="D1993" s="5"/>
      <c r="E1993" s="4"/>
      <c r="F1993" s="19"/>
    </row>
    <row r="1994" spans="2:6">
      <c r="B1994" s="19"/>
      <c r="C1994" s="19"/>
      <c r="D1994" s="5"/>
      <c r="E1994" s="4"/>
      <c r="F1994" s="19"/>
    </row>
    <row r="1995" spans="2:6" ht="18.75">
      <c r="B1995" s="11" t="str">
        <f>R_96</f>
        <v>7200 - Hasící zařízení</v>
      </c>
      <c r="C1995" s="19"/>
      <c r="D1995" s="5"/>
      <c r="E1995" s="4"/>
      <c r="F1995" s="5"/>
    </row>
    <row r="1996" spans="2:6">
      <c r="B1996" s="7"/>
      <c r="C1996" s="19"/>
      <c r="D1996" s="5"/>
      <c r="E1996" s="4"/>
      <c r="F1996" s="5"/>
    </row>
    <row r="1997" spans="2:6">
      <c r="B1997" s="7"/>
      <c r="C1997" s="19"/>
      <c r="D1997" s="5"/>
      <c r="E1997" s="4"/>
      <c r="F1997" s="5"/>
    </row>
    <row r="1998" spans="2:6">
      <c r="B1998" s="7"/>
      <c r="C1998" s="19"/>
      <c r="D1998" s="5"/>
      <c r="E1998" s="4"/>
      <c r="F1998" s="8">
        <f>ROUND(D1998*E1998,0)</f>
        <v>0</v>
      </c>
    </row>
    <row r="1999" spans="2:6">
      <c r="B1999" s="7"/>
      <c r="C1999" s="19"/>
      <c r="D1999" s="5"/>
      <c r="E1999" s="4"/>
      <c r="F1999" s="8">
        <f>ROUND(D1999*E1999,0)</f>
        <v>0</v>
      </c>
    </row>
    <row r="2000" spans="2:6">
      <c r="B2000" s="7"/>
      <c r="C2000" s="19"/>
      <c r="D2000" s="5"/>
      <c r="E2000" s="4"/>
      <c r="F2000" s="8">
        <f>ROUND(D2000*E2000,0)</f>
        <v>0</v>
      </c>
    </row>
    <row r="2001" spans="2:6">
      <c r="B2001" s="7"/>
      <c r="C2001" s="19"/>
      <c r="D2001" s="5"/>
      <c r="E2001" s="4"/>
      <c r="F2001" s="8">
        <f>ROUND(D2001*E2001,0)</f>
        <v>0</v>
      </c>
    </row>
    <row r="2002" spans="2:6">
      <c r="B2002" s="7"/>
      <c r="C2002" s="19"/>
      <c r="D2002" s="5"/>
      <c r="E2002" s="4"/>
      <c r="F2002" s="5"/>
    </row>
    <row r="2003" spans="2:6">
      <c r="B2003" s="6" t="str">
        <f>B1995&amp;"  -  celkem"</f>
        <v>7200 - Hasící zařízení  -  celkem</v>
      </c>
      <c r="C2003" s="19"/>
      <c r="D2003" s="5"/>
      <c r="E2003" s="4"/>
      <c r="F2003" s="3">
        <f>SUM(F1995:F2002)</f>
        <v>0</v>
      </c>
    </row>
    <row r="2004" spans="2:6">
      <c r="B2004" s="19"/>
      <c r="C2004" s="19"/>
      <c r="D2004" s="5"/>
      <c r="E2004" s="4"/>
      <c r="F2004" s="19"/>
    </row>
    <row r="2005" spans="2:6">
      <c r="B2005" s="19"/>
      <c r="C2005" s="19"/>
      <c r="D2005" s="5"/>
      <c r="E2005" s="4"/>
      <c r="F2005" s="19"/>
    </row>
    <row r="2006" spans="2:6">
      <c r="B2006" s="19"/>
      <c r="C2006" s="19"/>
      <c r="D2006" s="5"/>
      <c r="E2006" s="4"/>
      <c r="F2006" s="19"/>
    </row>
    <row r="2007" spans="2:6">
      <c r="B2007" s="19"/>
      <c r="C2007" s="19"/>
      <c r="D2007" s="5"/>
      <c r="E2007" s="4"/>
      <c r="F2007" s="19"/>
    </row>
    <row r="2008" spans="2:6">
      <c r="B2008" s="19"/>
      <c r="C2008" s="19"/>
      <c r="D2008" s="5"/>
      <c r="E2008" s="4"/>
      <c r="F2008" s="19"/>
    </row>
    <row r="2009" spans="2:6">
      <c r="B2009" s="19"/>
      <c r="C2009" s="19"/>
      <c r="D2009" s="5"/>
      <c r="E2009" s="4"/>
      <c r="F2009" s="19"/>
    </row>
    <row r="2010" spans="2:6" ht="18.75">
      <c r="B2010" s="11" t="str">
        <f>R_97</f>
        <v>8210 - Komunikace vozidlové</v>
      </c>
      <c r="C2010" s="19"/>
      <c r="D2010" s="5"/>
      <c r="E2010" s="4"/>
      <c r="F2010" s="5"/>
    </row>
    <row r="2011" spans="2:6">
      <c r="B2011" s="7"/>
      <c r="C2011" s="19"/>
      <c r="D2011" s="5"/>
      <c r="E2011" s="4"/>
      <c r="F2011" s="5"/>
    </row>
    <row r="2012" spans="2:6">
      <c r="B2012" s="7"/>
      <c r="C2012" s="19"/>
      <c r="D2012" s="5"/>
      <c r="E2012" s="4"/>
      <c r="F2012" s="5"/>
    </row>
    <row r="2013" spans="2:6">
      <c r="B2013" s="1"/>
      <c r="C2013" s="19"/>
      <c r="D2013" s="5"/>
      <c r="E2013" s="4"/>
      <c r="F2013" s="8">
        <f>ROUND(D2013*E2013,0)</f>
        <v>0</v>
      </c>
    </row>
    <row r="2014" spans="2:6">
      <c r="B2014" s="1"/>
      <c r="C2014" s="19"/>
      <c r="D2014" s="5"/>
      <c r="E2014" s="4"/>
      <c r="F2014" s="8">
        <f>ROUND(D2014*E2014,0)</f>
        <v>0</v>
      </c>
    </row>
    <row r="2015" spans="2:6">
      <c r="B2015" s="1"/>
      <c r="C2015" s="19"/>
      <c r="D2015" s="5"/>
      <c r="E2015" s="4"/>
      <c r="F2015" s="8"/>
    </row>
    <row r="2016" spans="2:6">
      <c r="B2016" s="6" t="str">
        <f>B2010&amp;"  -  celkem"</f>
        <v>8210 - Komunikace vozidlové  -  celkem</v>
      </c>
      <c r="C2016" s="19"/>
      <c r="D2016" s="5"/>
      <c r="E2016" s="4"/>
      <c r="F2016" s="3">
        <f>SUM(F2010:F2015)</f>
        <v>0</v>
      </c>
    </row>
    <row r="2017" spans="2:6">
      <c r="B2017" s="19"/>
      <c r="C2017" s="19"/>
      <c r="D2017" s="5"/>
      <c r="E2017" s="4"/>
      <c r="F2017" s="19"/>
    </row>
    <row r="2018" spans="2:6">
      <c r="B2018" s="19"/>
      <c r="C2018" s="19"/>
      <c r="D2018" s="5"/>
      <c r="E2018" s="4"/>
      <c r="F2018" s="19"/>
    </row>
    <row r="2019" spans="2:6">
      <c r="B2019" s="19"/>
      <c r="C2019" s="19"/>
      <c r="D2019" s="5"/>
      <c r="E2019" s="4"/>
      <c r="F2019" s="19"/>
    </row>
    <row r="2020" spans="2:6">
      <c r="B2020" s="19"/>
      <c r="C2020" s="19"/>
      <c r="D2020" s="5"/>
      <c r="E2020" s="4"/>
      <c r="F2020" s="19"/>
    </row>
    <row r="2021" spans="2:6">
      <c r="B2021" s="19"/>
      <c r="C2021" s="19"/>
      <c r="D2021" s="5"/>
      <c r="E2021" s="4"/>
      <c r="F2021" s="19"/>
    </row>
    <row r="2022" spans="2:6">
      <c r="B2022" s="19"/>
      <c r="C2022" s="19"/>
      <c r="D2022" s="5"/>
      <c r="E2022" s="4"/>
      <c r="F2022" s="19"/>
    </row>
    <row r="2023" spans="2:6" ht="18.75">
      <c r="B2023" s="11" t="str">
        <f>R_98</f>
        <v>8240 - Mosty, můstky, lávky</v>
      </c>
      <c r="C2023" s="19"/>
      <c r="D2023" s="5"/>
      <c r="E2023" s="4"/>
      <c r="F2023" s="5"/>
    </row>
    <row r="2024" spans="2:6">
      <c r="B2024" s="7"/>
      <c r="C2024" s="19"/>
      <c r="D2024" s="5"/>
      <c r="E2024" s="4"/>
      <c r="F2024" s="5"/>
    </row>
    <row r="2025" spans="2:6">
      <c r="B2025" s="7"/>
      <c r="C2025" s="19"/>
      <c r="D2025" s="5"/>
      <c r="E2025" s="4"/>
      <c r="F2025" s="5"/>
    </row>
    <row r="2026" spans="2:6">
      <c r="B2026" s="7"/>
      <c r="C2026" s="19"/>
      <c r="D2026" s="5"/>
      <c r="E2026" s="4"/>
      <c r="F2026" s="8">
        <f>ROUND(D2026*E2026,0)</f>
        <v>0</v>
      </c>
    </row>
    <row r="2027" spans="2:6">
      <c r="B2027" s="7"/>
      <c r="C2027" s="19"/>
      <c r="D2027" s="5"/>
      <c r="E2027" s="4"/>
      <c r="F2027" s="8">
        <f>ROUND(D2027*E2027,0)</f>
        <v>0</v>
      </c>
    </row>
    <row r="2028" spans="2:6">
      <c r="B2028" s="7"/>
      <c r="C2028" s="19"/>
      <c r="D2028" s="5"/>
      <c r="E2028" s="4"/>
      <c r="F2028" s="8">
        <f>ROUND(D2028*E2028,0)</f>
        <v>0</v>
      </c>
    </row>
    <row r="2029" spans="2:6">
      <c r="B2029" s="7"/>
      <c r="C2029" s="19"/>
      <c r="D2029" s="143"/>
      <c r="E2029" s="4"/>
      <c r="F2029" s="5"/>
    </row>
    <row r="2030" spans="2:6">
      <c r="B2030" s="6" t="str">
        <f>B2023&amp;"  -  celkem"</f>
        <v>8240 - Mosty, můstky, lávky  -  celkem</v>
      </c>
      <c r="C2030" s="19"/>
      <c r="D2030" s="5"/>
      <c r="E2030" s="4"/>
      <c r="F2030" s="3">
        <f>SUM(F2023:F2029)</f>
        <v>0</v>
      </c>
    </row>
    <row r="2035" spans="2:6" ht="18.75">
      <c r="B2035" s="11" t="str">
        <f>R_48</f>
        <v>1100 - Pozemek</v>
      </c>
      <c r="C2035" s="19"/>
      <c r="D2035" s="5"/>
      <c r="E2035" s="4"/>
      <c r="F2035" s="5"/>
    </row>
    <row r="2036" spans="2:6">
      <c r="B2036" s="7"/>
      <c r="C2036" s="19"/>
      <c r="D2036" s="5"/>
      <c r="E2036" s="4"/>
      <c r="F2036" s="5"/>
    </row>
    <row r="2037" spans="2:6">
      <c r="B2037" s="7"/>
      <c r="C2037" s="19"/>
      <c r="D2037" s="5"/>
      <c r="E2037" s="4"/>
      <c r="F2037" s="5"/>
    </row>
    <row r="2038" spans="2:6">
      <c r="B2038" s="19"/>
      <c r="C2038" s="19"/>
      <c r="D2038" s="19"/>
      <c r="E2038" s="19"/>
      <c r="F2038" s="8">
        <f>ROUND(D2038*E2038,0)</f>
        <v>0</v>
      </c>
    </row>
    <row r="2039" spans="2:6">
      <c r="B2039" s="19"/>
      <c r="C2039" s="19"/>
      <c r="D2039" s="19"/>
      <c r="E2039" s="19"/>
      <c r="F2039" s="8">
        <f>ROUND(D2039*E2039,0)</f>
        <v>0</v>
      </c>
    </row>
    <row r="2040" spans="2:6">
      <c r="B2040" s="19"/>
      <c r="C2040" s="19"/>
      <c r="D2040" s="19"/>
      <c r="E2040" s="19"/>
      <c r="F2040" s="8">
        <f>ROUND(D2040*E2040,0)</f>
        <v>0</v>
      </c>
    </row>
    <row r="2041" spans="2:6">
      <c r="B2041" s="7"/>
      <c r="C2041" s="19"/>
      <c r="D2041" s="5"/>
      <c r="E2041" s="4"/>
      <c r="F2041" s="5"/>
    </row>
    <row r="2042" spans="2:6">
      <c r="B2042" s="6" t="str">
        <f>B2035&amp;"  -  celkem"</f>
        <v>1100 - Pozemek  -  celkem</v>
      </c>
      <c r="C2042" s="19"/>
      <c r="D2042" s="5"/>
      <c r="E2042" s="4"/>
      <c r="F2042" s="3">
        <f>SUM(F2035:F2041)</f>
        <v>0</v>
      </c>
    </row>
    <row r="2043" spans="2:6">
      <c r="B2043" s="19"/>
      <c r="C2043" s="19"/>
      <c r="D2043" s="19"/>
      <c r="E2043" s="19"/>
      <c r="F2043" s="19"/>
    </row>
    <row r="2044" spans="2:6">
      <c r="B2044" s="19"/>
      <c r="C2044" s="19"/>
      <c r="D2044" s="19"/>
      <c r="E2044" s="19"/>
      <c r="F2044" s="19"/>
    </row>
    <row r="2045" spans="2:6">
      <c r="B2045" s="19"/>
      <c r="C2045" s="19"/>
      <c r="D2045" s="19"/>
      <c r="E2045" s="19"/>
      <c r="F2045" s="19"/>
    </row>
    <row r="2046" spans="2:6">
      <c r="B2046" s="19"/>
      <c r="C2046" s="19"/>
      <c r="D2046" s="19"/>
      <c r="E2046" s="19"/>
      <c r="F2046" s="19"/>
    </row>
    <row r="2047" spans="2:6">
      <c r="B2047" s="19"/>
      <c r="C2047" s="19"/>
      <c r="D2047" s="19"/>
      <c r="E2047" s="19"/>
      <c r="F2047" s="19"/>
    </row>
    <row r="2048" spans="2:6">
      <c r="B2048" s="19"/>
      <c r="C2048" s="19"/>
      <c r="D2048" s="19"/>
      <c r="E2048" s="19"/>
      <c r="F2048" s="19"/>
    </row>
    <row r="2049" spans="2:6" ht="18.75">
      <c r="B2049" s="11" t="str">
        <f>R_49</f>
        <v>1200 - Činnost stavebníka</v>
      </c>
      <c r="C2049" s="19"/>
      <c r="D2049" s="5"/>
      <c r="E2049" s="4"/>
      <c r="F2049" s="5"/>
    </row>
    <row r="2050" spans="2:6">
      <c r="B2050" s="7"/>
      <c r="C2050" s="19"/>
      <c r="D2050" s="5"/>
      <c r="E2050" s="4"/>
      <c r="F2050" s="5"/>
    </row>
    <row r="2051" spans="2:6">
      <c r="B2051" s="7"/>
      <c r="C2051" s="19"/>
      <c r="D2051" s="5"/>
      <c r="E2051" s="4"/>
      <c r="F2051" s="5"/>
    </row>
    <row r="2052" spans="2:6">
      <c r="B2052" s="19"/>
      <c r="C2052" s="19"/>
      <c r="D2052" s="19"/>
      <c r="E2052" s="19"/>
      <c r="F2052" s="8">
        <f>ROUND(D2052*E2052,0)</f>
        <v>0</v>
      </c>
    </row>
    <row r="2053" spans="2:6">
      <c r="B2053" s="19"/>
      <c r="C2053" s="19"/>
      <c r="D2053" s="19"/>
      <c r="E2053" s="19"/>
      <c r="F2053" s="8">
        <f>ROUND(D2053*E2053,0)</f>
        <v>0</v>
      </c>
    </row>
    <row r="2054" spans="2:6">
      <c r="B2054" s="19"/>
      <c r="C2054" s="19"/>
      <c r="D2054" s="19"/>
      <c r="E2054" s="19"/>
      <c r="F2054" s="8">
        <f>ROUND(D2054*E2054,0)</f>
        <v>0</v>
      </c>
    </row>
    <row r="2055" spans="2:6">
      <c r="B2055" s="19"/>
      <c r="C2055" s="19"/>
      <c r="D2055" s="19"/>
      <c r="E2055" s="19"/>
      <c r="F2055" s="8">
        <f>ROUND(D2055*E2055,0)</f>
        <v>0</v>
      </c>
    </row>
    <row r="2056" spans="2:6">
      <c r="B2056" s="19"/>
      <c r="C2056" s="19"/>
      <c r="D2056" s="19"/>
      <c r="E2056" s="19"/>
      <c r="F2056" s="8">
        <f>ROUND(D2056*E2056,0)</f>
        <v>0</v>
      </c>
    </row>
    <row r="2057" spans="2:6">
      <c r="B2057" s="7"/>
      <c r="C2057" s="19"/>
      <c r="D2057" s="5"/>
      <c r="E2057" s="4"/>
      <c r="F2057" s="5"/>
    </row>
    <row r="2058" spans="2:6">
      <c r="B2058" s="6" t="str">
        <f>B2049&amp;"  -  celkem"</f>
        <v>1200 - Činnost stavebníka  -  celkem</v>
      </c>
      <c r="C2058" s="19"/>
      <c r="D2058" s="5"/>
      <c r="E2058" s="4"/>
      <c r="F2058" s="3">
        <f>SUM(F2049:F2057)</f>
        <v>0</v>
      </c>
    </row>
    <row r="2059" spans="2:6">
      <c r="B2059" s="19"/>
      <c r="C2059" s="19"/>
      <c r="D2059" s="19"/>
      <c r="E2059" s="19"/>
      <c r="F2059" s="19"/>
    </row>
    <row r="2060" spans="2:6">
      <c r="B2060" s="19"/>
      <c r="C2060" s="19"/>
      <c r="D2060" s="19"/>
      <c r="E2060" s="19"/>
      <c r="F2060" s="19"/>
    </row>
    <row r="2061" spans="2:6">
      <c r="B2061" s="19"/>
      <c r="C2061" s="19"/>
      <c r="D2061" s="19"/>
      <c r="E2061" s="19"/>
      <c r="F2061" s="19"/>
    </row>
    <row r="2062" spans="2:6">
      <c r="B2062" s="19"/>
      <c r="C2062" s="19"/>
      <c r="D2062" s="19"/>
      <c r="E2062" s="19"/>
      <c r="F2062" s="19"/>
    </row>
    <row r="2063" spans="2:6">
      <c r="B2063" s="19"/>
      <c r="C2063" s="19"/>
      <c r="D2063" s="19"/>
      <c r="E2063" s="19"/>
      <c r="F2063" s="19"/>
    </row>
    <row r="2064" spans="2:6">
      <c r="B2064" s="19"/>
      <c r="C2064" s="19"/>
      <c r="D2064" s="19"/>
      <c r="E2064" s="19"/>
      <c r="F2064" s="19"/>
    </row>
    <row r="2065" spans="2:6" ht="37.5">
      <c r="B2065" s="11" t="str">
        <f>R_01</f>
        <v>1300 - Průzkumné, geodetické a projektové práce, inženýrská činnost</v>
      </c>
      <c r="C2065" s="19"/>
      <c r="D2065" s="5"/>
      <c r="E2065" s="4"/>
      <c r="F2065" s="5"/>
    </row>
    <row r="2066" spans="2:6">
      <c r="B2066" s="7"/>
      <c r="C2066" s="19"/>
      <c r="D2066" s="5"/>
      <c r="E2066" s="4"/>
      <c r="F2066" s="5"/>
    </row>
    <row r="2067" spans="2:6">
      <c r="B2067" s="7"/>
      <c r="C2067" s="19"/>
      <c r="D2067" s="5"/>
      <c r="E2067" s="4"/>
      <c r="F2067" s="5"/>
    </row>
    <row r="2068" spans="2:6">
      <c r="B2068" s="19"/>
      <c r="C2068" s="19"/>
      <c r="D2068" s="19"/>
      <c r="E2068" s="19"/>
      <c r="F2068" s="8">
        <f>ROUND(D2068*E2068,0)</f>
        <v>0</v>
      </c>
    </row>
    <row r="2069" spans="2:6">
      <c r="B2069" s="19"/>
      <c r="C2069" s="19"/>
      <c r="D2069" s="19"/>
      <c r="E2069" s="19"/>
      <c r="F2069" s="8">
        <f>ROUND(D2069*E2069,0)</f>
        <v>0</v>
      </c>
    </row>
    <row r="2070" spans="2:6">
      <c r="B2070" s="19"/>
      <c r="C2070" s="19"/>
      <c r="D2070" s="19"/>
      <c r="E2070" s="19"/>
      <c r="F2070" s="8">
        <f>ROUND(D2070*E2070,0)</f>
        <v>0</v>
      </c>
    </row>
    <row r="2071" spans="2:6">
      <c r="B2071" s="19"/>
      <c r="C2071" s="19"/>
      <c r="D2071" s="19"/>
      <c r="E2071" s="19"/>
      <c r="F2071" s="8">
        <f>ROUND(D2071*E2071,0)</f>
        <v>0</v>
      </c>
    </row>
    <row r="2072" spans="2:6">
      <c r="B2072" s="19"/>
      <c r="C2072" s="19"/>
      <c r="D2072" s="5"/>
      <c r="E2072" s="4"/>
      <c r="F2072" s="5"/>
    </row>
    <row r="2073" spans="2:6">
      <c r="B2073" s="6" t="str">
        <f>B2065&amp;"  -  celkem"</f>
        <v>1300 - Průzkumné, geodetické a projektové práce, inženýrská činnost  -  celkem</v>
      </c>
      <c r="C2073" s="19"/>
      <c r="D2073" s="5"/>
      <c r="E2073" s="4"/>
      <c r="F2073" s="3">
        <f>SUM(F2065:F2072)</f>
        <v>0</v>
      </c>
    </row>
    <row r="2079" spans="2:6" ht="37.5">
      <c r="B2079" s="11" t="str">
        <f>R_94</f>
        <v>1360 - Projektové práce a inženýrská činnost v kontraktu dodavatele stavby</v>
      </c>
      <c r="C2079" s="19"/>
      <c r="D2079" s="5"/>
      <c r="E2079" s="4"/>
      <c r="F2079" s="5"/>
    </row>
    <row r="2080" spans="2:6">
      <c r="B2080" s="7"/>
      <c r="C2080" s="19"/>
      <c r="D2080" s="5"/>
      <c r="E2080" s="4"/>
      <c r="F2080" s="5"/>
    </row>
    <row r="2081" spans="2:6">
      <c r="B2081" s="7"/>
      <c r="C2081" s="19"/>
      <c r="D2081" s="5"/>
      <c r="E2081" s="4"/>
      <c r="F2081" s="5"/>
    </row>
    <row r="2082" spans="2:6">
      <c r="B2082" s="19"/>
      <c r="C2082" s="19"/>
      <c r="D2082" s="19"/>
      <c r="E2082" s="19"/>
      <c r="F2082" s="8">
        <f>ROUND(D2082*E2082,0)</f>
        <v>0</v>
      </c>
    </row>
    <row r="2083" spans="2:6">
      <c r="B2083" s="19"/>
      <c r="C2083" s="19"/>
      <c r="D2083" s="19"/>
      <c r="E2083" s="19"/>
      <c r="F2083" s="8">
        <f>ROUND(D2083*E2083,0)</f>
        <v>0</v>
      </c>
    </row>
    <row r="2084" spans="2:6">
      <c r="B2084" s="19"/>
      <c r="C2084" s="19"/>
      <c r="D2084" s="19"/>
      <c r="E2084" s="19"/>
      <c r="F2084" s="8">
        <f>ROUND(D2084*E2084,0)</f>
        <v>0</v>
      </c>
    </row>
    <row r="2085" spans="2:6">
      <c r="B2085" s="19"/>
      <c r="C2085" s="19"/>
      <c r="D2085" s="19"/>
      <c r="E2085" s="19"/>
      <c r="F2085" s="8">
        <f>ROUND(D2085*E2085,0)</f>
        <v>0</v>
      </c>
    </row>
    <row r="2086" spans="2:6">
      <c r="B2086" s="7"/>
      <c r="C2086" s="19"/>
      <c r="D2086" s="5"/>
      <c r="E2086" s="4"/>
      <c r="F2086" s="5"/>
    </row>
    <row r="2087" spans="2:6">
      <c r="B2087" s="6" t="str">
        <f>B2079&amp;"  -  celkem"</f>
        <v>1360 - Projektové práce a inženýrská činnost v kontraktu dodavatele stavby  -  celkem</v>
      </c>
      <c r="C2087" s="19"/>
      <c r="D2087" s="5"/>
      <c r="E2087" s="4"/>
      <c r="F2087" s="3">
        <f>SUM(F2079:F2086)</f>
        <v>0</v>
      </c>
    </row>
    <row r="2093" spans="2:6" ht="18.75">
      <c r="B2093" s="11" t="str">
        <f>R_90</f>
        <v>9300 - Vedení projektu</v>
      </c>
      <c r="C2093" s="19"/>
      <c r="D2093" s="5"/>
      <c r="E2093" s="4"/>
      <c r="F2093" s="5"/>
    </row>
    <row r="2094" spans="2:6">
      <c r="B2094" s="7"/>
      <c r="C2094" s="19"/>
      <c r="D2094" s="5"/>
      <c r="E2094" s="4"/>
      <c r="F2094" s="5"/>
    </row>
    <row r="2095" spans="2:6">
      <c r="B2095" s="7"/>
      <c r="C2095" s="19"/>
      <c r="D2095" s="5"/>
      <c r="E2095" s="4"/>
      <c r="F2095" s="5"/>
    </row>
    <row r="2096" spans="2:6">
      <c r="B2096" s="19"/>
      <c r="C2096" s="19"/>
      <c r="D2096" s="19"/>
      <c r="E2096" s="19"/>
      <c r="F2096" s="8">
        <f>ROUND(D2096*E2096,0)</f>
        <v>0</v>
      </c>
    </row>
    <row r="2097" spans="2:6">
      <c r="B2097" s="19"/>
      <c r="C2097" s="19"/>
      <c r="D2097" s="19"/>
      <c r="E2097" s="19"/>
      <c r="F2097" s="8">
        <f>ROUND(D2097*E2097,0)</f>
        <v>0</v>
      </c>
    </row>
    <row r="2098" spans="2:6">
      <c r="B2098" s="7"/>
      <c r="C2098" s="19"/>
      <c r="D2098" s="5"/>
      <c r="E2098" s="4"/>
      <c r="F2098" s="8"/>
    </row>
    <row r="2099" spans="2:6">
      <c r="B2099" s="7"/>
      <c r="C2099" s="19"/>
      <c r="D2099" s="5"/>
      <c r="E2099" s="4"/>
      <c r="F2099" s="5"/>
    </row>
    <row r="2100" spans="2:6">
      <c r="B2100" s="6" t="str">
        <f>B2093&amp;"  -  celkem"</f>
        <v>9300 - Vedení projektu  -  celkem</v>
      </c>
      <c r="C2100" s="19"/>
      <c r="D2100" s="5"/>
      <c r="E2100" s="4"/>
      <c r="F2100" s="3">
        <f>SUM(F2093:F2099)</f>
        <v>0</v>
      </c>
    </row>
    <row r="2101" spans="2:6">
      <c r="B2101" s="19"/>
      <c r="C2101" s="19"/>
      <c r="D2101" s="19"/>
      <c r="E2101" s="19"/>
      <c r="F2101" s="19"/>
    </row>
    <row r="2102" spans="2:6">
      <c r="B2102" s="19"/>
      <c r="C2102" s="19"/>
      <c r="D2102" s="19"/>
      <c r="E2102" s="19"/>
      <c r="F2102" s="19"/>
    </row>
    <row r="2103" spans="2:6">
      <c r="B2103" s="19"/>
      <c r="C2103" s="19"/>
      <c r="D2103" s="19"/>
      <c r="E2103" s="19"/>
      <c r="F2103" s="19"/>
    </row>
    <row r="2104" spans="2:6">
      <c r="B2104" s="19"/>
      <c r="C2104" s="19"/>
      <c r="D2104" s="19"/>
      <c r="E2104" s="19"/>
      <c r="F2104" s="19"/>
    </row>
    <row r="2105" spans="2:6">
      <c r="B2105" s="19"/>
      <c r="C2105" s="19"/>
      <c r="D2105" s="19"/>
      <c r="E2105" s="19"/>
      <c r="F2105" s="19"/>
    </row>
    <row r="2106" spans="2:6">
      <c r="B2106" s="19"/>
      <c r="C2106" s="19"/>
      <c r="D2106" s="19"/>
      <c r="E2106" s="19"/>
      <c r="F2106" s="19"/>
    </row>
    <row r="2107" spans="2:6" ht="18.75">
      <c r="B2107" s="11" t="str">
        <f>R_47</f>
        <v>9700 - Inženýrská činnost</v>
      </c>
      <c r="C2107" s="19"/>
      <c r="D2107" s="5"/>
      <c r="E2107" s="4"/>
      <c r="F2107" s="5"/>
    </row>
    <row r="2108" spans="2:6">
      <c r="B2108" s="7"/>
      <c r="C2108" s="19"/>
      <c r="D2108" s="5"/>
      <c r="E2108" s="4"/>
      <c r="F2108" s="5"/>
    </row>
    <row r="2109" spans="2:6">
      <c r="B2109" s="7"/>
      <c r="C2109" s="19"/>
      <c r="D2109" s="5"/>
      <c r="E2109" s="4"/>
      <c r="F2109" s="5"/>
    </row>
    <row r="2110" spans="2:6">
      <c r="B2110" s="19"/>
      <c r="C2110" s="19"/>
      <c r="D2110" s="19"/>
      <c r="E2110" s="19"/>
      <c r="F2110" s="8">
        <f>ROUND(D2110*E2110,0)</f>
        <v>0</v>
      </c>
    </row>
    <row r="2111" spans="2:6">
      <c r="B2111" s="19"/>
      <c r="C2111" s="19"/>
      <c r="D2111" s="19"/>
      <c r="E2111" s="19"/>
      <c r="F2111" s="8">
        <f>ROUND(D2111*E2111,0)</f>
        <v>0</v>
      </c>
    </row>
    <row r="2112" spans="2:6">
      <c r="B2112" s="7"/>
      <c r="C2112" s="19"/>
      <c r="D2112" s="5"/>
      <c r="E2112" s="4"/>
      <c r="F2112" s="5"/>
    </row>
    <row r="2113" spans="2:6">
      <c r="B2113" s="6" t="str">
        <f>B2107&amp;"  -  celkem"</f>
        <v>9700 - Inženýrská činnost  -  celkem</v>
      </c>
      <c r="C2113" s="19"/>
      <c r="D2113" s="5"/>
      <c r="E2113" s="4"/>
      <c r="F2113" s="3">
        <f>SUM(F2107:F2112)</f>
        <v>0</v>
      </c>
    </row>
  </sheetData>
  <hyperlinks>
    <hyperlink ref="B30" location="T_125" display="P_125"/>
    <hyperlink ref="B31" location="T_126" display="P_126"/>
    <hyperlink ref="B32" location="T_127" display="P_127"/>
    <hyperlink ref="B33" location="T_128" display="P_128"/>
    <hyperlink ref="B34" location="T_129" display="P_129"/>
    <hyperlink ref="B35" location="T_130" display="P_130"/>
    <hyperlink ref="B36" location="T_131" display="P_131"/>
    <hyperlink ref="B37" location="T_132" display="P_132"/>
    <hyperlink ref="B38" location="T_133" display="P_133"/>
    <hyperlink ref="B39" location="T_134" display="P_134"/>
    <hyperlink ref="B40" location="T_135" display="P_135"/>
    <hyperlink ref="B41" location="T_136" display="P_136"/>
    <hyperlink ref="B42" location="T_137" display="P_137"/>
    <hyperlink ref="B43" location="T_138" display="P_138"/>
    <hyperlink ref="B44" location="T_139" display="P_139"/>
    <hyperlink ref="B45" location="T_140" display="P_140"/>
    <hyperlink ref="B46" location="T_141" display="P_141"/>
    <hyperlink ref="B47" location="T_142" display="P_142"/>
    <hyperlink ref="B48" location="T_143" display="P_143"/>
    <hyperlink ref="B49" location="T_144" display="P_144"/>
    <hyperlink ref="B50" location="T_145" display="P_145"/>
    <hyperlink ref="B51" location="T_146" display="P_146"/>
    <hyperlink ref="B52" location="T_147" display="P_147"/>
    <hyperlink ref="B53" location="T_148" display="P_148"/>
    <hyperlink ref="B54" location="T_149" display="P_149"/>
    <hyperlink ref="B55" location="T_150" display="P_150"/>
    <hyperlink ref="B56" location="T_151" display="P_151"/>
    <hyperlink ref="B443" location="P_126" display="P_126"/>
    <hyperlink ref="B453" location="P_127" display="P_127"/>
    <hyperlink ref="B493" location="P_131" display="P_131"/>
    <hyperlink ref="B533" location="P_135" display="P_135"/>
    <hyperlink ref="B573" location="P_139" display="P_139"/>
    <hyperlink ref="B583" location="P_140" display="P_140"/>
    <hyperlink ref="B623" location="P_144" display="P_144"/>
    <hyperlink ref="B663" location="P_148" display="P_148"/>
    <hyperlink ref="B433" location="P_125" display="P_125"/>
    <hyperlink ref="B463" location="P_128" display="P_128"/>
    <hyperlink ref="B473" location="P_129" display="P_129"/>
    <hyperlink ref="B483" location="P_130" display="P_130"/>
    <hyperlink ref="B503" location="P_132" display="P_132"/>
    <hyperlink ref="B513" location="P_133" display="P_133"/>
    <hyperlink ref="B523" location="P_134" display="P_134"/>
    <hyperlink ref="B543" location="P_136" display="P_136"/>
    <hyperlink ref="B553" location="P_137" display="P_137"/>
    <hyperlink ref="B563" location="P_138" display="P_138"/>
    <hyperlink ref="B593" location="P_141" display="P_141"/>
    <hyperlink ref="B603" location="P_142" display="P_142"/>
    <hyperlink ref="B613" location="P_143" display="P_143"/>
    <hyperlink ref="B633" location="P_145" display="P_145"/>
    <hyperlink ref="B643" location="P_146" display="P_146"/>
    <hyperlink ref="B653" location="P_147" display="P_147"/>
    <hyperlink ref="B673" location="P_149" display="P_149"/>
    <hyperlink ref="B683" location="P_150" display="P_150"/>
    <hyperlink ref="B693" location="P_151" display="P_151"/>
    <hyperlink ref="B704" location="R_62" display="R_62"/>
    <hyperlink ref="B57" location="S_62" display="Únor"/>
    <hyperlink ref="B59" location="S_38" display="Příčky zděné"/>
    <hyperlink ref="B60" location="S_19" display="Schodiště prefabrikovaná"/>
    <hyperlink ref="B61" location="S_20" display="Konstrukce zděné - zdivo"/>
    <hyperlink ref="B713" location="R_38" display="R_38"/>
    <hyperlink ref="B734" location="R_19" display="R_19"/>
    <hyperlink ref="B752" location="R_20" display="R_20"/>
    <hyperlink ref="B737" location="S_34" display="S_34"/>
    <hyperlink ref="B755" location="S_34" display="S_34"/>
    <hyperlink ref="B738" location="S_35" display="S_35"/>
    <hyperlink ref="B757" location="S_36" display="S_36"/>
    <hyperlink ref="B62" location="S_30" display="Vrata"/>
    <hyperlink ref="B63" location="S_32" display="Obklady a podhledy  lamelové na rošty"/>
    <hyperlink ref="B65" location="S_79" display="Neděle"/>
    <hyperlink ref="B66" location="S_80" display="Leden"/>
    <hyperlink ref="B771" location="R_30" display="R_30"/>
    <hyperlink ref="B787" location="R_32" display="R_32"/>
    <hyperlink ref="B815" location="R_79" display="R_79"/>
    <hyperlink ref="B834" location="R_80" display="R_80"/>
    <hyperlink ref="B1274" location="R_61" display="R_61"/>
    <hyperlink ref="B1348" location="R_65" display="R_65"/>
    <hyperlink ref="B1407" location="R_69" display="R_69"/>
    <hyperlink ref="B1469" location="R_73" display="R_73"/>
    <hyperlink ref="B1542" location="R_77" display="R_77"/>
    <hyperlink ref="B849" location="R_15" display="R_15"/>
    <hyperlink ref="B884" location="R_16" display="R_16"/>
    <hyperlink ref="B932" location="R_17" display="R_17"/>
    <hyperlink ref="B946" location="R_18" display="R_18"/>
    <hyperlink ref="B985" location="R_21" display="R_21"/>
    <hyperlink ref="B1001" location="R_22" display="R_22"/>
    <hyperlink ref="B1022" location="R_23" display="R_23"/>
    <hyperlink ref="B1046" location="R_24" display="R_24"/>
    <hyperlink ref="B1058" location="R_25" display="R_25"/>
    <hyperlink ref="B1071" location="R_26" display="R_26"/>
    <hyperlink ref="B1086" location="R_27" display="R_27"/>
    <hyperlink ref="B1100" location="R_28" display="R_28"/>
    <hyperlink ref="B1126" location="R_29" display="R_29"/>
    <hyperlink ref="B1145" location="R_31" display="R_31"/>
    <hyperlink ref="B1161" location="R_33" display="R_33"/>
    <hyperlink ref="B1175" location="R_34" display="R_34"/>
    <hyperlink ref="B1198" location="R_35" display="R_35"/>
    <hyperlink ref="B1219" location="R_36" display="R_36"/>
    <hyperlink ref="B1240" location="R_37" display="R_37"/>
    <hyperlink ref="B968" location="R_39" display="R_39"/>
    <hyperlink ref="B869" location="R_57" display="R_57"/>
    <hyperlink ref="B898" location="R_58" display="R_58"/>
    <hyperlink ref="B1256" location="R_60" display="R_60"/>
    <hyperlink ref="B1306" location="R_63" display="R_63"/>
    <hyperlink ref="B1320" location="R_64" display="R_64"/>
    <hyperlink ref="B1366" location="R_66" display="R_66"/>
    <hyperlink ref="B1384" location="R_67" display="R_67"/>
    <hyperlink ref="B1424" location="R_70" display="R_70"/>
    <hyperlink ref="B1439" location="R_71" display="R_71"/>
    <hyperlink ref="B1454" location="R_72" display="R_72"/>
    <hyperlink ref="B1484" location="R_74" display="R_74"/>
    <hyperlink ref="B1500" location="R_75" display="R_75"/>
    <hyperlink ref="B1516" location="R_76" display="R_76"/>
    <hyperlink ref="B853" location="S_34" display="S_34"/>
    <hyperlink ref="B949" location="S_34" display="S_34"/>
    <hyperlink ref="B901" location="S_34" display="S_34"/>
    <hyperlink ref="B1004" location="S_34" display="S_34"/>
    <hyperlink ref="B1201" location="S_34" display="S_34"/>
    <hyperlink ref="B1222" location="S_34" display="S_34"/>
    <hyperlink ref="B1202" location="S_19" display="S_19"/>
    <hyperlink ref="B971" location="S_34" display="S_34"/>
    <hyperlink ref="B1290" location="P_152" display="P_152"/>
    <hyperlink ref="B1134" location="S_59" display="S_59"/>
    <hyperlink ref="B916" location="R_68" display="R_68"/>
    <hyperlink ref="B1334" location="R_40" display="R_40"/>
    <hyperlink ref="B875" location="S_04" display="S_04"/>
    <hyperlink ref="B67" location="S_15" display="Izolace tepelné spodní stavby"/>
    <hyperlink ref="B72" location="S_17" display="Konstrukce svislé montované - prefabrikované fasády"/>
    <hyperlink ref="B73" location="S_18" display="Konstrukce vodorovné monolitické"/>
    <hyperlink ref="B75" location="S_21" display="Mazaniny střech"/>
    <hyperlink ref="B76" location="S_22" display="Krytiny povlakové"/>
    <hyperlink ref="B77" location="S_23" display="Izolace tepelné střech"/>
    <hyperlink ref="B78" location="S_24" display="Klempířské konstrukce střechy"/>
    <hyperlink ref="B79" location="S_25" display="Světlíky"/>
    <hyperlink ref="B80" location="S_26" display="Zámečnické konstrukce střechy"/>
    <hyperlink ref="B81" location="S_27" display="Fasáda prosklená systémová"/>
    <hyperlink ref="B82" location="S_28" display="Okna, balkónové dveře"/>
    <hyperlink ref="B83" location="S_29" display="Vstupní stěny"/>
    <hyperlink ref="B84" location="S_31" display="Mříže, rolety"/>
    <hyperlink ref="B85" location="S_33" display="Zavěšené fasády a podhledy"/>
    <hyperlink ref="B86" location="S_34" display="Zateplovací systémy"/>
    <hyperlink ref="B87" location="S_35" display="Zámečnické konstrukce fasády"/>
    <hyperlink ref="B88" location="S_36" display="Klempířské konstrukce fasády"/>
    <hyperlink ref="B89" location="S_37" display="rezerva 2"/>
    <hyperlink ref="B74" location="S_39" display="Příčky montované (např. sádrokarton)"/>
    <hyperlink ref="B68" location="S_57" display="rezerva 3"/>
    <hyperlink ref="B70" location="S_58" display="rezerva 4"/>
    <hyperlink ref="B90" location="S_60" display="rezerva 6"/>
    <hyperlink ref="B91" location="S_61" display="Leden"/>
    <hyperlink ref="B93" location="S_63" display="Březen"/>
    <hyperlink ref="B94" location="S_64" display="Duben"/>
    <hyperlink ref="B96" location="S_65" display="Květen"/>
    <hyperlink ref="B97" location="S_66" display="Červen"/>
    <hyperlink ref="B98" location="S_67" display="Červenec"/>
    <hyperlink ref="B99" location="S_69" display="Září"/>
    <hyperlink ref="B100" location="S_70" display="Říjen"/>
    <hyperlink ref="B101" location="S_71" display="Listopad"/>
    <hyperlink ref="B102" location="S_72" display="Prosinec"/>
    <hyperlink ref="B103" location="S_73" display="Pondělí"/>
    <hyperlink ref="B104" location="S_74" display="Úterý"/>
    <hyperlink ref="B105" location="S_75" display="Středa"/>
    <hyperlink ref="B106" location="S_76" display="Čtvrtek"/>
    <hyperlink ref="B107" location="S_77" display="Pátek"/>
    <hyperlink ref="B69" location="S_16" display="Fasádní systémy zateplovací"/>
    <hyperlink ref="B92" location="T_152" display="P_152"/>
    <hyperlink ref="B71" location="S_68" display="Srpen"/>
    <hyperlink ref="B95" location="S_40" display="Příčky přestavitelné, demontovatelné"/>
    <hyperlink ref="B112" location="R_86" display="R_86"/>
    <hyperlink ref="B110" location="S_86" display="Červenec"/>
    <hyperlink ref="B1570" location="R_50" display="R_50"/>
    <hyperlink ref="B1583" location="R_51" display="R_51"/>
    <hyperlink ref="B1614" location="R_52" display="R_52"/>
    <hyperlink ref="B1627" location="R_53" display="R_53"/>
    <hyperlink ref="B1641" location="R_54" display="R_54"/>
    <hyperlink ref="B1596" location="R_81" display="R_81"/>
    <hyperlink ref="B127" location="S_81" display="Únor"/>
    <hyperlink ref="B125" location="S_50" display="Omítky stěn"/>
    <hyperlink ref="B126" location="S_51" display="Obklady bezesparé (deskové, obkladačky)"/>
    <hyperlink ref="B128" location="S_52" display="Malby stěn"/>
    <hyperlink ref="B129" location="S_53" display="Omítky stropů"/>
    <hyperlink ref="B130" location="S_54" display="Podhledy lamelové, zavěšené"/>
    <hyperlink ref="B1557" location="R_46" display="R_46"/>
    <hyperlink ref="B124" location="S_46" display="Dlažba"/>
    <hyperlink ref="B134" location="S_04" display="Skrývka ornice"/>
    <hyperlink ref="B133" location="S_05" display="Hloubené vykopávky"/>
    <hyperlink ref="B132" location="S_06" display="Přesun zemin, manipulace s výkopkem "/>
    <hyperlink ref="B137" location="S_07" display="Odvodnění (povrchová i spodní voda)"/>
    <hyperlink ref="B136" location="S_08" display="Štětové stěny"/>
    <hyperlink ref="B138" location="S_09" display="Zpevňování hornin (injektáže)"/>
    <hyperlink ref="B139" location="S_11" display="Zpevňování podloží"/>
    <hyperlink ref="B150" location="S_13" display="Základy monolitické"/>
    <hyperlink ref="B151" location="S_14" display="Izolace proti vodě spodní stavby"/>
    <hyperlink ref="B155" location="S_59" display="rezerva 5"/>
    <hyperlink ref="B140" location="S_42" display="Ostatní (např. mříže, rolety, dveře protipožární)"/>
    <hyperlink ref="B142" location="S_43" display="Podlahové konstrukce (např. mazaniny, desky, sádrokartony)"/>
    <hyperlink ref="B145" location="S_82" display="Březen"/>
    <hyperlink ref="B147" location="S_83" display="Duben"/>
    <hyperlink ref="B149" location="S_84" display="Květen"/>
    <hyperlink ref="B135" location="S_85" display="Červen"/>
    <hyperlink ref="B141" location="S_55" display="Malby stropů"/>
    <hyperlink ref="B156" location="S_56" display="Nátěry"/>
    <hyperlink ref="B152" location="S_87" display="Srpen"/>
    <hyperlink ref="B153" location="S_88" display="Září"/>
    <hyperlink ref="B154" location="S_89" display="Říjen"/>
    <hyperlink ref="B157" location="S_91" display="Prosinec"/>
    <hyperlink ref="B146" location="S_92" display="Pondělí"/>
    <hyperlink ref="B148" location="S_93" display="Úterý"/>
    <hyperlink ref="B158" location="S_96" display="Pátek"/>
    <hyperlink ref="B159" location="S_97" display="Sobota"/>
    <hyperlink ref="B160" location="S_97" display="Sobota"/>
    <hyperlink ref="B1682" location="R_04" display="R_04"/>
    <hyperlink ref="B1668" location="R_05" display="R_05"/>
    <hyperlink ref="B1653" location="R_06" display="R_06"/>
    <hyperlink ref="B1724" location="R_07" display="R_07"/>
    <hyperlink ref="B1709" location="R_08" display="R_08"/>
    <hyperlink ref="B1738" location="R_09" display="R_09"/>
    <hyperlink ref="B1753" location="R_11" display="R_11"/>
    <hyperlink ref="B1768" location="R_42" display="R_42"/>
    <hyperlink ref="B1796" location="R_43" display="R_43"/>
    <hyperlink ref="B1696" location="R_85" display="R_85"/>
    <hyperlink ref="B1782" location="R_55" display="R_55"/>
    <hyperlink ref="B1884" location="R_13" display="R_13"/>
    <hyperlink ref="B1898" location="R_14" display="R_14"/>
    <hyperlink ref="B1952" location="R_59" display="R_59"/>
    <hyperlink ref="B1812" location="R_82" display="R_82"/>
    <hyperlink ref="B1840" location="R_83" display="R_83"/>
    <hyperlink ref="B1870" location="R_84" display="R_84"/>
    <hyperlink ref="B1967" location="R_56" display="R_56"/>
    <hyperlink ref="B1938" location="R_89" display="R_89"/>
    <hyperlink ref="B1911" location="R_87" display="R_87"/>
    <hyperlink ref="B1923" location="R_88" display="R_88"/>
    <hyperlink ref="B1982" location="R_91" display="R_91"/>
    <hyperlink ref="B1826" location="R_92" display="R_92"/>
    <hyperlink ref="B1855" location="R_93" display="R_93"/>
    <hyperlink ref="B2010" location="R_97" display="R_97"/>
    <hyperlink ref="B1995" location="R_96" display="R_96"/>
    <hyperlink ref="B2023" location="R_98" display="R_98"/>
    <hyperlink ref="B2065" location="R_01" display="R_01"/>
    <hyperlink ref="B2035" location="R_48" display="R_48"/>
    <hyperlink ref="B2049" location="R_49" display="R_49"/>
    <hyperlink ref="B164" location="S_01" display="Demolice"/>
    <hyperlink ref="B163" location="S_49" display="Nášlapné vrstvy podlah monolitické, lité (beton, teraco, asfalt, plastbeton, syntetické)"/>
    <hyperlink ref="B162" location="S_48" display="Tesařské, truhlářské (např. vlysy, parkety)"/>
    <hyperlink ref="B2079" location="R_94" display="R_94"/>
    <hyperlink ref="B2093" location="R_90" display="R_90"/>
    <hyperlink ref="B2107" location="R_47" display="R_47"/>
    <hyperlink ref="B166" location="S_94" display="Středa"/>
    <hyperlink ref="B167" location="S_90" display="Listopad"/>
    <hyperlink ref="B168" location="S_47" display="Dlažba schodišť"/>
  </hyperlinks>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5</vt:i4>
      </vt:variant>
      <vt:variant>
        <vt:lpstr>Pojmenované oblasti</vt:lpstr>
      </vt:variant>
      <vt:variant>
        <vt:i4>349</vt:i4>
      </vt:variant>
    </vt:vector>
  </HeadingPairs>
  <TitlesOfParts>
    <vt:vector size="354" baseType="lpstr">
      <vt:lpstr>Specifikace</vt:lpstr>
      <vt:lpstr>Výměry</vt:lpstr>
      <vt:lpstr>Design</vt:lpstr>
      <vt:lpstr>Místnosti</vt:lpstr>
      <vt:lpstr>Koncepty</vt:lpstr>
      <vt:lpstr>Bod_0222</vt:lpstr>
      <vt:lpstr>Bod_0233</vt:lpstr>
      <vt:lpstr>Bod_0256</vt:lpstr>
      <vt:lpstr>Bod_0297</vt:lpstr>
      <vt:lpstr>Design!časová_rezerva</vt:lpstr>
      <vt:lpstr>časová_rezerva</vt:lpstr>
      <vt:lpstr>DESIGN</vt:lpstr>
      <vt:lpstr>DODAVATEL</vt:lpstr>
      <vt:lpstr>hr_HSV</vt:lpstr>
      <vt:lpstr>hr_PSV</vt:lpstr>
      <vt:lpstr>HZS_1</vt:lpstr>
      <vt:lpstr>HZS_18</vt:lpstr>
      <vt:lpstr>HZS_21</vt:lpstr>
      <vt:lpstr>HZS_22</vt:lpstr>
      <vt:lpstr>HZS_23</vt:lpstr>
      <vt:lpstr>HZS_24</vt:lpstr>
      <vt:lpstr>HZS_26</vt:lpstr>
      <vt:lpstr>HZS_27</vt:lpstr>
      <vt:lpstr>HZS_28</vt:lpstr>
      <vt:lpstr>HZS_3</vt:lpstr>
      <vt:lpstr>HZS_31</vt:lpstr>
      <vt:lpstr>HZS_330</vt:lpstr>
      <vt:lpstr>HZS_34</vt:lpstr>
      <vt:lpstr>HZS_35</vt:lpstr>
      <vt:lpstr>HZS_36</vt:lpstr>
      <vt:lpstr>HZS_38</vt:lpstr>
      <vt:lpstr>HZS_4</vt:lpstr>
      <vt:lpstr>HZS_41</vt:lpstr>
      <vt:lpstr>HZS_43</vt:lpstr>
      <vt:lpstr>HZS_5</vt:lpstr>
      <vt:lpstr>HZS_61</vt:lpstr>
      <vt:lpstr>HZS_62</vt:lpstr>
      <vt:lpstr>HZS_627</vt:lpstr>
      <vt:lpstr>HZS_629</vt:lpstr>
      <vt:lpstr>HZS_63</vt:lpstr>
      <vt:lpstr>HZS_64</vt:lpstr>
      <vt:lpstr>HZS_700</vt:lpstr>
      <vt:lpstr>HZS_711</vt:lpstr>
      <vt:lpstr>HZS_712</vt:lpstr>
      <vt:lpstr>HZS_713</vt:lpstr>
      <vt:lpstr>HZS_721</vt:lpstr>
      <vt:lpstr>HZS_722</vt:lpstr>
      <vt:lpstr>HZS_723</vt:lpstr>
      <vt:lpstr>HZS_725</vt:lpstr>
      <vt:lpstr>HZS_730</vt:lpstr>
      <vt:lpstr>HZS_748</vt:lpstr>
      <vt:lpstr>HZS_761</vt:lpstr>
      <vt:lpstr>HZS_762</vt:lpstr>
      <vt:lpstr>HZS_763</vt:lpstr>
      <vt:lpstr>HZS_764</vt:lpstr>
      <vt:lpstr>HZS_765</vt:lpstr>
      <vt:lpstr>HZS_766</vt:lpstr>
      <vt:lpstr>HZS_767</vt:lpstr>
      <vt:lpstr>HZS_771</vt:lpstr>
      <vt:lpstr>HZS_772</vt:lpstr>
      <vt:lpstr>HZS_773</vt:lpstr>
      <vt:lpstr>HZS_775</vt:lpstr>
      <vt:lpstr>HZS_776</vt:lpstr>
      <vt:lpstr>HZS_777</vt:lpstr>
      <vt:lpstr>HZS_781</vt:lpstr>
      <vt:lpstr>HZS_782</vt:lpstr>
      <vt:lpstr>HZS_783</vt:lpstr>
      <vt:lpstr>HZS_784</vt:lpstr>
      <vt:lpstr>HZS_787</vt:lpstr>
      <vt:lpstr>HZS_799</vt:lpstr>
      <vt:lpstr>HZS_8</vt:lpstr>
      <vt:lpstr>HZS_800</vt:lpstr>
      <vt:lpstr>HZS_801</vt:lpstr>
      <vt:lpstr>HZS_802</vt:lpstr>
      <vt:lpstr>HZS_803</vt:lpstr>
      <vt:lpstr>HZS_804</vt:lpstr>
      <vt:lpstr>HZS_900</vt:lpstr>
      <vt:lpstr>HZS_94</vt:lpstr>
      <vt:lpstr>HZS_95</vt:lpstr>
      <vt:lpstr>HZS_96</vt:lpstr>
      <vt:lpstr>HZS_97</vt:lpstr>
      <vt:lpstr>HZS_98</vt:lpstr>
      <vt:lpstr>HZS_99</vt:lpstr>
      <vt:lpstr>HZS_999</vt:lpstr>
      <vt:lpstr>HZS_HSV</vt:lpstr>
      <vt:lpstr>HZS_PSV</vt:lpstr>
      <vt:lpstr>koef</vt:lpstr>
      <vt:lpstr>Manažer_cen</vt:lpstr>
      <vt:lpstr>MATICE_CEN</vt:lpstr>
      <vt:lpstr>Design!mzda_HSV</vt:lpstr>
      <vt:lpstr>Design!mzda_PSV</vt:lpstr>
      <vt:lpstr>mzda_top</vt:lpstr>
      <vt:lpstr>Specifikace!Názvy_tisku</vt:lpstr>
      <vt:lpstr>Specifikace!Oblast_tisku</vt:lpstr>
      <vt:lpstr>P_125</vt:lpstr>
      <vt:lpstr>P_126</vt:lpstr>
      <vt:lpstr>P_127</vt:lpstr>
      <vt:lpstr>P_128</vt:lpstr>
      <vt:lpstr>P_129</vt:lpstr>
      <vt:lpstr>P_130</vt:lpstr>
      <vt:lpstr>P_131</vt:lpstr>
      <vt:lpstr>P_132</vt:lpstr>
      <vt:lpstr>P_133</vt:lpstr>
      <vt:lpstr>P_134</vt:lpstr>
      <vt:lpstr>P_135</vt:lpstr>
      <vt:lpstr>P_136</vt:lpstr>
      <vt:lpstr>P_137</vt:lpstr>
      <vt:lpstr>P_138</vt:lpstr>
      <vt:lpstr>P_139</vt:lpstr>
      <vt:lpstr>P_140</vt:lpstr>
      <vt:lpstr>P_141</vt:lpstr>
      <vt:lpstr>P_142</vt:lpstr>
      <vt:lpstr>P_143</vt:lpstr>
      <vt:lpstr>P_144</vt:lpstr>
      <vt:lpstr>P_145</vt:lpstr>
      <vt:lpstr>P_146</vt:lpstr>
      <vt:lpstr>P_147</vt:lpstr>
      <vt:lpstr>P_148</vt:lpstr>
      <vt:lpstr>P_149</vt:lpstr>
      <vt:lpstr>P_150</vt:lpstr>
      <vt:lpstr>P_151</vt:lpstr>
      <vt:lpstr>P_152</vt:lpstr>
      <vt:lpstr>Design!pojistné</vt:lpstr>
      <vt:lpstr>pojistné</vt:lpstr>
      <vt:lpstr>projekt</vt:lpstr>
      <vt:lpstr>přesun</vt:lpstr>
      <vt:lpstr>přesun_PSV</vt:lpstr>
      <vt:lpstr>R_01</vt:lpstr>
      <vt:lpstr>R_03</vt:lpstr>
      <vt:lpstr>R_04</vt:lpstr>
      <vt:lpstr>R_05</vt:lpstr>
      <vt:lpstr>R_06</vt:lpstr>
      <vt:lpstr>R_07</vt:lpstr>
      <vt:lpstr>R_08</vt:lpstr>
      <vt:lpstr>R_09</vt:lpstr>
      <vt:lpstr>R_10</vt:lpstr>
      <vt:lpstr>R_11</vt:lpstr>
      <vt:lpstr>R_12</vt:lpstr>
      <vt:lpstr>R_13</vt:lpstr>
      <vt:lpstr>R_14</vt:lpstr>
      <vt:lpstr>R_15</vt:lpstr>
      <vt:lpstr>R_16</vt:lpstr>
      <vt:lpstr>R_17</vt:lpstr>
      <vt:lpstr>R_18</vt:lpstr>
      <vt:lpstr>R_19</vt:lpstr>
      <vt:lpstr>R_20</vt:lpstr>
      <vt:lpstr>R_21</vt:lpstr>
      <vt:lpstr>R_22</vt:lpstr>
      <vt:lpstr>R_23</vt:lpstr>
      <vt:lpstr>R_24</vt:lpstr>
      <vt:lpstr>R_25</vt:lpstr>
      <vt:lpstr>R_26</vt:lpstr>
      <vt:lpstr>R_27</vt:lpstr>
      <vt:lpstr>R_28</vt:lpstr>
      <vt:lpstr>R_29</vt:lpstr>
      <vt:lpstr>R_30</vt:lpstr>
      <vt:lpstr>R_31</vt:lpstr>
      <vt:lpstr>R_32</vt:lpstr>
      <vt:lpstr>R_33</vt:lpstr>
      <vt:lpstr>R_34</vt:lpstr>
      <vt:lpstr>R_35</vt:lpstr>
      <vt:lpstr>R_36</vt:lpstr>
      <vt:lpstr>R_37</vt:lpstr>
      <vt:lpstr>R_38</vt:lpstr>
      <vt:lpstr>R_39</vt:lpstr>
      <vt:lpstr>R_40</vt:lpstr>
      <vt:lpstr>R_41</vt:lpstr>
      <vt:lpstr>R_42</vt:lpstr>
      <vt:lpstr>R_43</vt:lpstr>
      <vt:lpstr>R_45</vt:lpstr>
      <vt:lpstr>R_46</vt:lpstr>
      <vt:lpstr>R_47</vt:lpstr>
      <vt:lpstr>R_48</vt:lpstr>
      <vt:lpstr>R_49</vt:lpstr>
      <vt:lpstr>R_50</vt:lpstr>
      <vt:lpstr>R_51</vt:lpstr>
      <vt:lpstr>R_52</vt:lpstr>
      <vt:lpstr>R_53</vt:lpstr>
      <vt:lpstr>R_54</vt:lpstr>
      <vt:lpstr>R_55</vt:lpstr>
      <vt:lpstr>R_56</vt:lpstr>
      <vt:lpstr>R_57</vt:lpstr>
      <vt:lpstr>R_58</vt:lpstr>
      <vt:lpstr>R_59</vt:lpstr>
      <vt:lpstr>R_60</vt:lpstr>
      <vt:lpstr>R_61</vt:lpstr>
      <vt:lpstr>R_62</vt:lpstr>
      <vt:lpstr>R_63</vt:lpstr>
      <vt:lpstr>R_64</vt:lpstr>
      <vt:lpstr>R_65</vt:lpstr>
      <vt:lpstr>R_66</vt:lpstr>
      <vt:lpstr>R_67</vt:lpstr>
      <vt:lpstr>R_68</vt:lpstr>
      <vt:lpstr>R_69</vt:lpstr>
      <vt:lpstr>R_70</vt:lpstr>
      <vt:lpstr>R_71</vt:lpstr>
      <vt:lpstr>R_72</vt:lpstr>
      <vt:lpstr>R_73</vt:lpstr>
      <vt:lpstr>R_74</vt:lpstr>
      <vt:lpstr>R_75</vt:lpstr>
      <vt:lpstr>R_76</vt:lpstr>
      <vt:lpstr>R_77</vt:lpstr>
      <vt:lpstr>R_79</vt:lpstr>
      <vt:lpstr>R_80</vt:lpstr>
      <vt:lpstr>R_81</vt:lpstr>
      <vt:lpstr>R_82</vt:lpstr>
      <vt:lpstr>R_83</vt:lpstr>
      <vt:lpstr>R_84</vt:lpstr>
      <vt:lpstr>R_85</vt:lpstr>
      <vt:lpstr>R_86</vt:lpstr>
      <vt:lpstr>R_87</vt:lpstr>
      <vt:lpstr>R_88</vt:lpstr>
      <vt:lpstr>R_89</vt:lpstr>
      <vt:lpstr>R_90</vt:lpstr>
      <vt:lpstr>R_91</vt:lpstr>
      <vt:lpstr>R_92</vt:lpstr>
      <vt:lpstr>R_93</vt:lpstr>
      <vt:lpstr>R_94</vt:lpstr>
      <vt:lpstr>R_95</vt:lpstr>
      <vt:lpstr>R_96</vt:lpstr>
      <vt:lpstr>R_97</vt:lpstr>
      <vt:lpstr>R_98</vt:lpstr>
      <vt:lpstr>RTS</vt:lpstr>
      <vt:lpstr>S_01</vt:lpstr>
      <vt:lpstr>S_03</vt:lpstr>
      <vt:lpstr>S_04</vt:lpstr>
      <vt:lpstr>S_05</vt:lpstr>
      <vt:lpstr>S_06</vt:lpstr>
      <vt:lpstr>S_07</vt:lpstr>
      <vt:lpstr>S_08</vt:lpstr>
      <vt:lpstr>S_09</vt:lpstr>
      <vt:lpstr>S_10</vt:lpstr>
      <vt:lpstr>S_11</vt:lpstr>
      <vt:lpstr>S_12</vt:lpstr>
      <vt:lpstr>S_13</vt:lpstr>
      <vt:lpstr>S_14</vt:lpstr>
      <vt:lpstr>S_15</vt:lpstr>
      <vt:lpstr>S_16</vt:lpstr>
      <vt:lpstr>S_17</vt:lpstr>
      <vt:lpstr>S_18</vt:lpstr>
      <vt:lpstr>S_19</vt:lpstr>
      <vt:lpstr>S_20</vt:lpstr>
      <vt:lpstr>S_21</vt:lpstr>
      <vt:lpstr>S_22</vt:lpstr>
      <vt:lpstr>S_23</vt:lpstr>
      <vt:lpstr>S_24</vt:lpstr>
      <vt:lpstr>S_25</vt:lpstr>
      <vt:lpstr>S_26</vt:lpstr>
      <vt:lpstr>S_27</vt:lpstr>
      <vt:lpstr>S_28</vt:lpstr>
      <vt:lpstr>S_29</vt:lpstr>
      <vt:lpstr>S_30</vt:lpstr>
      <vt:lpstr>S_31</vt:lpstr>
      <vt:lpstr>S_32</vt:lpstr>
      <vt:lpstr>S_33</vt:lpstr>
      <vt:lpstr>S_34</vt:lpstr>
      <vt:lpstr>S_35</vt:lpstr>
      <vt:lpstr>S_36</vt:lpstr>
      <vt:lpstr>S_37</vt:lpstr>
      <vt:lpstr>S_38</vt:lpstr>
      <vt:lpstr>S_39</vt:lpstr>
      <vt:lpstr>S_40</vt:lpstr>
      <vt:lpstr>S_41</vt:lpstr>
      <vt:lpstr>S_42</vt:lpstr>
      <vt:lpstr>S_43</vt:lpstr>
      <vt:lpstr>S_45</vt:lpstr>
      <vt:lpstr>S_46</vt:lpstr>
      <vt:lpstr>S_47</vt:lpstr>
      <vt:lpstr>S_48</vt:lpstr>
      <vt:lpstr>S_49</vt:lpstr>
      <vt:lpstr>S_50</vt:lpstr>
      <vt:lpstr>S_51</vt:lpstr>
      <vt:lpstr>S_52</vt:lpstr>
      <vt:lpstr>S_53</vt:lpstr>
      <vt:lpstr>S_54</vt:lpstr>
      <vt:lpstr>S_55</vt:lpstr>
      <vt:lpstr>S_56</vt:lpstr>
      <vt:lpstr>S_57</vt:lpstr>
      <vt:lpstr>S_58</vt:lpstr>
      <vt:lpstr>S_59</vt:lpstr>
      <vt:lpstr>S_60</vt:lpstr>
      <vt:lpstr>S_61</vt:lpstr>
      <vt:lpstr>S_62</vt:lpstr>
      <vt:lpstr>S_63</vt:lpstr>
      <vt:lpstr>S_64</vt:lpstr>
      <vt:lpstr>S_65</vt:lpstr>
      <vt:lpstr>S_66</vt:lpstr>
      <vt:lpstr>S_67</vt:lpstr>
      <vt:lpstr>S_68</vt:lpstr>
      <vt:lpstr>S_69</vt:lpstr>
      <vt:lpstr>S_70</vt:lpstr>
      <vt:lpstr>S_71</vt:lpstr>
      <vt:lpstr>S_72</vt:lpstr>
      <vt:lpstr>S_73</vt:lpstr>
      <vt:lpstr>S_74</vt:lpstr>
      <vt:lpstr>S_75</vt:lpstr>
      <vt:lpstr>S_76</vt:lpstr>
      <vt:lpstr>S_77</vt:lpstr>
      <vt:lpstr>S_79</vt:lpstr>
      <vt:lpstr>S_80</vt:lpstr>
      <vt:lpstr>S_81</vt:lpstr>
      <vt:lpstr>S_82</vt:lpstr>
      <vt:lpstr>S_83</vt:lpstr>
      <vt:lpstr>S_84</vt:lpstr>
      <vt:lpstr>S_85</vt:lpstr>
      <vt:lpstr>S_86</vt:lpstr>
      <vt:lpstr>S_87</vt:lpstr>
      <vt:lpstr>S_88</vt:lpstr>
      <vt:lpstr>S_89</vt:lpstr>
      <vt:lpstr>S_90</vt:lpstr>
      <vt:lpstr>S_91</vt:lpstr>
      <vt:lpstr>S_92</vt:lpstr>
      <vt:lpstr>S_93</vt:lpstr>
      <vt:lpstr>S_94</vt:lpstr>
      <vt:lpstr>S_95</vt:lpstr>
      <vt:lpstr>S_96</vt:lpstr>
      <vt:lpstr>S_97</vt:lpstr>
      <vt:lpstr>S_98</vt:lpstr>
      <vt:lpstr>SEZNAM_POUŽITÝCH_MEZD</vt:lpstr>
      <vt:lpstr>sleva_ocel</vt:lpstr>
      <vt:lpstr>SLEVY</vt:lpstr>
      <vt:lpstr>STD_HR_HSV</vt:lpstr>
      <vt:lpstr>STD_HR_PSV</vt:lpstr>
      <vt:lpstr>T_125</vt:lpstr>
      <vt:lpstr>T_126</vt:lpstr>
      <vt:lpstr>T_127</vt:lpstr>
      <vt:lpstr>T_128</vt:lpstr>
      <vt:lpstr>T_129</vt:lpstr>
      <vt:lpstr>T_130</vt:lpstr>
      <vt:lpstr>T_131</vt:lpstr>
      <vt:lpstr>T_132</vt:lpstr>
      <vt:lpstr>T_133</vt:lpstr>
      <vt:lpstr>T_134</vt:lpstr>
      <vt:lpstr>T_135</vt:lpstr>
      <vt:lpstr>T_136</vt:lpstr>
      <vt:lpstr>T_137</vt:lpstr>
      <vt:lpstr>T_138</vt:lpstr>
      <vt:lpstr>T_139</vt:lpstr>
      <vt:lpstr>T_140</vt:lpstr>
      <vt:lpstr>T_141</vt:lpstr>
      <vt:lpstr>T_142</vt:lpstr>
      <vt:lpstr>T_143</vt:lpstr>
      <vt:lpstr>T_144</vt:lpstr>
      <vt:lpstr>T_145</vt:lpstr>
      <vt:lpstr>T_146</vt:lpstr>
      <vt:lpstr>T_147</vt:lpstr>
      <vt:lpstr>T_148</vt:lpstr>
      <vt:lpstr>T_149</vt:lpstr>
      <vt:lpstr>T_150</vt:lpstr>
      <vt:lpstr>T_151</vt:lpstr>
      <vt:lpstr>T_152</vt:lpstr>
      <vt:lpstr>volba_přesunu</vt:lpstr>
      <vt:lpstr>Design!VRN</vt:lpstr>
      <vt:lpstr>VRN</vt:lpstr>
    </vt:vector>
  </TitlesOfParts>
  <Company>L.Z.Atelier, s.r.o.</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mslavik</dc:creator>
  <cp:lastModifiedBy>Martin Feistner</cp:lastModifiedBy>
  <cp:lastPrinted>2010-05-31T08:39:06Z</cp:lastPrinted>
  <dcterms:created xsi:type="dcterms:W3CDTF">2008-05-05T07:37:55Z</dcterms:created>
  <dcterms:modified xsi:type="dcterms:W3CDTF">2017-01-31T09:35:34Z</dcterms:modified>
</cp:coreProperties>
</file>