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Můj disk\GP DISK\Brigádníci\Vondál Pavel\2025\Kuchyně ZŠ Drnovice\05_Odesláno\Objednatel\PDPS_Modernizace kuchyně ZŠ Drnovice_STAVBA\Soupis prací\EDIT\"/>
    </mc:Choice>
  </mc:AlternateContent>
  <xr:revisionPtr revIDLastSave="0" documentId="13_ncr:1_{E9FBB787-100B-443A-9B2D-ABA02016EFE0}" xr6:coauthVersionLast="47" xr6:coauthVersionMax="47" xr10:uidLastSave="{00000000-0000-0000-0000-000000000000}"/>
  <bookViews>
    <workbookView xWindow="28680" yWindow="-120" windowWidth="29040" windowHeight="15720" xr2:uid="{00000000-000D-0000-FFFF-FFFF00000000}"/>
  </bookViews>
  <sheets>
    <sheet name="Krycí list rozpočtu" sheetId="3" r:id="rId1"/>
    <sheet name="Stavební rozpočet" sheetId="1" r:id="rId2"/>
    <sheet name="Stavební rozpočet - součet" sheetId="2" r:id="rId3"/>
    <sheet name="VORN" sheetId="4" state="hidden" r:id="rId4"/>
  </sheets>
  <definedNames>
    <definedName name="vorn_sum">VORN!$I$36</definedName>
  </definedNames>
  <calcPr calcId="181029"/>
</workbook>
</file>

<file path=xl/calcChain.xml><?xml version="1.0" encoding="utf-8"?>
<calcChain xmlns="http://schemas.openxmlformats.org/spreadsheetml/2006/main">
  <c r="I35" i="4" l="1"/>
  <c r="I36" i="4" s="1"/>
  <c r="I26" i="4"/>
  <c r="I25" i="4"/>
  <c r="I24" i="4"/>
  <c r="I23" i="4"/>
  <c r="I22" i="4"/>
  <c r="I21" i="4"/>
  <c r="I17" i="4"/>
  <c r="I16" i="4"/>
  <c r="I15" i="4"/>
  <c r="I10" i="4"/>
  <c r="F10" i="4"/>
  <c r="C10" i="4"/>
  <c r="F8" i="4"/>
  <c r="C8" i="4"/>
  <c r="F6" i="4"/>
  <c r="C6" i="4"/>
  <c r="F4" i="4"/>
  <c r="C4" i="4"/>
  <c r="F2" i="4"/>
  <c r="C2" i="4"/>
  <c r="F10" i="3"/>
  <c r="C10" i="3"/>
  <c r="F6" i="3"/>
  <c r="C6" i="3"/>
  <c r="F4" i="3"/>
  <c r="C4" i="3"/>
  <c r="F2" i="3"/>
  <c r="C2" i="3"/>
  <c r="I142" i="2"/>
  <c r="I139" i="2"/>
  <c r="I134" i="2"/>
  <c r="I123" i="2"/>
  <c r="I110" i="2"/>
  <c r="I99" i="2"/>
  <c r="I82" i="2"/>
  <c r="I57" i="2"/>
  <c r="I30" i="2"/>
  <c r="I19" i="2"/>
  <c r="I11" i="2"/>
  <c r="C8" i="2"/>
  <c r="G6" i="2"/>
  <c r="C6" i="2"/>
  <c r="G4" i="2"/>
  <c r="C4" i="2"/>
  <c r="G2" i="2"/>
  <c r="C2" i="2"/>
  <c r="BU2778" i="1"/>
  <c r="BH2778" i="1"/>
  <c r="BB2778" i="1"/>
  <c r="AN2778" i="1"/>
  <c r="AM2778" i="1"/>
  <c r="I2778" i="1" s="1"/>
  <c r="AI2778" i="1"/>
  <c r="AH2778" i="1"/>
  <c r="AF2778" i="1"/>
  <c r="AC2778" i="1"/>
  <c r="AB2778" i="1"/>
  <c r="AA2778" i="1"/>
  <c r="Z2778" i="1"/>
  <c r="X2778" i="1"/>
  <c r="M2778" i="1"/>
  <c r="BD2778" i="1" s="1"/>
  <c r="K2778" i="1"/>
  <c r="BU2776" i="1"/>
  <c r="BH2776" i="1"/>
  <c r="BB2776" i="1"/>
  <c r="AN2776" i="1"/>
  <c r="AM2776" i="1"/>
  <c r="AU2776" i="1" s="1"/>
  <c r="AI2776" i="1"/>
  <c r="AH2776" i="1"/>
  <c r="AF2776" i="1"/>
  <c r="AC2776" i="1"/>
  <c r="AB2776" i="1"/>
  <c r="AA2776" i="1"/>
  <c r="Z2776" i="1"/>
  <c r="X2776" i="1"/>
  <c r="M2776" i="1"/>
  <c r="BD2776" i="1" s="1"/>
  <c r="K2776" i="1"/>
  <c r="BU2774" i="1"/>
  <c r="BH2774" i="1"/>
  <c r="BB2774" i="1"/>
  <c r="AN2774" i="1"/>
  <c r="J2774" i="1" s="1"/>
  <c r="AM2774" i="1"/>
  <c r="I2774" i="1" s="1"/>
  <c r="AI2774" i="1"/>
  <c r="AH2774" i="1"/>
  <c r="AF2774" i="1"/>
  <c r="AC2774" i="1"/>
  <c r="AB2774" i="1"/>
  <c r="AA2774" i="1"/>
  <c r="Z2774" i="1"/>
  <c r="X2774" i="1"/>
  <c r="M2774" i="1"/>
  <c r="BD2774" i="1" s="1"/>
  <c r="K2774" i="1"/>
  <c r="BU2772" i="1"/>
  <c r="BH2772" i="1"/>
  <c r="BB2772" i="1"/>
  <c r="AN2772" i="1"/>
  <c r="AM2772" i="1"/>
  <c r="AI2772" i="1"/>
  <c r="AH2772" i="1"/>
  <c r="AF2772" i="1"/>
  <c r="AC2772" i="1"/>
  <c r="AB2772" i="1"/>
  <c r="AA2772" i="1"/>
  <c r="Z2772" i="1"/>
  <c r="X2772" i="1"/>
  <c r="M2772" i="1"/>
  <c r="K2772" i="1"/>
  <c r="AJ2772" i="1" s="1"/>
  <c r="BU2769" i="1"/>
  <c r="BH2769" i="1"/>
  <c r="BB2769" i="1"/>
  <c r="AN2769" i="1"/>
  <c r="BG2769" i="1" s="1"/>
  <c r="AA2769" i="1" s="1"/>
  <c r="AM2769" i="1"/>
  <c r="AU2769" i="1" s="1"/>
  <c r="AI2769" i="1"/>
  <c r="AH2769" i="1"/>
  <c r="AF2769" i="1"/>
  <c r="AE2769" i="1"/>
  <c r="AD2769" i="1"/>
  <c r="AC2769" i="1"/>
  <c r="AB2769" i="1"/>
  <c r="X2769" i="1"/>
  <c r="M2769" i="1"/>
  <c r="BD2769" i="1" s="1"/>
  <c r="K2769" i="1"/>
  <c r="AJ2769" i="1" s="1"/>
  <c r="BU2767" i="1"/>
  <c r="BH2767" i="1"/>
  <c r="BB2767" i="1"/>
  <c r="AN2767" i="1"/>
  <c r="AM2767" i="1"/>
  <c r="AI2767" i="1"/>
  <c r="AH2767" i="1"/>
  <c r="AQ2766" i="1" s="1"/>
  <c r="AF2767" i="1"/>
  <c r="AC2767" i="1"/>
  <c r="AB2767" i="1"/>
  <c r="AA2767" i="1"/>
  <c r="Z2767" i="1"/>
  <c r="X2767" i="1"/>
  <c r="M2767" i="1"/>
  <c r="K2767" i="1"/>
  <c r="K2766" i="1"/>
  <c r="F147" i="2" s="1"/>
  <c r="I147" i="2" s="1"/>
  <c r="BU2764" i="1"/>
  <c r="BH2764" i="1"/>
  <c r="X2764" i="1" s="1"/>
  <c r="BB2764" i="1"/>
  <c r="AN2764" i="1"/>
  <c r="J2764" i="1" s="1"/>
  <c r="AM2764" i="1"/>
  <c r="AI2764" i="1"/>
  <c r="AH2764" i="1"/>
  <c r="AF2764" i="1"/>
  <c r="AE2764" i="1"/>
  <c r="AD2764" i="1"/>
  <c r="AC2764" i="1"/>
  <c r="AB2764" i="1"/>
  <c r="AA2764" i="1"/>
  <c r="Z2764" i="1"/>
  <c r="M2764" i="1"/>
  <c r="BD2764" i="1" s="1"/>
  <c r="K2764" i="1"/>
  <c r="AJ2764" i="1" s="1"/>
  <c r="BU2762" i="1"/>
  <c r="BH2762" i="1"/>
  <c r="X2762" i="1" s="1"/>
  <c r="BB2762" i="1"/>
  <c r="AN2762" i="1"/>
  <c r="AM2762" i="1"/>
  <c r="AI2762" i="1"/>
  <c r="AR2761" i="1" s="1"/>
  <c r="AH2762" i="1"/>
  <c r="AF2762" i="1"/>
  <c r="AE2762" i="1"/>
  <c r="AD2762" i="1"/>
  <c r="AC2762" i="1"/>
  <c r="AB2762" i="1"/>
  <c r="AA2762" i="1"/>
  <c r="Z2762" i="1"/>
  <c r="M2762" i="1"/>
  <c r="K2762" i="1"/>
  <c r="BU2759" i="1"/>
  <c r="BH2759" i="1"/>
  <c r="BB2759" i="1"/>
  <c r="AN2759" i="1"/>
  <c r="AM2759" i="1"/>
  <c r="AI2759" i="1"/>
  <c r="AR2758" i="1" s="1"/>
  <c r="AH2759" i="1"/>
  <c r="AQ2758" i="1" s="1"/>
  <c r="AF2759" i="1"/>
  <c r="AE2759" i="1"/>
  <c r="AD2759" i="1"/>
  <c r="AC2759" i="1"/>
  <c r="AB2759" i="1"/>
  <c r="X2759" i="1"/>
  <c r="M2759" i="1"/>
  <c r="M2758" i="1" s="1"/>
  <c r="G145" i="2" s="1"/>
  <c r="K2759" i="1"/>
  <c r="BU2756" i="1"/>
  <c r="BH2756" i="1"/>
  <c r="BB2756" i="1"/>
  <c r="AN2756" i="1"/>
  <c r="J2756" i="1" s="1"/>
  <c r="AM2756" i="1"/>
  <c r="BF2756" i="1" s="1"/>
  <c r="AB2756" i="1" s="1"/>
  <c r="AI2756" i="1"/>
  <c r="AH2756" i="1"/>
  <c r="AF2756" i="1"/>
  <c r="AE2756" i="1"/>
  <c r="AD2756" i="1"/>
  <c r="AA2756" i="1"/>
  <c r="Z2756" i="1"/>
  <c r="X2756" i="1"/>
  <c r="M2756" i="1"/>
  <c r="BD2756" i="1" s="1"/>
  <c r="K2756" i="1"/>
  <c r="BU2754" i="1"/>
  <c r="BH2754" i="1"/>
  <c r="BB2754" i="1"/>
  <c r="AN2754" i="1"/>
  <c r="AM2754" i="1"/>
  <c r="AI2754" i="1"/>
  <c r="AH2754" i="1"/>
  <c r="AF2754" i="1"/>
  <c r="AE2754" i="1"/>
  <c r="AD2754" i="1"/>
  <c r="AA2754" i="1"/>
  <c r="Z2754" i="1"/>
  <c r="X2754" i="1"/>
  <c r="M2754" i="1"/>
  <c r="BD2754" i="1" s="1"/>
  <c r="K2754" i="1"/>
  <c r="AJ2754" i="1" s="1"/>
  <c r="BU2752" i="1"/>
  <c r="BH2752" i="1"/>
  <c r="BB2752" i="1"/>
  <c r="AN2752" i="1"/>
  <c r="AM2752" i="1"/>
  <c r="AI2752" i="1"/>
  <c r="AH2752" i="1"/>
  <c r="AF2752" i="1"/>
  <c r="AE2752" i="1"/>
  <c r="AD2752" i="1"/>
  <c r="AA2752" i="1"/>
  <c r="Z2752" i="1"/>
  <c r="X2752" i="1"/>
  <c r="M2752" i="1"/>
  <c r="K2752" i="1"/>
  <c r="BU2749" i="1"/>
  <c r="BH2749" i="1"/>
  <c r="BB2749" i="1"/>
  <c r="AN2749" i="1"/>
  <c r="BG2749" i="1" s="1"/>
  <c r="AA2749" i="1" s="1"/>
  <c r="AM2749" i="1"/>
  <c r="AI2749" i="1"/>
  <c r="AR2748" i="1" s="1"/>
  <c r="AH2749" i="1"/>
  <c r="AQ2748" i="1" s="1"/>
  <c r="AF2749" i="1"/>
  <c r="AE2749" i="1"/>
  <c r="AD2749" i="1"/>
  <c r="AC2749" i="1"/>
  <c r="AB2749" i="1"/>
  <c r="X2749" i="1"/>
  <c r="M2749" i="1"/>
  <c r="M2748" i="1" s="1"/>
  <c r="K2749" i="1"/>
  <c r="BU2745" i="1"/>
  <c r="BH2745" i="1"/>
  <c r="BB2745" i="1"/>
  <c r="AN2745" i="1"/>
  <c r="J2745" i="1" s="1"/>
  <c r="AM2745" i="1"/>
  <c r="AI2745" i="1"/>
  <c r="AH2745" i="1"/>
  <c r="AF2745" i="1"/>
  <c r="AC2745" i="1"/>
  <c r="AB2745" i="1"/>
  <c r="AA2745" i="1"/>
  <c r="Z2745" i="1"/>
  <c r="X2745" i="1"/>
  <c r="M2745" i="1"/>
  <c r="BD2745" i="1" s="1"/>
  <c r="K2745" i="1"/>
  <c r="AJ2745" i="1" s="1"/>
  <c r="BU2743" i="1"/>
  <c r="BH2743" i="1"/>
  <c r="BB2743" i="1"/>
  <c r="AN2743" i="1"/>
  <c r="BG2743" i="1" s="1"/>
  <c r="AE2743" i="1" s="1"/>
  <c r="AM2743" i="1"/>
  <c r="AI2743" i="1"/>
  <c r="AH2743" i="1"/>
  <c r="AF2743" i="1"/>
  <c r="AC2743" i="1"/>
  <c r="AB2743" i="1"/>
  <c r="AA2743" i="1"/>
  <c r="Z2743" i="1"/>
  <c r="X2743" i="1"/>
  <c r="M2743" i="1"/>
  <c r="BD2743" i="1" s="1"/>
  <c r="K2743" i="1"/>
  <c r="BU2741" i="1"/>
  <c r="BH2741" i="1"/>
  <c r="BB2741" i="1"/>
  <c r="AN2741" i="1"/>
  <c r="AM2741" i="1"/>
  <c r="AI2741" i="1"/>
  <c r="AH2741" i="1"/>
  <c r="AF2741" i="1"/>
  <c r="AE2741" i="1"/>
  <c r="AD2741" i="1"/>
  <c r="AC2741" i="1"/>
  <c r="AB2741" i="1"/>
  <c r="X2741" i="1"/>
  <c r="M2741" i="1"/>
  <c r="K2741" i="1"/>
  <c r="BU2739" i="1"/>
  <c r="BH2739" i="1"/>
  <c r="BB2739" i="1"/>
  <c r="AN2739" i="1"/>
  <c r="AM2739" i="1"/>
  <c r="AI2739" i="1"/>
  <c r="AH2739" i="1"/>
  <c r="AF2739" i="1"/>
  <c r="AE2739" i="1"/>
  <c r="AD2739" i="1"/>
  <c r="AC2739" i="1"/>
  <c r="AB2739" i="1"/>
  <c r="X2739" i="1"/>
  <c r="M2739" i="1"/>
  <c r="BD2739" i="1" s="1"/>
  <c r="K2739" i="1"/>
  <c r="AJ2739" i="1" s="1"/>
  <c r="BU2737" i="1"/>
  <c r="BH2737" i="1"/>
  <c r="BB2737" i="1"/>
  <c r="AN2737" i="1"/>
  <c r="J2737" i="1" s="1"/>
  <c r="AM2737" i="1"/>
  <c r="BF2737" i="1" s="1"/>
  <c r="AD2737" i="1" s="1"/>
  <c r="AI2737" i="1"/>
  <c r="AH2737" i="1"/>
  <c r="AF2737" i="1"/>
  <c r="AC2737" i="1"/>
  <c r="AB2737" i="1"/>
  <c r="AA2737" i="1"/>
  <c r="Z2737" i="1"/>
  <c r="X2737" i="1"/>
  <c r="M2737" i="1"/>
  <c r="BD2737" i="1" s="1"/>
  <c r="K2737" i="1"/>
  <c r="AJ2737" i="1" s="1"/>
  <c r="BU2735" i="1"/>
  <c r="BH2735" i="1"/>
  <c r="BB2735" i="1"/>
  <c r="AN2735" i="1"/>
  <c r="AM2735" i="1"/>
  <c r="AI2735" i="1"/>
  <c r="AH2735" i="1"/>
  <c r="AF2735" i="1"/>
  <c r="AC2735" i="1"/>
  <c r="AB2735" i="1"/>
  <c r="AA2735" i="1"/>
  <c r="Z2735" i="1"/>
  <c r="X2735" i="1"/>
  <c r="M2735" i="1"/>
  <c r="BD2735" i="1" s="1"/>
  <c r="K2735" i="1"/>
  <c r="AJ2735" i="1" s="1"/>
  <c r="BU2733" i="1"/>
  <c r="BH2733" i="1"/>
  <c r="BB2733" i="1"/>
  <c r="AN2733" i="1"/>
  <c r="AM2733" i="1"/>
  <c r="AU2733" i="1" s="1"/>
  <c r="AI2733" i="1"/>
  <c r="AH2733" i="1"/>
  <c r="AF2733" i="1"/>
  <c r="AC2733" i="1"/>
  <c r="AB2733" i="1"/>
  <c r="AA2733" i="1"/>
  <c r="Z2733" i="1"/>
  <c r="X2733" i="1"/>
  <c r="M2733" i="1"/>
  <c r="BD2733" i="1" s="1"/>
  <c r="K2733" i="1"/>
  <c r="AJ2733" i="1" s="1"/>
  <c r="BU2731" i="1"/>
  <c r="BH2731" i="1"/>
  <c r="BB2731" i="1"/>
  <c r="AN2731" i="1"/>
  <c r="J2731" i="1" s="1"/>
  <c r="AM2731" i="1"/>
  <c r="BF2731" i="1" s="1"/>
  <c r="AD2731" i="1" s="1"/>
  <c r="AI2731" i="1"/>
  <c r="AH2731" i="1"/>
  <c r="AF2731" i="1"/>
  <c r="AC2731" i="1"/>
  <c r="AB2731" i="1"/>
  <c r="AA2731" i="1"/>
  <c r="Z2731" i="1"/>
  <c r="X2731" i="1"/>
  <c r="M2731" i="1"/>
  <c r="BD2731" i="1" s="1"/>
  <c r="K2731" i="1"/>
  <c r="AJ2731" i="1" s="1"/>
  <c r="BU2728" i="1"/>
  <c r="BH2728" i="1"/>
  <c r="BB2728" i="1"/>
  <c r="AN2728" i="1"/>
  <c r="AV2728" i="1" s="1"/>
  <c r="AM2728" i="1"/>
  <c r="I2728" i="1" s="1"/>
  <c r="AI2728" i="1"/>
  <c r="AH2728" i="1"/>
  <c r="AF2728" i="1"/>
  <c r="AE2728" i="1"/>
  <c r="AD2728" i="1"/>
  <c r="AC2728" i="1"/>
  <c r="AB2728" i="1"/>
  <c r="X2728" i="1"/>
  <c r="M2728" i="1"/>
  <c r="BD2728" i="1" s="1"/>
  <c r="K2728" i="1"/>
  <c r="AJ2728" i="1" s="1"/>
  <c r="BU2726" i="1"/>
  <c r="BH2726" i="1"/>
  <c r="BB2726" i="1"/>
  <c r="AN2726" i="1"/>
  <c r="AM2726" i="1"/>
  <c r="AI2726" i="1"/>
  <c r="AH2726" i="1"/>
  <c r="AF2726" i="1"/>
  <c r="AE2726" i="1"/>
  <c r="AD2726" i="1"/>
  <c r="AC2726" i="1"/>
  <c r="AB2726" i="1"/>
  <c r="X2726" i="1"/>
  <c r="M2726" i="1"/>
  <c r="BD2726" i="1" s="1"/>
  <c r="K2726" i="1"/>
  <c r="AJ2726" i="1" s="1"/>
  <c r="BU2724" i="1"/>
  <c r="BH2724" i="1"/>
  <c r="BB2724" i="1"/>
  <c r="AN2724" i="1"/>
  <c r="AM2724" i="1"/>
  <c r="AI2724" i="1"/>
  <c r="AH2724" i="1"/>
  <c r="AF2724" i="1"/>
  <c r="AE2724" i="1"/>
  <c r="AD2724" i="1"/>
  <c r="AC2724" i="1"/>
  <c r="AB2724" i="1"/>
  <c r="X2724" i="1"/>
  <c r="M2724" i="1"/>
  <c r="BD2724" i="1" s="1"/>
  <c r="K2724" i="1"/>
  <c r="AJ2724" i="1" s="1"/>
  <c r="BU2722" i="1"/>
  <c r="BH2722" i="1"/>
  <c r="BB2722" i="1"/>
  <c r="AN2722" i="1"/>
  <c r="AM2722" i="1"/>
  <c r="I2722" i="1" s="1"/>
  <c r="AI2722" i="1"/>
  <c r="AH2722" i="1"/>
  <c r="AF2722" i="1"/>
  <c r="AE2722" i="1"/>
  <c r="AD2722" i="1"/>
  <c r="AC2722" i="1"/>
  <c r="AB2722" i="1"/>
  <c r="X2722" i="1"/>
  <c r="M2722" i="1"/>
  <c r="BD2722" i="1" s="1"/>
  <c r="K2722" i="1"/>
  <c r="AJ2722" i="1" s="1"/>
  <c r="BU2720" i="1"/>
  <c r="BH2720" i="1"/>
  <c r="BB2720" i="1"/>
  <c r="AN2720" i="1"/>
  <c r="AM2720" i="1"/>
  <c r="AI2720" i="1"/>
  <c r="AH2720" i="1"/>
  <c r="AF2720" i="1"/>
  <c r="AE2720" i="1"/>
  <c r="AD2720" i="1"/>
  <c r="AC2720" i="1"/>
  <c r="AB2720" i="1"/>
  <c r="X2720" i="1"/>
  <c r="M2720" i="1"/>
  <c r="BD2720" i="1" s="1"/>
  <c r="K2720" i="1"/>
  <c r="AJ2720" i="1" s="1"/>
  <c r="BU2718" i="1"/>
  <c r="BH2718" i="1"/>
  <c r="BB2718" i="1"/>
  <c r="AN2718" i="1"/>
  <c r="BG2718" i="1" s="1"/>
  <c r="AA2718" i="1" s="1"/>
  <c r="AM2718" i="1"/>
  <c r="AI2718" i="1"/>
  <c r="AH2718" i="1"/>
  <c r="AF2718" i="1"/>
  <c r="AE2718" i="1"/>
  <c r="AD2718" i="1"/>
  <c r="AC2718" i="1"/>
  <c r="AB2718" i="1"/>
  <c r="X2718" i="1"/>
  <c r="M2718" i="1"/>
  <c r="BD2718" i="1" s="1"/>
  <c r="K2718" i="1"/>
  <c r="AJ2718" i="1" s="1"/>
  <c r="BU2716" i="1"/>
  <c r="BH2716" i="1"/>
  <c r="BB2716" i="1"/>
  <c r="AN2716" i="1"/>
  <c r="AM2716" i="1"/>
  <c r="AI2716" i="1"/>
  <c r="AH2716" i="1"/>
  <c r="AF2716" i="1"/>
  <c r="AC2716" i="1"/>
  <c r="AB2716" i="1"/>
  <c r="AA2716" i="1"/>
  <c r="Z2716" i="1"/>
  <c r="X2716" i="1"/>
  <c r="M2716" i="1"/>
  <c r="BD2716" i="1" s="1"/>
  <c r="K2716" i="1"/>
  <c r="AJ2716" i="1" s="1"/>
  <c r="BU2714" i="1"/>
  <c r="BH2714" i="1"/>
  <c r="BB2714" i="1"/>
  <c r="AN2714" i="1"/>
  <c r="AV2714" i="1" s="1"/>
  <c r="AM2714" i="1"/>
  <c r="AI2714" i="1"/>
  <c r="AH2714" i="1"/>
  <c r="AF2714" i="1"/>
  <c r="AE2714" i="1"/>
  <c r="AD2714" i="1"/>
  <c r="AC2714" i="1"/>
  <c r="AB2714" i="1"/>
  <c r="X2714" i="1"/>
  <c r="M2714" i="1"/>
  <c r="BD2714" i="1" s="1"/>
  <c r="K2714" i="1"/>
  <c r="BU2712" i="1"/>
  <c r="BH2712" i="1"/>
  <c r="BB2712" i="1"/>
  <c r="AN2712" i="1"/>
  <c r="AM2712" i="1"/>
  <c r="I2712" i="1" s="1"/>
  <c r="AI2712" i="1"/>
  <c r="AH2712" i="1"/>
  <c r="AF2712" i="1"/>
  <c r="AE2712" i="1"/>
  <c r="AD2712" i="1"/>
  <c r="AC2712" i="1"/>
  <c r="AB2712" i="1"/>
  <c r="X2712" i="1"/>
  <c r="M2712" i="1"/>
  <c r="BD2712" i="1" s="1"/>
  <c r="K2712" i="1"/>
  <c r="BU2710" i="1"/>
  <c r="BH2710" i="1"/>
  <c r="BB2710" i="1"/>
  <c r="AN2710" i="1"/>
  <c r="AV2710" i="1" s="1"/>
  <c r="AM2710" i="1"/>
  <c r="BF2710" i="1" s="1"/>
  <c r="Z2710" i="1" s="1"/>
  <c r="AI2710" i="1"/>
  <c r="AH2710" i="1"/>
  <c r="AF2710" i="1"/>
  <c r="AE2710" i="1"/>
  <c r="AD2710" i="1"/>
  <c r="AC2710" i="1"/>
  <c r="AB2710" i="1"/>
  <c r="X2710" i="1"/>
  <c r="M2710" i="1"/>
  <c r="K2710" i="1"/>
  <c r="BU2708" i="1"/>
  <c r="BH2708" i="1"/>
  <c r="BB2708" i="1"/>
  <c r="AN2708" i="1"/>
  <c r="AM2708" i="1"/>
  <c r="AI2708" i="1"/>
  <c r="AH2708" i="1"/>
  <c r="AF2708" i="1"/>
  <c r="AE2708" i="1"/>
  <c r="AD2708" i="1"/>
  <c r="AC2708" i="1"/>
  <c r="AB2708" i="1"/>
  <c r="X2708" i="1"/>
  <c r="M2708" i="1"/>
  <c r="BD2708" i="1" s="1"/>
  <c r="K2708" i="1"/>
  <c r="AJ2708" i="1" s="1"/>
  <c r="BU2705" i="1"/>
  <c r="BH2705" i="1"/>
  <c r="BB2705" i="1"/>
  <c r="AN2705" i="1"/>
  <c r="AM2705" i="1"/>
  <c r="AI2705" i="1"/>
  <c r="AH2705" i="1"/>
  <c r="AF2705" i="1"/>
  <c r="AE2705" i="1"/>
  <c r="AD2705" i="1"/>
  <c r="AC2705" i="1"/>
  <c r="AB2705" i="1"/>
  <c r="X2705" i="1"/>
  <c r="M2705" i="1"/>
  <c r="BD2705" i="1" s="1"/>
  <c r="K2705" i="1"/>
  <c r="AJ2705" i="1" s="1"/>
  <c r="BU2703" i="1"/>
  <c r="BH2703" i="1"/>
  <c r="BB2703" i="1"/>
  <c r="AN2703" i="1"/>
  <c r="AM2703" i="1"/>
  <c r="AI2703" i="1"/>
  <c r="AH2703" i="1"/>
  <c r="AF2703" i="1"/>
  <c r="AE2703" i="1"/>
  <c r="AD2703" i="1"/>
  <c r="AC2703" i="1"/>
  <c r="AB2703" i="1"/>
  <c r="X2703" i="1"/>
  <c r="M2703" i="1"/>
  <c r="BD2703" i="1" s="1"/>
  <c r="K2703" i="1"/>
  <c r="AJ2703" i="1" s="1"/>
  <c r="BU2702" i="1"/>
  <c r="BH2702" i="1"/>
  <c r="BB2702" i="1"/>
  <c r="AN2702" i="1"/>
  <c r="AM2702" i="1"/>
  <c r="AI2702" i="1"/>
  <c r="AH2702" i="1"/>
  <c r="AF2702" i="1"/>
  <c r="AC2702" i="1"/>
  <c r="AB2702" i="1"/>
  <c r="AA2702" i="1"/>
  <c r="Z2702" i="1"/>
  <c r="X2702" i="1"/>
  <c r="M2702" i="1"/>
  <c r="BD2702" i="1" s="1"/>
  <c r="K2702" i="1"/>
  <c r="BU2701" i="1"/>
  <c r="BH2701" i="1"/>
  <c r="BB2701" i="1"/>
  <c r="AN2701" i="1"/>
  <c r="J2701" i="1" s="1"/>
  <c r="AM2701" i="1"/>
  <c r="AI2701" i="1"/>
  <c r="AH2701" i="1"/>
  <c r="AF2701" i="1"/>
  <c r="AC2701" i="1"/>
  <c r="AB2701" i="1"/>
  <c r="AA2701" i="1"/>
  <c r="Z2701" i="1"/>
  <c r="X2701" i="1"/>
  <c r="M2701" i="1"/>
  <c r="BD2701" i="1" s="1"/>
  <c r="K2701" i="1"/>
  <c r="AJ2701" i="1" s="1"/>
  <c r="BU2699" i="1"/>
  <c r="BH2699" i="1"/>
  <c r="BB2699" i="1"/>
  <c r="AN2699" i="1"/>
  <c r="AV2699" i="1" s="1"/>
  <c r="AM2699" i="1"/>
  <c r="I2699" i="1" s="1"/>
  <c r="AI2699" i="1"/>
  <c r="AH2699" i="1"/>
  <c r="AF2699" i="1"/>
  <c r="AC2699" i="1"/>
  <c r="AB2699" i="1"/>
  <c r="AA2699" i="1"/>
  <c r="Z2699" i="1"/>
  <c r="X2699" i="1"/>
  <c r="M2699" i="1"/>
  <c r="BD2699" i="1" s="1"/>
  <c r="K2699" i="1"/>
  <c r="AJ2699" i="1" s="1"/>
  <c r="BU2697" i="1"/>
  <c r="BH2697" i="1"/>
  <c r="BB2697" i="1"/>
  <c r="AN2697" i="1"/>
  <c r="BG2697" i="1" s="1"/>
  <c r="AE2697" i="1" s="1"/>
  <c r="AM2697" i="1"/>
  <c r="AI2697" i="1"/>
  <c r="AH2697" i="1"/>
  <c r="AF2697" i="1"/>
  <c r="AC2697" i="1"/>
  <c r="AB2697" i="1"/>
  <c r="AA2697" i="1"/>
  <c r="Z2697" i="1"/>
  <c r="X2697" i="1"/>
  <c r="M2697" i="1"/>
  <c r="BD2697" i="1" s="1"/>
  <c r="K2697" i="1"/>
  <c r="BU2695" i="1"/>
  <c r="BH2695" i="1"/>
  <c r="BB2695" i="1"/>
  <c r="AN2695" i="1"/>
  <c r="AM2695" i="1"/>
  <c r="I2695" i="1" s="1"/>
  <c r="AI2695" i="1"/>
  <c r="AH2695" i="1"/>
  <c r="AF2695" i="1"/>
  <c r="AC2695" i="1"/>
  <c r="AB2695" i="1"/>
  <c r="AA2695" i="1"/>
  <c r="Z2695" i="1"/>
  <c r="X2695" i="1"/>
  <c r="M2695" i="1"/>
  <c r="BD2695" i="1" s="1"/>
  <c r="K2695" i="1"/>
  <c r="AJ2695" i="1" s="1"/>
  <c r="BU2694" i="1"/>
  <c r="BH2694" i="1"/>
  <c r="BB2694" i="1"/>
  <c r="AN2694" i="1"/>
  <c r="AM2694" i="1"/>
  <c r="AI2694" i="1"/>
  <c r="AH2694" i="1"/>
  <c r="AF2694" i="1"/>
  <c r="AC2694" i="1"/>
  <c r="AB2694" i="1"/>
  <c r="AA2694" i="1"/>
  <c r="Z2694" i="1"/>
  <c r="X2694" i="1"/>
  <c r="M2694" i="1"/>
  <c r="BD2694" i="1" s="1"/>
  <c r="K2694" i="1"/>
  <c r="AJ2694" i="1" s="1"/>
  <c r="BU2693" i="1"/>
  <c r="BH2693" i="1"/>
  <c r="BB2693" i="1"/>
  <c r="AN2693" i="1"/>
  <c r="AM2693" i="1"/>
  <c r="AI2693" i="1"/>
  <c r="AH2693" i="1"/>
  <c r="AF2693" i="1"/>
  <c r="AC2693" i="1"/>
  <c r="AB2693" i="1"/>
  <c r="AA2693" i="1"/>
  <c r="Z2693" i="1"/>
  <c r="X2693" i="1"/>
  <c r="M2693" i="1"/>
  <c r="BD2693" i="1" s="1"/>
  <c r="K2693" i="1"/>
  <c r="AJ2693" i="1" s="1"/>
  <c r="BU2692" i="1"/>
  <c r="BH2692" i="1"/>
  <c r="BB2692" i="1"/>
  <c r="AN2692" i="1"/>
  <c r="BG2692" i="1" s="1"/>
  <c r="AE2692" i="1" s="1"/>
  <c r="AM2692" i="1"/>
  <c r="AI2692" i="1"/>
  <c r="AH2692" i="1"/>
  <c r="AF2692" i="1"/>
  <c r="AC2692" i="1"/>
  <c r="AB2692" i="1"/>
  <c r="AA2692" i="1"/>
  <c r="Z2692" i="1"/>
  <c r="X2692" i="1"/>
  <c r="M2692" i="1"/>
  <c r="BD2692" i="1" s="1"/>
  <c r="K2692" i="1"/>
  <c r="AJ2692" i="1" s="1"/>
  <c r="BU2691" i="1"/>
  <c r="BH2691" i="1"/>
  <c r="BB2691" i="1"/>
  <c r="AN2691" i="1"/>
  <c r="BG2691" i="1" s="1"/>
  <c r="AE2691" i="1" s="1"/>
  <c r="AM2691" i="1"/>
  <c r="AI2691" i="1"/>
  <c r="AH2691" i="1"/>
  <c r="AF2691" i="1"/>
  <c r="AC2691" i="1"/>
  <c r="AB2691" i="1"/>
  <c r="AA2691" i="1"/>
  <c r="Z2691" i="1"/>
  <c r="X2691" i="1"/>
  <c r="M2691" i="1"/>
  <c r="BD2691" i="1" s="1"/>
  <c r="K2691" i="1"/>
  <c r="BU2689" i="1"/>
  <c r="BH2689" i="1"/>
  <c r="BB2689" i="1"/>
  <c r="AN2689" i="1"/>
  <c r="AM2689" i="1"/>
  <c r="AI2689" i="1"/>
  <c r="AH2689" i="1"/>
  <c r="AF2689" i="1"/>
  <c r="AC2689" i="1"/>
  <c r="AB2689" i="1"/>
  <c r="AA2689" i="1"/>
  <c r="Z2689" i="1"/>
  <c r="X2689" i="1"/>
  <c r="M2689" i="1"/>
  <c r="BD2689" i="1" s="1"/>
  <c r="K2689" i="1"/>
  <c r="AJ2689" i="1" s="1"/>
  <c r="BU2687" i="1"/>
  <c r="BH2687" i="1"/>
  <c r="BB2687" i="1"/>
  <c r="AN2687" i="1"/>
  <c r="AM2687" i="1"/>
  <c r="AI2687" i="1"/>
  <c r="AH2687" i="1"/>
  <c r="AF2687" i="1"/>
  <c r="AE2687" i="1"/>
  <c r="AD2687" i="1"/>
  <c r="AC2687" i="1"/>
  <c r="AB2687" i="1"/>
  <c r="X2687" i="1"/>
  <c r="M2687" i="1"/>
  <c r="BD2687" i="1" s="1"/>
  <c r="K2687" i="1"/>
  <c r="AJ2687" i="1" s="1"/>
  <c r="BU2685" i="1"/>
  <c r="BH2685" i="1"/>
  <c r="BB2685" i="1"/>
  <c r="AN2685" i="1"/>
  <c r="AM2685" i="1"/>
  <c r="AI2685" i="1"/>
  <c r="AH2685" i="1"/>
  <c r="AF2685" i="1"/>
  <c r="AC2685" i="1"/>
  <c r="AB2685" i="1"/>
  <c r="AA2685" i="1"/>
  <c r="Z2685" i="1"/>
  <c r="X2685" i="1"/>
  <c r="M2685" i="1"/>
  <c r="BD2685" i="1" s="1"/>
  <c r="K2685" i="1"/>
  <c r="AJ2685" i="1" s="1"/>
  <c r="BU2683" i="1"/>
  <c r="BH2683" i="1"/>
  <c r="BB2683" i="1"/>
  <c r="AN2683" i="1"/>
  <c r="AM2683" i="1"/>
  <c r="AI2683" i="1"/>
  <c r="AH2683" i="1"/>
  <c r="AF2683" i="1"/>
  <c r="AC2683" i="1"/>
  <c r="AB2683" i="1"/>
  <c r="AA2683" i="1"/>
  <c r="Z2683" i="1"/>
  <c r="X2683" i="1"/>
  <c r="M2683" i="1"/>
  <c r="BD2683" i="1" s="1"/>
  <c r="K2683" i="1"/>
  <c r="AJ2683" i="1" s="1"/>
  <c r="BU2682" i="1"/>
  <c r="BH2682" i="1"/>
  <c r="BB2682" i="1"/>
  <c r="AN2682" i="1"/>
  <c r="AV2682" i="1" s="1"/>
  <c r="AM2682" i="1"/>
  <c r="AI2682" i="1"/>
  <c r="AH2682" i="1"/>
  <c r="AF2682" i="1"/>
  <c r="AC2682" i="1"/>
  <c r="AB2682" i="1"/>
  <c r="AA2682" i="1"/>
  <c r="Z2682" i="1"/>
  <c r="X2682" i="1"/>
  <c r="M2682" i="1"/>
  <c r="BD2682" i="1" s="1"/>
  <c r="K2682" i="1"/>
  <c r="AJ2682" i="1" s="1"/>
  <c r="J2682" i="1"/>
  <c r="BU2680" i="1"/>
  <c r="BH2680" i="1"/>
  <c r="BB2680" i="1"/>
  <c r="AN2680" i="1"/>
  <c r="AM2680" i="1"/>
  <c r="AI2680" i="1"/>
  <c r="AH2680" i="1"/>
  <c r="AF2680" i="1"/>
  <c r="AC2680" i="1"/>
  <c r="AB2680" i="1"/>
  <c r="AA2680" i="1"/>
  <c r="Z2680" i="1"/>
  <c r="X2680" i="1"/>
  <c r="M2680" i="1"/>
  <c r="BD2680" i="1" s="1"/>
  <c r="K2680" i="1"/>
  <c r="AJ2680" i="1" s="1"/>
  <c r="BU2678" i="1"/>
  <c r="BH2678" i="1"/>
  <c r="BB2678" i="1"/>
  <c r="AN2678" i="1"/>
  <c r="AM2678" i="1"/>
  <c r="AU2678" i="1" s="1"/>
  <c r="AI2678" i="1"/>
  <c r="AH2678" i="1"/>
  <c r="AF2678" i="1"/>
  <c r="AC2678" i="1"/>
  <c r="AB2678" i="1"/>
  <c r="AA2678" i="1"/>
  <c r="Z2678" i="1"/>
  <c r="X2678" i="1"/>
  <c r="M2678" i="1"/>
  <c r="BD2678" i="1" s="1"/>
  <c r="K2678" i="1"/>
  <c r="AJ2678" i="1" s="1"/>
  <c r="BU2676" i="1"/>
  <c r="BH2676" i="1"/>
  <c r="BB2676" i="1"/>
  <c r="AN2676" i="1"/>
  <c r="AV2676" i="1" s="1"/>
  <c r="AM2676" i="1"/>
  <c r="AI2676" i="1"/>
  <c r="AH2676" i="1"/>
  <c r="AF2676" i="1"/>
  <c r="AC2676" i="1"/>
  <c r="AB2676" i="1"/>
  <c r="AA2676" i="1"/>
  <c r="Z2676" i="1"/>
  <c r="X2676" i="1"/>
  <c r="M2676" i="1"/>
  <c r="BD2676" i="1" s="1"/>
  <c r="K2676" i="1"/>
  <c r="AJ2676" i="1" s="1"/>
  <c r="BU2674" i="1"/>
  <c r="BH2674" i="1"/>
  <c r="BB2674" i="1"/>
  <c r="AN2674" i="1"/>
  <c r="AM2674" i="1"/>
  <c r="AI2674" i="1"/>
  <c r="AH2674" i="1"/>
  <c r="AF2674" i="1"/>
  <c r="AC2674" i="1"/>
  <c r="AB2674" i="1"/>
  <c r="AA2674" i="1"/>
  <c r="Z2674" i="1"/>
  <c r="X2674" i="1"/>
  <c r="M2674" i="1"/>
  <c r="BD2674" i="1" s="1"/>
  <c r="K2674" i="1"/>
  <c r="AJ2674" i="1" s="1"/>
  <c r="BU2672" i="1"/>
  <c r="BH2672" i="1"/>
  <c r="BD2672" i="1"/>
  <c r="BB2672" i="1"/>
  <c r="AN2672" i="1"/>
  <c r="BG2672" i="1" s="1"/>
  <c r="AE2672" i="1" s="1"/>
  <c r="AM2672" i="1"/>
  <c r="BF2672" i="1" s="1"/>
  <c r="AD2672" i="1" s="1"/>
  <c r="AI2672" i="1"/>
  <c r="AH2672" i="1"/>
  <c r="AF2672" i="1"/>
  <c r="AC2672" i="1"/>
  <c r="AB2672" i="1"/>
  <c r="AA2672" i="1"/>
  <c r="Z2672" i="1"/>
  <c r="X2672" i="1"/>
  <c r="M2672" i="1"/>
  <c r="K2672" i="1"/>
  <c r="AJ2672" i="1" s="1"/>
  <c r="BU2670" i="1"/>
  <c r="BH2670" i="1"/>
  <c r="BB2670" i="1"/>
  <c r="AN2670" i="1"/>
  <c r="AM2670" i="1"/>
  <c r="I2670" i="1" s="1"/>
  <c r="AI2670" i="1"/>
  <c r="AH2670" i="1"/>
  <c r="AF2670" i="1"/>
  <c r="AC2670" i="1"/>
  <c r="AB2670" i="1"/>
  <c r="AA2670" i="1"/>
  <c r="Z2670" i="1"/>
  <c r="X2670" i="1"/>
  <c r="M2670" i="1"/>
  <c r="BD2670" i="1" s="1"/>
  <c r="K2670" i="1"/>
  <c r="AJ2670" i="1" s="1"/>
  <c r="BU2668" i="1"/>
  <c r="BH2668" i="1"/>
  <c r="BB2668" i="1"/>
  <c r="AN2668" i="1"/>
  <c r="AV2668" i="1" s="1"/>
  <c r="AM2668" i="1"/>
  <c r="AI2668" i="1"/>
  <c r="AH2668" i="1"/>
  <c r="AF2668" i="1"/>
  <c r="AC2668" i="1"/>
  <c r="AB2668" i="1"/>
  <c r="AA2668" i="1"/>
  <c r="Z2668" i="1"/>
  <c r="X2668" i="1"/>
  <c r="M2668" i="1"/>
  <c r="BD2668" i="1" s="1"/>
  <c r="K2668" i="1"/>
  <c r="AJ2668" i="1" s="1"/>
  <c r="BU2666" i="1"/>
  <c r="BH2666" i="1"/>
  <c r="BD2666" i="1"/>
  <c r="BB2666" i="1"/>
  <c r="AN2666" i="1"/>
  <c r="BG2666" i="1" s="1"/>
  <c r="AE2666" i="1" s="1"/>
  <c r="AM2666" i="1"/>
  <c r="AI2666" i="1"/>
  <c r="AH2666" i="1"/>
  <c r="AF2666" i="1"/>
  <c r="AC2666" i="1"/>
  <c r="AB2666" i="1"/>
  <c r="AA2666" i="1"/>
  <c r="Z2666" i="1"/>
  <c r="X2666" i="1"/>
  <c r="M2666" i="1"/>
  <c r="K2666" i="1"/>
  <c r="AJ2666" i="1" s="1"/>
  <c r="BU2664" i="1"/>
  <c r="BH2664" i="1"/>
  <c r="BB2664" i="1"/>
  <c r="AN2664" i="1"/>
  <c r="AM2664" i="1"/>
  <c r="AI2664" i="1"/>
  <c r="AH2664" i="1"/>
  <c r="AF2664" i="1"/>
  <c r="AC2664" i="1"/>
  <c r="AB2664" i="1"/>
  <c r="AA2664" i="1"/>
  <c r="Z2664" i="1"/>
  <c r="X2664" i="1"/>
  <c r="M2664" i="1"/>
  <c r="BD2664" i="1" s="1"/>
  <c r="K2664" i="1"/>
  <c r="AJ2664" i="1" s="1"/>
  <c r="BU2662" i="1"/>
  <c r="BH2662" i="1"/>
  <c r="BB2662" i="1"/>
  <c r="AN2662" i="1"/>
  <c r="AM2662" i="1"/>
  <c r="AI2662" i="1"/>
  <c r="AH2662" i="1"/>
  <c r="AF2662" i="1"/>
  <c r="AC2662" i="1"/>
  <c r="AB2662" i="1"/>
  <c r="AA2662" i="1"/>
  <c r="Z2662" i="1"/>
  <c r="X2662" i="1"/>
  <c r="M2662" i="1"/>
  <c r="BD2662" i="1" s="1"/>
  <c r="K2662" i="1"/>
  <c r="BU2660" i="1"/>
  <c r="BH2660" i="1"/>
  <c r="BB2660" i="1"/>
  <c r="AN2660" i="1"/>
  <c r="AV2660" i="1" s="1"/>
  <c r="AM2660" i="1"/>
  <c r="BF2660" i="1" s="1"/>
  <c r="AD2660" i="1" s="1"/>
  <c r="AI2660" i="1"/>
  <c r="AH2660" i="1"/>
  <c r="AF2660" i="1"/>
  <c r="AC2660" i="1"/>
  <c r="AB2660" i="1"/>
  <c r="AA2660" i="1"/>
  <c r="Z2660" i="1"/>
  <c r="X2660" i="1"/>
  <c r="M2660" i="1"/>
  <c r="BD2660" i="1" s="1"/>
  <c r="K2660" i="1"/>
  <c r="AJ2660" i="1" s="1"/>
  <c r="BU2658" i="1"/>
  <c r="BH2658" i="1"/>
  <c r="BB2658" i="1"/>
  <c r="AN2658" i="1"/>
  <c r="AM2658" i="1"/>
  <c r="AI2658" i="1"/>
  <c r="AH2658" i="1"/>
  <c r="AF2658" i="1"/>
  <c r="AC2658" i="1"/>
  <c r="AB2658" i="1"/>
  <c r="AA2658" i="1"/>
  <c r="Z2658" i="1"/>
  <c r="X2658" i="1"/>
  <c r="M2658" i="1"/>
  <c r="BD2658" i="1" s="1"/>
  <c r="K2658" i="1"/>
  <c r="AJ2658" i="1" s="1"/>
  <c r="BU2656" i="1"/>
  <c r="BH2656" i="1"/>
  <c r="BB2656" i="1"/>
  <c r="AN2656" i="1"/>
  <c r="AM2656" i="1"/>
  <c r="AI2656" i="1"/>
  <c r="AH2656" i="1"/>
  <c r="AF2656" i="1"/>
  <c r="AE2656" i="1"/>
  <c r="AD2656" i="1"/>
  <c r="AC2656" i="1"/>
  <c r="AB2656" i="1"/>
  <c r="X2656" i="1"/>
  <c r="M2656" i="1"/>
  <c r="BD2656" i="1" s="1"/>
  <c r="K2656" i="1"/>
  <c r="AJ2656" i="1" s="1"/>
  <c r="BU2654" i="1"/>
  <c r="BH2654" i="1"/>
  <c r="BB2654" i="1"/>
  <c r="AN2654" i="1"/>
  <c r="AM2654" i="1"/>
  <c r="AU2654" i="1" s="1"/>
  <c r="AI2654" i="1"/>
  <c r="AH2654" i="1"/>
  <c r="AF2654" i="1"/>
  <c r="AE2654" i="1"/>
  <c r="AD2654" i="1"/>
  <c r="AC2654" i="1"/>
  <c r="AB2654" i="1"/>
  <c r="X2654" i="1"/>
  <c r="M2654" i="1"/>
  <c r="BD2654" i="1" s="1"/>
  <c r="K2654" i="1"/>
  <c r="AJ2654" i="1" s="1"/>
  <c r="BU2652" i="1"/>
  <c r="BH2652" i="1"/>
  <c r="BB2652" i="1"/>
  <c r="AN2652" i="1"/>
  <c r="BG2652" i="1" s="1"/>
  <c r="AA2652" i="1" s="1"/>
  <c r="AM2652" i="1"/>
  <c r="BF2652" i="1" s="1"/>
  <c r="Z2652" i="1" s="1"/>
  <c r="AI2652" i="1"/>
  <c r="AH2652" i="1"/>
  <c r="AF2652" i="1"/>
  <c r="AE2652" i="1"/>
  <c r="AD2652" i="1"/>
  <c r="AC2652" i="1"/>
  <c r="AB2652" i="1"/>
  <c r="X2652" i="1"/>
  <c r="M2652" i="1"/>
  <c r="BD2652" i="1" s="1"/>
  <c r="K2652" i="1"/>
  <c r="AJ2652" i="1" s="1"/>
  <c r="BU2650" i="1"/>
  <c r="BH2650" i="1"/>
  <c r="BD2650" i="1"/>
  <c r="BB2650" i="1"/>
  <c r="AN2650" i="1"/>
  <c r="J2650" i="1" s="1"/>
  <c r="AM2650" i="1"/>
  <c r="AI2650" i="1"/>
  <c r="AH2650" i="1"/>
  <c r="AF2650" i="1"/>
  <c r="AE2650" i="1"/>
  <c r="AD2650" i="1"/>
  <c r="AC2650" i="1"/>
  <c r="AB2650" i="1"/>
  <c r="X2650" i="1"/>
  <c r="M2650" i="1"/>
  <c r="K2650" i="1"/>
  <c r="AJ2650" i="1" s="1"/>
  <c r="BU2648" i="1"/>
  <c r="BH2648" i="1"/>
  <c r="X2648" i="1" s="1"/>
  <c r="BB2648" i="1"/>
  <c r="AN2648" i="1"/>
  <c r="AM2648" i="1"/>
  <c r="AI2648" i="1"/>
  <c r="AH2648" i="1"/>
  <c r="AF2648" i="1"/>
  <c r="AE2648" i="1"/>
  <c r="AD2648" i="1"/>
  <c r="AC2648" i="1"/>
  <c r="AB2648" i="1"/>
  <c r="AA2648" i="1"/>
  <c r="Z2648" i="1"/>
  <c r="M2648" i="1"/>
  <c r="BD2648" i="1" s="1"/>
  <c r="K2648" i="1"/>
  <c r="AJ2648" i="1" s="1"/>
  <c r="BU2646" i="1"/>
  <c r="BH2646" i="1"/>
  <c r="BB2646" i="1"/>
  <c r="AN2646" i="1"/>
  <c r="BG2646" i="1" s="1"/>
  <c r="AE2646" i="1" s="1"/>
  <c r="AM2646" i="1"/>
  <c r="AI2646" i="1"/>
  <c r="AH2646" i="1"/>
  <c r="AF2646" i="1"/>
  <c r="AC2646" i="1"/>
  <c r="AB2646" i="1"/>
  <c r="AA2646" i="1"/>
  <c r="Z2646" i="1"/>
  <c r="X2646" i="1"/>
  <c r="M2646" i="1"/>
  <c r="BD2646" i="1" s="1"/>
  <c r="K2646" i="1"/>
  <c r="AJ2646" i="1" s="1"/>
  <c r="BU2645" i="1"/>
  <c r="BH2645" i="1"/>
  <c r="BB2645" i="1"/>
  <c r="AN2645" i="1"/>
  <c r="AM2645" i="1"/>
  <c r="AI2645" i="1"/>
  <c r="AH2645" i="1"/>
  <c r="AF2645" i="1"/>
  <c r="AC2645" i="1"/>
  <c r="AB2645" i="1"/>
  <c r="AA2645" i="1"/>
  <c r="Z2645" i="1"/>
  <c r="X2645" i="1"/>
  <c r="M2645" i="1"/>
  <c r="BD2645" i="1" s="1"/>
  <c r="K2645" i="1"/>
  <c r="AJ2645" i="1" s="1"/>
  <c r="BU2644" i="1"/>
  <c r="BH2644" i="1"/>
  <c r="BB2644" i="1"/>
  <c r="AN2644" i="1"/>
  <c r="AM2644" i="1"/>
  <c r="AI2644" i="1"/>
  <c r="AH2644" i="1"/>
  <c r="AF2644" i="1"/>
  <c r="AC2644" i="1"/>
  <c r="AB2644" i="1"/>
  <c r="AA2644" i="1"/>
  <c r="Z2644" i="1"/>
  <c r="X2644" i="1"/>
  <c r="M2644" i="1"/>
  <c r="BD2644" i="1" s="1"/>
  <c r="K2644" i="1"/>
  <c r="AJ2644" i="1" s="1"/>
  <c r="BU2642" i="1"/>
  <c r="BH2642" i="1"/>
  <c r="BB2642" i="1"/>
  <c r="AN2642" i="1"/>
  <c r="BG2642" i="1" s="1"/>
  <c r="AE2642" i="1" s="1"/>
  <c r="AM2642" i="1"/>
  <c r="BF2642" i="1" s="1"/>
  <c r="AD2642" i="1" s="1"/>
  <c r="AI2642" i="1"/>
  <c r="AH2642" i="1"/>
  <c r="AF2642" i="1"/>
  <c r="AC2642" i="1"/>
  <c r="AB2642" i="1"/>
  <c r="AA2642" i="1"/>
  <c r="Z2642" i="1"/>
  <c r="X2642" i="1"/>
  <c r="M2642" i="1"/>
  <c r="BD2642" i="1" s="1"/>
  <c r="K2642" i="1"/>
  <c r="AJ2642" i="1" s="1"/>
  <c r="BU2640" i="1"/>
  <c r="BH2640" i="1"/>
  <c r="BB2640" i="1"/>
  <c r="AN2640" i="1"/>
  <c r="AM2640" i="1"/>
  <c r="BF2640" i="1" s="1"/>
  <c r="AD2640" i="1" s="1"/>
  <c r="AI2640" i="1"/>
  <c r="AH2640" i="1"/>
  <c r="AF2640" i="1"/>
  <c r="AC2640" i="1"/>
  <c r="AB2640" i="1"/>
  <c r="AA2640" i="1"/>
  <c r="Z2640" i="1"/>
  <c r="X2640" i="1"/>
  <c r="M2640" i="1"/>
  <c r="BD2640" i="1" s="1"/>
  <c r="K2640" i="1"/>
  <c r="AJ2640" i="1" s="1"/>
  <c r="BU2638" i="1"/>
  <c r="BH2638" i="1"/>
  <c r="BB2638" i="1"/>
  <c r="AN2638" i="1"/>
  <c r="AV2638" i="1" s="1"/>
  <c r="AM2638" i="1"/>
  <c r="BF2638" i="1" s="1"/>
  <c r="AD2638" i="1" s="1"/>
  <c r="AI2638" i="1"/>
  <c r="AH2638" i="1"/>
  <c r="AF2638" i="1"/>
  <c r="AC2638" i="1"/>
  <c r="AB2638" i="1"/>
  <c r="AA2638" i="1"/>
  <c r="Z2638" i="1"/>
  <c r="X2638" i="1"/>
  <c r="M2638" i="1"/>
  <c r="BD2638" i="1" s="1"/>
  <c r="K2638" i="1"/>
  <c r="AJ2638" i="1" s="1"/>
  <c r="BU2636" i="1"/>
  <c r="BH2636" i="1"/>
  <c r="BB2636" i="1"/>
  <c r="AN2636" i="1"/>
  <c r="AM2636" i="1"/>
  <c r="AI2636" i="1"/>
  <c r="AH2636" i="1"/>
  <c r="AF2636" i="1"/>
  <c r="AC2636" i="1"/>
  <c r="AB2636" i="1"/>
  <c r="AA2636" i="1"/>
  <c r="Z2636" i="1"/>
  <c r="X2636" i="1"/>
  <c r="M2636" i="1"/>
  <c r="BD2636" i="1" s="1"/>
  <c r="K2636" i="1"/>
  <c r="AJ2636" i="1" s="1"/>
  <c r="BU2634" i="1"/>
  <c r="BH2634" i="1"/>
  <c r="BB2634" i="1"/>
  <c r="AN2634" i="1"/>
  <c r="AM2634" i="1"/>
  <c r="AI2634" i="1"/>
  <c r="AH2634" i="1"/>
  <c r="AF2634" i="1"/>
  <c r="AC2634" i="1"/>
  <c r="AB2634" i="1"/>
  <c r="AA2634" i="1"/>
  <c r="Z2634" i="1"/>
  <c r="X2634" i="1"/>
  <c r="M2634" i="1"/>
  <c r="BD2634" i="1" s="1"/>
  <c r="K2634" i="1"/>
  <c r="BU2632" i="1"/>
  <c r="BH2632" i="1"/>
  <c r="BB2632" i="1"/>
  <c r="AN2632" i="1"/>
  <c r="J2632" i="1" s="1"/>
  <c r="AM2632" i="1"/>
  <c r="BF2632" i="1" s="1"/>
  <c r="AD2632" i="1" s="1"/>
  <c r="AI2632" i="1"/>
  <c r="AH2632" i="1"/>
  <c r="AF2632" i="1"/>
  <c r="AC2632" i="1"/>
  <c r="AB2632" i="1"/>
  <c r="AA2632" i="1"/>
  <c r="Z2632" i="1"/>
  <c r="X2632" i="1"/>
  <c r="M2632" i="1"/>
  <c r="BD2632" i="1" s="1"/>
  <c r="K2632" i="1"/>
  <c r="AJ2632" i="1" s="1"/>
  <c r="BU2630" i="1"/>
  <c r="BH2630" i="1"/>
  <c r="BB2630" i="1"/>
  <c r="AN2630" i="1"/>
  <c r="J2630" i="1" s="1"/>
  <c r="AM2630" i="1"/>
  <c r="AI2630" i="1"/>
  <c r="AH2630" i="1"/>
  <c r="AF2630" i="1"/>
  <c r="AC2630" i="1"/>
  <c r="AB2630" i="1"/>
  <c r="AA2630" i="1"/>
  <c r="Z2630" i="1"/>
  <c r="X2630" i="1"/>
  <c r="M2630" i="1"/>
  <c r="BD2630" i="1" s="1"/>
  <c r="K2630" i="1"/>
  <c r="AJ2630" i="1" s="1"/>
  <c r="BU2628" i="1"/>
  <c r="BH2628" i="1"/>
  <c r="BB2628" i="1"/>
  <c r="AN2628" i="1"/>
  <c r="AV2628" i="1" s="1"/>
  <c r="AM2628" i="1"/>
  <c r="AI2628" i="1"/>
  <c r="AH2628" i="1"/>
  <c r="AF2628" i="1"/>
  <c r="AC2628" i="1"/>
  <c r="AB2628" i="1"/>
  <c r="AA2628" i="1"/>
  <c r="Z2628" i="1"/>
  <c r="X2628" i="1"/>
  <c r="M2628" i="1"/>
  <c r="K2628" i="1"/>
  <c r="BU2626" i="1"/>
  <c r="BH2626" i="1"/>
  <c r="BB2626" i="1"/>
  <c r="AN2626" i="1"/>
  <c r="AM2626" i="1"/>
  <c r="AI2626" i="1"/>
  <c r="AH2626" i="1"/>
  <c r="AF2626" i="1"/>
  <c r="AC2626" i="1"/>
  <c r="AB2626" i="1"/>
  <c r="AA2626" i="1"/>
  <c r="Z2626" i="1"/>
  <c r="X2626" i="1"/>
  <c r="M2626" i="1"/>
  <c r="BD2626" i="1" s="1"/>
  <c r="K2626" i="1"/>
  <c r="AJ2626" i="1" s="1"/>
  <c r="BU2624" i="1"/>
  <c r="BH2624" i="1"/>
  <c r="BB2624" i="1"/>
  <c r="AN2624" i="1"/>
  <c r="AM2624" i="1"/>
  <c r="AI2624" i="1"/>
  <c r="AH2624" i="1"/>
  <c r="AF2624" i="1"/>
  <c r="AC2624" i="1"/>
  <c r="AB2624" i="1"/>
  <c r="AA2624" i="1"/>
  <c r="Z2624" i="1"/>
  <c r="X2624" i="1"/>
  <c r="M2624" i="1"/>
  <c r="BD2624" i="1" s="1"/>
  <c r="K2624" i="1"/>
  <c r="AJ2624" i="1" s="1"/>
  <c r="BU2621" i="1"/>
  <c r="BH2621" i="1"/>
  <c r="BB2621" i="1"/>
  <c r="AN2621" i="1"/>
  <c r="AM2621" i="1"/>
  <c r="AI2621" i="1"/>
  <c r="AH2621" i="1"/>
  <c r="AF2621" i="1"/>
  <c r="AC2621" i="1"/>
  <c r="AB2621" i="1"/>
  <c r="AA2621" i="1"/>
  <c r="Z2621" i="1"/>
  <c r="X2621" i="1"/>
  <c r="M2621" i="1"/>
  <c r="BD2621" i="1" s="1"/>
  <c r="K2621" i="1"/>
  <c r="AJ2621" i="1" s="1"/>
  <c r="BU2619" i="1"/>
  <c r="BH2619" i="1"/>
  <c r="BB2619" i="1"/>
  <c r="AN2619" i="1"/>
  <c r="BG2619" i="1" s="1"/>
  <c r="AE2619" i="1" s="1"/>
  <c r="AM2619" i="1"/>
  <c r="BF2619" i="1" s="1"/>
  <c r="AD2619" i="1" s="1"/>
  <c r="AI2619" i="1"/>
  <c r="AH2619" i="1"/>
  <c r="AF2619" i="1"/>
  <c r="AC2619" i="1"/>
  <c r="AB2619" i="1"/>
  <c r="AA2619" i="1"/>
  <c r="Z2619" i="1"/>
  <c r="X2619" i="1"/>
  <c r="M2619" i="1"/>
  <c r="BD2619" i="1" s="1"/>
  <c r="K2619" i="1"/>
  <c r="AJ2619" i="1" s="1"/>
  <c r="BU2617" i="1"/>
  <c r="BH2617" i="1"/>
  <c r="BB2617" i="1"/>
  <c r="AN2617" i="1"/>
  <c r="AM2617" i="1"/>
  <c r="BF2617" i="1" s="1"/>
  <c r="AD2617" i="1" s="1"/>
  <c r="AI2617" i="1"/>
  <c r="AH2617" i="1"/>
  <c r="AF2617" i="1"/>
  <c r="AC2617" i="1"/>
  <c r="AB2617" i="1"/>
  <c r="AA2617" i="1"/>
  <c r="Z2617" i="1"/>
  <c r="X2617" i="1"/>
  <c r="M2617" i="1"/>
  <c r="BD2617" i="1" s="1"/>
  <c r="K2617" i="1"/>
  <c r="AJ2617" i="1" s="1"/>
  <c r="BU2616" i="1"/>
  <c r="BH2616" i="1"/>
  <c r="BB2616" i="1"/>
  <c r="AN2616" i="1"/>
  <c r="J2616" i="1" s="1"/>
  <c r="AM2616" i="1"/>
  <c r="AU2616" i="1" s="1"/>
  <c r="AI2616" i="1"/>
  <c r="AH2616" i="1"/>
  <c r="AF2616" i="1"/>
  <c r="AC2616" i="1"/>
  <c r="AB2616" i="1"/>
  <c r="AA2616" i="1"/>
  <c r="Z2616" i="1"/>
  <c r="X2616" i="1"/>
  <c r="M2616" i="1"/>
  <c r="BD2616" i="1" s="1"/>
  <c r="K2616" i="1"/>
  <c r="BU2614" i="1"/>
  <c r="BH2614" i="1"/>
  <c r="BB2614" i="1"/>
  <c r="AN2614" i="1"/>
  <c r="AM2614" i="1"/>
  <c r="AU2614" i="1" s="1"/>
  <c r="AI2614" i="1"/>
  <c r="AH2614" i="1"/>
  <c r="AF2614" i="1"/>
  <c r="AC2614" i="1"/>
  <c r="AB2614" i="1"/>
  <c r="AA2614" i="1"/>
  <c r="Z2614" i="1"/>
  <c r="X2614" i="1"/>
  <c r="M2614" i="1"/>
  <c r="BD2614" i="1" s="1"/>
  <c r="K2614" i="1"/>
  <c r="AJ2614" i="1" s="1"/>
  <c r="BU2612" i="1"/>
  <c r="BH2612" i="1"/>
  <c r="BB2612" i="1"/>
  <c r="AN2612" i="1"/>
  <c r="BG2612" i="1" s="1"/>
  <c r="AE2612" i="1" s="1"/>
  <c r="AM2612" i="1"/>
  <c r="AU2612" i="1" s="1"/>
  <c r="AI2612" i="1"/>
  <c r="AH2612" i="1"/>
  <c r="AF2612" i="1"/>
  <c r="AC2612" i="1"/>
  <c r="AB2612" i="1"/>
  <c r="AA2612" i="1"/>
  <c r="Z2612" i="1"/>
  <c r="X2612" i="1"/>
  <c r="M2612" i="1"/>
  <c r="BD2612" i="1" s="1"/>
  <c r="K2612" i="1"/>
  <c r="AJ2612" i="1" s="1"/>
  <c r="BU2611" i="1"/>
  <c r="BH2611" i="1"/>
  <c r="BB2611" i="1"/>
  <c r="AN2611" i="1"/>
  <c r="AM2611" i="1"/>
  <c r="AI2611" i="1"/>
  <c r="AH2611" i="1"/>
  <c r="AF2611" i="1"/>
  <c r="AC2611" i="1"/>
  <c r="AB2611" i="1"/>
  <c r="AA2611" i="1"/>
  <c r="Z2611" i="1"/>
  <c r="X2611" i="1"/>
  <c r="M2611" i="1"/>
  <c r="BD2611" i="1" s="1"/>
  <c r="K2611" i="1"/>
  <c r="BU2609" i="1"/>
  <c r="BH2609" i="1"/>
  <c r="BB2609" i="1"/>
  <c r="AN2609" i="1"/>
  <c r="J2609" i="1" s="1"/>
  <c r="AM2609" i="1"/>
  <c r="BF2609" i="1" s="1"/>
  <c r="AD2609" i="1" s="1"/>
  <c r="AI2609" i="1"/>
  <c r="AH2609" i="1"/>
  <c r="AF2609" i="1"/>
  <c r="AC2609" i="1"/>
  <c r="AB2609" i="1"/>
  <c r="AA2609" i="1"/>
  <c r="Z2609" i="1"/>
  <c r="X2609" i="1"/>
  <c r="M2609" i="1"/>
  <c r="BD2609" i="1" s="1"/>
  <c r="K2609" i="1"/>
  <c r="AJ2609" i="1" s="1"/>
  <c r="BU2607" i="1"/>
  <c r="BH2607" i="1"/>
  <c r="BB2607" i="1"/>
  <c r="AN2607" i="1"/>
  <c r="AM2607" i="1"/>
  <c r="BF2607" i="1" s="1"/>
  <c r="AD2607" i="1" s="1"/>
  <c r="AI2607" i="1"/>
  <c r="AH2607" i="1"/>
  <c r="AF2607" i="1"/>
  <c r="AC2607" i="1"/>
  <c r="AB2607" i="1"/>
  <c r="AA2607" i="1"/>
  <c r="Z2607" i="1"/>
  <c r="X2607" i="1"/>
  <c r="M2607" i="1"/>
  <c r="BD2607" i="1" s="1"/>
  <c r="K2607" i="1"/>
  <c r="AJ2607" i="1" s="1"/>
  <c r="BU2606" i="1"/>
  <c r="BH2606" i="1"/>
  <c r="BB2606" i="1"/>
  <c r="AN2606" i="1"/>
  <c r="BG2606" i="1" s="1"/>
  <c r="AE2606" i="1" s="1"/>
  <c r="AM2606" i="1"/>
  <c r="AI2606" i="1"/>
  <c r="AH2606" i="1"/>
  <c r="AF2606" i="1"/>
  <c r="AC2606" i="1"/>
  <c r="AB2606" i="1"/>
  <c r="AA2606" i="1"/>
  <c r="Z2606" i="1"/>
  <c r="X2606" i="1"/>
  <c r="M2606" i="1"/>
  <c r="BD2606" i="1" s="1"/>
  <c r="K2606" i="1"/>
  <c r="AJ2606" i="1" s="1"/>
  <c r="BU2604" i="1"/>
  <c r="BH2604" i="1"/>
  <c r="BB2604" i="1"/>
  <c r="AN2604" i="1"/>
  <c r="AV2604" i="1" s="1"/>
  <c r="AM2604" i="1"/>
  <c r="AI2604" i="1"/>
  <c r="AH2604" i="1"/>
  <c r="AF2604" i="1"/>
  <c r="AC2604" i="1"/>
  <c r="AB2604" i="1"/>
  <c r="AA2604" i="1"/>
  <c r="Z2604" i="1"/>
  <c r="X2604" i="1"/>
  <c r="M2604" i="1"/>
  <c r="K2604" i="1"/>
  <c r="BU2601" i="1"/>
  <c r="BH2601" i="1"/>
  <c r="BB2601" i="1"/>
  <c r="AN2601" i="1"/>
  <c r="AM2601" i="1"/>
  <c r="AI2601" i="1"/>
  <c r="AH2601" i="1"/>
  <c r="AF2601" i="1"/>
  <c r="AC2601" i="1"/>
  <c r="AB2601" i="1"/>
  <c r="AA2601" i="1"/>
  <c r="Z2601" i="1"/>
  <c r="X2601" i="1"/>
  <c r="M2601" i="1"/>
  <c r="BD2601" i="1" s="1"/>
  <c r="K2601" i="1"/>
  <c r="AJ2601" i="1" s="1"/>
  <c r="BU2599" i="1"/>
  <c r="BH2599" i="1"/>
  <c r="BB2599" i="1"/>
  <c r="AN2599" i="1"/>
  <c r="BG2599" i="1" s="1"/>
  <c r="AA2599" i="1" s="1"/>
  <c r="AM2599" i="1"/>
  <c r="AI2599" i="1"/>
  <c r="AH2599" i="1"/>
  <c r="AF2599" i="1"/>
  <c r="AE2599" i="1"/>
  <c r="AD2599" i="1"/>
  <c r="AC2599" i="1"/>
  <c r="AB2599" i="1"/>
  <c r="X2599" i="1"/>
  <c r="M2599" i="1"/>
  <c r="BD2599" i="1" s="1"/>
  <c r="K2599" i="1"/>
  <c r="AJ2599" i="1" s="1"/>
  <c r="BU2597" i="1"/>
  <c r="BH2597" i="1"/>
  <c r="BD2597" i="1"/>
  <c r="BB2597" i="1"/>
  <c r="AN2597" i="1"/>
  <c r="AM2597" i="1"/>
  <c r="AI2597" i="1"/>
  <c r="AH2597" i="1"/>
  <c r="AF2597" i="1"/>
  <c r="AC2597" i="1"/>
  <c r="AB2597" i="1"/>
  <c r="AA2597" i="1"/>
  <c r="Z2597" i="1"/>
  <c r="X2597" i="1"/>
  <c r="M2597" i="1"/>
  <c r="K2597" i="1"/>
  <c r="AJ2597" i="1" s="1"/>
  <c r="BU2595" i="1"/>
  <c r="BH2595" i="1"/>
  <c r="BB2595" i="1"/>
  <c r="AN2595" i="1"/>
  <c r="AM2595" i="1"/>
  <c r="AI2595" i="1"/>
  <c r="AH2595" i="1"/>
  <c r="AF2595" i="1"/>
  <c r="AC2595" i="1"/>
  <c r="AB2595" i="1"/>
  <c r="AA2595" i="1"/>
  <c r="Z2595" i="1"/>
  <c r="X2595" i="1"/>
  <c r="M2595" i="1"/>
  <c r="BD2595" i="1" s="1"/>
  <c r="K2595" i="1"/>
  <c r="AJ2595" i="1" s="1"/>
  <c r="BU2593" i="1"/>
  <c r="BH2593" i="1"/>
  <c r="BB2593" i="1"/>
  <c r="AN2593" i="1"/>
  <c r="AV2593" i="1" s="1"/>
  <c r="AM2593" i="1"/>
  <c r="AJ2593" i="1"/>
  <c r="AI2593" i="1"/>
  <c r="AH2593" i="1"/>
  <c r="AF2593" i="1"/>
  <c r="AE2593" i="1"/>
  <c r="AD2593" i="1"/>
  <c r="AC2593" i="1"/>
  <c r="AB2593" i="1"/>
  <c r="X2593" i="1"/>
  <c r="M2593" i="1"/>
  <c r="BD2593" i="1" s="1"/>
  <c r="K2593" i="1"/>
  <c r="BU2591" i="1"/>
  <c r="BH2591" i="1"/>
  <c r="BB2591" i="1"/>
  <c r="AN2591" i="1"/>
  <c r="BG2591" i="1" s="1"/>
  <c r="AA2591" i="1" s="1"/>
  <c r="AM2591" i="1"/>
  <c r="AI2591" i="1"/>
  <c r="AH2591" i="1"/>
  <c r="AF2591" i="1"/>
  <c r="AE2591" i="1"/>
  <c r="AD2591" i="1"/>
  <c r="AC2591" i="1"/>
  <c r="AB2591" i="1"/>
  <c r="X2591" i="1"/>
  <c r="M2591" i="1"/>
  <c r="BD2591" i="1" s="1"/>
  <c r="K2591" i="1"/>
  <c r="AJ2591" i="1" s="1"/>
  <c r="BU2589" i="1"/>
  <c r="BH2589" i="1"/>
  <c r="BB2589" i="1"/>
  <c r="AN2589" i="1"/>
  <c r="AM2589" i="1"/>
  <c r="AI2589" i="1"/>
  <c r="AH2589" i="1"/>
  <c r="AF2589" i="1"/>
  <c r="AE2589" i="1"/>
  <c r="AD2589" i="1"/>
  <c r="AC2589" i="1"/>
  <c r="AB2589" i="1"/>
  <c r="X2589" i="1"/>
  <c r="M2589" i="1"/>
  <c r="BD2589" i="1" s="1"/>
  <c r="K2589" i="1"/>
  <c r="AJ2589" i="1" s="1"/>
  <c r="BU2585" i="1"/>
  <c r="BH2585" i="1"/>
  <c r="X2585" i="1" s="1"/>
  <c r="BB2585" i="1"/>
  <c r="AN2585" i="1"/>
  <c r="AM2585" i="1"/>
  <c r="AU2585" i="1" s="1"/>
  <c r="AI2585" i="1"/>
  <c r="AH2585" i="1"/>
  <c r="AF2585" i="1"/>
  <c r="AE2585" i="1"/>
  <c r="AD2585" i="1"/>
  <c r="AC2585" i="1"/>
  <c r="AB2585" i="1"/>
  <c r="AA2585" i="1"/>
  <c r="Z2585" i="1"/>
  <c r="M2585" i="1"/>
  <c r="BD2585" i="1" s="1"/>
  <c r="K2585" i="1"/>
  <c r="AJ2585" i="1" s="1"/>
  <c r="BU2583" i="1"/>
  <c r="BH2583" i="1"/>
  <c r="X2583" i="1" s="1"/>
  <c r="BB2583" i="1"/>
  <c r="AN2583" i="1"/>
  <c r="AM2583" i="1"/>
  <c r="BF2583" i="1" s="1"/>
  <c r="AI2583" i="1"/>
  <c r="AH2583" i="1"/>
  <c r="AF2583" i="1"/>
  <c r="AE2583" i="1"/>
  <c r="AD2583" i="1"/>
  <c r="AC2583" i="1"/>
  <c r="AB2583" i="1"/>
  <c r="AA2583" i="1"/>
  <c r="Z2583" i="1"/>
  <c r="M2583" i="1"/>
  <c r="BD2583" i="1" s="1"/>
  <c r="K2583" i="1"/>
  <c r="AJ2583" i="1" s="1"/>
  <c r="BU2581" i="1"/>
  <c r="BH2581" i="1"/>
  <c r="X2581" i="1" s="1"/>
  <c r="BB2581" i="1"/>
  <c r="AN2581" i="1"/>
  <c r="AV2581" i="1" s="1"/>
  <c r="AM2581" i="1"/>
  <c r="AI2581" i="1"/>
  <c r="AH2581" i="1"/>
  <c r="AF2581" i="1"/>
  <c r="AE2581" i="1"/>
  <c r="AD2581" i="1"/>
  <c r="AC2581" i="1"/>
  <c r="AB2581" i="1"/>
  <c r="AA2581" i="1"/>
  <c r="Z2581" i="1"/>
  <c r="M2581" i="1"/>
  <c r="BD2581" i="1" s="1"/>
  <c r="K2581" i="1"/>
  <c r="AJ2581" i="1" s="1"/>
  <c r="BU2579" i="1"/>
  <c r="BH2579" i="1"/>
  <c r="X2579" i="1" s="1"/>
  <c r="BB2579" i="1"/>
  <c r="AN2579" i="1"/>
  <c r="AM2579" i="1"/>
  <c r="AI2579" i="1"/>
  <c r="AH2579" i="1"/>
  <c r="AF2579" i="1"/>
  <c r="AE2579" i="1"/>
  <c r="AD2579" i="1"/>
  <c r="AC2579" i="1"/>
  <c r="AB2579" i="1"/>
  <c r="AA2579" i="1"/>
  <c r="Z2579" i="1"/>
  <c r="M2579" i="1"/>
  <c r="BD2579" i="1" s="1"/>
  <c r="K2579" i="1"/>
  <c r="AJ2579" i="1" s="1"/>
  <c r="BU2577" i="1"/>
  <c r="BH2577" i="1"/>
  <c r="X2577" i="1" s="1"/>
  <c r="BB2577" i="1"/>
  <c r="AN2577" i="1"/>
  <c r="BG2577" i="1" s="1"/>
  <c r="AM2577" i="1"/>
  <c r="AI2577" i="1"/>
  <c r="AH2577" i="1"/>
  <c r="AF2577" i="1"/>
  <c r="AE2577" i="1"/>
  <c r="AD2577" i="1"/>
  <c r="AC2577" i="1"/>
  <c r="AB2577" i="1"/>
  <c r="AA2577" i="1"/>
  <c r="Z2577" i="1"/>
  <c r="M2577" i="1"/>
  <c r="BD2577" i="1" s="1"/>
  <c r="K2577" i="1"/>
  <c r="BU2575" i="1"/>
  <c r="BH2575" i="1"/>
  <c r="X2575" i="1" s="1"/>
  <c r="BB2575" i="1"/>
  <c r="AN2575" i="1"/>
  <c r="AM2575" i="1"/>
  <c r="BF2575" i="1" s="1"/>
  <c r="AI2575" i="1"/>
  <c r="AH2575" i="1"/>
  <c r="AF2575" i="1"/>
  <c r="AE2575" i="1"/>
  <c r="AD2575" i="1"/>
  <c r="AC2575" i="1"/>
  <c r="AB2575" i="1"/>
  <c r="AA2575" i="1"/>
  <c r="Z2575" i="1"/>
  <c r="M2575" i="1"/>
  <c r="BD2575" i="1" s="1"/>
  <c r="K2575" i="1"/>
  <c r="AJ2575" i="1" s="1"/>
  <c r="BU2573" i="1"/>
  <c r="BH2573" i="1"/>
  <c r="X2573" i="1" s="1"/>
  <c r="BB2573" i="1"/>
  <c r="AN2573" i="1"/>
  <c r="J2573" i="1" s="1"/>
  <c r="AM2573" i="1"/>
  <c r="AI2573" i="1"/>
  <c r="AH2573" i="1"/>
  <c r="AF2573" i="1"/>
  <c r="AE2573" i="1"/>
  <c r="AD2573" i="1"/>
  <c r="AC2573" i="1"/>
  <c r="AB2573" i="1"/>
  <c r="AA2573" i="1"/>
  <c r="Z2573" i="1"/>
  <c r="M2573" i="1"/>
  <c r="BD2573" i="1" s="1"/>
  <c r="K2573" i="1"/>
  <c r="AJ2573" i="1" s="1"/>
  <c r="BU2570" i="1"/>
  <c r="BH2570" i="1"/>
  <c r="BB2570" i="1"/>
  <c r="AN2570" i="1"/>
  <c r="AM2570" i="1"/>
  <c r="AU2570" i="1" s="1"/>
  <c r="AI2570" i="1"/>
  <c r="AH2570" i="1"/>
  <c r="AF2570" i="1"/>
  <c r="AE2570" i="1"/>
  <c r="AD2570" i="1"/>
  <c r="AC2570" i="1"/>
  <c r="AB2570" i="1"/>
  <c r="X2570" i="1"/>
  <c r="M2570" i="1"/>
  <c r="BD2570" i="1" s="1"/>
  <c r="K2570" i="1"/>
  <c r="BU2568" i="1"/>
  <c r="BH2568" i="1"/>
  <c r="BB2568" i="1"/>
  <c r="AN2568" i="1"/>
  <c r="J2568" i="1" s="1"/>
  <c r="AM2568" i="1"/>
  <c r="AI2568" i="1"/>
  <c r="AH2568" i="1"/>
  <c r="AF2568" i="1"/>
  <c r="AE2568" i="1"/>
  <c r="AD2568" i="1"/>
  <c r="AC2568" i="1"/>
  <c r="AB2568" i="1"/>
  <c r="X2568" i="1"/>
  <c r="M2568" i="1"/>
  <c r="BD2568" i="1" s="1"/>
  <c r="K2568" i="1"/>
  <c r="AJ2568" i="1" s="1"/>
  <c r="BU2566" i="1"/>
  <c r="BH2566" i="1"/>
  <c r="BB2566" i="1"/>
  <c r="AN2566" i="1"/>
  <c r="AM2566" i="1"/>
  <c r="BF2566" i="1" s="1"/>
  <c r="Z2566" i="1" s="1"/>
  <c r="AI2566" i="1"/>
  <c r="AH2566" i="1"/>
  <c r="AF2566" i="1"/>
  <c r="AE2566" i="1"/>
  <c r="AD2566" i="1"/>
  <c r="AC2566" i="1"/>
  <c r="AB2566" i="1"/>
  <c r="X2566" i="1"/>
  <c r="M2566" i="1"/>
  <c r="BD2566" i="1" s="1"/>
  <c r="K2566" i="1"/>
  <c r="AJ2566" i="1" s="1"/>
  <c r="BU2564" i="1"/>
  <c r="BH2564" i="1"/>
  <c r="BB2564" i="1"/>
  <c r="AN2564" i="1"/>
  <c r="AM2564" i="1"/>
  <c r="I2564" i="1" s="1"/>
  <c r="AI2564" i="1"/>
  <c r="AH2564" i="1"/>
  <c r="AF2564" i="1"/>
  <c r="AE2564" i="1"/>
  <c r="AD2564" i="1"/>
  <c r="AC2564" i="1"/>
  <c r="AB2564" i="1"/>
  <c r="X2564" i="1"/>
  <c r="M2564" i="1"/>
  <c r="BD2564" i="1" s="1"/>
  <c r="K2564" i="1"/>
  <c r="AJ2564" i="1" s="1"/>
  <c r="BU2562" i="1"/>
  <c r="BH2562" i="1"/>
  <c r="BB2562" i="1"/>
  <c r="AN2562" i="1"/>
  <c r="AM2562" i="1"/>
  <c r="AI2562" i="1"/>
  <c r="AH2562" i="1"/>
  <c r="AF2562" i="1"/>
  <c r="AE2562" i="1"/>
  <c r="AD2562" i="1"/>
  <c r="AC2562" i="1"/>
  <c r="AB2562" i="1"/>
  <c r="X2562" i="1"/>
  <c r="M2562" i="1"/>
  <c r="BD2562" i="1" s="1"/>
  <c r="K2562" i="1"/>
  <c r="AJ2562" i="1" s="1"/>
  <c r="BU2560" i="1"/>
  <c r="BH2560" i="1"/>
  <c r="BB2560" i="1"/>
  <c r="AN2560" i="1"/>
  <c r="J2560" i="1" s="1"/>
  <c r="AM2560" i="1"/>
  <c r="AI2560" i="1"/>
  <c r="AH2560" i="1"/>
  <c r="AF2560" i="1"/>
  <c r="AE2560" i="1"/>
  <c r="AD2560" i="1"/>
  <c r="AC2560" i="1"/>
  <c r="AB2560" i="1"/>
  <c r="X2560" i="1"/>
  <c r="M2560" i="1"/>
  <c r="BD2560" i="1" s="1"/>
  <c r="K2560" i="1"/>
  <c r="AJ2560" i="1" s="1"/>
  <c r="BU2558" i="1"/>
  <c r="BH2558" i="1"/>
  <c r="BB2558" i="1"/>
  <c r="AN2558" i="1"/>
  <c r="AM2558" i="1"/>
  <c r="AI2558" i="1"/>
  <c r="AH2558" i="1"/>
  <c r="AF2558" i="1"/>
  <c r="AE2558" i="1"/>
  <c r="AD2558" i="1"/>
  <c r="AC2558" i="1"/>
  <c r="AB2558" i="1"/>
  <c r="X2558" i="1"/>
  <c r="M2558" i="1"/>
  <c r="BD2558" i="1" s="1"/>
  <c r="K2558" i="1"/>
  <c r="AJ2558" i="1" s="1"/>
  <c r="BU2556" i="1"/>
  <c r="BH2556" i="1"/>
  <c r="BB2556" i="1"/>
  <c r="AN2556" i="1"/>
  <c r="BG2556" i="1" s="1"/>
  <c r="AA2556" i="1" s="1"/>
  <c r="AM2556" i="1"/>
  <c r="AI2556" i="1"/>
  <c r="AH2556" i="1"/>
  <c r="AF2556" i="1"/>
  <c r="AE2556" i="1"/>
  <c r="AD2556" i="1"/>
  <c r="AC2556" i="1"/>
  <c r="AB2556" i="1"/>
  <c r="X2556" i="1"/>
  <c r="M2556" i="1"/>
  <c r="BD2556" i="1" s="1"/>
  <c r="K2556" i="1"/>
  <c r="AJ2556" i="1" s="1"/>
  <c r="BU2554" i="1"/>
  <c r="BH2554" i="1"/>
  <c r="BD2554" i="1"/>
  <c r="BB2554" i="1"/>
  <c r="AN2554" i="1"/>
  <c r="AM2554" i="1"/>
  <c r="AI2554" i="1"/>
  <c r="AH2554" i="1"/>
  <c r="AF2554" i="1"/>
  <c r="AE2554" i="1"/>
  <c r="AD2554" i="1"/>
  <c r="AC2554" i="1"/>
  <c r="AB2554" i="1"/>
  <c r="X2554" i="1"/>
  <c r="M2554" i="1"/>
  <c r="K2554" i="1"/>
  <c r="AJ2554" i="1" s="1"/>
  <c r="BU2552" i="1"/>
  <c r="BH2552" i="1"/>
  <c r="BB2552" i="1"/>
  <c r="AN2552" i="1"/>
  <c r="AM2552" i="1"/>
  <c r="AI2552" i="1"/>
  <c r="AH2552" i="1"/>
  <c r="AF2552" i="1"/>
  <c r="AE2552" i="1"/>
  <c r="AD2552" i="1"/>
  <c r="AC2552" i="1"/>
  <c r="AB2552" i="1"/>
  <c r="X2552" i="1"/>
  <c r="M2552" i="1"/>
  <c r="BD2552" i="1" s="1"/>
  <c r="K2552" i="1"/>
  <c r="AJ2552" i="1" s="1"/>
  <c r="BU2551" i="1"/>
  <c r="BH2551" i="1"/>
  <c r="BB2551" i="1"/>
  <c r="AN2551" i="1"/>
  <c r="AM2551" i="1"/>
  <c r="AI2551" i="1"/>
  <c r="AH2551" i="1"/>
  <c r="AF2551" i="1"/>
  <c r="AE2551" i="1"/>
  <c r="AD2551" i="1"/>
  <c r="AC2551" i="1"/>
  <c r="AB2551" i="1"/>
  <c r="X2551" i="1"/>
  <c r="M2551" i="1"/>
  <c r="BD2551" i="1" s="1"/>
  <c r="K2551" i="1"/>
  <c r="AJ2551" i="1" s="1"/>
  <c r="BU2549" i="1"/>
  <c r="BH2549" i="1"/>
  <c r="BB2549" i="1"/>
  <c r="AN2549" i="1"/>
  <c r="J2549" i="1" s="1"/>
  <c r="AM2549" i="1"/>
  <c r="AI2549" i="1"/>
  <c r="AH2549" i="1"/>
  <c r="AF2549" i="1"/>
  <c r="AE2549" i="1"/>
  <c r="AD2549" i="1"/>
  <c r="AC2549" i="1"/>
  <c r="AB2549" i="1"/>
  <c r="X2549" i="1"/>
  <c r="M2549" i="1"/>
  <c r="BD2549" i="1" s="1"/>
  <c r="K2549" i="1"/>
  <c r="AJ2549" i="1" s="1"/>
  <c r="BU2547" i="1"/>
  <c r="BH2547" i="1"/>
  <c r="BB2547" i="1"/>
  <c r="AN2547" i="1"/>
  <c r="AM2547" i="1"/>
  <c r="AI2547" i="1"/>
  <c r="AH2547" i="1"/>
  <c r="AF2547" i="1"/>
  <c r="AE2547" i="1"/>
  <c r="AD2547" i="1"/>
  <c r="AC2547" i="1"/>
  <c r="AB2547" i="1"/>
  <c r="X2547" i="1"/>
  <c r="M2547" i="1"/>
  <c r="BD2547" i="1" s="1"/>
  <c r="K2547" i="1"/>
  <c r="AJ2547" i="1" s="1"/>
  <c r="BU2546" i="1"/>
  <c r="BH2546" i="1"/>
  <c r="BB2546" i="1"/>
  <c r="AN2546" i="1"/>
  <c r="AM2546" i="1"/>
  <c r="AI2546" i="1"/>
  <c r="AH2546" i="1"/>
  <c r="AF2546" i="1"/>
  <c r="AE2546" i="1"/>
  <c r="AD2546" i="1"/>
  <c r="AC2546" i="1"/>
  <c r="AB2546" i="1"/>
  <c r="X2546" i="1"/>
  <c r="M2546" i="1"/>
  <c r="BD2546" i="1" s="1"/>
  <c r="K2546" i="1"/>
  <c r="AJ2546" i="1" s="1"/>
  <c r="BU2545" i="1"/>
  <c r="BH2545" i="1"/>
  <c r="BB2545" i="1"/>
  <c r="AN2545" i="1"/>
  <c r="AM2545" i="1"/>
  <c r="AI2545" i="1"/>
  <c r="AH2545" i="1"/>
  <c r="AF2545" i="1"/>
  <c r="AE2545" i="1"/>
  <c r="AD2545" i="1"/>
  <c r="AC2545" i="1"/>
  <c r="AB2545" i="1"/>
  <c r="X2545" i="1"/>
  <c r="M2545" i="1"/>
  <c r="BD2545" i="1" s="1"/>
  <c r="K2545" i="1"/>
  <c r="AJ2545" i="1" s="1"/>
  <c r="BU2543" i="1"/>
  <c r="BH2543" i="1"/>
  <c r="BB2543" i="1"/>
  <c r="AN2543" i="1"/>
  <c r="AM2543" i="1"/>
  <c r="AU2543" i="1" s="1"/>
  <c r="AI2543" i="1"/>
  <c r="AH2543" i="1"/>
  <c r="AF2543" i="1"/>
  <c r="AE2543" i="1"/>
  <c r="AD2543" i="1"/>
  <c r="AC2543" i="1"/>
  <c r="AB2543" i="1"/>
  <c r="X2543" i="1"/>
  <c r="M2543" i="1"/>
  <c r="BD2543" i="1" s="1"/>
  <c r="K2543" i="1"/>
  <c r="AJ2543" i="1" s="1"/>
  <c r="BU2542" i="1"/>
  <c r="BH2542" i="1"/>
  <c r="BB2542" i="1"/>
  <c r="AN2542" i="1"/>
  <c r="BG2542" i="1" s="1"/>
  <c r="AA2542" i="1" s="1"/>
  <c r="AM2542" i="1"/>
  <c r="BF2542" i="1" s="1"/>
  <c r="Z2542" i="1" s="1"/>
  <c r="AI2542" i="1"/>
  <c r="AH2542" i="1"/>
  <c r="AF2542" i="1"/>
  <c r="AE2542" i="1"/>
  <c r="AD2542" i="1"/>
  <c r="AC2542" i="1"/>
  <c r="AB2542" i="1"/>
  <c r="X2542" i="1"/>
  <c r="M2542" i="1"/>
  <c r="BD2542" i="1" s="1"/>
  <c r="K2542" i="1"/>
  <c r="AJ2542" i="1" s="1"/>
  <c r="BU2541" i="1"/>
  <c r="BH2541" i="1"/>
  <c r="BB2541" i="1"/>
  <c r="AN2541" i="1"/>
  <c r="AM2541" i="1"/>
  <c r="AI2541" i="1"/>
  <c r="AH2541" i="1"/>
  <c r="AF2541" i="1"/>
  <c r="AE2541" i="1"/>
  <c r="AD2541" i="1"/>
  <c r="AC2541" i="1"/>
  <c r="AB2541" i="1"/>
  <c r="X2541" i="1"/>
  <c r="M2541" i="1"/>
  <c r="BD2541" i="1" s="1"/>
  <c r="K2541" i="1"/>
  <c r="AJ2541" i="1" s="1"/>
  <c r="BU2539" i="1"/>
  <c r="BH2539" i="1"/>
  <c r="BB2539" i="1"/>
  <c r="AN2539" i="1"/>
  <c r="AM2539" i="1"/>
  <c r="AU2539" i="1" s="1"/>
  <c r="AI2539" i="1"/>
  <c r="AH2539" i="1"/>
  <c r="AF2539" i="1"/>
  <c r="AE2539" i="1"/>
  <c r="AD2539" i="1"/>
  <c r="AC2539" i="1"/>
  <c r="AB2539" i="1"/>
  <c r="X2539" i="1"/>
  <c r="M2539" i="1"/>
  <c r="BD2539" i="1" s="1"/>
  <c r="K2539" i="1"/>
  <c r="AJ2539" i="1" s="1"/>
  <c r="BU2537" i="1"/>
  <c r="BH2537" i="1"/>
  <c r="BB2537" i="1"/>
  <c r="AN2537" i="1"/>
  <c r="AM2537" i="1"/>
  <c r="AI2537" i="1"/>
  <c r="AH2537" i="1"/>
  <c r="AF2537" i="1"/>
  <c r="AE2537" i="1"/>
  <c r="AD2537" i="1"/>
  <c r="AC2537" i="1"/>
  <c r="AB2537" i="1"/>
  <c r="X2537" i="1"/>
  <c r="M2537" i="1"/>
  <c r="BD2537" i="1" s="1"/>
  <c r="K2537" i="1"/>
  <c r="BU2535" i="1"/>
  <c r="BH2535" i="1"/>
  <c r="BB2535" i="1"/>
  <c r="AN2535" i="1"/>
  <c r="AM2535" i="1"/>
  <c r="AU2535" i="1" s="1"/>
  <c r="AI2535" i="1"/>
  <c r="AH2535" i="1"/>
  <c r="AF2535" i="1"/>
  <c r="AE2535" i="1"/>
  <c r="AD2535" i="1"/>
  <c r="AC2535" i="1"/>
  <c r="AB2535" i="1"/>
  <c r="X2535" i="1"/>
  <c r="M2535" i="1"/>
  <c r="BD2535" i="1" s="1"/>
  <c r="K2535" i="1"/>
  <c r="AJ2535" i="1" s="1"/>
  <c r="BU2533" i="1"/>
  <c r="BH2533" i="1"/>
  <c r="BB2533" i="1"/>
  <c r="AN2533" i="1"/>
  <c r="AM2533" i="1"/>
  <c r="I2533" i="1" s="1"/>
  <c r="AI2533" i="1"/>
  <c r="AH2533" i="1"/>
  <c r="AF2533" i="1"/>
  <c r="AC2533" i="1"/>
  <c r="AB2533" i="1"/>
  <c r="AA2533" i="1"/>
  <c r="Z2533" i="1"/>
  <c r="X2533" i="1"/>
  <c r="M2533" i="1"/>
  <c r="BD2533" i="1" s="1"/>
  <c r="K2533" i="1"/>
  <c r="BU2531" i="1"/>
  <c r="BH2531" i="1"/>
  <c r="BB2531" i="1"/>
  <c r="AN2531" i="1"/>
  <c r="AM2531" i="1"/>
  <c r="BF2531" i="1" s="1"/>
  <c r="AD2531" i="1" s="1"/>
  <c r="AI2531" i="1"/>
  <c r="AH2531" i="1"/>
  <c r="AF2531" i="1"/>
  <c r="AC2531" i="1"/>
  <c r="AB2531" i="1"/>
  <c r="AA2531" i="1"/>
  <c r="Z2531" i="1"/>
  <c r="X2531" i="1"/>
  <c r="M2531" i="1"/>
  <c r="BD2531" i="1" s="1"/>
  <c r="K2531" i="1"/>
  <c r="AJ2531" i="1" s="1"/>
  <c r="BU2529" i="1"/>
  <c r="BH2529" i="1"/>
  <c r="BB2529" i="1"/>
  <c r="AN2529" i="1"/>
  <c r="AM2529" i="1"/>
  <c r="BF2529" i="1" s="1"/>
  <c r="AD2529" i="1" s="1"/>
  <c r="AI2529" i="1"/>
  <c r="AH2529" i="1"/>
  <c r="AF2529" i="1"/>
  <c r="AC2529" i="1"/>
  <c r="AB2529" i="1"/>
  <c r="AA2529" i="1"/>
  <c r="Z2529" i="1"/>
  <c r="X2529" i="1"/>
  <c r="M2529" i="1"/>
  <c r="BD2529" i="1" s="1"/>
  <c r="K2529" i="1"/>
  <c r="AJ2529" i="1" s="1"/>
  <c r="BU2527" i="1"/>
  <c r="BH2527" i="1"/>
  <c r="BB2527" i="1"/>
  <c r="AN2527" i="1"/>
  <c r="AM2527" i="1"/>
  <c r="AI2527" i="1"/>
  <c r="AH2527" i="1"/>
  <c r="AF2527" i="1"/>
  <c r="AC2527" i="1"/>
  <c r="AB2527" i="1"/>
  <c r="AA2527" i="1"/>
  <c r="Z2527" i="1"/>
  <c r="X2527" i="1"/>
  <c r="M2527" i="1"/>
  <c r="BD2527" i="1" s="1"/>
  <c r="K2527" i="1"/>
  <c r="AJ2527" i="1" s="1"/>
  <c r="BU2525" i="1"/>
  <c r="BH2525" i="1"/>
  <c r="BB2525" i="1"/>
  <c r="AN2525" i="1"/>
  <c r="AM2525" i="1"/>
  <c r="I2525" i="1" s="1"/>
  <c r="AI2525" i="1"/>
  <c r="AH2525" i="1"/>
  <c r="AF2525" i="1"/>
  <c r="AC2525" i="1"/>
  <c r="AB2525" i="1"/>
  <c r="AA2525" i="1"/>
  <c r="Z2525" i="1"/>
  <c r="X2525" i="1"/>
  <c r="M2525" i="1"/>
  <c r="BD2525" i="1" s="1"/>
  <c r="K2525" i="1"/>
  <c r="BU2523" i="1"/>
  <c r="BH2523" i="1"/>
  <c r="BB2523" i="1"/>
  <c r="AN2523" i="1"/>
  <c r="AV2523" i="1" s="1"/>
  <c r="AM2523" i="1"/>
  <c r="AU2523" i="1" s="1"/>
  <c r="AI2523" i="1"/>
  <c r="AH2523" i="1"/>
  <c r="AF2523" i="1"/>
  <c r="AC2523" i="1"/>
  <c r="AB2523" i="1"/>
  <c r="AA2523" i="1"/>
  <c r="Z2523" i="1"/>
  <c r="X2523" i="1"/>
  <c r="M2523" i="1"/>
  <c r="BD2523" i="1" s="1"/>
  <c r="K2523" i="1"/>
  <c r="AJ2523" i="1" s="1"/>
  <c r="BU2521" i="1"/>
  <c r="BH2521" i="1"/>
  <c r="BB2521" i="1"/>
  <c r="AN2521" i="1"/>
  <c r="BG2521" i="1" s="1"/>
  <c r="AE2521" i="1" s="1"/>
  <c r="AM2521" i="1"/>
  <c r="AU2521" i="1" s="1"/>
  <c r="AI2521" i="1"/>
  <c r="AH2521" i="1"/>
  <c r="AF2521" i="1"/>
  <c r="AC2521" i="1"/>
  <c r="AB2521" i="1"/>
  <c r="AA2521" i="1"/>
  <c r="Z2521" i="1"/>
  <c r="X2521" i="1"/>
  <c r="M2521" i="1"/>
  <c r="BD2521" i="1" s="1"/>
  <c r="K2521" i="1"/>
  <c r="AJ2521" i="1" s="1"/>
  <c r="BU2519" i="1"/>
  <c r="BH2519" i="1"/>
  <c r="BB2519" i="1"/>
  <c r="AN2519" i="1"/>
  <c r="AV2519" i="1" s="1"/>
  <c r="AM2519" i="1"/>
  <c r="AU2519" i="1" s="1"/>
  <c r="AI2519" i="1"/>
  <c r="AH2519" i="1"/>
  <c r="AF2519" i="1"/>
  <c r="AC2519" i="1"/>
  <c r="AB2519" i="1"/>
  <c r="AA2519" i="1"/>
  <c r="Z2519" i="1"/>
  <c r="X2519" i="1"/>
  <c r="M2519" i="1"/>
  <c r="BD2519" i="1" s="1"/>
  <c r="K2519" i="1"/>
  <c r="AJ2519" i="1" s="1"/>
  <c r="BU2517" i="1"/>
  <c r="BH2517" i="1"/>
  <c r="BB2517" i="1"/>
  <c r="AN2517" i="1"/>
  <c r="AM2517" i="1"/>
  <c r="I2517" i="1" s="1"/>
  <c r="AI2517" i="1"/>
  <c r="AH2517" i="1"/>
  <c r="AF2517" i="1"/>
  <c r="AC2517" i="1"/>
  <c r="AB2517" i="1"/>
  <c r="AA2517" i="1"/>
  <c r="Z2517" i="1"/>
  <c r="X2517" i="1"/>
  <c r="M2517" i="1"/>
  <c r="BD2517" i="1" s="1"/>
  <c r="K2517" i="1"/>
  <c r="AJ2517" i="1" s="1"/>
  <c r="BU2515" i="1"/>
  <c r="BH2515" i="1"/>
  <c r="BB2515" i="1"/>
  <c r="AN2515" i="1"/>
  <c r="AM2515" i="1"/>
  <c r="AI2515" i="1"/>
  <c r="AH2515" i="1"/>
  <c r="AF2515" i="1"/>
  <c r="AC2515" i="1"/>
  <c r="AB2515" i="1"/>
  <c r="AA2515" i="1"/>
  <c r="Z2515" i="1"/>
  <c r="X2515" i="1"/>
  <c r="M2515" i="1"/>
  <c r="BD2515" i="1" s="1"/>
  <c r="K2515" i="1"/>
  <c r="AJ2515" i="1" s="1"/>
  <c r="J2515" i="1"/>
  <c r="BU2513" i="1"/>
  <c r="BH2513" i="1"/>
  <c r="BB2513" i="1"/>
  <c r="AN2513" i="1"/>
  <c r="AM2513" i="1"/>
  <c r="BF2513" i="1" s="1"/>
  <c r="AD2513" i="1" s="1"/>
  <c r="AI2513" i="1"/>
  <c r="AH2513" i="1"/>
  <c r="AF2513" i="1"/>
  <c r="AC2513" i="1"/>
  <c r="AB2513" i="1"/>
  <c r="AA2513" i="1"/>
  <c r="Z2513" i="1"/>
  <c r="X2513" i="1"/>
  <c r="M2513" i="1"/>
  <c r="BD2513" i="1" s="1"/>
  <c r="K2513" i="1"/>
  <c r="AJ2513" i="1" s="1"/>
  <c r="BU2511" i="1"/>
  <c r="BH2511" i="1"/>
  <c r="BB2511" i="1"/>
  <c r="AN2511" i="1"/>
  <c r="AM2511" i="1"/>
  <c r="BF2511" i="1" s="1"/>
  <c r="AD2511" i="1" s="1"/>
  <c r="AI2511" i="1"/>
  <c r="AH2511" i="1"/>
  <c r="AF2511" i="1"/>
  <c r="AC2511" i="1"/>
  <c r="AB2511" i="1"/>
  <c r="AA2511" i="1"/>
  <c r="Z2511" i="1"/>
  <c r="X2511" i="1"/>
  <c r="M2511" i="1"/>
  <c r="BD2511" i="1" s="1"/>
  <c r="K2511" i="1"/>
  <c r="AJ2511" i="1" s="1"/>
  <c r="BU2509" i="1"/>
  <c r="BH2509" i="1"/>
  <c r="BB2509" i="1"/>
  <c r="AN2509" i="1"/>
  <c r="AM2509" i="1"/>
  <c r="AI2509" i="1"/>
  <c r="AH2509" i="1"/>
  <c r="AF2509" i="1"/>
  <c r="AE2509" i="1"/>
  <c r="AD2509" i="1"/>
  <c r="AC2509" i="1"/>
  <c r="AB2509" i="1"/>
  <c r="X2509" i="1"/>
  <c r="M2509" i="1"/>
  <c r="BD2509" i="1" s="1"/>
  <c r="K2509" i="1"/>
  <c r="AJ2509" i="1" s="1"/>
  <c r="BU2507" i="1"/>
  <c r="BH2507" i="1"/>
  <c r="BB2507" i="1"/>
  <c r="AN2507" i="1"/>
  <c r="J2507" i="1" s="1"/>
  <c r="AM2507" i="1"/>
  <c r="AI2507" i="1"/>
  <c r="AH2507" i="1"/>
  <c r="AF2507" i="1"/>
  <c r="AE2507" i="1"/>
  <c r="AD2507" i="1"/>
  <c r="AC2507" i="1"/>
  <c r="AB2507" i="1"/>
  <c r="X2507" i="1"/>
  <c r="M2507" i="1"/>
  <c r="BD2507" i="1" s="1"/>
  <c r="K2507" i="1"/>
  <c r="AJ2507" i="1" s="1"/>
  <c r="BU2505" i="1"/>
  <c r="BH2505" i="1"/>
  <c r="BB2505" i="1"/>
  <c r="AN2505" i="1"/>
  <c r="AM2505" i="1"/>
  <c r="AI2505" i="1"/>
  <c r="AH2505" i="1"/>
  <c r="AF2505" i="1"/>
  <c r="AC2505" i="1"/>
  <c r="AB2505" i="1"/>
  <c r="AA2505" i="1"/>
  <c r="Z2505" i="1"/>
  <c r="X2505" i="1"/>
  <c r="M2505" i="1"/>
  <c r="BD2505" i="1" s="1"/>
  <c r="K2505" i="1"/>
  <c r="BU2503" i="1"/>
  <c r="BH2503" i="1"/>
  <c r="BB2503" i="1"/>
  <c r="AN2503" i="1"/>
  <c r="J2503" i="1" s="1"/>
  <c r="AM2503" i="1"/>
  <c r="AI2503" i="1"/>
  <c r="AH2503" i="1"/>
  <c r="AF2503" i="1"/>
  <c r="AC2503" i="1"/>
  <c r="AB2503" i="1"/>
  <c r="AA2503" i="1"/>
  <c r="Z2503" i="1"/>
  <c r="X2503" i="1"/>
  <c r="M2503" i="1"/>
  <c r="BD2503" i="1" s="1"/>
  <c r="K2503" i="1"/>
  <c r="AJ2503" i="1" s="1"/>
  <c r="BU2501" i="1"/>
  <c r="BH2501" i="1"/>
  <c r="BB2501" i="1"/>
  <c r="AN2501" i="1"/>
  <c r="AM2501" i="1"/>
  <c r="BF2501" i="1" s="1"/>
  <c r="AD2501" i="1" s="1"/>
  <c r="AI2501" i="1"/>
  <c r="AH2501" i="1"/>
  <c r="AF2501" i="1"/>
  <c r="AC2501" i="1"/>
  <c r="AB2501" i="1"/>
  <c r="AA2501" i="1"/>
  <c r="Z2501" i="1"/>
  <c r="X2501" i="1"/>
  <c r="M2501" i="1"/>
  <c r="BD2501" i="1" s="1"/>
  <c r="K2501" i="1"/>
  <c r="BU2499" i="1"/>
  <c r="BH2499" i="1"/>
  <c r="BB2499" i="1"/>
  <c r="AN2499" i="1"/>
  <c r="AV2499" i="1" s="1"/>
  <c r="AM2499" i="1"/>
  <c r="I2499" i="1" s="1"/>
  <c r="AI2499" i="1"/>
  <c r="AH2499" i="1"/>
  <c r="AF2499" i="1"/>
  <c r="AC2499" i="1"/>
  <c r="AB2499" i="1"/>
  <c r="AA2499" i="1"/>
  <c r="Z2499" i="1"/>
  <c r="X2499" i="1"/>
  <c r="M2499" i="1"/>
  <c r="BD2499" i="1" s="1"/>
  <c r="K2499" i="1"/>
  <c r="AJ2499" i="1" s="1"/>
  <c r="BU2497" i="1"/>
  <c r="BH2497" i="1"/>
  <c r="BB2497" i="1"/>
  <c r="AN2497" i="1"/>
  <c r="AM2497" i="1"/>
  <c r="AI2497" i="1"/>
  <c r="AH2497" i="1"/>
  <c r="AF2497" i="1"/>
  <c r="AC2497" i="1"/>
  <c r="AB2497" i="1"/>
  <c r="AA2497" i="1"/>
  <c r="Z2497" i="1"/>
  <c r="X2497" i="1"/>
  <c r="M2497" i="1"/>
  <c r="BD2497" i="1" s="1"/>
  <c r="K2497" i="1"/>
  <c r="AJ2497" i="1" s="1"/>
  <c r="BU2495" i="1"/>
  <c r="BH2495" i="1"/>
  <c r="BB2495" i="1"/>
  <c r="AN2495" i="1"/>
  <c r="J2495" i="1" s="1"/>
  <c r="AM2495" i="1"/>
  <c r="I2495" i="1" s="1"/>
  <c r="AI2495" i="1"/>
  <c r="AH2495" i="1"/>
  <c r="AF2495" i="1"/>
  <c r="AC2495" i="1"/>
  <c r="AB2495" i="1"/>
  <c r="AA2495" i="1"/>
  <c r="Z2495" i="1"/>
  <c r="X2495" i="1"/>
  <c r="M2495" i="1"/>
  <c r="BD2495" i="1" s="1"/>
  <c r="K2495" i="1"/>
  <c r="AJ2495" i="1" s="1"/>
  <c r="BU2493" i="1"/>
  <c r="BH2493" i="1"/>
  <c r="BB2493" i="1"/>
  <c r="AN2493" i="1"/>
  <c r="J2493" i="1" s="1"/>
  <c r="AM2493" i="1"/>
  <c r="AI2493" i="1"/>
  <c r="AH2493" i="1"/>
  <c r="AF2493" i="1"/>
  <c r="AC2493" i="1"/>
  <c r="AB2493" i="1"/>
  <c r="AA2493" i="1"/>
  <c r="Z2493" i="1"/>
  <c r="X2493" i="1"/>
  <c r="M2493" i="1"/>
  <c r="BD2493" i="1" s="1"/>
  <c r="K2493" i="1"/>
  <c r="AJ2493" i="1" s="1"/>
  <c r="BU2491" i="1"/>
  <c r="BH2491" i="1"/>
  <c r="BB2491" i="1"/>
  <c r="AN2491" i="1"/>
  <c r="AV2491" i="1" s="1"/>
  <c r="AM2491" i="1"/>
  <c r="AI2491" i="1"/>
  <c r="AH2491" i="1"/>
  <c r="AF2491" i="1"/>
  <c r="AC2491" i="1"/>
  <c r="AB2491" i="1"/>
  <c r="AA2491" i="1"/>
  <c r="Z2491" i="1"/>
  <c r="X2491" i="1"/>
  <c r="M2491" i="1"/>
  <c r="BD2491" i="1" s="1"/>
  <c r="K2491" i="1"/>
  <c r="AJ2491" i="1" s="1"/>
  <c r="BU2489" i="1"/>
  <c r="BH2489" i="1"/>
  <c r="BB2489" i="1"/>
  <c r="AN2489" i="1"/>
  <c r="AM2489" i="1"/>
  <c r="AI2489" i="1"/>
  <c r="AH2489" i="1"/>
  <c r="AF2489" i="1"/>
  <c r="AC2489" i="1"/>
  <c r="AB2489" i="1"/>
  <c r="AA2489" i="1"/>
  <c r="Z2489" i="1"/>
  <c r="X2489" i="1"/>
  <c r="M2489" i="1"/>
  <c r="BD2489" i="1" s="1"/>
  <c r="K2489" i="1"/>
  <c r="BU2487" i="1"/>
  <c r="BH2487" i="1"/>
  <c r="BB2487" i="1"/>
  <c r="AN2487" i="1"/>
  <c r="AM2487" i="1"/>
  <c r="AI2487" i="1"/>
  <c r="AH2487" i="1"/>
  <c r="AF2487" i="1"/>
  <c r="AC2487" i="1"/>
  <c r="AB2487" i="1"/>
  <c r="AA2487" i="1"/>
  <c r="Z2487" i="1"/>
  <c r="X2487" i="1"/>
  <c r="M2487" i="1"/>
  <c r="BD2487" i="1" s="1"/>
  <c r="K2487" i="1"/>
  <c r="AJ2487" i="1" s="1"/>
  <c r="BU2485" i="1"/>
  <c r="BH2485" i="1"/>
  <c r="BB2485" i="1"/>
  <c r="AN2485" i="1"/>
  <c r="AM2485" i="1"/>
  <c r="AI2485" i="1"/>
  <c r="AH2485" i="1"/>
  <c r="AF2485" i="1"/>
  <c r="AC2485" i="1"/>
  <c r="AB2485" i="1"/>
  <c r="AA2485" i="1"/>
  <c r="Z2485" i="1"/>
  <c r="X2485" i="1"/>
  <c r="M2485" i="1"/>
  <c r="BD2485" i="1" s="1"/>
  <c r="K2485" i="1"/>
  <c r="AJ2485" i="1" s="1"/>
  <c r="BU2483" i="1"/>
  <c r="BH2483" i="1"/>
  <c r="BB2483" i="1"/>
  <c r="AN2483" i="1"/>
  <c r="AV2483" i="1" s="1"/>
  <c r="AM2483" i="1"/>
  <c r="AU2483" i="1" s="1"/>
  <c r="AI2483" i="1"/>
  <c r="AH2483" i="1"/>
  <c r="AF2483" i="1"/>
  <c r="AC2483" i="1"/>
  <c r="AB2483" i="1"/>
  <c r="AA2483" i="1"/>
  <c r="Z2483" i="1"/>
  <c r="X2483" i="1"/>
  <c r="M2483" i="1"/>
  <c r="BD2483" i="1" s="1"/>
  <c r="K2483" i="1"/>
  <c r="AJ2483" i="1" s="1"/>
  <c r="BU2481" i="1"/>
  <c r="BH2481" i="1"/>
  <c r="BB2481" i="1"/>
  <c r="AN2481" i="1"/>
  <c r="AM2481" i="1"/>
  <c r="AI2481" i="1"/>
  <c r="AH2481" i="1"/>
  <c r="AF2481" i="1"/>
  <c r="AC2481" i="1"/>
  <c r="AB2481" i="1"/>
  <c r="AA2481" i="1"/>
  <c r="Z2481" i="1"/>
  <c r="X2481" i="1"/>
  <c r="M2481" i="1"/>
  <c r="BD2481" i="1" s="1"/>
  <c r="K2481" i="1"/>
  <c r="AJ2481" i="1" s="1"/>
  <c r="BU2479" i="1"/>
  <c r="BH2479" i="1"/>
  <c r="BB2479" i="1"/>
  <c r="AN2479" i="1"/>
  <c r="AM2479" i="1"/>
  <c r="AI2479" i="1"/>
  <c r="AH2479" i="1"/>
  <c r="AF2479" i="1"/>
  <c r="AC2479" i="1"/>
  <c r="AB2479" i="1"/>
  <c r="AA2479" i="1"/>
  <c r="Z2479" i="1"/>
  <c r="X2479" i="1"/>
  <c r="M2479" i="1"/>
  <c r="BD2479" i="1" s="1"/>
  <c r="K2479" i="1"/>
  <c r="AJ2479" i="1" s="1"/>
  <c r="BU2477" i="1"/>
  <c r="BH2477" i="1"/>
  <c r="BB2477" i="1"/>
  <c r="AN2477" i="1"/>
  <c r="AM2477" i="1"/>
  <c r="AU2477" i="1" s="1"/>
  <c r="AI2477" i="1"/>
  <c r="AH2477" i="1"/>
  <c r="AF2477" i="1"/>
  <c r="AC2477" i="1"/>
  <c r="AB2477" i="1"/>
  <c r="AA2477" i="1"/>
  <c r="Z2477" i="1"/>
  <c r="X2477" i="1"/>
  <c r="M2477" i="1"/>
  <c r="BD2477" i="1" s="1"/>
  <c r="K2477" i="1"/>
  <c r="BU2475" i="1"/>
  <c r="BH2475" i="1"/>
  <c r="BB2475" i="1"/>
  <c r="AN2475" i="1"/>
  <c r="AM2475" i="1"/>
  <c r="AU2475" i="1" s="1"/>
  <c r="AI2475" i="1"/>
  <c r="AH2475" i="1"/>
  <c r="AF2475" i="1"/>
  <c r="AC2475" i="1"/>
  <c r="AB2475" i="1"/>
  <c r="AA2475" i="1"/>
  <c r="Z2475" i="1"/>
  <c r="X2475" i="1"/>
  <c r="M2475" i="1"/>
  <c r="BD2475" i="1" s="1"/>
  <c r="K2475" i="1"/>
  <c r="AJ2475" i="1" s="1"/>
  <c r="BU2473" i="1"/>
  <c r="BH2473" i="1"/>
  <c r="BB2473" i="1"/>
  <c r="AN2473" i="1"/>
  <c r="BG2473" i="1" s="1"/>
  <c r="AE2473" i="1" s="1"/>
  <c r="AM2473" i="1"/>
  <c r="AI2473" i="1"/>
  <c r="AH2473" i="1"/>
  <c r="AF2473" i="1"/>
  <c r="AC2473" i="1"/>
  <c r="AB2473" i="1"/>
  <c r="AA2473" i="1"/>
  <c r="Z2473" i="1"/>
  <c r="X2473" i="1"/>
  <c r="M2473" i="1"/>
  <c r="BD2473" i="1" s="1"/>
  <c r="K2473" i="1"/>
  <c r="AJ2473" i="1" s="1"/>
  <c r="BU2471" i="1"/>
  <c r="BH2471" i="1"/>
  <c r="BB2471" i="1"/>
  <c r="AN2471" i="1"/>
  <c r="AM2471" i="1"/>
  <c r="AI2471" i="1"/>
  <c r="AH2471" i="1"/>
  <c r="AF2471" i="1"/>
  <c r="AC2471" i="1"/>
  <c r="AB2471" i="1"/>
  <c r="AA2471" i="1"/>
  <c r="Z2471" i="1"/>
  <c r="X2471" i="1"/>
  <c r="M2471" i="1"/>
  <c r="BD2471" i="1" s="1"/>
  <c r="K2471" i="1"/>
  <c r="AJ2471" i="1" s="1"/>
  <c r="BU2469" i="1"/>
  <c r="BH2469" i="1"/>
  <c r="BB2469" i="1"/>
  <c r="AN2469" i="1"/>
  <c r="AM2469" i="1"/>
  <c r="I2469" i="1" s="1"/>
  <c r="AI2469" i="1"/>
  <c r="AH2469" i="1"/>
  <c r="AF2469" i="1"/>
  <c r="AC2469" i="1"/>
  <c r="AB2469" i="1"/>
  <c r="AA2469" i="1"/>
  <c r="Z2469" i="1"/>
  <c r="X2469" i="1"/>
  <c r="M2469" i="1"/>
  <c r="BD2469" i="1" s="1"/>
  <c r="K2469" i="1"/>
  <c r="AJ2469" i="1" s="1"/>
  <c r="BU2467" i="1"/>
  <c r="BH2467" i="1"/>
  <c r="BB2467" i="1"/>
  <c r="AN2467" i="1"/>
  <c r="AM2467" i="1"/>
  <c r="AU2467" i="1" s="1"/>
  <c r="AI2467" i="1"/>
  <c r="AH2467" i="1"/>
  <c r="AF2467" i="1"/>
  <c r="AC2467" i="1"/>
  <c r="AB2467" i="1"/>
  <c r="AA2467" i="1"/>
  <c r="Z2467" i="1"/>
  <c r="X2467" i="1"/>
  <c r="M2467" i="1"/>
  <c r="BD2467" i="1" s="1"/>
  <c r="K2467" i="1"/>
  <c r="AJ2467" i="1" s="1"/>
  <c r="BU2465" i="1"/>
  <c r="BH2465" i="1"/>
  <c r="BB2465" i="1"/>
  <c r="AN2465" i="1"/>
  <c r="AM2465" i="1"/>
  <c r="I2465" i="1" s="1"/>
  <c r="AI2465" i="1"/>
  <c r="AH2465" i="1"/>
  <c r="AF2465" i="1"/>
  <c r="AC2465" i="1"/>
  <c r="AB2465" i="1"/>
  <c r="AA2465" i="1"/>
  <c r="Z2465" i="1"/>
  <c r="X2465" i="1"/>
  <c r="M2465" i="1"/>
  <c r="BD2465" i="1" s="1"/>
  <c r="K2465" i="1"/>
  <c r="AJ2465" i="1" s="1"/>
  <c r="BU2463" i="1"/>
  <c r="BH2463" i="1"/>
  <c r="BB2463" i="1"/>
  <c r="AN2463" i="1"/>
  <c r="J2463" i="1" s="1"/>
  <c r="AM2463" i="1"/>
  <c r="AI2463" i="1"/>
  <c r="AH2463" i="1"/>
  <c r="AF2463" i="1"/>
  <c r="AC2463" i="1"/>
  <c r="AB2463" i="1"/>
  <c r="AA2463" i="1"/>
  <c r="Z2463" i="1"/>
  <c r="X2463" i="1"/>
  <c r="M2463" i="1"/>
  <c r="BD2463" i="1" s="1"/>
  <c r="K2463" i="1"/>
  <c r="AJ2463" i="1" s="1"/>
  <c r="BU2462" i="1"/>
  <c r="BH2462" i="1"/>
  <c r="BB2462" i="1"/>
  <c r="AN2462" i="1"/>
  <c r="AM2462" i="1"/>
  <c r="AI2462" i="1"/>
  <c r="AH2462" i="1"/>
  <c r="AF2462" i="1"/>
  <c r="AE2462" i="1"/>
  <c r="AD2462" i="1"/>
  <c r="AC2462" i="1"/>
  <c r="AB2462" i="1"/>
  <c r="X2462" i="1"/>
  <c r="M2462" i="1"/>
  <c r="BD2462" i="1" s="1"/>
  <c r="K2462" i="1"/>
  <c r="BU2460" i="1"/>
  <c r="BH2460" i="1"/>
  <c r="BB2460" i="1"/>
  <c r="AN2460" i="1"/>
  <c r="J2460" i="1" s="1"/>
  <c r="AM2460" i="1"/>
  <c r="BF2460" i="1" s="1"/>
  <c r="AD2460" i="1" s="1"/>
  <c r="AI2460" i="1"/>
  <c r="AH2460" i="1"/>
  <c r="AF2460" i="1"/>
  <c r="AC2460" i="1"/>
  <c r="AB2460" i="1"/>
  <c r="AA2460" i="1"/>
  <c r="Z2460" i="1"/>
  <c r="X2460" i="1"/>
  <c r="M2460" i="1"/>
  <c r="BD2460" i="1" s="1"/>
  <c r="K2460" i="1"/>
  <c r="AJ2460" i="1" s="1"/>
  <c r="BU2458" i="1"/>
  <c r="BH2458" i="1"/>
  <c r="BB2458" i="1"/>
  <c r="AN2458" i="1"/>
  <c r="AM2458" i="1"/>
  <c r="BF2458" i="1" s="1"/>
  <c r="AD2458" i="1" s="1"/>
  <c r="AI2458" i="1"/>
  <c r="AH2458" i="1"/>
  <c r="AF2458" i="1"/>
  <c r="AC2458" i="1"/>
  <c r="AB2458" i="1"/>
  <c r="AA2458" i="1"/>
  <c r="Z2458" i="1"/>
  <c r="X2458" i="1"/>
  <c r="M2458" i="1"/>
  <c r="BD2458" i="1" s="1"/>
  <c r="K2458" i="1"/>
  <c r="AJ2458" i="1" s="1"/>
  <c r="BU2456" i="1"/>
  <c r="BH2456" i="1"/>
  <c r="BB2456" i="1"/>
  <c r="AN2456" i="1"/>
  <c r="J2456" i="1" s="1"/>
  <c r="AM2456" i="1"/>
  <c r="AI2456" i="1"/>
  <c r="AH2456" i="1"/>
  <c r="AF2456" i="1"/>
  <c r="AC2456" i="1"/>
  <c r="AB2456" i="1"/>
  <c r="AA2456" i="1"/>
  <c r="Z2456" i="1"/>
  <c r="X2456" i="1"/>
  <c r="M2456" i="1"/>
  <c r="BD2456" i="1" s="1"/>
  <c r="K2456" i="1"/>
  <c r="BU2454" i="1"/>
  <c r="BH2454" i="1"/>
  <c r="BB2454" i="1"/>
  <c r="AN2454" i="1"/>
  <c r="AM2454" i="1"/>
  <c r="I2454" i="1" s="1"/>
  <c r="AI2454" i="1"/>
  <c r="AH2454" i="1"/>
  <c r="AF2454" i="1"/>
  <c r="AE2454" i="1"/>
  <c r="AD2454" i="1"/>
  <c r="AC2454" i="1"/>
  <c r="AB2454" i="1"/>
  <c r="X2454" i="1"/>
  <c r="M2454" i="1"/>
  <c r="BD2454" i="1" s="1"/>
  <c r="K2454" i="1"/>
  <c r="AJ2454" i="1" s="1"/>
  <c r="BU2452" i="1"/>
  <c r="BH2452" i="1"/>
  <c r="BB2452" i="1"/>
  <c r="AN2452" i="1"/>
  <c r="AM2452" i="1"/>
  <c r="AI2452" i="1"/>
  <c r="AH2452" i="1"/>
  <c r="AF2452" i="1"/>
  <c r="AE2452" i="1"/>
  <c r="AD2452" i="1"/>
  <c r="AC2452" i="1"/>
  <c r="AB2452" i="1"/>
  <c r="X2452" i="1"/>
  <c r="M2452" i="1"/>
  <c r="BD2452" i="1" s="1"/>
  <c r="K2452" i="1"/>
  <c r="AJ2452" i="1" s="1"/>
  <c r="BU2449" i="1"/>
  <c r="BH2449" i="1"/>
  <c r="BB2449" i="1"/>
  <c r="AN2449" i="1"/>
  <c r="AV2449" i="1" s="1"/>
  <c r="AM2449" i="1"/>
  <c r="BF2449" i="1" s="1"/>
  <c r="Z2449" i="1" s="1"/>
  <c r="AI2449" i="1"/>
  <c r="AH2449" i="1"/>
  <c r="AF2449" i="1"/>
  <c r="AE2449" i="1"/>
  <c r="AD2449" i="1"/>
  <c r="AC2449" i="1"/>
  <c r="AB2449" i="1"/>
  <c r="X2449" i="1"/>
  <c r="M2449" i="1"/>
  <c r="BD2449" i="1" s="1"/>
  <c r="K2449" i="1"/>
  <c r="BU2447" i="1"/>
  <c r="BH2447" i="1"/>
  <c r="BB2447" i="1"/>
  <c r="AN2447" i="1"/>
  <c r="AV2447" i="1" s="1"/>
  <c r="AM2447" i="1"/>
  <c r="AI2447" i="1"/>
  <c r="AH2447" i="1"/>
  <c r="AF2447" i="1"/>
  <c r="AE2447" i="1"/>
  <c r="AD2447" i="1"/>
  <c r="AC2447" i="1"/>
  <c r="AB2447" i="1"/>
  <c r="X2447" i="1"/>
  <c r="M2447" i="1"/>
  <c r="BD2447" i="1" s="1"/>
  <c r="K2447" i="1"/>
  <c r="AJ2447" i="1" s="1"/>
  <c r="BU2445" i="1"/>
  <c r="BH2445" i="1"/>
  <c r="BB2445" i="1"/>
  <c r="AN2445" i="1"/>
  <c r="AM2445" i="1"/>
  <c r="I2445" i="1" s="1"/>
  <c r="AI2445" i="1"/>
  <c r="AH2445" i="1"/>
  <c r="AF2445" i="1"/>
  <c r="AC2445" i="1"/>
  <c r="AB2445" i="1"/>
  <c r="AA2445" i="1"/>
  <c r="Z2445" i="1"/>
  <c r="X2445" i="1"/>
  <c r="M2445" i="1"/>
  <c r="BD2445" i="1" s="1"/>
  <c r="K2445" i="1"/>
  <c r="AJ2445" i="1" s="1"/>
  <c r="BU2443" i="1"/>
  <c r="BH2443" i="1"/>
  <c r="BB2443" i="1"/>
  <c r="AN2443" i="1"/>
  <c r="AM2443" i="1"/>
  <c r="AI2443" i="1"/>
  <c r="AH2443" i="1"/>
  <c r="AF2443" i="1"/>
  <c r="AC2443" i="1"/>
  <c r="AB2443" i="1"/>
  <c r="AA2443" i="1"/>
  <c r="Z2443" i="1"/>
  <c r="X2443" i="1"/>
  <c r="M2443" i="1"/>
  <c r="BD2443" i="1" s="1"/>
  <c r="K2443" i="1"/>
  <c r="BU2441" i="1"/>
  <c r="BH2441" i="1"/>
  <c r="BB2441" i="1"/>
  <c r="AN2441" i="1"/>
  <c r="AM2441" i="1"/>
  <c r="AI2441" i="1"/>
  <c r="AH2441" i="1"/>
  <c r="AF2441" i="1"/>
  <c r="AE2441" i="1"/>
  <c r="AD2441" i="1"/>
  <c r="AC2441" i="1"/>
  <c r="AB2441" i="1"/>
  <c r="X2441" i="1"/>
  <c r="M2441" i="1"/>
  <c r="BD2441" i="1" s="1"/>
  <c r="K2441" i="1"/>
  <c r="AJ2441" i="1" s="1"/>
  <c r="BU2439" i="1"/>
  <c r="BH2439" i="1"/>
  <c r="BB2439" i="1"/>
  <c r="AN2439" i="1"/>
  <c r="AM2439" i="1"/>
  <c r="AU2439" i="1" s="1"/>
  <c r="AI2439" i="1"/>
  <c r="AH2439" i="1"/>
  <c r="AF2439" i="1"/>
  <c r="AC2439" i="1"/>
  <c r="AB2439" i="1"/>
  <c r="AA2439" i="1"/>
  <c r="Z2439" i="1"/>
  <c r="X2439" i="1"/>
  <c r="M2439" i="1"/>
  <c r="BD2439" i="1" s="1"/>
  <c r="K2439" i="1"/>
  <c r="AJ2439" i="1" s="1"/>
  <c r="BU2436" i="1"/>
  <c r="BH2436" i="1"/>
  <c r="X2436" i="1" s="1"/>
  <c r="BB2436" i="1"/>
  <c r="AN2436" i="1"/>
  <c r="AM2436" i="1"/>
  <c r="AI2436" i="1"/>
  <c r="AR2435" i="1" s="1"/>
  <c r="AH2436" i="1"/>
  <c r="AQ2435" i="1" s="1"/>
  <c r="AF2436" i="1"/>
  <c r="AE2436" i="1"/>
  <c r="AD2436" i="1"/>
  <c r="AC2436" i="1"/>
  <c r="AB2436" i="1"/>
  <c r="AA2436" i="1"/>
  <c r="Z2436" i="1"/>
  <c r="M2436" i="1"/>
  <c r="BD2436" i="1" s="1"/>
  <c r="K2436" i="1"/>
  <c r="BU2433" i="1"/>
  <c r="BH2433" i="1"/>
  <c r="BB2433" i="1"/>
  <c r="AN2433" i="1"/>
  <c r="AM2433" i="1"/>
  <c r="AI2433" i="1"/>
  <c r="AH2433" i="1"/>
  <c r="AF2433" i="1"/>
  <c r="AE2433" i="1"/>
  <c r="AD2433" i="1"/>
  <c r="AC2433" i="1"/>
  <c r="AB2433" i="1"/>
  <c r="X2433" i="1"/>
  <c r="M2433" i="1"/>
  <c r="BD2433" i="1" s="1"/>
  <c r="K2433" i="1"/>
  <c r="AJ2433" i="1" s="1"/>
  <c r="BU2431" i="1"/>
  <c r="BH2431" i="1"/>
  <c r="BB2431" i="1"/>
  <c r="AN2431" i="1"/>
  <c r="AV2431" i="1" s="1"/>
  <c r="AM2431" i="1"/>
  <c r="BF2431" i="1" s="1"/>
  <c r="Z2431" i="1" s="1"/>
  <c r="AI2431" i="1"/>
  <c r="AH2431" i="1"/>
  <c r="AF2431" i="1"/>
  <c r="AE2431" i="1"/>
  <c r="AD2431" i="1"/>
  <c r="AC2431" i="1"/>
  <c r="AB2431" i="1"/>
  <c r="X2431" i="1"/>
  <c r="M2431" i="1"/>
  <c r="K2431" i="1"/>
  <c r="BU2429" i="1"/>
  <c r="BH2429" i="1"/>
  <c r="BB2429" i="1"/>
  <c r="AN2429" i="1"/>
  <c r="AM2429" i="1"/>
  <c r="I2429" i="1" s="1"/>
  <c r="AI2429" i="1"/>
  <c r="AH2429" i="1"/>
  <c r="AF2429" i="1"/>
  <c r="AE2429" i="1"/>
  <c r="AD2429" i="1"/>
  <c r="AC2429" i="1"/>
  <c r="AB2429" i="1"/>
  <c r="X2429" i="1"/>
  <c r="M2429" i="1"/>
  <c r="BD2429" i="1" s="1"/>
  <c r="K2429" i="1"/>
  <c r="AJ2429" i="1" s="1"/>
  <c r="BU2426" i="1"/>
  <c r="BH2426" i="1"/>
  <c r="BB2426" i="1"/>
  <c r="AN2426" i="1"/>
  <c r="AM2426" i="1"/>
  <c r="AU2426" i="1" s="1"/>
  <c r="AI2426" i="1"/>
  <c r="AH2426" i="1"/>
  <c r="AF2426" i="1"/>
  <c r="AE2426" i="1"/>
  <c r="AD2426" i="1"/>
  <c r="AC2426" i="1"/>
  <c r="AB2426" i="1"/>
  <c r="X2426" i="1"/>
  <c r="M2426" i="1"/>
  <c r="BD2426" i="1" s="1"/>
  <c r="K2426" i="1"/>
  <c r="BU2424" i="1"/>
  <c r="BH2424" i="1"/>
  <c r="BB2424" i="1"/>
  <c r="AN2424" i="1"/>
  <c r="J2424" i="1" s="1"/>
  <c r="AM2424" i="1"/>
  <c r="BF2424" i="1" s="1"/>
  <c r="Z2424" i="1" s="1"/>
  <c r="AI2424" i="1"/>
  <c r="AH2424" i="1"/>
  <c r="AF2424" i="1"/>
  <c r="AE2424" i="1"/>
  <c r="AD2424" i="1"/>
  <c r="AC2424" i="1"/>
  <c r="AB2424" i="1"/>
  <c r="X2424" i="1"/>
  <c r="M2424" i="1"/>
  <c r="BD2424" i="1" s="1"/>
  <c r="K2424" i="1"/>
  <c r="AJ2424" i="1" s="1"/>
  <c r="BU2422" i="1"/>
  <c r="BH2422" i="1"/>
  <c r="BB2422" i="1"/>
  <c r="AN2422" i="1"/>
  <c r="AM2422" i="1"/>
  <c r="AI2422" i="1"/>
  <c r="AH2422" i="1"/>
  <c r="AF2422" i="1"/>
  <c r="AE2422" i="1"/>
  <c r="AD2422" i="1"/>
  <c r="AC2422" i="1"/>
  <c r="AB2422" i="1"/>
  <c r="X2422" i="1"/>
  <c r="M2422" i="1"/>
  <c r="BD2422" i="1" s="1"/>
  <c r="K2422" i="1"/>
  <c r="AJ2422" i="1" s="1"/>
  <c r="BU2420" i="1"/>
  <c r="BH2420" i="1"/>
  <c r="BB2420" i="1"/>
  <c r="AN2420" i="1"/>
  <c r="AV2420" i="1" s="1"/>
  <c r="AM2420" i="1"/>
  <c r="AI2420" i="1"/>
  <c r="AH2420" i="1"/>
  <c r="AF2420" i="1"/>
  <c r="AE2420" i="1"/>
  <c r="AD2420" i="1"/>
  <c r="AC2420" i="1"/>
  <c r="AB2420" i="1"/>
  <c r="X2420" i="1"/>
  <c r="M2420" i="1"/>
  <c r="BD2420" i="1" s="1"/>
  <c r="K2420" i="1"/>
  <c r="AJ2420" i="1" s="1"/>
  <c r="BU2418" i="1"/>
  <c r="BH2418" i="1"/>
  <c r="BB2418" i="1"/>
  <c r="AN2418" i="1"/>
  <c r="J2418" i="1" s="1"/>
  <c r="AM2418" i="1"/>
  <c r="AI2418" i="1"/>
  <c r="AH2418" i="1"/>
  <c r="AF2418" i="1"/>
  <c r="AE2418" i="1"/>
  <c r="AD2418" i="1"/>
  <c r="AC2418" i="1"/>
  <c r="AB2418" i="1"/>
  <c r="X2418" i="1"/>
  <c r="M2418" i="1"/>
  <c r="BD2418" i="1" s="1"/>
  <c r="K2418" i="1"/>
  <c r="BU2416" i="1"/>
  <c r="BH2416" i="1"/>
  <c r="BB2416" i="1"/>
  <c r="AN2416" i="1"/>
  <c r="AM2416" i="1"/>
  <c r="AI2416" i="1"/>
  <c r="AH2416" i="1"/>
  <c r="AF2416" i="1"/>
  <c r="AE2416" i="1"/>
  <c r="AD2416" i="1"/>
  <c r="AC2416" i="1"/>
  <c r="AB2416" i="1"/>
  <c r="X2416" i="1"/>
  <c r="M2416" i="1"/>
  <c r="K2416" i="1"/>
  <c r="AJ2416" i="1" s="1"/>
  <c r="BU2414" i="1"/>
  <c r="BH2414" i="1"/>
  <c r="BB2414" i="1"/>
  <c r="AN2414" i="1"/>
  <c r="AM2414" i="1"/>
  <c r="AI2414" i="1"/>
  <c r="AH2414" i="1"/>
  <c r="AF2414" i="1"/>
  <c r="AE2414" i="1"/>
  <c r="AD2414" i="1"/>
  <c r="AC2414" i="1"/>
  <c r="AB2414" i="1"/>
  <c r="X2414" i="1"/>
  <c r="M2414" i="1"/>
  <c r="BD2414" i="1" s="1"/>
  <c r="K2414" i="1"/>
  <c r="AJ2414" i="1" s="1"/>
  <c r="BU2411" i="1"/>
  <c r="BH2411" i="1"/>
  <c r="BB2411" i="1"/>
  <c r="AN2411" i="1"/>
  <c r="AM2411" i="1"/>
  <c r="AI2411" i="1"/>
  <c r="AH2411" i="1"/>
  <c r="AF2411" i="1"/>
  <c r="AE2411" i="1"/>
  <c r="AD2411" i="1"/>
  <c r="AA2411" i="1"/>
  <c r="Z2411" i="1"/>
  <c r="X2411" i="1"/>
  <c r="M2411" i="1"/>
  <c r="BD2411" i="1" s="1"/>
  <c r="K2411" i="1"/>
  <c r="BU2409" i="1"/>
  <c r="BH2409" i="1"/>
  <c r="X2409" i="1" s="1"/>
  <c r="BB2409" i="1"/>
  <c r="AN2409" i="1"/>
  <c r="AM2409" i="1"/>
  <c r="AI2409" i="1"/>
  <c r="AH2409" i="1"/>
  <c r="AF2409" i="1"/>
  <c r="AE2409" i="1"/>
  <c r="AD2409" i="1"/>
  <c r="AC2409" i="1"/>
  <c r="AB2409" i="1"/>
  <c r="AA2409" i="1"/>
  <c r="Z2409" i="1"/>
  <c r="M2409" i="1"/>
  <c r="BD2409" i="1" s="1"/>
  <c r="K2409" i="1"/>
  <c r="AJ2409" i="1" s="1"/>
  <c r="BU2407" i="1"/>
  <c r="BH2407" i="1"/>
  <c r="BB2407" i="1"/>
  <c r="AN2407" i="1"/>
  <c r="BG2407" i="1" s="1"/>
  <c r="AC2407" i="1" s="1"/>
  <c r="AM2407" i="1"/>
  <c r="I2407" i="1" s="1"/>
  <c r="AI2407" i="1"/>
  <c r="AH2407" i="1"/>
  <c r="AF2407" i="1"/>
  <c r="AE2407" i="1"/>
  <c r="AD2407" i="1"/>
  <c r="AA2407" i="1"/>
  <c r="Z2407" i="1"/>
  <c r="X2407" i="1"/>
  <c r="M2407" i="1"/>
  <c r="BD2407" i="1" s="1"/>
  <c r="K2407" i="1"/>
  <c r="AJ2407" i="1" s="1"/>
  <c r="BU2405" i="1"/>
  <c r="BH2405" i="1"/>
  <c r="BB2405" i="1"/>
  <c r="AN2405" i="1"/>
  <c r="J2405" i="1" s="1"/>
  <c r="AM2405" i="1"/>
  <c r="I2405" i="1" s="1"/>
  <c r="AI2405" i="1"/>
  <c r="AH2405" i="1"/>
  <c r="AF2405" i="1"/>
  <c r="AE2405" i="1"/>
  <c r="AD2405" i="1"/>
  <c r="AA2405" i="1"/>
  <c r="Z2405" i="1"/>
  <c r="X2405" i="1"/>
  <c r="M2405" i="1"/>
  <c r="BD2405" i="1" s="1"/>
  <c r="K2405" i="1"/>
  <c r="AJ2405" i="1" s="1"/>
  <c r="BU2403" i="1"/>
  <c r="BH2403" i="1"/>
  <c r="BB2403" i="1"/>
  <c r="AN2403" i="1"/>
  <c r="AM2403" i="1"/>
  <c r="BF2403" i="1" s="1"/>
  <c r="AB2403" i="1" s="1"/>
  <c r="AI2403" i="1"/>
  <c r="AH2403" i="1"/>
  <c r="AF2403" i="1"/>
  <c r="AE2403" i="1"/>
  <c r="AD2403" i="1"/>
  <c r="AA2403" i="1"/>
  <c r="Z2403" i="1"/>
  <c r="X2403" i="1"/>
  <c r="M2403" i="1"/>
  <c r="K2403" i="1"/>
  <c r="BU2400" i="1"/>
  <c r="BH2400" i="1"/>
  <c r="X2400" i="1" s="1"/>
  <c r="BB2400" i="1"/>
  <c r="AN2400" i="1"/>
  <c r="AM2400" i="1"/>
  <c r="BF2400" i="1" s="1"/>
  <c r="AI2400" i="1"/>
  <c r="AH2400" i="1"/>
  <c r="AF2400" i="1"/>
  <c r="AE2400" i="1"/>
  <c r="AD2400" i="1"/>
  <c r="AC2400" i="1"/>
  <c r="AB2400" i="1"/>
  <c r="AA2400" i="1"/>
  <c r="Z2400" i="1"/>
  <c r="M2400" i="1"/>
  <c r="BD2400" i="1" s="1"/>
  <c r="K2400" i="1"/>
  <c r="BU2398" i="1"/>
  <c r="BH2398" i="1"/>
  <c r="BB2398" i="1"/>
  <c r="AN2398" i="1"/>
  <c r="J2398" i="1" s="1"/>
  <c r="AM2398" i="1"/>
  <c r="BF2398" i="1" s="1"/>
  <c r="Z2398" i="1" s="1"/>
  <c r="AI2398" i="1"/>
  <c r="AH2398" i="1"/>
  <c r="AF2398" i="1"/>
  <c r="AE2398" i="1"/>
  <c r="AD2398" i="1"/>
  <c r="AC2398" i="1"/>
  <c r="AB2398" i="1"/>
  <c r="X2398" i="1"/>
  <c r="M2398" i="1"/>
  <c r="BD2398" i="1" s="1"/>
  <c r="K2398" i="1"/>
  <c r="AJ2398" i="1" s="1"/>
  <c r="BU2396" i="1"/>
  <c r="BH2396" i="1"/>
  <c r="BB2396" i="1"/>
  <c r="AN2396" i="1"/>
  <c r="AM2396" i="1"/>
  <c r="AI2396" i="1"/>
  <c r="AH2396" i="1"/>
  <c r="AF2396" i="1"/>
  <c r="AE2396" i="1"/>
  <c r="AD2396" i="1"/>
  <c r="AC2396" i="1"/>
  <c r="AB2396" i="1"/>
  <c r="X2396" i="1"/>
  <c r="M2396" i="1"/>
  <c r="BD2396" i="1" s="1"/>
  <c r="K2396" i="1"/>
  <c r="AJ2396" i="1" s="1"/>
  <c r="BU2393" i="1"/>
  <c r="BH2393" i="1"/>
  <c r="BB2393" i="1"/>
  <c r="AN2393" i="1"/>
  <c r="BG2393" i="1" s="1"/>
  <c r="AA2393" i="1" s="1"/>
  <c r="AM2393" i="1"/>
  <c r="AI2393" i="1"/>
  <c r="AH2393" i="1"/>
  <c r="AF2393" i="1"/>
  <c r="AE2393" i="1"/>
  <c r="AD2393" i="1"/>
  <c r="AC2393" i="1"/>
  <c r="AB2393" i="1"/>
  <c r="X2393" i="1"/>
  <c r="M2393" i="1"/>
  <c r="BD2393" i="1" s="1"/>
  <c r="K2393" i="1"/>
  <c r="AJ2393" i="1" s="1"/>
  <c r="BU2391" i="1"/>
  <c r="BH2391" i="1"/>
  <c r="BB2391" i="1"/>
  <c r="AN2391" i="1"/>
  <c r="AM2391" i="1"/>
  <c r="AI2391" i="1"/>
  <c r="AH2391" i="1"/>
  <c r="AF2391" i="1"/>
  <c r="AE2391" i="1"/>
  <c r="AD2391" i="1"/>
  <c r="AC2391" i="1"/>
  <c r="AB2391" i="1"/>
  <c r="X2391" i="1"/>
  <c r="M2391" i="1"/>
  <c r="BD2391" i="1" s="1"/>
  <c r="K2391" i="1"/>
  <c r="AJ2391" i="1" s="1"/>
  <c r="J2391" i="1"/>
  <c r="BU2389" i="1"/>
  <c r="BH2389" i="1"/>
  <c r="BB2389" i="1"/>
  <c r="AN2389" i="1"/>
  <c r="AV2389" i="1" s="1"/>
  <c r="AM2389" i="1"/>
  <c r="AU2389" i="1" s="1"/>
  <c r="AI2389" i="1"/>
  <c r="AH2389" i="1"/>
  <c r="AF2389" i="1"/>
  <c r="AE2389" i="1"/>
  <c r="AD2389" i="1"/>
  <c r="AC2389" i="1"/>
  <c r="AB2389" i="1"/>
  <c r="X2389" i="1"/>
  <c r="M2389" i="1"/>
  <c r="BD2389" i="1" s="1"/>
  <c r="K2389" i="1"/>
  <c r="AJ2389" i="1" s="1"/>
  <c r="BU2387" i="1"/>
  <c r="BH2387" i="1"/>
  <c r="BB2387" i="1"/>
  <c r="AN2387" i="1"/>
  <c r="AM2387" i="1"/>
  <c r="AI2387" i="1"/>
  <c r="AH2387" i="1"/>
  <c r="AF2387" i="1"/>
  <c r="AE2387" i="1"/>
  <c r="AD2387" i="1"/>
  <c r="AC2387" i="1"/>
  <c r="AB2387" i="1"/>
  <c r="X2387" i="1"/>
  <c r="M2387" i="1"/>
  <c r="BD2387" i="1" s="1"/>
  <c r="K2387" i="1"/>
  <c r="BU2385" i="1"/>
  <c r="BH2385" i="1"/>
  <c r="BB2385" i="1"/>
  <c r="AN2385" i="1"/>
  <c r="AM2385" i="1"/>
  <c r="AI2385" i="1"/>
  <c r="AH2385" i="1"/>
  <c r="AF2385" i="1"/>
  <c r="AE2385" i="1"/>
  <c r="AD2385" i="1"/>
  <c r="AC2385" i="1"/>
  <c r="AB2385" i="1"/>
  <c r="X2385" i="1"/>
  <c r="M2385" i="1"/>
  <c r="BD2385" i="1" s="1"/>
  <c r="K2385" i="1"/>
  <c r="AJ2385" i="1" s="1"/>
  <c r="BU2383" i="1"/>
  <c r="BH2383" i="1"/>
  <c r="BB2383" i="1"/>
  <c r="AN2383" i="1"/>
  <c r="AM2383" i="1"/>
  <c r="AI2383" i="1"/>
  <c r="AH2383" i="1"/>
  <c r="AF2383" i="1"/>
  <c r="AE2383" i="1"/>
  <c r="AD2383" i="1"/>
  <c r="AC2383" i="1"/>
  <c r="AB2383" i="1"/>
  <c r="X2383" i="1"/>
  <c r="M2383" i="1"/>
  <c r="BD2383" i="1" s="1"/>
  <c r="K2383" i="1"/>
  <c r="AJ2383" i="1" s="1"/>
  <c r="BU2381" i="1"/>
  <c r="BH2381" i="1"/>
  <c r="BB2381" i="1"/>
  <c r="AN2381" i="1"/>
  <c r="BG2381" i="1" s="1"/>
  <c r="AA2381" i="1" s="1"/>
  <c r="AM2381" i="1"/>
  <c r="I2381" i="1" s="1"/>
  <c r="AI2381" i="1"/>
  <c r="AH2381" i="1"/>
  <c r="AF2381" i="1"/>
  <c r="AE2381" i="1"/>
  <c r="AD2381" i="1"/>
  <c r="AC2381" i="1"/>
  <c r="AB2381" i="1"/>
  <c r="X2381" i="1"/>
  <c r="M2381" i="1"/>
  <c r="BD2381" i="1" s="1"/>
  <c r="K2381" i="1"/>
  <c r="AJ2381" i="1" s="1"/>
  <c r="BU2379" i="1"/>
  <c r="BH2379" i="1"/>
  <c r="BB2379" i="1"/>
  <c r="AN2379" i="1"/>
  <c r="AM2379" i="1"/>
  <c r="AI2379" i="1"/>
  <c r="AH2379" i="1"/>
  <c r="AF2379" i="1"/>
  <c r="AE2379" i="1"/>
  <c r="AD2379" i="1"/>
  <c r="AC2379" i="1"/>
  <c r="AB2379" i="1"/>
  <c r="X2379" i="1"/>
  <c r="M2379" i="1"/>
  <c r="K2379" i="1"/>
  <c r="AJ2379" i="1" s="1"/>
  <c r="BU2376" i="1"/>
  <c r="BH2376" i="1"/>
  <c r="BB2376" i="1"/>
  <c r="AN2376" i="1"/>
  <c r="AM2376" i="1"/>
  <c r="AI2376" i="1"/>
  <c r="AR2375" i="1" s="1"/>
  <c r="AH2376" i="1"/>
  <c r="AQ2375" i="1" s="1"/>
  <c r="AF2376" i="1"/>
  <c r="AE2376" i="1"/>
  <c r="AD2376" i="1"/>
  <c r="AC2376" i="1"/>
  <c r="AB2376" i="1"/>
  <c r="X2376" i="1"/>
  <c r="M2376" i="1"/>
  <c r="M2375" i="1" s="1"/>
  <c r="G124" i="2" s="1"/>
  <c r="K2376" i="1"/>
  <c r="BU2372" i="1"/>
  <c r="BH2372" i="1"/>
  <c r="X2372" i="1" s="1"/>
  <c r="BB2372" i="1"/>
  <c r="AN2372" i="1"/>
  <c r="AM2372" i="1"/>
  <c r="AI2372" i="1"/>
  <c r="AH2372" i="1"/>
  <c r="AF2372" i="1"/>
  <c r="AE2372" i="1"/>
  <c r="AD2372" i="1"/>
  <c r="AC2372" i="1"/>
  <c r="AB2372" i="1"/>
  <c r="AA2372" i="1"/>
  <c r="Z2372" i="1"/>
  <c r="M2372" i="1"/>
  <c r="BD2372" i="1" s="1"/>
  <c r="K2372" i="1"/>
  <c r="AJ2372" i="1" s="1"/>
  <c r="BU2370" i="1"/>
  <c r="BH2370" i="1"/>
  <c r="X2370" i="1" s="1"/>
  <c r="BB2370" i="1"/>
  <c r="AN2370" i="1"/>
  <c r="AM2370" i="1"/>
  <c r="I2370" i="1" s="1"/>
  <c r="AI2370" i="1"/>
  <c r="AH2370" i="1"/>
  <c r="AF2370" i="1"/>
  <c r="AE2370" i="1"/>
  <c r="AD2370" i="1"/>
  <c r="AC2370" i="1"/>
  <c r="AB2370" i="1"/>
  <c r="AA2370" i="1"/>
  <c r="Z2370" i="1"/>
  <c r="M2370" i="1"/>
  <c r="BD2370" i="1" s="1"/>
  <c r="K2370" i="1"/>
  <c r="BU2368" i="1"/>
  <c r="BH2368" i="1"/>
  <c r="X2368" i="1" s="1"/>
  <c r="BB2368" i="1"/>
  <c r="AN2368" i="1"/>
  <c r="AM2368" i="1"/>
  <c r="BF2368" i="1" s="1"/>
  <c r="AI2368" i="1"/>
  <c r="AH2368" i="1"/>
  <c r="AF2368" i="1"/>
  <c r="AE2368" i="1"/>
  <c r="AD2368" i="1"/>
  <c r="AC2368" i="1"/>
  <c r="AB2368" i="1"/>
  <c r="AA2368" i="1"/>
  <c r="Z2368" i="1"/>
  <c r="M2368" i="1"/>
  <c r="BD2368" i="1" s="1"/>
  <c r="K2368" i="1"/>
  <c r="AJ2368" i="1" s="1"/>
  <c r="BU2366" i="1"/>
  <c r="BH2366" i="1"/>
  <c r="X2366" i="1" s="1"/>
  <c r="BB2366" i="1"/>
  <c r="AN2366" i="1"/>
  <c r="AM2366" i="1"/>
  <c r="BF2366" i="1" s="1"/>
  <c r="AI2366" i="1"/>
  <c r="AH2366" i="1"/>
  <c r="AF2366" i="1"/>
  <c r="AE2366" i="1"/>
  <c r="AD2366" i="1"/>
  <c r="AC2366" i="1"/>
  <c r="AB2366" i="1"/>
  <c r="AA2366" i="1"/>
  <c r="Z2366" i="1"/>
  <c r="M2366" i="1"/>
  <c r="BD2366" i="1" s="1"/>
  <c r="K2366" i="1"/>
  <c r="BU2364" i="1"/>
  <c r="BH2364" i="1"/>
  <c r="X2364" i="1" s="1"/>
  <c r="BB2364" i="1"/>
  <c r="AN2364" i="1"/>
  <c r="AM2364" i="1"/>
  <c r="I2364" i="1" s="1"/>
  <c r="AI2364" i="1"/>
  <c r="AH2364" i="1"/>
  <c r="AF2364" i="1"/>
  <c r="AE2364" i="1"/>
  <c r="AD2364" i="1"/>
  <c r="AC2364" i="1"/>
  <c r="AB2364" i="1"/>
  <c r="AA2364" i="1"/>
  <c r="Z2364" i="1"/>
  <c r="M2364" i="1"/>
  <c r="BD2364" i="1" s="1"/>
  <c r="K2364" i="1"/>
  <c r="AJ2364" i="1" s="1"/>
  <c r="BU2362" i="1"/>
  <c r="BH2362" i="1"/>
  <c r="X2362" i="1" s="1"/>
  <c r="BB2362" i="1"/>
  <c r="AN2362" i="1"/>
  <c r="AM2362" i="1"/>
  <c r="AI2362" i="1"/>
  <c r="AH2362" i="1"/>
  <c r="AF2362" i="1"/>
  <c r="AE2362" i="1"/>
  <c r="AD2362" i="1"/>
  <c r="AC2362" i="1"/>
  <c r="AB2362" i="1"/>
  <c r="AA2362" i="1"/>
  <c r="Z2362" i="1"/>
  <c r="M2362" i="1"/>
  <c r="BD2362" i="1" s="1"/>
  <c r="K2362" i="1"/>
  <c r="BU2360" i="1"/>
  <c r="BH2360" i="1"/>
  <c r="X2360" i="1" s="1"/>
  <c r="BB2360" i="1"/>
  <c r="AN2360" i="1"/>
  <c r="AV2360" i="1" s="1"/>
  <c r="AM2360" i="1"/>
  <c r="I2360" i="1" s="1"/>
  <c r="AI2360" i="1"/>
  <c r="AH2360" i="1"/>
  <c r="AF2360" i="1"/>
  <c r="AE2360" i="1"/>
  <c r="AD2360" i="1"/>
  <c r="AC2360" i="1"/>
  <c r="AB2360" i="1"/>
  <c r="AA2360" i="1"/>
  <c r="Z2360" i="1"/>
  <c r="M2360" i="1"/>
  <c r="K2360" i="1"/>
  <c r="AJ2360" i="1" s="1"/>
  <c r="BU2357" i="1"/>
  <c r="BH2357" i="1"/>
  <c r="BB2357" i="1"/>
  <c r="AN2357" i="1"/>
  <c r="AM2357" i="1"/>
  <c r="I2357" i="1" s="1"/>
  <c r="I2356" i="1" s="1"/>
  <c r="D121" i="2" s="1"/>
  <c r="AI2357" i="1"/>
  <c r="AR2356" i="1" s="1"/>
  <c r="AH2357" i="1"/>
  <c r="AQ2356" i="1" s="1"/>
  <c r="AF2357" i="1"/>
  <c r="AE2357" i="1"/>
  <c r="AD2357" i="1"/>
  <c r="AC2357" i="1"/>
  <c r="AB2357" i="1"/>
  <c r="X2357" i="1"/>
  <c r="M2357" i="1"/>
  <c r="K2357" i="1"/>
  <c r="BU2354" i="1"/>
  <c r="BH2354" i="1"/>
  <c r="BB2354" i="1"/>
  <c r="AN2354" i="1"/>
  <c r="BG2354" i="1" s="1"/>
  <c r="AA2354" i="1" s="1"/>
  <c r="AM2354" i="1"/>
  <c r="BF2354" i="1" s="1"/>
  <c r="Z2354" i="1" s="1"/>
  <c r="AI2354" i="1"/>
  <c r="AH2354" i="1"/>
  <c r="AF2354" i="1"/>
  <c r="AE2354" i="1"/>
  <c r="AD2354" i="1"/>
  <c r="AC2354" i="1"/>
  <c r="AB2354" i="1"/>
  <c r="X2354" i="1"/>
  <c r="M2354" i="1"/>
  <c r="K2354" i="1"/>
  <c r="AJ2354" i="1" s="1"/>
  <c r="BU2352" i="1"/>
  <c r="BH2352" i="1"/>
  <c r="BB2352" i="1"/>
  <c r="AN2352" i="1"/>
  <c r="AM2352" i="1"/>
  <c r="AI2352" i="1"/>
  <c r="AH2352" i="1"/>
  <c r="AF2352" i="1"/>
  <c r="AE2352" i="1"/>
  <c r="AD2352" i="1"/>
  <c r="AC2352" i="1"/>
  <c r="AB2352" i="1"/>
  <c r="X2352" i="1"/>
  <c r="M2352" i="1"/>
  <c r="BD2352" i="1" s="1"/>
  <c r="K2352" i="1"/>
  <c r="BU2349" i="1"/>
  <c r="BH2349" i="1"/>
  <c r="BB2349" i="1"/>
  <c r="AN2349" i="1"/>
  <c r="AV2349" i="1" s="1"/>
  <c r="AM2349" i="1"/>
  <c r="AI2349" i="1"/>
  <c r="AH2349" i="1"/>
  <c r="AF2349" i="1"/>
  <c r="AE2349" i="1"/>
  <c r="AD2349" i="1"/>
  <c r="AA2349" i="1"/>
  <c r="Z2349" i="1"/>
  <c r="X2349" i="1"/>
  <c r="M2349" i="1"/>
  <c r="BD2349" i="1" s="1"/>
  <c r="K2349" i="1"/>
  <c r="BU2347" i="1"/>
  <c r="BH2347" i="1"/>
  <c r="BB2347" i="1"/>
  <c r="AN2347" i="1"/>
  <c r="J2347" i="1" s="1"/>
  <c r="AM2347" i="1"/>
  <c r="I2347" i="1" s="1"/>
  <c r="AJ2347" i="1"/>
  <c r="AI2347" i="1"/>
  <c r="AH2347" i="1"/>
  <c r="AF2347" i="1"/>
  <c r="AE2347" i="1"/>
  <c r="AD2347" i="1"/>
  <c r="AA2347" i="1"/>
  <c r="Z2347" i="1"/>
  <c r="X2347" i="1"/>
  <c r="M2347" i="1"/>
  <c r="BD2347" i="1" s="1"/>
  <c r="K2347" i="1"/>
  <c r="BU2345" i="1"/>
  <c r="BH2345" i="1"/>
  <c r="BB2345" i="1"/>
  <c r="AN2345" i="1"/>
  <c r="AV2345" i="1" s="1"/>
  <c r="AM2345" i="1"/>
  <c r="BF2345" i="1" s="1"/>
  <c r="AB2345" i="1" s="1"/>
  <c r="AI2345" i="1"/>
  <c r="AH2345" i="1"/>
  <c r="AF2345" i="1"/>
  <c r="AE2345" i="1"/>
  <c r="AD2345" i="1"/>
  <c r="AA2345" i="1"/>
  <c r="Z2345" i="1"/>
  <c r="X2345" i="1"/>
  <c r="M2345" i="1"/>
  <c r="BD2345" i="1" s="1"/>
  <c r="K2345" i="1"/>
  <c r="AJ2345" i="1" s="1"/>
  <c r="BU2344" i="1"/>
  <c r="BH2344" i="1"/>
  <c r="BB2344" i="1"/>
  <c r="AN2344" i="1"/>
  <c r="AM2344" i="1"/>
  <c r="AU2344" i="1" s="1"/>
  <c r="AI2344" i="1"/>
  <c r="AH2344" i="1"/>
  <c r="AF2344" i="1"/>
  <c r="AE2344" i="1"/>
  <c r="AD2344" i="1"/>
  <c r="AA2344" i="1"/>
  <c r="Z2344" i="1"/>
  <c r="X2344" i="1"/>
  <c r="M2344" i="1"/>
  <c r="BD2344" i="1" s="1"/>
  <c r="K2344" i="1"/>
  <c r="AJ2344" i="1" s="1"/>
  <c r="BU2342" i="1"/>
  <c r="BH2342" i="1"/>
  <c r="BB2342" i="1"/>
  <c r="AN2342" i="1"/>
  <c r="J2342" i="1" s="1"/>
  <c r="AM2342" i="1"/>
  <c r="BF2342" i="1" s="1"/>
  <c r="AB2342" i="1" s="1"/>
  <c r="AI2342" i="1"/>
  <c r="AH2342" i="1"/>
  <c r="AF2342" i="1"/>
  <c r="AE2342" i="1"/>
  <c r="AD2342" i="1"/>
  <c r="AA2342" i="1"/>
  <c r="Z2342" i="1"/>
  <c r="X2342" i="1"/>
  <c r="M2342" i="1"/>
  <c r="BD2342" i="1" s="1"/>
  <c r="K2342" i="1"/>
  <c r="AJ2342" i="1" s="1"/>
  <c r="BU2340" i="1"/>
  <c r="BH2340" i="1"/>
  <c r="BB2340" i="1"/>
  <c r="AN2340" i="1"/>
  <c r="AM2340" i="1"/>
  <c r="BF2340" i="1" s="1"/>
  <c r="AB2340" i="1" s="1"/>
  <c r="AI2340" i="1"/>
  <c r="AH2340" i="1"/>
  <c r="AF2340" i="1"/>
  <c r="AE2340" i="1"/>
  <c r="AD2340" i="1"/>
  <c r="AA2340" i="1"/>
  <c r="Z2340" i="1"/>
  <c r="X2340" i="1"/>
  <c r="M2340" i="1"/>
  <c r="BD2340" i="1" s="1"/>
  <c r="K2340" i="1"/>
  <c r="BU2338" i="1"/>
  <c r="BH2338" i="1"/>
  <c r="BB2338" i="1"/>
  <c r="AN2338" i="1"/>
  <c r="AV2338" i="1" s="1"/>
  <c r="AM2338" i="1"/>
  <c r="AI2338" i="1"/>
  <c r="AH2338" i="1"/>
  <c r="AF2338" i="1"/>
  <c r="AE2338" i="1"/>
  <c r="AD2338" i="1"/>
  <c r="AA2338" i="1"/>
  <c r="Z2338" i="1"/>
  <c r="X2338" i="1"/>
  <c r="M2338" i="1"/>
  <c r="BD2338" i="1" s="1"/>
  <c r="K2338" i="1"/>
  <c r="AJ2338" i="1" s="1"/>
  <c r="BU2336" i="1"/>
  <c r="BH2336" i="1"/>
  <c r="BB2336" i="1"/>
  <c r="AN2336" i="1"/>
  <c r="AM2336" i="1"/>
  <c r="AI2336" i="1"/>
  <c r="AH2336" i="1"/>
  <c r="AF2336" i="1"/>
  <c r="AE2336" i="1"/>
  <c r="AD2336" i="1"/>
  <c r="AA2336" i="1"/>
  <c r="Z2336" i="1"/>
  <c r="X2336" i="1"/>
  <c r="M2336" i="1"/>
  <c r="BD2336" i="1" s="1"/>
  <c r="K2336" i="1"/>
  <c r="AJ2336" i="1" s="1"/>
  <c r="BU2334" i="1"/>
  <c r="BH2334" i="1"/>
  <c r="BB2334" i="1"/>
  <c r="AN2334" i="1"/>
  <c r="AM2334" i="1"/>
  <c r="AI2334" i="1"/>
  <c r="AH2334" i="1"/>
  <c r="AF2334" i="1"/>
  <c r="AE2334" i="1"/>
  <c r="AD2334" i="1"/>
  <c r="AA2334" i="1"/>
  <c r="Z2334" i="1"/>
  <c r="X2334" i="1"/>
  <c r="M2334" i="1"/>
  <c r="BD2334" i="1" s="1"/>
  <c r="K2334" i="1"/>
  <c r="AJ2334" i="1" s="1"/>
  <c r="BU2332" i="1"/>
  <c r="BH2332" i="1"/>
  <c r="BB2332" i="1"/>
  <c r="AN2332" i="1"/>
  <c r="AM2332" i="1"/>
  <c r="AI2332" i="1"/>
  <c r="AH2332" i="1"/>
  <c r="AF2332" i="1"/>
  <c r="AE2332" i="1"/>
  <c r="AD2332" i="1"/>
  <c r="AA2332" i="1"/>
  <c r="Z2332" i="1"/>
  <c r="X2332" i="1"/>
  <c r="M2332" i="1"/>
  <c r="BD2332" i="1" s="1"/>
  <c r="K2332" i="1"/>
  <c r="AJ2332" i="1" s="1"/>
  <c r="BU2330" i="1"/>
  <c r="BH2330" i="1"/>
  <c r="BB2330" i="1"/>
  <c r="AN2330" i="1"/>
  <c r="J2330" i="1" s="1"/>
  <c r="AM2330" i="1"/>
  <c r="I2330" i="1" s="1"/>
  <c r="AI2330" i="1"/>
  <c r="AH2330" i="1"/>
  <c r="AF2330" i="1"/>
  <c r="AE2330" i="1"/>
  <c r="AD2330" i="1"/>
  <c r="AA2330" i="1"/>
  <c r="Z2330" i="1"/>
  <c r="X2330" i="1"/>
  <c r="M2330" i="1"/>
  <c r="BD2330" i="1" s="1"/>
  <c r="K2330" i="1"/>
  <c r="AJ2330" i="1" s="1"/>
  <c r="BU2328" i="1"/>
  <c r="BH2328" i="1"/>
  <c r="BB2328" i="1"/>
  <c r="AN2328" i="1"/>
  <c r="AM2328" i="1"/>
  <c r="I2328" i="1" s="1"/>
  <c r="AI2328" i="1"/>
  <c r="AH2328" i="1"/>
  <c r="AF2328" i="1"/>
  <c r="AE2328" i="1"/>
  <c r="AD2328" i="1"/>
  <c r="AA2328" i="1"/>
  <c r="Z2328" i="1"/>
  <c r="X2328" i="1"/>
  <c r="M2328" i="1"/>
  <c r="BD2328" i="1" s="1"/>
  <c r="K2328" i="1"/>
  <c r="AJ2328" i="1" s="1"/>
  <c r="BU2326" i="1"/>
  <c r="BH2326" i="1"/>
  <c r="BB2326" i="1"/>
  <c r="AN2326" i="1"/>
  <c r="AM2326" i="1"/>
  <c r="BF2326" i="1" s="1"/>
  <c r="AB2326" i="1" s="1"/>
  <c r="AI2326" i="1"/>
  <c r="AH2326" i="1"/>
  <c r="AF2326" i="1"/>
  <c r="AE2326" i="1"/>
  <c r="AD2326" i="1"/>
  <c r="AA2326" i="1"/>
  <c r="Z2326" i="1"/>
  <c r="X2326" i="1"/>
  <c r="M2326" i="1"/>
  <c r="BD2326" i="1" s="1"/>
  <c r="K2326" i="1"/>
  <c r="AJ2326" i="1" s="1"/>
  <c r="BU2324" i="1"/>
  <c r="BH2324" i="1"/>
  <c r="BB2324" i="1"/>
  <c r="AN2324" i="1"/>
  <c r="AM2324" i="1"/>
  <c r="AI2324" i="1"/>
  <c r="AH2324" i="1"/>
  <c r="AF2324" i="1"/>
  <c r="AE2324" i="1"/>
  <c r="AD2324" i="1"/>
  <c r="AA2324" i="1"/>
  <c r="Z2324" i="1"/>
  <c r="X2324" i="1"/>
  <c r="M2324" i="1"/>
  <c r="BD2324" i="1" s="1"/>
  <c r="K2324" i="1"/>
  <c r="AJ2324" i="1" s="1"/>
  <c r="BU2322" i="1"/>
  <c r="BH2322" i="1"/>
  <c r="BB2322" i="1"/>
  <c r="AN2322" i="1"/>
  <c r="AM2322" i="1"/>
  <c r="AI2322" i="1"/>
  <c r="AH2322" i="1"/>
  <c r="AF2322" i="1"/>
  <c r="AE2322" i="1"/>
  <c r="AD2322" i="1"/>
  <c r="AA2322" i="1"/>
  <c r="Z2322" i="1"/>
  <c r="X2322" i="1"/>
  <c r="M2322" i="1"/>
  <c r="BD2322" i="1" s="1"/>
  <c r="K2322" i="1"/>
  <c r="AJ2322" i="1" s="1"/>
  <c r="BU2320" i="1"/>
  <c r="BH2320" i="1"/>
  <c r="BB2320" i="1"/>
  <c r="AN2320" i="1"/>
  <c r="AM2320" i="1"/>
  <c r="AU2320" i="1" s="1"/>
  <c r="AI2320" i="1"/>
  <c r="AH2320" i="1"/>
  <c r="AF2320" i="1"/>
  <c r="AE2320" i="1"/>
  <c r="AD2320" i="1"/>
  <c r="AA2320" i="1"/>
  <c r="Z2320" i="1"/>
  <c r="X2320" i="1"/>
  <c r="M2320" i="1"/>
  <c r="BD2320" i="1" s="1"/>
  <c r="K2320" i="1"/>
  <c r="BU2318" i="1"/>
  <c r="BH2318" i="1"/>
  <c r="BB2318" i="1"/>
  <c r="AN2318" i="1"/>
  <c r="AM2318" i="1"/>
  <c r="AI2318" i="1"/>
  <c r="AH2318" i="1"/>
  <c r="AF2318" i="1"/>
  <c r="AE2318" i="1"/>
  <c r="AD2318" i="1"/>
  <c r="AA2318" i="1"/>
  <c r="Z2318" i="1"/>
  <c r="X2318" i="1"/>
  <c r="M2318" i="1"/>
  <c r="BD2318" i="1" s="1"/>
  <c r="K2318" i="1"/>
  <c r="BU2316" i="1"/>
  <c r="BH2316" i="1"/>
  <c r="BB2316" i="1"/>
  <c r="AN2316" i="1"/>
  <c r="AM2316" i="1"/>
  <c r="BF2316" i="1" s="1"/>
  <c r="AB2316" i="1" s="1"/>
  <c r="AI2316" i="1"/>
  <c r="AH2316" i="1"/>
  <c r="AF2316" i="1"/>
  <c r="AE2316" i="1"/>
  <c r="AD2316" i="1"/>
  <c r="AA2316" i="1"/>
  <c r="Z2316" i="1"/>
  <c r="X2316" i="1"/>
  <c r="M2316" i="1"/>
  <c r="BD2316" i="1" s="1"/>
  <c r="K2316" i="1"/>
  <c r="BU2314" i="1"/>
  <c r="BH2314" i="1"/>
  <c r="BB2314" i="1"/>
  <c r="AN2314" i="1"/>
  <c r="AV2314" i="1" s="1"/>
  <c r="AM2314" i="1"/>
  <c r="I2314" i="1" s="1"/>
  <c r="AI2314" i="1"/>
  <c r="AH2314" i="1"/>
  <c r="AF2314" i="1"/>
  <c r="AE2314" i="1"/>
  <c r="AD2314" i="1"/>
  <c r="AA2314" i="1"/>
  <c r="Z2314" i="1"/>
  <c r="X2314" i="1"/>
  <c r="M2314" i="1"/>
  <c r="BD2314" i="1" s="1"/>
  <c r="K2314" i="1"/>
  <c r="AJ2314" i="1" s="1"/>
  <c r="BU2312" i="1"/>
  <c r="BH2312" i="1"/>
  <c r="BB2312" i="1"/>
  <c r="AN2312" i="1"/>
  <c r="AM2312" i="1"/>
  <c r="I2312" i="1" s="1"/>
  <c r="AJ2312" i="1"/>
  <c r="AI2312" i="1"/>
  <c r="AH2312" i="1"/>
  <c r="AF2312" i="1"/>
  <c r="AE2312" i="1"/>
  <c r="AD2312" i="1"/>
  <c r="AA2312" i="1"/>
  <c r="Z2312" i="1"/>
  <c r="X2312" i="1"/>
  <c r="M2312" i="1"/>
  <c r="BD2312" i="1" s="1"/>
  <c r="K2312" i="1"/>
  <c r="BU2310" i="1"/>
  <c r="BH2310" i="1"/>
  <c r="X2310" i="1" s="1"/>
  <c r="BD2310" i="1"/>
  <c r="BB2310" i="1"/>
  <c r="AN2310" i="1"/>
  <c r="AM2310" i="1"/>
  <c r="BF2310" i="1" s="1"/>
  <c r="AI2310" i="1"/>
  <c r="AH2310" i="1"/>
  <c r="AF2310" i="1"/>
  <c r="AE2310" i="1"/>
  <c r="AD2310" i="1"/>
  <c r="AC2310" i="1"/>
  <c r="AB2310" i="1"/>
  <c r="AA2310" i="1"/>
  <c r="Z2310" i="1"/>
  <c r="M2310" i="1"/>
  <c r="K2310" i="1"/>
  <c r="AJ2310" i="1" s="1"/>
  <c r="BU2309" i="1"/>
  <c r="BH2309" i="1"/>
  <c r="BB2309" i="1"/>
  <c r="AN2309" i="1"/>
  <c r="BG2309" i="1" s="1"/>
  <c r="AC2309" i="1" s="1"/>
  <c r="AM2309" i="1"/>
  <c r="BF2309" i="1" s="1"/>
  <c r="AB2309" i="1" s="1"/>
  <c r="AI2309" i="1"/>
  <c r="AH2309" i="1"/>
  <c r="AF2309" i="1"/>
  <c r="AE2309" i="1"/>
  <c r="AD2309" i="1"/>
  <c r="AA2309" i="1"/>
  <c r="Z2309" i="1"/>
  <c r="X2309" i="1"/>
  <c r="M2309" i="1"/>
  <c r="BD2309" i="1" s="1"/>
  <c r="K2309" i="1"/>
  <c r="AJ2309" i="1" s="1"/>
  <c r="BU2308" i="1"/>
  <c r="BH2308" i="1"/>
  <c r="BB2308" i="1"/>
  <c r="AN2308" i="1"/>
  <c r="AM2308" i="1"/>
  <c r="AI2308" i="1"/>
  <c r="AH2308" i="1"/>
  <c r="AF2308" i="1"/>
  <c r="AE2308" i="1"/>
  <c r="AD2308" i="1"/>
  <c r="AA2308" i="1"/>
  <c r="Z2308" i="1"/>
  <c r="X2308" i="1"/>
  <c r="M2308" i="1"/>
  <c r="BD2308" i="1" s="1"/>
  <c r="K2308" i="1"/>
  <c r="AJ2308" i="1" s="1"/>
  <c r="BU2307" i="1"/>
  <c r="BH2307" i="1"/>
  <c r="BB2307" i="1"/>
  <c r="AN2307" i="1"/>
  <c r="AM2307" i="1"/>
  <c r="AI2307" i="1"/>
  <c r="AH2307" i="1"/>
  <c r="AF2307" i="1"/>
  <c r="AE2307" i="1"/>
  <c r="AD2307" i="1"/>
  <c r="AA2307" i="1"/>
  <c r="Z2307" i="1"/>
  <c r="X2307" i="1"/>
  <c r="M2307" i="1"/>
  <c r="BD2307" i="1" s="1"/>
  <c r="K2307" i="1"/>
  <c r="BU2306" i="1"/>
  <c r="BH2306" i="1"/>
  <c r="BB2306" i="1"/>
  <c r="AN2306" i="1"/>
  <c r="BG2306" i="1" s="1"/>
  <c r="AC2306" i="1" s="1"/>
  <c r="AM2306" i="1"/>
  <c r="I2306" i="1" s="1"/>
  <c r="AI2306" i="1"/>
  <c r="AH2306" i="1"/>
  <c r="AF2306" i="1"/>
  <c r="AE2306" i="1"/>
  <c r="AD2306" i="1"/>
  <c r="AA2306" i="1"/>
  <c r="Z2306" i="1"/>
  <c r="X2306" i="1"/>
  <c r="M2306" i="1"/>
  <c r="BD2306" i="1" s="1"/>
  <c r="K2306" i="1"/>
  <c r="AJ2306" i="1" s="1"/>
  <c r="BU2305" i="1"/>
  <c r="BH2305" i="1"/>
  <c r="BB2305" i="1"/>
  <c r="AN2305" i="1"/>
  <c r="AV2305" i="1" s="1"/>
  <c r="AM2305" i="1"/>
  <c r="AI2305" i="1"/>
  <c r="AH2305" i="1"/>
  <c r="AF2305" i="1"/>
  <c r="AE2305" i="1"/>
  <c r="AD2305" i="1"/>
  <c r="AA2305" i="1"/>
  <c r="Z2305" i="1"/>
  <c r="X2305" i="1"/>
  <c r="M2305" i="1"/>
  <c r="BD2305" i="1" s="1"/>
  <c r="K2305" i="1"/>
  <c r="BU2303" i="1"/>
  <c r="BH2303" i="1"/>
  <c r="BB2303" i="1"/>
  <c r="AN2303" i="1"/>
  <c r="AM2303" i="1"/>
  <c r="AI2303" i="1"/>
  <c r="AH2303" i="1"/>
  <c r="AF2303" i="1"/>
  <c r="AE2303" i="1"/>
  <c r="AD2303" i="1"/>
  <c r="AA2303" i="1"/>
  <c r="Z2303" i="1"/>
  <c r="X2303" i="1"/>
  <c r="M2303" i="1"/>
  <c r="BD2303" i="1" s="1"/>
  <c r="K2303" i="1"/>
  <c r="AJ2303" i="1" s="1"/>
  <c r="BU2301" i="1"/>
  <c r="BH2301" i="1"/>
  <c r="BB2301" i="1"/>
  <c r="AN2301" i="1"/>
  <c r="J2301" i="1" s="1"/>
  <c r="AM2301" i="1"/>
  <c r="I2301" i="1" s="1"/>
  <c r="AI2301" i="1"/>
  <c r="AH2301" i="1"/>
  <c r="AF2301" i="1"/>
  <c r="AE2301" i="1"/>
  <c r="AD2301" i="1"/>
  <c r="AA2301" i="1"/>
  <c r="Z2301" i="1"/>
  <c r="X2301" i="1"/>
  <c r="M2301" i="1"/>
  <c r="BD2301" i="1" s="1"/>
  <c r="K2301" i="1"/>
  <c r="AJ2301" i="1" s="1"/>
  <c r="BU2299" i="1"/>
  <c r="BH2299" i="1"/>
  <c r="BB2299" i="1"/>
  <c r="AN2299" i="1"/>
  <c r="AM2299" i="1"/>
  <c r="AI2299" i="1"/>
  <c r="AH2299" i="1"/>
  <c r="AF2299" i="1"/>
  <c r="AE2299" i="1"/>
  <c r="AD2299" i="1"/>
  <c r="AA2299" i="1"/>
  <c r="Z2299" i="1"/>
  <c r="X2299" i="1"/>
  <c r="M2299" i="1"/>
  <c r="BD2299" i="1" s="1"/>
  <c r="K2299" i="1"/>
  <c r="AJ2299" i="1" s="1"/>
  <c r="BU2297" i="1"/>
  <c r="BH2297" i="1"/>
  <c r="BB2297" i="1"/>
  <c r="AN2297" i="1"/>
  <c r="AM2297" i="1"/>
  <c r="AI2297" i="1"/>
  <c r="AH2297" i="1"/>
  <c r="AF2297" i="1"/>
  <c r="AE2297" i="1"/>
  <c r="AD2297" i="1"/>
  <c r="AA2297" i="1"/>
  <c r="Z2297" i="1"/>
  <c r="X2297" i="1"/>
  <c r="M2297" i="1"/>
  <c r="BD2297" i="1" s="1"/>
  <c r="K2297" i="1"/>
  <c r="AJ2297" i="1" s="1"/>
  <c r="BU2295" i="1"/>
  <c r="BH2295" i="1"/>
  <c r="BB2295" i="1"/>
  <c r="AN2295" i="1"/>
  <c r="AM2295" i="1"/>
  <c r="AI2295" i="1"/>
  <c r="AH2295" i="1"/>
  <c r="AF2295" i="1"/>
  <c r="AE2295" i="1"/>
  <c r="AD2295" i="1"/>
  <c r="AA2295" i="1"/>
  <c r="Z2295" i="1"/>
  <c r="X2295" i="1"/>
  <c r="M2295" i="1"/>
  <c r="BD2295" i="1" s="1"/>
  <c r="K2295" i="1"/>
  <c r="AJ2295" i="1" s="1"/>
  <c r="BU2293" i="1"/>
  <c r="BH2293" i="1"/>
  <c r="BB2293" i="1"/>
  <c r="AN2293" i="1"/>
  <c r="J2293" i="1" s="1"/>
  <c r="AM2293" i="1"/>
  <c r="I2293" i="1" s="1"/>
  <c r="AI2293" i="1"/>
  <c r="AH2293" i="1"/>
  <c r="AF2293" i="1"/>
  <c r="AE2293" i="1"/>
  <c r="AD2293" i="1"/>
  <c r="AA2293" i="1"/>
  <c r="Z2293" i="1"/>
  <c r="X2293" i="1"/>
  <c r="M2293" i="1"/>
  <c r="BD2293" i="1" s="1"/>
  <c r="K2293" i="1"/>
  <c r="AJ2293" i="1" s="1"/>
  <c r="BU2291" i="1"/>
  <c r="BH2291" i="1"/>
  <c r="BF2291" i="1"/>
  <c r="AB2291" i="1" s="1"/>
  <c r="BB2291" i="1"/>
  <c r="AN2291" i="1"/>
  <c r="AM2291" i="1"/>
  <c r="AI2291" i="1"/>
  <c r="AH2291" i="1"/>
  <c r="AF2291" i="1"/>
  <c r="AE2291" i="1"/>
  <c r="AD2291" i="1"/>
  <c r="AA2291" i="1"/>
  <c r="Z2291" i="1"/>
  <c r="X2291" i="1"/>
  <c r="M2291" i="1"/>
  <c r="BD2291" i="1" s="1"/>
  <c r="K2291" i="1"/>
  <c r="AJ2291" i="1" s="1"/>
  <c r="BU2289" i="1"/>
  <c r="BH2289" i="1"/>
  <c r="BB2289" i="1"/>
  <c r="AN2289" i="1"/>
  <c r="AM2289" i="1"/>
  <c r="I2289" i="1" s="1"/>
  <c r="AI2289" i="1"/>
  <c r="AH2289" i="1"/>
  <c r="AF2289" i="1"/>
  <c r="AE2289" i="1"/>
  <c r="AD2289" i="1"/>
  <c r="AA2289" i="1"/>
  <c r="Z2289" i="1"/>
  <c r="X2289" i="1"/>
  <c r="M2289" i="1"/>
  <c r="BD2289" i="1" s="1"/>
  <c r="K2289" i="1"/>
  <c r="AJ2289" i="1" s="1"/>
  <c r="BU2287" i="1"/>
  <c r="BH2287" i="1"/>
  <c r="BB2287" i="1"/>
  <c r="AN2287" i="1"/>
  <c r="AM2287" i="1"/>
  <c r="AU2287" i="1" s="1"/>
  <c r="AI2287" i="1"/>
  <c r="AH2287" i="1"/>
  <c r="AF2287" i="1"/>
  <c r="AE2287" i="1"/>
  <c r="AD2287" i="1"/>
  <c r="AA2287" i="1"/>
  <c r="Z2287" i="1"/>
  <c r="X2287" i="1"/>
  <c r="M2287" i="1"/>
  <c r="BD2287" i="1" s="1"/>
  <c r="K2287" i="1"/>
  <c r="AJ2287" i="1" s="1"/>
  <c r="BU2285" i="1"/>
  <c r="BH2285" i="1"/>
  <c r="BB2285" i="1"/>
  <c r="AN2285" i="1"/>
  <c r="AM2285" i="1"/>
  <c r="AI2285" i="1"/>
  <c r="AH2285" i="1"/>
  <c r="AF2285" i="1"/>
  <c r="AE2285" i="1"/>
  <c r="AD2285" i="1"/>
  <c r="AA2285" i="1"/>
  <c r="Z2285" i="1"/>
  <c r="X2285" i="1"/>
  <c r="M2285" i="1"/>
  <c r="BD2285" i="1" s="1"/>
  <c r="K2285" i="1"/>
  <c r="BU2283" i="1"/>
  <c r="BH2283" i="1"/>
  <c r="BB2283" i="1"/>
  <c r="AN2283" i="1"/>
  <c r="BG2283" i="1" s="1"/>
  <c r="AC2283" i="1" s="1"/>
  <c r="AM2283" i="1"/>
  <c r="AI2283" i="1"/>
  <c r="AH2283" i="1"/>
  <c r="AF2283" i="1"/>
  <c r="AE2283" i="1"/>
  <c r="AD2283" i="1"/>
  <c r="AA2283" i="1"/>
  <c r="Z2283" i="1"/>
  <c r="X2283" i="1"/>
  <c r="M2283" i="1"/>
  <c r="BD2283" i="1" s="1"/>
  <c r="K2283" i="1"/>
  <c r="AJ2283" i="1" s="1"/>
  <c r="BU2281" i="1"/>
  <c r="BH2281" i="1"/>
  <c r="BB2281" i="1"/>
  <c r="AN2281" i="1"/>
  <c r="J2281" i="1" s="1"/>
  <c r="AM2281" i="1"/>
  <c r="I2281" i="1" s="1"/>
  <c r="AJ2281" i="1"/>
  <c r="AI2281" i="1"/>
  <c r="AH2281" i="1"/>
  <c r="AF2281" i="1"/>
  <c r="AE2281" i="1"/>
  <c r="AD2281" i="1"/>
  <c r="AA2281" i="1"/>
  <c r="Z2281" i="1"/>
  <c r="X2281" i="1"/>
  <c r="M2281" i="1"/>
  <c r="BD2281" i="1" s="1"/>
  <c r="K2281" i="1"/>
  <c r="BU2279" i="1"/>
  <c r="BH2279" i="1"/>
  <c r="BB2279" i="1"/>
  <c r="AN2279" i="1"/>
  <c r="AM2279" i="1"/>
  <c r="AI2279" i="1"/>
  <c r="AH2279" i="1"/>
  <c r="AF2279" i="1"/>
  <c r="AE2279" i="1"/>
  <c r="AD2279" i="1"/>
  <c r="AA2279" i="1"/>
  <c r="Z2279" i="1"/>
  <c r="X2279" i="1"/>
  <c r="M2279" i="1"/>
  <c r="K2279" i="1"/>
  <c r="BU2276" i="1"/>
  <c r="BH2276" i="1"/>
  <c r="X2276" i="1" s="1"/>
  <c r="BB2276" i="1"/>
  <c r="AN2276" i="1"/>
  <c r="AM2276" i="1"/>
  <c r="AU2276" i="1" s="1"/>
  <c r="AI2276" i="1"/>
  <c r="AH2276" i="1"/>
  <c r="AF2276" i="1"/>
  <c r="AE2276" i="1"/>
  <c r="AD2276" i="1"/>
  <c r="AC2276" i="1"/>
  <c r="AB2276" i="1"/>
  <c r="AA2276" i="1"/>
  <c r="Z2276" i="1"/>
  <c r="M2276" i="1"/>
  <c r="BD2276" i="1" s="1"/>
  <c r="K2276" i="1"/>
  <c r="AJ2276" i="1" s="1"/>
  <c r="BU2274" i="1"/>
  <c r="BH2274" i="1"/>
  <c r="BB2274" i="1"/>
  <c r="AN2274" i="1"/>
  <c r="J2274" i="1" s="1"/>
  <c r="AM2274" i="1"/>
  <c r="AI2274" i="1"/>
  <c r="AH2274" i="1"/>
  <c r="AF2274" i="1"/>
  <c r="AE2274" i="1"/>
  <c r="AD2274" i="1"/>
  <c r="AA2274" i="1"/>
  <c r="Z2274" i="1"/>
  <c r="X2274" i="1"/>
  <c r="M2274" i="1"/>
  <c r="BD2274" i="1" s="1"/>
  <c r="K2274" i="1"/>
  <c r="AJ2274" i="1" s="1"/>
  <c r="BU2272" i="1"/>
  <c r="BH2272" i="1"/>
  <c r="BB2272" i="1"/>
  <c r="AN2272" i="1"/>
  <c r="J2272" i="1" s="1"/>
  <c r="AM2272" i="1"/>
  <c r="AI2272" i="1"/>
  <c r="AH2272" i="1"/>
  <c r="AF2272" i="1"/>
  <c r="AE2272" i="1"/>
  <c r="AD2272" i="1"/>
  <c r="AA2272" i="1"/>
  <c r="Z2272" i="1"/>
  <c r="X2272" i="1"/>
  <c r="M2272" i="1"/>
  <c r="BD2272" i="1" s="1"/>
  <c r="K2272" i="1"/>
  <c r="BU2270" i="1"/>
  <c r="BH2270" i="1"/>
  <c r="BB2270" i="1"/>
  <c r="AN2270" i="1"/>
  <c r="AV2270" i="1" s="1"/>
  <c r="AM2270" i="1"/>
  <c r="AU2270" i="1" s="1"/>
  <c r="AI2270" i="1"/>
  <c r="AH2270" i="1"/>
  <c r="AF2270" i="1"/>
  <c r="AE2270" i="1"/>
  <c r="AD2270" i="1"/>
  <c r="AA2270" i="1"/>
  <c r="Z2270" i="1"/>
  <c r="X2270" i="1"/>
  <c r="M2270" i="1"/>
  <c r="BD2270" i="1" s="1"/>
  <c r="K2270" i="1"/>
  <c r="AJ2270" i="1" s="1"/>
  <c r="BU2268" i="1"/>
  <c r="BH2268" i="1"/>
  <c r="BB2268" i="1"/>
  <c r="AN2268" i="1"/>
  <c r="J2268" i="1" s="1"/>
  <c r="AM2268" i="1"/>
  <c r="I2268" i="1" s="1"/>
  <c r="AJ2268" i="1"/>
  <c r="AI2268" i="1"/>
  <c r="AH2268" i="1"/>
  <c r="AF2268" i="1"/>
  <c r="AE2268" i="1"/>
  <c r="AD2268" i="1"/>
  <c r="AA2268" i="1"/>
  <c r="Z2268" i="1"/>
  <c r="X2268" i="1"/>
  <c r="M2268" i="1"/>
  <c r="BD2268" i="1" s="1"/>
  <c r="K2268" i="1"/>
  <c r="BU2266" i="1"/>
  <c r="BH2266" i="1"/>
  <c r="BB2266" i="1"/>
  <c r="AN2266" i="1"/>
  <c r="AM2266" i="1"/>
  <c r="AI2266" i="1"/>
  <c r="AH2266" i="1"/>
  <c r="AF2266" i="1"/>
  <c r="AE2266" i="1"/>
  <c r="AD2266" i="1"/>
  <c r="AA2266" i="1"/>
  <c r="Z2266" i="1"/>
  <c r="X2266" i="1"/>
  <c r="M2266" i="1"/>
  <c r="BD2266" i="1" s="1"/>
  <c r="K2266" i="1"/>
  <c r="AJ2266" i="1" s="1"/>
  <c r="BU2264" i="1"/>
  <c r="BH2264" i="1"/>
  <c r="BB2264" i="1"/>
  <c r="AN2264" i="1"/>
  <c r="AM2264" i="1"/>
  <c r="AI2264" i="1"/>
  <c r="AH2264" i="1"/>
  <c r="AF2264" i="1"/>
  <c r="AE2264" i="1"/>
  <c r="AD2264" i="1"/>
  <c r="AA2264" i="1"/>
  <c r="Z2264" i="1"/>
  <c r="X2264" i="1"/>
  <c r="M2264" i="1"/>
  <c r="BD2264" i="1" s="1"/>
  <c r="K2264" i="1"/>
  <c r="AJ2264" i="1" s="1"/>
  <c r="BU2262" i="1"/>
  <c r="BH2262" i="1"/>
  <c r="BB2262" i="1"/>
  <c r="AN2262" i="1"/>
  <c r="J2262" i="1" s="1"/>
  <c r="AM2262" i="1"/>
  <c r="AI2262" i="1"/>
  <c r="AH2262" i="1"/>
  <c r="AF2262" i="1"/>
  <c r="AE2262" i="1"/>
  <c r="AD2262" i="1"/>
  <c r="AA2262" i="1"/>
  <c r="Z2262" i="1"/>
  <c r="X2262" i="1"/>
  <c r="M2262" i="1"/>
  <c r="BD2262" i="1" s="1"/>
  <c r="K2262" i="1"/>
  <c r="AJ2262" i="1" s="1"/>
  <c r="BU2260" i="1"/>
  <c r="BH2260" i="1"/>
  <c r="BB2260" i="1"/>
  <c r="AN2260" i="1"/>
  <c r="AM2260" i="1"/>
  <c r="AI2260" i="1"/>
  <c r="AH2260" i="1"/>
  <c r="AF2260" i="1"/>
  <c r="AE2260" i="1"/>
  <c r="AD2260" i="1"/>
  <c r="AA2260" i="1"/>
  <c r="Z2260" i="1"/>
  <c r="X2260" i="1"/>
  <c r="M2260" i="1"/>
  <c r="BD2260" i="1" s="1"/>
  <c r="K2260" i="1"/>
  <c r="AJ2260" i="1" s="1"/>
  <c r="BU2258" i="1"/>
  <c r="BH2258" i="1"/>
  <c r="BB2258" i="1"/>
  <c r="AN2258" i="1"/>
  <c r="AM2258" i="1"/>
  <c r="BF2258" i="1" s="1"/>
  <c r="AB2258" i="1" s="1"/>
  <c r="AI2258" i="1"/>
  <c r="AH2258" i="1"/>
  <c r="AF2258" i="1"/>
  <c r="AE2258" i="1"/>
  <c r="AD2258" i="1"/>
  <c r="AA2258" i="1"/>
  <c r="Z2258" i="1"/>
  <c r="X2258" i="1"/>
  <c r="M2258" i="1"/>
  <c r="BD2258" i="1" s="1"/>
  <c r="K2258" i="1"/>
  <c r="BU2255" i="1"/>
  <c r="BH2255" i="1"/>
  <c r="X2255" i="1" s="1"/>
  <c r="BB2255" i="1"/>
  <c r="AN2255" i="1"/>
  <c r="AM2255" i="1"/>
  <c r="AI2255" i="1"/>
  <c r="AH2255" i="1"/>
  <c r="AF2255" i="1"/>
  <c r="AE2255" i="1"/>
  <c r="AD2255" i="1"/>
  <c r="AC2255" i="1"/>
  <c r="AB2255" i="1"/>
  <c r="AA2255" i="1"/>
  <c r="Z2255" i="1"/>
  <c r="M2255" i="1"/>
  <c r="BD2255" i="1" s="1"/>
  <c r="K2255" i="1"/>
  <c r="AJ2255" i="1" s="1"/>
  <c r="BU2254" i="1"/>
  <c r="BH2254" i="1"/>
  <c r="BB2254" i="1"/>
  <c r="AN2254" i="1"/>
  <c r="AM2254" i="1"/>
  <c r="AI2254" i="1"/>
  <c r="AH2254" i="1"/>
  <c r="AF2254" i="1"/>
  <c r="AE2254" i="1"/>
  <c r="AD2254" i="1"/>
  <c r="AA2254" i="1"/>
  <c r="Z2254" i="1"/>
  <c r="X2254" i="1"/>
  <c r="M2254" i="1"/>
  <c r="BD2254" i="1" s="1"/>
  <c r="K2254" i="1"/>
  <c r="AJ2254" i="1" s="1"/>
  <c r="BU2252" i="1"/>
  <c r="BH2252" i="1"/>
  <c r="BB2252" i="1"/>
  <c r="AN2252" i="1"/>
  <c r="AM2252" i="1"/>
  <c r="AI2252" i="1"/>
  <c r="AH2252" i="1"/>
  <c r="AF2252" i="1"/>
  <c r="AE2252" i="1"/>
  <c r="AD2252" i="1"/>
  <c r="AA2252" i="1"/>
  <c r="Z2252" i="1"/>
  <c r="X2252" i="1"/>
  <c r="M2252" i="1"/>
  <c r="BD2252" i="1" s="1"/>
  <c r="K2252" i="1"/>
  <c r="BU2250" i="1"/>
  <c r="BH2250" i="1"/>
  <c r="BB2250" i="1"/>
  <c r="AN2250" i="1"/>
  <c r="AM2250" i="1"/>
  <c r="AI2250" i="1"/>
  <c r="AH2250" i="1"/>
  <c r="AF2250" i="1"/>
  <c r="AE2250" i="1"/>
  <c r="AD2250" i="1"/>
  <c r="AA2250" i="1"/>
  <c r="Z2250" i="1"/>
  <c r="X2250" i="1"/>
  <c r="M2250" i="1"/>
  <c r="BD2250" i="1" s="1"/>
  <c r="K2250" i="1"/>
  <c r="AJ2250" i="1" s="1"/>
  <c r="BU2248" i="1"/>
  <c r="BH2248" i="1"/>
  <c r="BB2248" i="1"/>
  <c r="AN2248" i="1"/>
  <c r="AM2248" i="1"/>
  <c r="AU2248" i="1" s="1"/>
  <c r="AI2248" i="1"/>
  <c r="AH2248" i="1"/>
  <c r="AF2248" i="1"/>
  <c r="AE2248" i="1"/>
  <c r="AD2248" i="1"/>
  <c r="AA2248" i="1"/>
  <c r="Z2248" i="1"/>
  <c r="X2248" i="1"/>
  <c r="M2248" i="1"/>
  <c r="BD2248" i="1" s="1"/>
  <c r="K2248" i="1"/>
  <c r="AJ2248" i="1" s="1"/>
  <c r="BU2246" i="1"/>
  <c r="BH2246" i="1"/>
  <c r="BB2246" i="1"/>
  <c r="AN2246" i="1"/>
  <c r="AM2246" i="1"/>
  <c r="AI2246" i="1"/>
  <c r="AH2246" i="1"/>
  <c r="AF2246" i="1"/>
  <c r="AE2246" i="1"/>
  <c r="AD2246" i="1"/>
  <c r="AA2246" i="1"/>
  <c r="Z2246" i="1"/>
  <c r="X2246" i="1"/>
  <c r="M2246" i="1"/>
  <c r="BD2246" i="1" s="1"/>
  <c r="K2246" i="1"/>
  <c r="AJ2246" i="1" s="1"/>
  <c r="BU2244" i="1"/>
  <c r="BH2244" i="1"/>
  <c r="BB2244" i="1"/>
  <c r="AN2244" i="1"/>
  <c r="J2244" i="1" s="1"/>
  <c r="AM2244" i="1"/>
  <c r="I2244" i="1" s="1"/>
  <c r="AI2244" i="1"/>
  <c r="AH2244" i="1"/>
  <c r="AF2244" i="1"/>
  <c r="AE2244" i="1"/>
  <c r="AD2244" i="1"/>
  <c r="AA2244" i="1"/>
  <c r="Z2244" i="1"/>
  <c r="X2244" i="1"/>
  <c r="M2244" i="1"/>
  <c r="BD2244" i="1" s="1"/>
  <c r="K2244" i="1"/>
  <c r="BU2242" i="1"/>
  <c r="BH2242" i="1"/>
  <c r="BB2242" i="1"/>
  <c r="AN2242" i="1"/>
  <c r="BG2242" i="1" s="1"/>
  <c r="AC2242" i="1" s="1"/>
  <c r="AM2242" i="1"/>
  <c r="AI2242" i="1"/>
  <c r="AH2242" i="1"/>
  <c r="AF2242" i="1"/>
  <c r="AE2242" i="1"/>
  <c r="AD2242" i="1"/>
  <c r="AA2242" i="1"/>
  <c r="Z2242" i="1"/>
  <c r="X2242" i="1"/>
  <c r="M2242" i="1"/>
  <c r="BD2242" i="1" s="1"/>
  <c r="K2242" i="1"/>
  <c r="AJ2242" i="1" s="1"/>
  <c r="BU2240" i="1"/>
  <c r="BH2240" i="1"/>
  <c r="BB2240" i="1"/>
  <c r="AN2240" i="1"/>
  <c r="AM2240" i="1"/>
  <c r="AU2240" i="1" s="1"/>
  <c r="AI2240" i="1"/>
  <c r="AH2240" i="1"/>
  <c r="AF2240" i="1"/>
  <c r="AE2240" i="1"/>
  <c r="AD2240" i="1"/>
  <c r="AA2240" i="1"/>
  <c r="Z2240" i="1"/>
  <c r="X2240" i="1"/>
  <c r="M2240" i="1"/>
  <c r="BD2240" i="1" s="1"/>
  <c r="K2240" i="1"/>
  <c r="AJ2240" i="1" s="1"/>
  <c r="BU2239" i="1"/>
  <c r="BH2239" i="1"/>
  <c r="BB2239" i="1"/>
  <c r="AN2239" i="1"/>
  <c r="J2239" i="1" s="1"/>
  <c r="AM2239" i="1"/>
  <c r="AJ2239" i="1"/>
  <c r="AI2239" i="1"/>
  <c r="AH2239" i="1"/>
  <c r="AF2239" i="1"/>
  <c r="AE2239" i="1"/>
  <c r="AD2239" i="1"/>
  <c r="AA2239" i="1"/>
  <c r="Z2239" i="1"/>
  <c r="X2239" i="1"/>
  <c r="M2239" i="1"/>
  <c r="BD2239" i="1" s="1"/>
  <c r="K2239" i="1"/>
  <c r="BU2237" i="1"/>
  <c r="BH2237" i="1"/>
  <c r="BB2237" i="1"/>
  <c r="AN2237" i="1"/>
  <c r="AM2237" i="1"/>
  <c r="AI2237" i="1"/>
  <c r="AH2237" i="1"/>
  <c r="AF2237" i="1"/>
  <c r="AE2237" i="1"/>
  <c r="AD2237" i="1"/>
  <c r="AA2237" i="1"/>
  <c r="Z2237" i="1"/>
  <c r="X2237" i="1"/>
  <c r="M2237" i="1"/>
  <c r="BD2237" i="1" s="1"/>
  <c r="K2237" i="1"/>
  <c r="BU2235" i="1"/>
  <c r="BH2235" i="1"/>
  <c r="BB2235" i="1"/>
  <c r="AN2235" i="1"/>
  <c r="AM2235" i="1"/>
  <c r="I2235" i="1" s="1"/>
  <c r="AI2235" i="1"/>
  <c r="AH2235" i="1"/>
  <c r="AF2235" i="1"/>
  <c r="AE2235" i="1"/>
  <c r="AD2235" i="1"/>
  <c r="AA2235" i="1"/>
  <c r="Z2235" i="1"/>
  <c r="X2235" i="1"/>
  <c r="M2235" i="1"/>
  <c r="K2235" i="1"/>
  <c r="BU2233" i="1"/>
  <c r="BH2233" i="1"/>
  <c r="BB2233" i="1"/>
  <c r="AN2233" i="1"/>
  <c r="BG2233" i="1" s="1"/>
  <c r="AC2233" i="1" s="1"/>
  <c r="AM2233" i="1"/>
  <c r="AI2233" i="1"/>
  <c r="AH2233" i="1"/>
  <c r="AF2233" i="1"/>
  <c r="AE2233" i="1"/>
  <c r="AD2233" i="1"/>
  <c r="AA2233" i="1"/>
  <c r="Z2233" i="1"/>
  <c r="X2233" i="1"/>
  <c r="M2233" i="1"/>
  <c r="BD2233" i="1" s="1"/>
  <c r="K2233" i="1"/>
  <c r="AJ2233" i="1" s="1"/>
  <c r="BU2232" i="1"/>
  <c r="BH2232" i="1"/>
  <c r="BB2232" i="1"/>
  <c r="AN2232" i="1"/>
  <c r="AM2232" i="1"/>
  <c r="BF2232" i="1" s="1"/>
  <c r="AB2232" i="1" s="1"/>
  <c r="AI2232" i="1"/>
  <c r="AH2232" i="1"/>
  <c r="AF2232" i="1"/>
  <c r="AE2232" i="1"/>
  <c r="AD2232" i="1"/>
  <c r="AA2232" i="1"/>
  <c r="Z2232" i="1"/>
  <c r="X2232" i="1"/>
  <c r="M2232" i="1"/>
  <c r="K2232" i="1"/>
  <c r="AJ2232" i="1" s="1"/>
  <c r="BU2230" i="1"/>
  <c r="BH2230" i="1"/>
  <c r="BB2230" i="1"/>
  <c r="AN2230" i="1"/>
  <c r="AM2230" i="1"/>
  <c r="AU2230" i="1" s="1"/>
  <c r="AI2230" i="1"/>
  <c r="AH2230" i="1"/>
  <c r="AF2230" i="1"/>
  <c r="AE2230" i="1"/>
  <c r="AD2230" i="1"/>
  <c r="AA2230" i="1"/>
  <c r="Z2230" i="1"/>
  <c r="X2230" i="1"/>
  <c r="M2230" i="1"/>
  <c r="BD2230" i="1" s="1"/>
  <c r="K2230" i="1"/>
  <c r="AJ2230" i="1" s="1"/>
  <c r="BU2229" i="1"/>
  <c r="BH2229" i="1"/>
  <c r="BB2229" i="1"/>
  <c r="AN2229" i="1"/>
  <c r="AM2229" i="1"/>
  <c r="AI2229" i="1"/>
  <c r="AH2229" i="1"/>
  <c r="AF2229" i="1"/>
  <c r="AE2229" i="1"/>
  <c r="AD2229" i="1"/>
  <c r="AA2229" i="1"/>
  <c r="Z2229" i="1"/>
  <c r="X2229" i="1"/>
  <c r="M2229" i="1"/>
  <c r="BD2229" i="1" s="1"/>
  <c r="K2229" i="1"/>
  <c r="AJ2229" i="1" s="1"/>
  <c r="BU2228" i="1"/>
  <c r="BH2228" i="1"/>
  <c r="BB2228" i="1"/>
  <c r="AN2228" i="1"/>
  <c r="AV2228" i="1" s="1"/>
  <c r="AM2228" i="1"/>
  <c r="AI2228" i="1"/>
  <c r="AH2228" i="1"/>
  <c r="AF2228" i="1"/>
  <c r="AE2228" i="1"/>
  <c r="AD2228" i="1"/>
  <c r="AA2228" i="1"/>
  <c r="Z2228" i="1"/>
  <c r="X2228" i="1"/>
  <c r="M2228" i="1"/>
  <c r="BD2228" i="1" s="1"/>
  <c r="K2228" i="1"/>
  <c r="BU2226" i="1"/>
  <c r="BH2226" i="1"/>
  <c r="BB2226" i="1"/>
  <c r="AN2226" i="1"/>
  <c r="AM2226" i="1"/>
  <c r="AI2226" i="1"/>
  <c r="AH2226" i="1"/>
  <c r="AF2226" i="1"/>
  <c r="AE2226" i="1"/>
  <c r="AD2226" i="1"/>
  <c r="AA2226" i="1"/>
  <c r="Z2226" i="1"/>
  <c r="X2226" i="1"/>
  <c r="M2226" i="1"/>
  <c r="BD2226" i="1" s="1"/>
  <c r="K2226" i="1"/>
  <c r="AJ2226" i="1" s="1"/>
  <c r="BU2225" i="1"/>
  <c r="BH2225" i="1"/>
  <c r="BB2225" i="1"/>
  <c r="AN2225" i="1"/>
  <c r="AM2225" i="1"/>
  <c r="I2225" i="1" s="1"/>
  <c r="AI2225" i="1"/>
  <c r="AH2225" i="1"/>
  <c r="AF2225" i="1"/>
  <c r="AE2225" i="1"/>
  <c r="AD2225" i="1"/>
  <c r="AA2225" i="1"/>
  <c r="Z2225" i="1"/>
  <c r="X2225" i="1"/>
  <c r="M2225" i="1"/>
  <c r="BD2225" i="1" s="1"/>
  <c r="K2225" i="1"/>
  <c r="AJ2225" i="1" s="1"/>
  <c r="BU2224" i="1"/>
  <c r="BH2224" i="1"/>
  <c r="BB2224" i="1"/>
  <c r="AN2224" i="1"/>
  <c r="AM2224" i="1"/>
  <c r="AI2224" i="1"/>
  <c r="AH2224" i="1"/>
  <c r="AF2224" i="1"/>
  <c r="AE2224" i="1"/>
  <c r="AD2224" i="1"/>
  <c r="AA2224" i="1"/>
  <c r="Z2224" i="1"/>
  <c r="X2224" i="1"/>
  <c r="M2224" i="1"/>
  <c r="BD2224" i="1" s="1"/>
  <c r="K2224" i="1"/>
  <c r="AJ2224" i="1" s="1"/>
  <c r="BU2223" i="1"/>
  <c r="BH2223" i="1"/>
  <c r="BB2223" i="1"/>
  <c r="AN2223" i="1"/>
  <c r="BG2223" i="1" s="1"/>
  <c r="AC2223" i="1" s="1"/>
  <c r="AM2223" i="1"/>
  <c r="BF2223" i="1" s="1"/>
  <c r="AB2223" i="1" s="1"/>
  <c r="AI2223" i="1"/>
  <c r="AH2223" i="1"/>
  <c r="AF2223" i="1"/>
  <c r="AE2223" i="1"/>
  <c r="AD2223" i="1"/>
  <c r="AA2223" i="1"/>
  <c r="Z2223" i="1"/>
  <c r="X2223" i="1"/>
  <c r="M2223" i="1"/>
  <c r="BD2223" i="1" s="1"/>
  <c r="K2223" i="1"/>
  <c r="AJ2223" i="1" s="1"/>
  <c r="BU2221" i="1"/>
  <c r="BH2221" i="1"/>
  <c r="X2221" i="1" s="1"/>
  <c r="BB2221" i="1"/>
  <c r="AN2221" i="1"/>
  <c r="AM2221" i="1"/>
  <c r="I2221" i="1" s="1"/>
  <c r="AI2221" i="1"/>
  <c r="AH2221" i="1"/>
  <c r="AF2221" i="1"/>
  <c r="AE2221" i="1"/>
  <c r="AD2221" i="1"/>
  <c r="AC2221" i="1"/>
  <c r="AB2221" i="1"/>
  <c r="AA2221" i="1"/>
  <c r="Z2221" i="1"/>
  <c r="M2221" i="1"/>
  <c r="BD2221" i="1" s="1"/>
  <c r="K2221" i="1"/>
  <c r="AJ2221" i="1" s="1"/>
  <c r="BU2220" i="1"/>
  <c r="BH2220" i="1"/>
  <c r="BB2220" i="1"/>
  <c r="AN2220" i="1"/>
  <c r="BG2220" i="1" s="1"/>
  <c r="AC2220" i="1" s="1"/>
  <c r="AM2220" i="1"/>
  <c r="I2220" i="1" s="1"/>
  <c r="AI2220" i="1"/>
  <c r="AH2220" i="1"/>
  <c r="AF2220" i="1"/>
  <c r="AE2220" i="1"/>
  <c r="AD2220" i="1"/>
  <c r="AA2220" i="1"/>
  <c r="Z2220" i="1"/>
  <c r="X2220" i="1"/>
  <c r="M2220" i="1"/>
  <c r="BD2220" i="1" s="1"/>
  <c r="K2220" i="1"/>
  <c r="AJ2220" i="1" s="1"/>
  <c r="BU2219" i="1"/>
  <c r="BH2219" i="1"/>
  <c r="BB2219" i="1"/>
  <c r="AN2219" i="1"/>
  <c r="AV2219" i="1" s="1"/>
  <c r="AM2219" i="1"/>
  <c r="AI2219" i="1"/>
  <c r="AH2219" i="1"/>
  <c r="AF2219" i="1"/>
  <c r="AE2219" i="1"/>
  <c r="AD2219" i="1"/>
  <c r="AA2219" i="1"/>
  <c r="Z2219" i="1"/>
  <c r="X2219" i="1"/>
  <c r="M2219" i="1"/>
  <c r="K2219" i="1"/>
  <c r="BU2216" i="1"/>
  <c r="BH2216" i="1"/>
  <c r="BB2216" i="1"/>
  <c r="AN2216" i="1"/>
  <c r="AM2216" i="1"/>
  <c r="AI2216" i="1"/>
  <c r="AH2216" i="1"/>
  <c r="AF2216" i="1"/>
  <c r="AE2216" i="1"/>
  <c r="AD2216" i="1"/>
  <c r="AA2216" i="1"/>
  <c r="Z2216" i="1"/>
  <c r="X2216" i="1"/>
  <c r="M2216" i="1"/>
  <c r="BD2216" i="1" s="1"/>
  <c r="K2216" i="1"/>
  <c r="BU2214" i="1"/>
  <c r="BH2214" i="1"/>
  <c r="X2214" i="1" s="1"/>
  <c r="BB2214" i="1"/>
  <c r="AN2214" i="1"/>
  <c r="AM2214" i="1"/>
  <c r="AI2214" i="1"/>
  <c r="AH2214" i="1"/>
  <c r="AF2214" i="1"/>
  <c r="AE2214" i="1"/>
  <c r="AD2214" i="1"/>
  <c r="AC2214" i="1"/>
  <c r="AB2214" i="1"/>
  <c r="AA2214" i="1"/>
  <c r="Z2214" i="1"/>
  <c r="M2214" i="1"/>
  <c r="BD2214" i="1" s="1"/>
  <c r="K2214" i="1"/>
  <c r="AJ2214" i="1" s="1"/>
  <c r="BU2212" i="1"/>
  <c r="BH2212" i="1"/>
  <c r="BB2212" i="1"/>
  <c r="AN2212" i="1"/>
  <c r="AM2212" i="1"/>
  <c r="AI2212" i="1"/>
  <c r="AH2212" i="1"/>
  <c r="AF2212" i="1"/>
  <c r="AE2212" i="1"/>
  <c r="AD2212" i="1"/>
  <c r="AA2212" i="1"/>
  <c r="Z2212" i="1"/>
  <c r="X2212" i="1"/>
  <c r="M2212" i="1"/>
  <c r="BD2212" i="1" s="1"/>
  <c r="K2212" i="1"/>
  <c r="AJ2212" i="1" s="1"/>
  <c r="BU2210" i="1"/>
  <c r="BH2210" i="1"/>
  <c r="BB2210" i="1"/>
  <c r="AN2210" i="1"/>
  <c r="AM2210" i="1"/>
  <c r="AI2210" i="1"/>
  <c r="AH2210" i="1"/>
  <c r="AF2210" i="1"/>
  <c r="AE2210" i="1"/>
  <c r="AD2210" i="1"/>
  <c r="AA2210" i="1"/>
  <c r="Z2210" i="1"/>
  <c r="X2210" i="1"/>
  <c r="M2210" i="1"/>
  <c r="BD2210" i="1" s="1"/>
  <c r="K2210" i="1"/>
  <c r="AJ2210" i="1" s="1"/>
  <c r="BU2208" i="1"/>
  <c r="BH2208" i="1"/>
  <c r="BB2208" i="1"/>
  <c r="AN2208" i="1"/>
  <c r="AM2208" i="1"/>
  <c r="I2208" i="1" s="1"/>
  <c r="AI2208" i="1"/>
  <c r="AH2208" i="1"/>
  <c r="AF2208" i="1"/>
  <c r="AE2208" i="1"/>
  <c r="AD2208" i="1"/>
  <c r="AA2208" i="1"/>
  <c r="Z2208" i="1"/>
  <c r="X2208" i="1"/>
  <c r="M2208" i="1"/>
  <c r="K2208" i="1"/>
  <c r="BU2205" i="1"/>
  <c r="BH2205" i="1"/>
  <c r="BB2205" i="1"/>
  <c r="AN2205" i="1"/>
  <c r="AM2205" i="1"/>
  <c r="AI2205" i="1"/>
  <c r="AH2205" i="1"/>
  <c r="AF2205" i="1"/>
  <c r="AE2205" i="1"/>
  <c r="AD2205" i="1"/>
  <c r="AC2205" i="1"/>
  <c r="AB2205" i="1"/>
  <c r="X2205" i="1"/>
  <c r="M2205" i="1"/>
  <c r="BD2205" i="1" s="1"/>
  <c r="K2205" i="1"/>
  <c r="AJ2205" i="1" s="1"/>
  <c r="BU2203" i="1"/>
  <c r="BH2203" i="1"/>
  <c r="BB2203" i="1"/>
  <c r="AN2203" i="1"/>
  <c r="BG2203" i="1" s="1"/>
  <c r="AA2203" i="1" s="1"/>
  <c r="AM2203" i="1"/>
  <c r="AI2203" i="1"/>
  <c r="AH2203" i="1"/>
  <c r="AF2203" i="1"/>
  <c r="AE2203" i="1"/>
  <c r="AD2203" i="1"/>
  <c r="AC2203" i="1"/>
  <c r="AB2203" i="1"/>
  <c r="X2203" i="1"/>
  <c r="M2203" i="1"/>
  <c r="BD2203" i="1" s="1"/>
  <c r="K2203" i="1"/>
  <c r="BU2201" i="1"/>
  <c r="BH2201" i="1"/>
  <c r="BB2201" i="1"/>
  <c r="AN2201" i="1"/>
  <c r="J2201" i="1" s="1"/>
  <c r="AM2201" i="1"/>
  <c r="I2201" i="1" s="1"/>
  <c r="AI2201" i="1"/>
  <c r="AH2201" i="1"/>
  <c r="AF2201" i="1"/>
  <c r="AE2201" i="1"/>
  <c r="AD2201" i="1"/>
  <c r="AC2201" i="1"/>
  <c r="AB2201" i="1"/>
  <c r="X2201" i="1"/>
  <c r="M2201" i="1"/>
  <c r="K2201" i="1"/>
  <c r="AJ2201" i="1" s="1"/>
  <c r="BU2200" i="1"/>
  <c r="BH2200" i="1"/>
  <c r="BB2200" i="1"/>
  <c r="AN2200" i="1"/>
  <c r="AM2200" i="1"/>
  <c r="AI2200" i="1"/>
  <c r="AH2200" i="1"/>
  <c r="AF2200" i="1"/>
  <c r="AE2200" i="1"/>
  <c r="AD2200" i="1"/>
  <c r="AC2200" i="1"/>
  <c r="AB2200" i="1"/>
  <c r="X2200" i="1"/>
  <c r="M2200" i="1"/>
  <c r="BD2200" i="1" s="1"/>
  <c r="K2200" i="1"/>
  <c r="AJ2200" i="1" s="1"/>
  <c r="BU2198" i="1"/>
  <c r="BH2198" i="1"/>
  <c r="BB2198" i="1"/>
  <c r="AN2198" i="1"/>
  <c r="AM2198" i="1"/>
  <c r="AI2198" i="1"/>
  <c r="AH2198" i="1"/>
  <c r="AF2198" i="1"/>
  <c r="AE2198" i="1"/>
  <c r="AD2198" i="1"/>
  <c r="AC2198" i="1"/>
  <c r="AB2198" i="1"/>
  <c r="X2198" i="1"/>
  <c r="M2198" i="1"/>
  <c r="BD2198" i="1" s="1"/>
  <c r="K2198" i="1"/>
  <c r="AJ2198" i="1" s="1"/>
  <c r="BU2196" i="1"/>
  <c r="BH2196" i="1"/>
  <c r="BB2196" i="1"/>
  <c r="AN2196" i="1"/>
  <c r="J2196" i="1" s="1"/>
  <c r="AM2196" i="1"/>
  <c r="AI2196" i="1"/>
  <c r="AH2196" i="1"/>
  <c r="AF2196" i="1"/>
  <c r="AE2196" i="1"/>
  <c r="AD2196" i="1"/>
  <c r="AC2196" i="1"/>
  <c r="AB2196" i="1"/>
  <c r="X2196" i="1"/>
  <c r="M2196" i="1"/>
  <c r="BD2196" i="1" s="1"/>
  <c r="K2196" i="1"/>
  <c r="AJ2196" i="1" s="1"/>
  <c r="BU2194" i="1"/>
  <c r="BH2194" i="1"/>
  <c r="BB2194" i="1"/>
  <c r="AN2194" i="1"/>
  <c r="AV2194" i="1" s="1"/>
  <c r="AM2194" i="1"/>
  <c r="AI2194" i="1"/>
  <c r="AH2194" i="1"/>
  <c r="AF2194" i="1"/>
  <c r="AE2194" i="1"/>
  <c r="AD2194" i="1"/>
  <c r="AC2194" i="1"/>
  <c r="AB2194" i="1"/>
  <c r="X2194" i="1"/>
  <c r="M2194" i="1"/>
  <c r="BD2194" i="1" s="1"/>
  <c r="K2194" i="1"/>
  <c r="AJ2194" i="1" s="1"/>
  <c r="BU2192" i="1"/>
  <c r="BH2192" i="1"/>
  <c r="BB2192" i="1"/>
  <c r="AN2192" i="1"/>
  <c r="AM2192" i="1"/>
  <c r="BF2192" i="1" s="1"/>
  <c r="Z2192" i="1" s="1"/>
  <c r="AI2192" i="1"/>
  <c r="AH2192" i="1"/>
  <c r="AF2192" i="1"/>
  <c r="AE2192" i="1"/>
  <c r="AD2192" i="1"/>
  <c r="AC2192" i="1"/>
  <c r="AB2192" i="1"/>
  <c r="X2192" i="1"/>
  <c r="M2192" i="1"/>
  <c r="BD2192" i="1" s="1"/>
  <c r="K2192" i="1"/>
  <c r="AJ2192" i="1" s="1"/>
  <c r="BU2190" i="1"/>
  <c r="BH2190" i="1"/>
  <c r="BB2190" i="1"/>
  <c r="AN2190" i="1"/>
  <c r="AM2190" i="1"/>
  <c r="AJ2190" i="1"/>
  <c r="AI2190" i="1"/>
  <c r="AH2190" i="1"/>
  <c r="AF2190" i="1"/>
  <c r="AE2190" i="1"/>
  <c r="AD2190" i="1"/>
  <c r="AC2190" i="1"/>
  <c r="AB2190" i="1"/>
  <c r="X2190" i="1"/>
  <c r="M2190" i="1"/>
  <c r="BD2190" i="1" s="1"/>
  <c r="K2190" i="1"/>
  <c r="BU2188" i="1"/>
  <c r="BH2188" i="1"/>
  <c r="BB2188" i="1"/>
  <c r="AN2188" i="1"/>
  <c r="AM2188" i="1"/>
  <c r="AI2188" i="1"/>
  <c r="AH2188" i="1"/>
  <c r="AF2188" i="1"/>
  <c r="AE2188" i="1"/>
  <c r="AD2188" i="1"/>
  <c r="AC2188" i="1"/>
  <c r="AB2188" i="1"/>
  <c r="X2188" i="1"/>
  <c r="M2188" i="1"/>
  <c r="BD2188" i="1" s="1"/>
  <c r="K2188" i="1"/>
  <c r="AJ2188" i="1" s="1"/>
  <c r="BU2186" i="1"/>
  <c r="BH2186" i="1"/>
  <c r="BB2186" i="1"/>
  <c r="AN2186" i="1"/>
  <c r="AM2186" i="1"/>
  <c r="AI2186" i="1"/>
  <c r="AH2186" i="1"/>
  <c r="AF2186" i="1"/>
  <c r="AE2186" i="1"/>
  <c r="AD2186" i="1"/>
  <c r="AC2186" i="1"/>
  <c r="AB2186" i="1"/>
  <c r="X2186" i="1"/>
  <c r="M2186" i="1"/>
  <c r="BD2186" i="1" s="1"/>
  <c r="K2186" i="1"/>
  <c r="AJ2186" i="1" s="1"/>
  <c r="BU2184" i="1"/>
  <c r="BH2184" i="1"/>
  <c r="BB2184" i="1"/>
  <c r="AN2184" i="1"/>
  <c r="AM2184" i="1"/>
  <c r="AI2184" i="1"/>
  <c r="AH2184" i="1"/>
  <c r="AF2184" i="1"/>
  <c r="AE2184" i="1"/>
  <c r="AD2184" i="1"/>
  <c r="AC2184" i="1"/>
  <c r="AB2184" i="1"/>
  <c r="X2184" i="1"/>
  <c r="M2184" i="1"/>
  <c r="BD2184" i="1" s="1"/>
  <c r="K2184" i="1"/>
  <c r="AJ2184" i="1" s="1"/>
  <c r="BU2182" i="1"/>
  <c r="BH2182" i="1"/>
  <c r="BB2182" i="1"/>
  <c r="AN2182" i="1"/>
  <c r="AM2182" i="1"/>
  <c r="AI2182" i="1"/>
  <c r="AH2182" i="1"/>
  <c r="AF2182" i="1"/>
  <c r="AE2182" i="1"/>
  <c r="AD2182" i="1"/>
  <c r="AC2182" i="1"/>
  <c r="AB2182" i="1"/>
  <c r="X2182" i="1"/>
  <c r="M2182" i="1"/>
  <c r="BD2182" i="1" s="1"/>
  <c r="K2182" i="1"/>
  <c r="BU2180" i="1"/>
  <c r="BH2180" i="1"/>
  <c r="BB2180" i="1"/>
  <c r="AN2180" i="1"/>
  <c r="J2180" i="1" s="1"/>
  <c r="AM2180" i="1"/>
  <c r="AI2180" i="1"/>
  <c r="AH2180" i="1"/>
  <c r="AF2180" i="1"/>
  <c r="AE2180" i="1"/>
  <c r="AD2180" i="1"/>
  <c r="AC2180" i="1"/>
  <c r="AB2180" i="1"/>
  <c r="X2180" i="1"/>
  <c r="M2180" i="1"/>
  <c r="BD2180" i="1" s="1"/>
  <c r="K2180" i="1"/>
  <c r="AJ2180" i="1" s="1"/>
  <c r="BU2177" i="1"/>
  <c r="BH2177" i="1"/>
  <c r="BB2177" i="1"/>
  <c r="AN2177" i="1"/>
  <c r="J2177" i="1" s="1"/>
  <c r="J2176" i="1" s="1"/>
  <c r="AM2177" i="1"/>
  <c r="I2177" i="1" s="1"/>
  <c r="I2176" i="1" s="1"/>
  <c r="D111" i="2" s="1"/>
  <c r="AI2177" i="1"/>
  <c r="AR2176" i="1" s="1"/>
  <c r="AH2177" i="1"/>
  <c r="AQ2176" i="1" s="1"/>
  <c r="AF2177" i="1"/>
  <c r="AE2177" i="1"/>
  <c r="AD2177" i="1"/>
  <c r="AC2177" i="1"/>
  <c r="AB2177" i="1"/>
  <c r="X2177" i="1"/>
  <c r="M2177" i="1"/>
  <c r="BD2177" i="1" s="1"/>
  <c r="K2177" i="1"/>
  <c r="BU2173" i="1"/>
  <c r="BH2173" i="1"/>
  <c r="BB2173" i="1"/>
  <c r="AN2173" i="1"/>
  <c r="J2173" i="1" s="1"/>
  <c r="AM2173" i="1"/>
  <c r="AI2173" i="1"/>
  <c r="AH2173" i="1"/>
  <c r="AF2173" i="1"/>
  <c r="AE2173" i="1"/>
  <c r="AD2173" i="1"/>
  <c r="AC2173" i="1"/>
  <c r="AB2173" i="1"/>
  <c r="X2173" i="1"/>
  <c r="M2173" i="1"/>
  <c r="BD2173" i="1" s="1"/>
  <c r="K2173" i="1"/>
  <c r="AJ2173" i="1" s="1"/>
  <c r="BU2171" i="1"/>
  <c r="BH2171" i="1"/>
  <c r="BB2171" i="1"/>
  <c r="AN2171" i="1"/>
  <c r="AM2171" i="1"/>
  <c r="AI2171" i="1"/>
  <c r="AH2171" i="1"/>
  <c r="AF2171" i="1"/>
  <c r="AE2171" i="1"/>
  <c r="AD2171" i="1"/>
  <c r="AC2171" i="1"/>
  <c r="AB2171" i="1"/>
  <c r="X2171" i="1"/>
  <c r="M2171" i="1"/>
  <c r="K2171" i="1"/>
  <c r="BU2169" i="1"/>
  <c r="BH2169" i="1"/>
  <c r="BB2169" i="1"/>
  <c r="AN2169" i="1"/>
  <c r="AM2169" i="1"/>
  <c r="AI2169" i="1"/>
  <c r="AH2169" i="1"/>
  <c r="AF2169" i="1"/>
  <c r="AE2169" i="1"/>
  <c r="AD2169" i="1"/>
  <c r="AC2169" i="1"/>
  <c r="AB2169" i="1"/>
  <c r="X2169" i="1"/>
  <c r="M2169" i="1"/>
  <c r="BD2169" i="1" s="1"/>
  <c r="K2169" i="1"/>
  <c r="AJ2169" i="1" s="1"/>
  <c r="BU2166" i="1"/>
  <c r="BH2166" i="1"/>
  <c r="X2166" i="1" s="1"/>
  <c r="BB2166" i="1"/>
  <c r="AN2166" i="1"/>
  <c r="J2166" i="1" s="1"/>
  <c r="J2165" i="1" s="1"/>
  <c r="E108" i="2" s="1"/>
  <c r="AM2166" i="1"/>
  <c r="I2166" i="1" s="1"/>
  <c r="I2165" i="1" s="1"/>
  <c r="D108" i="2" s="1"/>
  <c r="AI2166" i="1"/>
  <c r="AR2165" i="1" s="1"/>
  <c r="AH2166" i="1"/>
  <c r="AQ2165" i="1" s="1"/>
  <c r="AF2166" i="1"/>
  <c r="AE2166" i="1"/>
  <c r="AD2166" i="1"/>
  <c r="AC2166" i="1"/>
  <c r="AB2166" i="1"/>
  <c r="AA2166" i="1"/>
  <c r="Z2166" i="1"/>
  <c r="M2166" i="1"/>
  <c r="K2166" i="1"/>
  <c r="BU2163" i="1"/>
  <c r="BH2163" i="1"/>
  <c r="X2163" i="1" s="1"/>
  <c r="BB2163" i="1"/>
  <c r="AN2163" i="1"/>
  <c r="BG2163" i="1" s="1"/>
  <c r="AM2163" i="1"/>
  <c r="AU2163" i="1" s="1"/>
  <c r="AI2163" i="1"/>
  <c r="AH2163" i="1"/>
  <c r="AF2163" i="1"/>
  <c r="AE2163" i="1"/>
  <c r="AD2163" i="1"/>
  <c r="AC2163" i="1"/>
  <c r="AB2163" i="1"/>
  <c r="AA2163" i="1"/>
  <c r="Z2163" i="1"/>
  <c r="M2163" i="1"/>
  <c r="BD2163" i="1" s="1"/>
  <c r="K2163" i="1"/>
  <c r="AJ2163" i="1" s="1"/>
  <c r="BU2159" i="1"/>
  <c r="BH2159" i="1"/>
  <c r="BB2159" i="1"/>
  <c r="AN2159" i="1"/>
  <c r="AV2159" i="1" s="1"/>
  <c r="AM2159" i="1"/>
  <c r="BF2159" i="1" s="1"/>
  <c r="Z2159" i="1" s="1"/>
  <c r="AJ2159" i="1"/>
  <c r="AI2159" i="1"/>
  <c r="AH2159" i="1"/>
  <c r="AF2159" i="1"/>
  <c r="AE2159" i="1"/>
  <c r="AD2159" i="1"/>
  <c r="AC2159" i="1"/>
  <c r="AB2159" i="1"/>
  <c r="X2159" i="1"/>
  <c r="M2159" i="1"/>
  <c r="K2159" i="1"/>
  <c r="BU2156" i="1"/>
  <c r="BH2156" i="1"/>
  <c r="BB2156" i="1"/>
  <c r="AN2156" i="1"/>
  <c r="AM2156" i="1"/>
  <c r="AI2156" i="1"/>
  <c r="AH2156" i="1"/>
  <c r="AF2156" i="1"/>
  <c r="AE2156" i="1"/>
  <c r="AD2156" i="1"/>
  <c r="AC2156" i="1"/>
  <c r="AB2156" i="1"/>
  <c r="X2156" i="1"/>
  <c r="M2156" i="1"/>
  <c r="BD2156" i="1" s="1"/>
  <c r="K2156" i="1"/>
  <c r="AJ2156" i="1" s="1"/>
  <c r="BU2153" i="1"/>
  <c r="BH2153" i="1"/>
  <c r="BB2153" i="1"/>
  <c r="AN2153" i="1"/>
  <c r="AM2153" i="1"/>
  <c r="BF2153" i="1" s="1"/>
  <c r="Z2153" i="1" s="1"/>
  <c r="AI2153" i="1"/>
  <c r="AH2153" i="1"/>
  <c r="AF2153" i="1"/>
  <c r="AE2153" i="1"/>
  <c r="AD2153" i="1"/>
  <c r="AC2153" i="1"/>
  <c r="AB2153" i="1"/>
  <c r="X2153" i="1"/>
  <c r="M2153" i="1"/>
  <c r="BD2153" i="1" s="1"/>
  <c r="K2153" i="1"/>
  <c r="BU2151" i="1"/>
  <c r="BH2151" i="1"/>
  <c r="BB2151" i="1"/>
  <c r="AN2151" i="1"/>
  <c r="AM2151" i="1"/>
  <c r="AU2151" i="1" s="1"/>
  <c r="AI2151" i="1"/>
  <c r="AH2151" i="1"/>
  <c r="AF2151" i="1"/>
  <c r="AE2151" i="1"/>
  <c r="AD2151" i="1"/>
  <c r="AC2151" i="1"/>
  <c r="AB2151" i="1"/>
  <c r="X2151" i="1"/>
  <c r="M2151" i="1"/>
  <c r="BD2151" i="1" s="1"/>
  <c r="K2151" i="1"/>
  <c r="AJ2151" i="1" s="1"/>
  <c r="BU2149" i="1"/>
  <c r="BH2149" i="1"/>
  <c r="BB2149" i="1"/>
  <c r="AN2149" i="1"/>
  <c r="AM2149" i="1"/>
  <c r="I2149" i="1" s="1"/>
  <c r="AI2149" i="1"/>
  <c r="AH2149" i="1"/>
  <c r="AF2149" i="1"/>
  <c r="AE2149" i="1"/>
  <c r="AD2149" i="1"/>
  <c r="AC2149" i="1"/>
  <c r="AB2149" i="1"/>
  <c r="X2149" i="1"/>
  <c r="M2149" i="1"/>
  <c r="BD2149" i="1" s="1"/>
  <c r="K2149" i="1"/>
  <c r="AJ2149" i="1" s="1"/>
  <c r="BU2147" i="1"/>
  <c r="BH2147" i="1"/>
  <c r="BB2147" i="1"/>
  <c r="AN2147" i="1"/>
  <c r="AM2147" i="1"/>
  <c r="AU2147" i="1" s="1"/>
  <c r="AI2147" i="1"/>
  <c r="AH2147" i="1"/>
  <c r="AF2147" i="1"/>
  <c r="AE2147" i="1"/>
  <c r="AD2147" i="1"/>
  <c r="AC2147" i="1"/>
  <c r="AB2147" i="1"/>
  <c r="X2147" i="1"/>
  <c r="M2147" i="1"/>
  <c r="K2147" i="1"/>
  <c r="AJ2147" i="1" s="1"/>
  <c r="BU2145" i="1"/>
  <c r="BH2145" i="1"/>
  <c r="BB2145" i="1"/>
  <c r="AN2145" i="1"/>
  <c r="AM2145" i="1"/>
  <c r="AU2145" i="1" s="1"/>
  <c r="AI2145" i="1"/>
  <c r="AH2145" i="1"/>
  <c r="AF2145" i="1"/>
  <c r="AE2145" i="1"/>
  <c r="AD2145" i="1"/>
  <c r="AC2145" i="1"/>
  <c r="AB2145" i="1"/>
  <c r="X2145" i="1"/>
  <c r="M2145" i="1"/>
  <c r="BD2145" i="1" s="1"/>
  <c r="K2145" i="1"/>
  <c r="AJ2145" i="1" s="1"/>
  <c r="BU2143" i="1"/>
  <c r="BH2143" i="1"/>
  <c r="BB2143" i="1"/>
  <c r="AN2143" i="1"/>
  <c r="AV2143" i="1" s="1"/>
  <c r="AM2143" i="1"/>
  <c r="AI2143" i="1"/>
  <c r="AH2143" i="1"/>
  <c r="AF2143" i="1"/>
  <c r="AE2143" i="1"/>
  <c r="AD2143" i="1"/>
  <c r="AA2143" i="1"/>
  <c r="Z2143" i="1"/>
  <c r="X2143" i="1"/>
  <c r="M2143" i="1"/>
  <c r="BD2143" i="1" s="1"/>
  <c r="K2143" i="1"/>
  <c r="AJ2143" i="1" s="1"/>
  <c r="BU2142" i="1"/>
  <c r="BH2142" i="1"/>
  <c r="BB2142" i="1"/>
  <c r="AN2142" i="1"/>
  <c r="BG2142" i="1" s="1"/>
  <c r="AC2142" i="1" s="1"/>
  <c r="AM2142" i="1"/>
  <c r="BF2142" i="1" s="1"/>
  <c r="AB2142" i="1" s="1"/>
  <c r="AI2142" i="1"/>
  <c r="AH2142" i="1"/>
  <c r="AF2142" i="1"/>
  <c r="AE2142" i="1"/>
  <c r="AD2142" i="1"/>
  <c r="AA2142" i="1"/>
  <c r="Z2142" i="1"/>
  <c r="X2142" i="1"/>
  <c r="M2142" i="1"/>
  <c r="BD2142" i="1" s="1"/>
  <c r="K2142" i="1"/>
  <c r="AJ2142" i="1" s="1"/>
  <c r="BU2141" i="1"/>
  <c r="BH2141" i="1"/>
  <c r="BB2141" i="1"/>
  <c r="AN2141" i="1"/>
  <c r="AV2141" i="1" s="1"/>
  <c r="AM2141" i="1"/>
  <c r="BF2141" i="1" s="1"/>
  <c r="AB2141" i="1" s="1"/>
  <c r="AI2141" i="1"/>
  <c r="AH2141" i="1"/>
  <c r="AF2141" i="1"/>
  <c r="AE2141" i="1"/>
  <c r="AD2141" i="1"/>
  <c r="AA2141" i="1"/>
  <c r="Z2141" i="1"/>
  <c r="X2141" i="1"/>
  <c r="M2141" i="1"/>
  <c r="BD2141" i="1" s="1"/>
  <c r="K2141" i="1"/>
  <c r="AJ2141" i="1" s="1"/>
  <c r="BU2140" i="1"/>
  <c r="BH2140" i="1"/>
  <c r="BB2140" i="1"/>
  <c r="AN2140" i="1"/>
  <c r="AV2140" i="1" s="1"/>
  <c r="AM2140" i="1"/>
  <c r="AI2140" i="1"/>
  <c r="AH2140" i="1"/>
  <c r="AF2140" i="1"/>
  <c r="AE2140" i="1"/>
  <c r="AD2140" i="1"/>
  <c r="AA2140" i="1"/>
  <c r="Z2140" i="1"/>
  <c r="X2140" i="1"/>
  <c r="M2140" i="1"/>
  <c r="BD2140" i="1" s="1"/>
  <c r="K2140" i="1"/>
  <c r="AJ2140" i="1" s="1"/>
  <c r="BU2139" i="1"/>
  <c r="BH2139" i="1"/>
  <c r="BB2139" i="1"/>
  <c r="AN2139" i="1"/>
  <c r="AM2139" i="1"/>
  <c r="AI2139" i="1"/>
  <c r="AH2139" i="1"/>
  <c r="AF2139" i="1"/>
  <c r="AE2139" i="1"/>
  <c r="AD2139" i="1"/>
  <c r="AA2139" i="1"/>
  <c r="Z2139" i="1"/>
  <c r="X2139" i="1"/>
  <c r="M2139" i="1"/>
  <c r="BD2139" i="1" s="1"/>
  <c r="K2139" i="1"/>
  <c r="AJ2139" i="1" s="1"/>
  <c r="BU2138" i="1"/>
  <c r="BH2138" i="1"/>
  <c r="BB2138" i="1"/>
  <c r="AN2138" i="1"/>
  <c r="AM2138" i="1"/>
  <c r="BF2138" i="1" s="1"/>
  <c r="AB2138" i="1" s="1"/>
  <c r="AI2138" i="1"/>
  <c r="AH2138" i="1"/>
  <c r="AF2138" i="1"/>
  <c r="AE2138" i="1"/>
  <c r="AD2138" i="1"/>
  <c r="AA2138" i="1"/>
  <c r="Z2138" i="1"/>
  <c r="X2138" i="1"/>
  <c r="M2138" i="1"/>
  <c r="BD2138" i="1" s="1"/>
  <c r="K2138" i="1"/>
  <c r="AJ2138" i="1" s="1"/>
  <c r="BU2136" i="1"/>
  <c r="BH2136" i="1"/>
  <c r="BB2136" i="1"/>
  <c r="AN2136" i="1"/>
  <c r="AM2136" i="1"/>
  <c r="AI2136" i="1"/>
  <c r="AH2136" i="1"/>
  <c r="AF2136" i="1"/>
  <c r="AE2136" i="1"/>
  <c r="AD2136" i="1"/>
  <c r="AA2136" i="1"/>
  <c r="Z2136" i="1"/>
  <c r="X2136" i="1"/>
  <c r="M2136" i="1"/>
  <c r="BD2136" i="1" s="1"/>
  <c r="K2136" i="1"/>
  <c r="AJ2136" i="1" s="1"/>
  <c r="BU2135" i="1"/>
  <c r="BH2135" i="1"/>
  <c r="BB2135" i="1"/>
  <c r="AN2135" i="1"/>
  <c r="J2135" i="1" s="1"/>
  <c r="AM2135" i="1"/>
  <c r="AI2135" i="1"/>
  <c r="AH2135" i="1"/>
  <c r="AF2135" i="1"/>
  <c r="AE2135" i="1"/>
  <c r="AD2135" i="1"/>
  <c r="AA2135" i="1"/>
  <c r="Z2135" i="1"/>
  <c r="X2135" i="1"/>
  <c r="M2135" i="1"/>
  <c r="BD2135" i="1" s="1"/>
  <c r="K2135" i="1"/>
  <c r="AJ2135" i="1" s="1"/>
  <c r="BU2134" i="1"/>
  <c r="BH2134" i="1"/>
  <c r="BB2134" i="1"/>
  <c r="AN2134" i="1"/>
  <c r="AM2134" i="1"/>
  <c r="AU2134" i="1" s="1"/>
  <c r="AI2134" i="1"/>
  <c r="AH2134" i="1"/>
  <c r="AF2134" i="1"/>
  <c r="AE2134" i="1"/>
  <c r="AD2134" i="1"/>
  <c r="AA2134" i="1"/>
  <c r="Z2134" i="1"/>
  <c r="X2134" i="1"/>
  <c r="M2134" i="1"/>
  <c r="BD2134" i="1" s="1"/>
  <c r="K2134" i="1"/>
  <c r="AJ2134" i="1" s="1"/>
  <c r="BU2132" i="1"/>
  <c r="BH2132" i="1"/>
  <c r="BB2132" i="1"/>
  <c r="AN2132" i="1"/>
  <c r="J2132" i="1" s="1"/>
  <c r="AM2132" i="1"/>
  <c r="AI2132" i="1"/>
  <c r="AH2132" i="1"/>
  <c r="AF2132" i="1"/>
  <c r="AE2132" i="1"/>
  <c r="AD2132" i="1"/>
  <c r="AA2132" i="1"/>
  <c r="Z2132" i="1"/>
  <c r="X2132" i="1"/>
  <c r="M2132" i="1"/>
  <c r="BD2132" i="1" s="1"/>
  <c r="K2132" i="1"/>
  <c r="AJ2132" i="1" s="1"/>
  <c r="BU2131" i="1"/>
  <c r="BH2131" i="1"/>
  <c r="BB2131" i="1"/>
  <c r="AN2131" i="1"/>
  <c r="AM2131" i="1"/>
  <c r="AI2131" i="1"/>
  <c r="AH2131" i="1"/>
  <c r="AF2131" i="1"/>
  <c r="AE2131" i="1"/>
  <c r="AD2131" i="1"/>
  <c r="AA2131" i="1"/>
  <c r="Z2131" i="1"/>
  <c r="X2131" i="1"/>
  <c r="M2131" i="1"/>
  <c r="BD2131" i="1" s="1"/>
  <c r="K2131" i="1"/>
  <c r="AJ2131" i="1" s="1"/>
  <c r="BU2130" i="1"/>
  <c r="BH2130" i="1"/>
  <c r="BB2130" i="1"/>
  <c r="AN2130" i="1"/>
  <c r="AM2130" i="1"/>
  <c r="AI2130" i="1"/>
  <c r="AH2130" i="1"/>
  <c r="AF2130" i="1"/>
  <c r="AE2130" i="1"/>
  <c r="AD2130" i="1"/>
  <c r="AA2130" i="1"/>
  <c r="Z2130" i="1"/>
  <c r="X2130" i="1"/>
  <c r="M2130" i="1"/>
  <c r="BD2130" i="1" s="1"/>
  <c r="K2130" i="1"/>
  <c r="AJ2130" i="1" s="1"/>
  <c r="BU2129" i="1"/>
  <c r="BH2129" i="1"/>
  <c r="BB2129" i="1"/>
  <c r="AN2129" i="1"/>
  <c r="BG2129" i="1" s="1"/>
  <c r="AC2129" i="1" s="1"/>
  <c r="AM2129" i="1"/>
  <c r="BF2129" i="1" s="1"/>
  <c r="AB2129" i="1" s="1"/>
  <c r="AI2129" i="1"/>
  <c r="AH2129" i="1"/>
  <c r="AF2129" i="1"/>
  <c r="AE2129" i="1"/>
  <c r="AD2129" i="1"/>
  <c r="AA2129" i="1"/>
  <c r="Z2129" i="1"/>
  <c r="X2129" i="1"/>
  <c r="M2129" i="1"/>
  <c r="BD2129" i="1" s="1"/>
  <c r="K2129" i="1"/>
  <c r="BU2127" i="1"/>
  <c r="BH2127" i="1"/>
  <c r="BD2127" i="1"/>
  <c r="BB2127" i="1"/>
  <c r="AN2127" i="1"/>
  <c r="BG2127" i="1" s="1"/>
  <c r="AC2127" i="1" s="1"/>
  <c r="AM2127" i="1"/>
  <c r="AI2127" i="1"/>
  <c r="AH2127" i="1"/>
  <c r="AF2127" i="1"/>
  <c r="AE2127" i="1"/>
  <c r="AD2127" i="1"/>
  <c r="AA2127" i="1"/>
  <c r="Z2127" i="1"/>
  <c r="X2127" i="1"/>
  <c r="M2127" i="1"/>
  <c r="K2127" i="1"/>
  <c r="AJ2127" i="1" s="1"/>
  <c r="BU2125" i="1"/>
  <c r="BH2125" i="1"/>
  <c r="BB2125" i="1"/>
  <c r="AN2125" i="1"/>
  <c r="BG2125" i="1" s="1"/>
  <c r="AC2125" i="1" s="1"/>
  <c r="AM2125" i="1"/>
  <c r="AI2125" i="1"/>
  <c r="AH2125" i="1"/>
  <c r="AF2125" i="1"/>
  <c r="AE2125" i="1"/>
  <c r="AD2125" i="1"/>
  <c r="AA2125" i="1"/>
  <c r="Z2125" i="1"/>
  <c r="X2125" i="1"/>
  <c r="M2125" i="1"/>
  <c r="BD2125" i="1" s="1"/>
  <c r="K2125" i="1"/>
  <c r="AJ2125" i="1" s="1"/>
  <c r="BU2123" i="1"/>
  <c r="BH2123" i="1"/>
  <c r="BB2123" i="1"/>
  <c r="AN2123" i="1"/>
  <c r="AV2123" i="1" s="1"/>
  <c r="AM2123" i="1"/>
  <c r="I2123" i="1" s="1"/>
  <c r="AI2123" i="1"/>
  <c r="AH2123" i="1"/>
  <c r="AF2123" i="1"/>
  <c r="AE2123" i="1"/>
  <c r="AD2123" i="1"/>
  <c r="AA2123" i="1"/>
  <c r="Z2123" i="1"/>
  <c r="X2123" i="1"/>
  <c r="M2123" i="1"/>
  <c r="BD2123" i="1" s="1"/>
  <c r="K2123" i="1"/>
  <c r="AJ2123" i="1" s="1"/>
  <c r="BU2121" i="1"/>
  <c r="BH2121" i="1"/>
  <c r="BD2121" i="1"/>
  <c r="BB2121" i="1"/>
  <c r="AN2121" i="1"/>
  <c r="AM2121" i="1"/>
  <c r="AI2121" i="1"/>
  <c r="AH2121" i="1"/>
  <c r="AF2121" i="1"/>
  <c r="AE2121" i="1"/>
  <c r="AD2121" i="1"/>
  <c r="AA2121" i="1"/>
  <c r="Z2121" i="1"/>
  <c r="X2121" i="1"/>
  <c r="M2121" i="1"/>
  <c r="K2121" i="1"/>
  <c r="AJ2121" i="1" s="1"/>
  <c r="BU2119" i="1"/>
  <c r="BH2119" i="1"/>
  <c r="BB2119" i="1"/>
  <c r="AN2119" i="1"/>
  <c r="AM2119" i="1"/>
  <c r="AI2119" i="1"/>
  <c r="AH2119" i="1"/>
  <c r="AF2119" i="1"/>
  <c r="AE2119" i="1"/>
  <c r="AD2119" i="1"/>
  <c r="AA2119" i="1"/>
  <c r="Z2119" i="1"/>
  <c r="X2119" i="1"/>
  <c r="M2119" i="1"/>
  <c r="BD2119" i="1" s="1"/>
  <c r="K2119" i="1"/>
  <c r="AJ2119" i="1" s="1"/>
  <c r="BU2117" i="1"/>
  <c r="BH2117" i="1"/>
  <c r="BB2117" i="1"/>
  <c r="AN2117" i="1"/>
  <c r="AM2117" i="1"/>
  <c r="I2117" i="1" s="1"/>
  <c r="AI2117" i="1"/>
  <c r="AH2117" i="1"/>
  <c r="AF2117" i="1"/>
  <c r="AE2117" i="1"/>
  <c r="AD2117" i="1"/>
  <c r="AA2117" i="1"/>
  <c r="Z2117" i="1"/>
  <c r="X2117" i="1"/>
  <c r="M2117" i="1"/>
  <c r="BD2117" i="1" s="1"/>
  <c r="K2117" i="1"/>
  <c r="BU2116" i="1"/>
  <c r="BH2116" i="1"/>
  <c r="BB2116" i="1"/>
  <c r="AN2116" i="1"/>
  <c r="AM2116" i="1"/>
  <c r="AI2116" i="1"/>
  <c r="AH2116" i="1"/>
  <c r="AF2116" i="1"/>
  <c r="AE2116" i="1"/>
  <c r="AD2116" i="1"/>
  <c r="AA2116" i="1"/>
  <c r="Z2116" i="1"/>
  <c r="X2116" i="1"/>
  <c r="M2116" i="1"/>
  <c r="BD2116" i="1" s="1"/>
  <c r="K2116" i="1"/>
  <c r="AJ2116" i="1" s="1"/>
  <c r="BU2115" i="1"/>
  <c r="BH2115" i="1"/>
  <c r="BB2115" i="1"/>
  <c r="AN2115" i="1"/>
  <c r="AM2115" i="1"/>
  <c r="AJ2115" i="1"/>
  <c r="AI2115" i="1"/>
  <c r="AH2115" i="1"/>
  <c r="AF2115" i="1"/>
  <c r="AE2115" i="1"/>
  <c r="AD2115" i="1"/>
  <c r="AA2115" i="1"/>
  <c r="Z2115" i="1"/>
  <c r="X2115" i="1"/>
  <c r="M2115" i="1"/>
  <c r="BD2115" i="1" s="1"/>
  <c r="K2115" i="1"/>
  <c r="BU2114" i="1"/>
  <c r="BH2114" i="1"/>
  <c r="BB2114" i="1"/>
  <c r="AN2114" i="1"/>
  <c r="J2114" i="1" s="1"/>
  <c r="AM2114" i="1"/>
  <c r="AI2114" i="1"/>
  <c r="AH2114" i="1"/>
  <c r="AF2114" i="1"/>
  <c r="AE2114" i="1"/>
  <c r="AD2114" i="1"/>
  <c r="AA2114" i="1"/>
  <c r="Z2114" i="1"/>
  <c r="X2114" i="1"/>
  <c r="M2114" i="1"/>
  <c r="BD2114" i="1" s="1"/>
  <c r="K2114" i="1"/>
  <c r="AJ2114" i="1" s="1"/>
  <c r="BU2113" i="1"/>
  <c r="BH2113" i="1"/>
  <c r="BB2113" i="1"/>
  <c r="AN2113" i="1"/>
  <c r="BG2113" i="1" s="1"/>
  <c r="AC2113" i="1" s="1"/>
  <c r="AM2113" i="1"/>
  <c r="AU2113" i="1" s="1"/>
  <c r="AI2113" i="1"/>
  <c r="AH2113" i="1"/>
  <c r="AF2113" i="1"/>
  <c r="AE2113" i="1"/>
  <c r="AD2113" i="1"/>
  <c r="AA2113" i="1"/>
  <c r="Z2113" i="1"/>
  <c r="X2113" i="1"/>
  <c r="M2113" i="1"/>
  <c r="BD2113" i="1" s="1"/>
  <c r="K2113" i="1"/>
  <c r="BU2111" i="1"/>
  <c r="BH2111" i="1"/>
  <c r="BB2111" i="1"/>
  <c r="AN2111" i="1"/>
  <c r="AM2111" i="1"/>
  <c r="BF2111" i="1" s="1"/>
  <c r="AB2111" i="1" s="1"/>
  <c r="AI2111" i="1"/>
  <c r="AH2111" i="1"/>
  <c r="AF2111" i="1"/>
  <c r="AE2111" i="1"/>
  <c r="AD2111" i="1"/>
  <c r="AA2111" i="1"/>
  <c r="Z2111" i="1"/>
  <c r="X2111" i="1"/>
  <c r="M2111" i="1"/>
  <c r="BD2111" i="1" s="1"/>
  <c r="K2111" i="1"/>
  <c r="AJ2111" i="1" s="1"/>
  <c r="BU2109" i="1"/>
  <c r="BH2109" i="1"/>
  <c r="BB2109" i="1"/>
  <c r="AN2109" i="1"/>
  <c r="BG2109" i="1" s="1"/>
  <c r="AC2109" i="1" s="1"/>
  <c r="AM2109" i="1"/>
  <c r="AI2109" i="1"/>
  <c r="AH2109" i="1"/>
  <c r="AF2109" i="1"/>
  <c r="AE2109" i="1"/>
  <c r="AD2109" i="1"/>
  <c r="AA2109" i="1"/>
  <c r="Z2109" i="1"/>
  <c r="X2109" i="1"/>
  <c r="M2109" i="1"/>
  <c r="BD2109" i="1" s="1"/>
  <c r="K2109" i="1"/>
  <c r="AJ2109" i="1" s="1"/>
  <c r="BU2107" i="1"/>
  <c r="BH2107" i="1"/>
  <c r="BB2107" i="1"/>
  <c r="AN2107" i="1"/>
  <c r="AM2107" i="1"/>
  <c r="AJ2107" i="1"/>
  <c r="AI2107" i="1"/>
  <c r="AH2107" i="1"/>
  <c r="AF2107" i="1"/>
  <c r="AE2107" i="1"/>
  <c r="AD2107" i="1"/>
  <c r="AA2107" i="1"/>
  <c r="Z2107" i="1"/>
  <c r="X2107" i="1"/>
  <c r="M2107" i="1"/>
  <c r="BD2107" i="1" s="1"/>
  <c r="K2107" i="1"/>
  <c r="BU2105" i="1"/>
  <c r="BH2105" i="1"/>
  <c r="BB2105" i="1"/>
  <c r="AN2105" i="1"/>
  <c r="AM2105" i="1"/>
  <c r="AJ2105" i="1"/>
  <c r="AI2105" i="1"/>
  <c r="AH2105" i="1"/>
  <c r="AF2105" i="1"/>
  <c r="AE2105" i="1"/>
  <c r="AD2105" i="1"/>
  <c r="AA2105" i="1"/>
  <c r="Z2105" i="1"/>
  <c r="X2105" i="1"/>
  <c r="M2105" i="1"/>
  <c r="BD2105" i="1" s="1"/>
  <c r="K2105" i="1"/>
  <c r="BU2103" i="1"/>
  <c r="BH2103" i="1"/>
  <c r="BB2103" i="1"/>
  <c r="AN2103" i="1"/>
  <c r="AM2103" i="1"/>
  <c r="AI2103" i="1"/>
  <c r="AH2103" i="1"/>
  <c r="AF2103" i="1"/>
  <c r="AE2103" i="1"/>
  <c r="AD2103" i="1"/>
  <c r="AA2103" i="1"/>
  <c r="Z2103" i="1"/>
  <c r="X2103" i="1"/>
  <c r="M2103" i="1"/>
  <c r="BD2103" i="1" s="1"/>
  <c r="K2103" i="1"/>
  <c r="AJ2103" i="1" s="1"/>
  <c r="BU2101" i="1"/>
  <c r="BH2101" i="1"/>
  <c r="BB2101" i="1"/>
  <c r="AN2101" i="1"/>
  <c r="J2101" i="1" s="1"/>
  <c r="AM2101" i="1"/>
  <c r="AI2101" i="1"/>
  <c r="AH2101" i="1"/>
  <c r="AF2101" i="1"/>
  <c r="AE2101" i="1"/>
  <c r="AD2101" i="1"/>
  <c r="AA2101" i="1"/>
  <c r="Z2101" i="1"/>
  <c r="X2101" i="1"/>
  <c r="M2101" i="1"/>
  <c r="BD2101" i="1" s="1"/>
  <c r="K2101" i="1"/>
  <c r="AJ2101" i="1" s="1"/>
  <c r="BU2099" i="1"/>
  <c r="BH2099" i="1"/>
  <c r="BB2099" i="1"/>
  <c r="AN2099" i="1"/>
  <c r="J2099" i="1" s="1"/>
  <c r="AM2099" i="1"/>
  <c r="AU2099" i="1" s="1"/>
  <c r="AI2099" i="1"/>
  <c r="AH2099" i="1"/>
  <c r="AF2099" i="1"/>
  <c r="AE2099" i="1"/>
  <c r="AD2099" i="1"/>
  <c r="AA2099" i="1"/>
  <c r="Z2099" i="1"/>
  <c r="X2099" i="1"/>
  <c r="M2099" i="1"/>
  <c r="BD2099" i="1" s="1"/>
  <c r="K2099" i="1"/>
  <c r="BU2097" i="1"/>
  <c r="BH2097" i="1"/>
  <c r="BB2097" i="1"/>
  <c r="AN2097" i="1"/>
  <c r="BG2097" i="1" s="1"/>
  <c r="AC2097" i="1" s="1"/>
  <c r="AM2097" i="1"/>
  <c r="AU2097" i="1" s="1"/>
  <c r="AI2097" i="1"/>
  <c r="AH2097" i="1"/>
  <c r="AF2097" i="1"/>
  <c r="AE2097" i="1"/>
  <c r="AD2097" i="1"/>
  <c r="AA2097" i="1"/>
  <c r="Z2097" i="1"/>
  <c r="X2097" i="1"/>
  <c r="M2097" i="1"/>
  <c r="BD2097" i="1" s="1"/>
  <c r="K2097" i="1"/>
  <c r="AJ2097" i="1" s="1"/>
  <c r="BU2095" i="1"/>
  <c r="BH2095" i="1"/>
  <c r="BB2095" i="1"/>
  <c r="AN2095" i="1"/>
  <c r="AM2095" i="1"/>
  <c r="AI2095" i="1"/>
  <c r="AH2095" i="1"/>
  <c r="AF2095" i="1"/>
  <c r="AE2095" i="1"/>
  <c r="AD2095" i="1"/>
  <c r="AA2095" i="1"/>
  <c r="Z2095" i="1"/>
  <c r="X2095" i="1"/>
  <c r="M2095" i="1"/>
  <c r="BD2095" i="1" s="1"/>
  <c r="K2095" i="1"/>
  <c r="AJ2095" i="1" s="1"/>
  <c r="BU2093" i="1"/>
  <c r="BH2093" i="1"/>
  <c r="BB2093" i="1"/>
  <c r="AN2093" i="1"/>
  <c r="BG2093" i="1" s="1"/>
  <c r="AC2093" i="1" s="1"/>
  <c r="AM2093" i="1"/>
  <c r="AI2093" i="1"/>
  <c r="AH2093" i="1"/>
  <c r="AF2093" i="1"/>
  <c r="AE2093" i="1"/>
  <c r="AD2093" i="1"/>
  <c r="AA2093" i="1"/>
  <c r="Z2093" i="1"/>
  <c r="X2093" i="1"/>
  <c r="M2093" i="1"/>
  <c r="BD2093" i="1" s="1"/>
  <c r="K2093" i="1"/>
  <c r="AJ2093" i="1" s="1"/>
  <c r="BU2091" i="1"/>
  <c r="BH2091" i="1"/>
  <c r="BB2091" i="1"/>
  <c r="AN2091" i="1"/>
  <c r="AM2091" i="1"/>
  <c r="AI2091" i="1"/>
  <c r="AH2091" i="1"/>
  <c r="AF2091" i="1"/>
  <c r="AE2091" i="1"/>
  <c r="AD2091" i="1"/>
  <c r="AA2091" i="1"/>
  <c r="Z2091" i="1"/>
  <c r="X2091" i="1"/>
  <c r="M2091" i="1"/>
  <c r="BD2091" i="1" s="1"/>
  <c r="K2091" i="1"/>
  <c r="AJ2091" i="1" s="1"/>
  <c r="BU2089" i="1"/>
  <c r="BH2089" i="1"/>
  <c r="BB2089" i="1"/>
  <c r="AN2089" i="1"/>
  <c r="AM2089" i="1"/>
  <c r="AU2089" i="1" s="1"/>
  <c r="AI2089" i="1"/>
  <c r="AH2089" i="1"/>
  <c r="AF2089" i="1"/>
  <c r="AE2089" i="1"/>
  <c r="AD2089" i="1"/>
  <c r="AA2089" i="1"/>
  <c r="Z2089" i="1"/>
  <c r="X2089" i="1"/>
  <c r="M2089" i="1"/>
  <c r="BD2089" i="1" s="1"/>
  <c r="K2089" i="1"/>
  <c r="AJ2089" i="1" s="1"/>
  <c r="BU2087" i="1"/>
  <c r="BH2087" i="1"/>
  <c r="BB2087" i="1"/>
  <c r="AN2087" i="1"/>
  <c r="BG2087" i="1" s="1"/>
  <c r="AC2087" i="1" s="1"/>
  <c r="AM2087" i="1"/>
  <c r="AI2087" i="1"/>
  <c r="AH2087" i="1"/>
  <c r="AF2087" i="1"/>
  <c r="AE2087" i="1"/>
  <c r="AD2087" i="1"/>
  <c r="AA2087" i="1"/>
  <c r="Z2087" i="1"/>
  <c r="X2087" i="1"/>
  <c r="M2087" i="1"/>
  <c r="BD2087" i="1" s="1"/>
  <c r="K2087" i="1"/>
  <c r="BU2085" i="1"/>
  <c r="BH2085" i="1"/>
  <c r="BB2085" i="1"/>
  <c r="AN2085" i="1"/>
  <c r="AM2085" i="1"/>
  <c r="AI2085" i="1"/>
  <c r="AH2085" i="1"/>
  <c r="AF2085" i="1"/>
  <c r="AE2085" i="1"/>
  <c r="AD2085" i="1"/>
  <c r="AA2085" i="1"/>
  <c r="Z2085" i="1"/>
  <c r="X2085" i="1"/>
  <c r="M2085" i="1"/>
  <c r="BD2085" i="1" s="1"/>
  <c r="K2085" i="1"/>
  <c r="AJ2085" i="1" s="1"/>
  <c r="BU2083" i="1"/>
  <c r="BH2083" i="1"/>
  <c r="BB2083" i="1"/>
  <c r="AN2083" i="1"/>
  <c r="BG2083" i="1" s="1"/>
  <c r="AC2083" i="1" s="1"/>
  <c r="AM2083" i="1"/>
  <c r="AI2083" i="1"/>
  <c r="AH2083" i="1"/>
  <c r="AF2083" i="1"/>
  <c r="AE2083" i="1"/>
  <c r="AD2083" i="1"/>
  <c r="AA2083" i="1"/>
  <c r="Z2083" i="1"/>
  <c r="X2083" i="1"/>
  <c r="M2083" i="1"/>
  <c r="BD2083" i="1" s="1"/>
  <c r="K2083" i="1"/>
  <c r="AJ2083" i="1" s="1"/>
  <c r="BU2081" i="1"/>
  <c r="BH2081" i="1"/>
  <c r="BB2081" i="1"/>
  <c r="AN2081" i="1"/>
  <c r="AM2081" i="1"/>
  <c r="AI2081" i="1"/>
  <c r="AH2081" i="1"/>
  <c r="AF2081" i="1"/>
  <c r="AE2081" i="1"/>
  <c r="AD2081" i="1"/>
  <c r="AA2081" i="1"/>
  <c r="Z2081" i="1"/>
  <c r="X2081" i="1"/>
  <c r="M2081" i="1"/>
  <c r="BD2081" i="1" s="1"/>
  <c r="K2081" i="1"/>
  <c r="AJ2081" i="1" s="1"/>
  <c r="BU2079" i="1"/>
  <c r="BH2079" i="1"/>
  <c r="BB2079" i="1"/>
  <c r="AN2079" i="1"/>
  <c r="AM2079" i="1"/>
  <c r="BF2079" i="1" s="1"/>
  <c r="AB2079" i="1" s="1"/>
  <c r="AI2079" i="1"/>
  <c r="AH2079" i="1"/>
  <c r="AF2079" i="1"/>
  <c r="AE2079" i="1"/>
  <c r="AD2079" i="1"/>
  <c r="AA2079" i="1"/>
  <c r="Z2079" i="1"/>
  <c r="X2079" i="1"/>
  <c r="M2079" i="1"/>
  <c r="BD2079" i="1" s="1"/>
  <c r="K2079" i="1"/>
  <c r="AJ2079" i="1" s="1"/>
  <c r="BU2077" i="1"/>
  <c r="BH2077" i="1"/>
  <c r="BB2077" i="1"/>
  <c r="AN2077" i="1"/>
  <c r="AM2077" i="1"/>
  <c r="AI2077" i="1"/>
  <c r="AH2077" i="1"/>
  <c r="AF2077" i="1"/>
  <c r="AE2077" i="1"/>
  <c r="AD2077" i="1"/>
  <c r="AA2077" i="1"/>
  <c r="Z2077" i="1"/>
  <c r="X2077" i="1"/>
  <c r="M2077" i="1"/>
  <c r="BD2077" i="1" s="1"/>
  <c r="K2077" i="1"/>
  <c r="AJ2077" i="1" s="1"/>
  <c r="BU2075" i="1"/>
  <c r="BH2075" i="1"/>
  <c r="BB2075" i="1"/>
  <c r="AN2075" i="1"/>
  <c r="J2075" i="1" s="1"/>
  <c r="AM2075" i="1"/>
  <c r="AI2075" i="1"/>
  <c r="AH2075" i="1"/>
  <c r="AF2075" i="1"/>
  <c r="AE2075" i="1"/>
  <c r="AD2075" i="1"/>
  <c r="AA2075" i="1"/>
  <c r="Z2075" i="1"/>
  <c r="X2075" i="1"/>
  <c r="M2075" i="1"/>
  <c r="BD2075" i="1" s="1"/>
  <c r="K2075" i="1"/>
  <c r="AJ2075" i="1" s="1"/>
  <c r="BU2073" i="1"/>
  <c r="BH2073" i="1"/>
  <c r="BB2073" i="1"/>
  <c r="AN2073" i="1"/>
  <c r="BG2073" i="1" s="1"/>
  <c r="AC2073" i="1" s="1"/>
  <c r="AM2073" i="1"/>
  <c r="BF2073" i="1" s="1"/>
  <c r="AB2073" i="1" s="1"/>
  <c r="AI2073" i="1"/>
  <c r="AH2073" i="1"/>
  <c r="AF2073" i="1"/>
  <c r="AE2073" i="1"/>
  <c r="AD2073" i="1"/>
  <c r="AA2073" i="1"/>
  <c r="Z2073" i="1"/>
  <c r="X2073" i="1"/>
  <c r="M2073" i="1"/>
  <c r="BD2073" i="1" s="1"/>
  <c r="K2073" i="1"/>
  <c r="AJ2073" i="1" s="1"/>
  <c r="BU2072" i="1"/>
  <c r="BH2072" i="1"/>
  <c r="BB2072" i="1"/>
  <c r="AN2072" i="1"/>
  <c r="AM2072" i="1"/>
  <c r="AU2072" i="1" s="1"/>
  <c r="AI2072" i="1"/>
  <c r="AH2072" i="1"/>
  <c r="AF2072" i="1"/>
  <c r="AE2072" i="1"/>
  <c r="AD2072" i="1"/>
  <c r="AA2072" i="1"/>
  <c r="Z2072" i="1"/>
  <c r="X2072" i="1"/>
  <c r="M2072" i="1"/>
  <c r="BD2072" i="1" s="1"/>
  <c r="K2072" i="1"/>
  <c r="AJ2072" i="1" s="1"/>
  <c r="BU2070" i="1"/>
  <c r="BH2070" i="1"/>
  <c r="BB2070" i="1"/>
  <c r="AN2070" i="1"/>
  <c r="AM2070" i="1"/>
  <c r="AI2070" i="1"/>
  <c r="AH2070" i="1"/>
  <c r="AF2070" i="1"/>
  <c r="AE2070" i="1"/>
  <c r="AD2070" i="1"/>
  <c r="AA2070" i="1"/>
  <c r="Z2070" i="1"/>
  <c r="X2070" i="1"/>
  <c r="M2070" i="1"/>
  <c r="BD2070" i="1" s="1"/>
  <c r="K2070" i="1"/>
  <c r="AJ2070" i="1" s="1"/>
  <c r="BU2068" i="1"/>
  <c r="BH2068" i="1"/>
  <c r="BB2068" i="1"/>
  <c r="AN2068" i="1"/>
  <c r="AM2068" i="1"/>
  <c r="AI2068" i="1"/>
  <c r="AH2068" i="1"/>
  <c r="AF2068" i="1"/>
  <c r="AE2068" i="1"/>
  <c r="AD2068" i="1"/>
  <c r="AA2068" i="1"/>
  <c r="Z2068" i="1"/>
  <c r="X2068" i="1"/>
  <c r="M2068" i="1"/>
  <c r="BD2068" i="1" s="1"/>
  <c r="K2068" i="1"/>
  <c r="AJ2068" i="1" s="1"/>
  <c r="BU2066" i="1"/>
  <c r="BH2066" i="1"/>
  <c r="BB2066" i="1"/>
  <c r="AN2066" i="1"/>
  <c r="AV2066" i="1" s="1"/>
  <c r="AM2066" i="1"/>
  <c r="AU2066" i="1" s="1"/>
  <c r="AI2066" i="1"/>
  <c r="AH2066" i="1"/>
  <c r="AF2066" i="1"/>
  <c r="AE2066" i="1"/>
  <c r="AD2066" i="1"/>
  <c r="AA2066" i="1"/>
  <c r="Z2066" i="1"/>
  <c r="X2066" i="1"/>
  <c r="M2066" i="1"/>
  <c r="BD2066" i="1" s="1"/>
  <c r="K2066" i="1"/>
  <c r="AJ2066" i="1" s="1"/>
  <c r="BU2064" i="1"/>
  <c r="BH2064" i="1"/>
  <c r="BB2064" i="1"/>
  <c r="AN2064" i="1"/>
  <c r="AM2064" i="1"/>
  <c r="I2064" i="1" s="1"/>
  <c r="AI2064" i="1"/>
  <c r="AH2064" i="1"/>
  <c r="AF2064" i="1"/>
  <c r="AE2064" i="1"/>
  <c r="AD2064" i="1"/>
  <c r="AA2064" i="1"/>
  <c r="Z2064" i="1"/>
  <c r="X2064" i="1"/>
  <c r="M2064" i="1"/>
  <c r="BD2064" i="1" s="1"/>
  <c r="K2064" i="1"/>
  <c r="BU2063" i="1"/>
  <c r="BH2063" i="1"/>
  <c r="BB2063" i="1"/>
  <c r="AN2063" i="1"/>
  <c r="AV2063" i="1" s="1"/>
  <c r="AM2063" i="1"/>
  <c r="I2063" i="1" s="1"/>
  <c r="AI2063" i="1"/>
  <c r="AH2063" i="1"/>
  <c r="AF2063" i="1"/>
  <c r="AE2063" i="1"/>
  <c r="AD2063" i="1"/>
  <c r="AA2063" i="1"/>
  <c r="Z2063" i="1"/>
  <c r="X2063" i="1"/>
  <c r="M2063" i="1"/>
  <c r="BD2063" i="1" s="1"/>
  <c r="K2063" i="1"/>
  <c r="AJ2063" i="1" s="1"/>
  <c r="BU2061" i="1"/>
  <c r="BH2061" i="1"/>
  <c r="BB2061" i="1"/>
  <c r="AN2061" i="1"/>
  <c r="AM2061" i="1"/>
  <c r="I2061" i="1" s="1"/>
  <c r="AI2061" i="1"/>
  <c r="AH2061" i="1"/>
  <c r="AF2061" i="1"/>
  <c r="AE2061" i="1"/>
  <c r="AD2061" i="1"/>
  <c r="AA2061" i="1"/>
  <c r="Z2061" i="1"/>
  <c r="X2061" i="1"/>
  <c r="M2061" i="1"/>
  <c r="BD2061" i="1" s="1"/>
  <c r="K2061" i="1"/>
  <c r="AJ2061" i="1" s="1"/>
  <c r="BU2059" i="1"/>
  <c r="BH2059" i="1"/>
  <c r="BB2059" i="1"/>
  <c r="AN2059" i="1"/>
  <c r="AM2059" i="1"/>
  <c r="BF2059" i="1" s="1"/>
  <c r="AB2059" i="1" s="1"/>
  <c r="AI2059" i="1"/>
  <c r="AH2059" i="1"/>
  <c r="AF2059" i="1"/>
  <c r="AE2059" i="1"/>
  <c r="AD2059" i="1"/>
  <c r="AA2059" i="1"/>
  <c r="Z2059" i="1"/>
  <c r="X2059" i="1"/>
  <c r="M2059" i="1"/>
  <c r="BD2059" i="1" s="1"/>
  <c r="K2059" i="1"/>
  <c r="AJ2059" i="1" s="1"/>
  <c r="BU2057" i="1"/>
  <c r="BH2057" i="1"/>
  <c r="BB2057" i="1"/>
  <c r="AN2057" i="1"/>
  <c r="J2057" i="1" s="1"/>
  <c r="AM2057" i="1"/>
  <c r="I2057" i="1" s="1"/>
  <c r="AI2057" i="1"/>
  <c r="AH2057" i="1"/>
  <c r="AF2057" i="1"/>
  <c r="AE2057" i="1"/>
  <c r="AD2057" i="1"/>
  <c r="AA2057" i="1"/>
  <c r="Z2057" i="1"/>
  <c r="X2057" i="1"/>
  <c r="M2057" i="1"/>
  <c r="K2057" i="1"/>
  <c r="BU2055" i="1"/>
  <c r="BH2055" i="1"/>
  <c r="BB2055" i="1"/>
  <c r="AN2055" i="1"/>
  <c r="AM2055" i="1"/>
  <c r="AI2055" i="1"/>
  <c r="AH2055" i="1"/>
  <c r="AF2055" i="1"/>
  <c r="AE2055" i="1"/>
  <c r="AD2055" i="1"/>
  <c r="AA2055" i="1"/>
  <c r="Z2055" i="1"/>
  <c r="X2055" i="1"/>
  <c r="M2055" i="1"/>
  <c r="BD2055" i="1" s="1"/>
  <c r="K2055" i="1"/>
  <c r="AJ2055" i="1" s="1"/>
  <c r="BU2053" i="1"/>
  <c r="BH2053" i="1"/>
  <c r="BB2053" i="1"/>
  <c r="AN2053" i="1"/>
  <c r="AM2053" i="1"/>
  <c r="AI2053" i="1"/>
  <c r="AH2053" i="1"/>
  <c r="AF2053" i="1"/>
  <c r="AE2053" i="1"/>
  <c r="AD2053" i="1"/>
  <c r="AA2053" i="1"/>
  <c r="Z2053" i="1"/>
  <c r="X2053" i="1"/>
  <c r="M2053" i="1"/>
  <c r="BD2053" i="1" s="1"/>
  <c r="K2053" i="1"/>
  <c r="AJ2053" i="1" s="1"/>
  <c r="BU2051" i="1"/>
  <c r="BH2051" i="1"/>
  <c r="BB2051" i="1"/>
  <c r="AN2051" i="1"/>
  <c r="AM2051" i="1"/>
  <c r="BF2051" i="1" s="1"/>
  <c r="AB2051" i="1" s="1"/>
  <c r="AI2051" i="1"/>
  <c r="AH2051" i="1"/>
  <c r="AF2051" i="1"/>
  <c r="AE2051" i="1"/>
  <c r="AD2051" i="1"/>
  <c r="AA2051" i="1"/>
  <c r="Z2051" i="1"/>
  <c r="X2051" i="1"/>
  <c r="M2051" i="1"/>
  <c r="BD2051" i="1" s="1"/>
  <c r="K2051" i="1"/>
  <c r="BU2048" i="1"/>
  <c r="BH2048" i="1"/>
  <c r="BB2048" i="1"/>
  <c r="AN2048" i="1"/>
  <c r="AM2048" i="1"/>
  <c r="AI2048" i="1"/>
  <c r="AH2048" i="1"/>
  <c r="AF2048" i="1"/>
  <c r="AE2048" i="1"/>
  <c r="AD2048" i="1"/>
  <c r="AC2048" i="1"/>
  <c r="AB2048" i="1"/>
  <c r="X2048" i="1"/>
  <c r="M2048" i="1"/>
  <c r="BD2048" i="1" s="1"/>
  <c r="K2048" i="1"/>
  <c r="AJ2048" i="1" s="1"/>
  <c r="BU2046" i="1"/>
  <c r="BH2046" i="1"/>
  <c r="BB2046" i="1"/>
  <c r="AN2046" i="1"/>
  <c r="BG2046" i="1" s="1"/>
  <c r="AA2046" i="1" s="1"/>
  <c r="AM2046" i="1"/>
  <c r="BF2046" i="1" s="1"/>
  <c r="Z2046" i="1" s="1"/>
  <c r="AI2046" i="1"/>
  <c r="AH2046" i="1"/>
  <c r="AF2046" i="1"/>
  <c r="AE2046" i="1"/>
  <c r="AD2046" i="1"/>
  <c r="AC2046" i="1"/>
  <c r="AB2046" i="1"/>
  <c r="X2046" i="1"/>
  <c r="M2046" i="1"/>
  <c r="K2046" i="1"/>
  <c r="AJ2046" i="1" s="1"/>
  <c r="BU2044" i="1"/>
  <c r="BH2044" i="1"/>
  <c r="BB2044" i="1"/>
  <c r="AN2044" i="1"/>
  <c r="BG2044" i="1" s="1"/>
  <c r="AA2044" i="1" s="1"/>
  <c r="AM2044" i="1"/>
  <c r="AI2044" i="1"/>
  <c r="AH2044" i="1"/>
  <c r="AF2044" i="1"/>
  <c r="AE2044" i="1"/>
  <c r="AD2044" i="1"/>
  <c r="AC2044" i="1"/>
  <c r="AB2044" i="1"/>
  <c r="X2044" i="1"/>
  <c r="M2044" i="1"/>
  <c r="BD2044" i="1" s="1"/>
  <c r="K2044" i="1"/>
  <c r="AJ2044" i="1" s="1"/>
  <c r="BU2042" i="1"/>
  <c r="BH2042" i="1"/>
  <c r="BB2042" i="1"/>
  <c r="AN2042" i="1"/>
  <c r="AM2042" i="1"/>
  <c r="AI2042" i="1"/>
  <c r="AH2042" i="1"/>
  <c r="AF2042" i="1"/>
  <c r="AE2042" i="1"/>
  <c r="AD2042" i="1"/>
  <c r="AC2042" i="1"/>
  <c r="AB2042" i="1"/>
  <c r="X2042" i="1"/>
  <c r="M2042" i="1"/>
  <c r="BD2042" i="1" s="1"/>
  <c r="K2042" i="1"/>
  <c r="BU2039" i="1"/>
  <c r="BH2039" i="1"/>
  <c r="BB2039" i="1"/>
  <c r="AN2039" i="1"/>
  <c r="AM2039" i="1"/>
  <c r="AI2039" i="1"/>
  <c r="AH2039" i="1"/>
  <c r="AF2039" i="1"/>
  <c r="AE2039" i="1"/>
  <c r="AD2039" i="1"/>
  <c r="AC2039" i="1"/>
  <c r="AB2039" i="1"/>
  <c r="X2039" i="1"/>
  <c r="M2039" i="1"/>
  <c r="BD2039" i="1" s="1"/>
  <c r="K2039" i="1"/>
  <c r="AJ2039" i="1" s="1"/>
  <c r="BU2037" i="1"/>
  <c r="BH2037" i="1"/>
  <c r="BB2037" i="1"/>
  <c r="AN2037" i="1"/>
  <c r="AM2037" i="1"/>
  <c r="AI2037" i="1"/>
  <c r="AH2037" i="1"/>
  <c r="AF2037" i="1"/>
  <c r="AE2037" i="1"/>
  <c r="AD2037" i="1"/>
  <c r="AC2037" i="1"/>
  <c r="AB2037" i="1"/>
  <c r="X2037" i="1"/>
  <c r="M2037" i="1"/>
  <c r="BD2037" i="1" s="1"/>
  <c r="K2037" i="1"/>
  <c r="AJ2037" i="1" s="1"/>
  <c r="BU2035" i="1"/>
  <c r="BH2035" i="1"/>
  <c r="BB2035" i="1"/>
  <c r="AN2035" i="1"/>
  <c r="AM2035" i="1"/>
  <c r="AU2035" i="1" s="1"/>
  <c r="AI2035" i="1"/>
  <c r="AH2035" i="1"/>
  <c r="AF2035" i="1"/>
  <c r="AE2035" i="1"/>
  <c r="AD2035" i="1"/>
  <c r="AC2035" i="1"/>
  <c r="AB2035" i="1"/>
  <c r="X2035" i="1"/>
  <c r="M2035" i="1"/>
  <c r="BD2035" i="1" s="1"/>
  <c r="K2035" i="1"/>
  <c r="AJ2035" i="1" s="1"/>
  <c r="BU2033" i="1"/>
  <c r="BH2033" i="1"/>
  <c r="BB2033" i="1"/>
  <c r="AN2033" i="1"/>
  <c r="AM2033" i="1"/>
  <c r="BF2033" i="1" s="1"/>
  <c r="Z2033" i="1" s="1"/>
  <c r="AI2033" i="1"/>
  <c r="AH2033" i="1"/>
  <c r="AF2033" i="1"/>
  <c r="AE2033" i="1"/>
  <c r="AD2033" i="1"/>
  <c r="AC2033" i="1"/>
  <c r="AB2033" i="1"/>
  <c r="X2033" i="1"/>
  <c r="M2033" i="1"/>
  <c r="BD2033" i="1" s="1"/>
  <c r="K2033" i="1"/>
  <c r="AJ2033" i="1" s="1"/>
  <c r="BU2031" i="1"/>
  <c r="BH2031" i="1"/>
  <c r="BB2031" i="1"/>
  <c r="AN2031" i="1"/>
  <c r="AM2031" i="1"/>
  <c r="AI2031" i="1"/>
  <c r="AH2031" i="1"/>
  <c r="AF2031" i="1"/>
  <c r="AE2031" i="1"/>
  <c r="AD2031" i="1"/>
  <c r="AC2031" i="1"/>
  <c r="AB2031" i="1"/>
  <c r="X2031" i="1"/>
  <c r="M2031" i="1"/>
  <c r="K2031" i="1"/>
  <c r="AJ2031" i="1" s="1"/>
  <c r="BU2029" i="1"/>
  <c r="BH2029" i="1"/>
  <c r="BB2029" i="1"/>
  <c r="AN2029" i="1"/>
  <c r="AM2029" i="1"/>
  <c r="AU2029" i="1" s="1"/>
  <c r="AI2029" i="1"/>
  <c r="AH2029" i="1"/>
  <c r="AF2029" i="1"/>
  <c r="AE2029" i="1"/>
  <c r="AD2029" i="1"/>
  <c r="AC2029" i="1"/>
  <c r="AB2029" i="1"/>
  <c r="X2029" i="1"/>
  <c r="M2029" i="1"/>
  <c r="BD2029" i="1" s="1"/>
  <c r="K2029" i="1"/>
  <c r="BU2028" i="1"/>
  <c r="BH2028" i="1"/>
  <c r="BB2028" i="1"/>
  <c r="AN2028" i="1"/>
  <c r="AM2028" i="1"/>
  <c r="AI2028" i="1"/>
  <c r="AH2028" i="1"/>
  <c r="AF2028" i="1"/>
  <c r="AE2028" i="1"/>
  <c r="AD2028" i="1"/>
  <c r="AC2028" i="1"/>
  <c r="AB2028" i="1"/>
  <c r="X2028" i="1"/>
  <c r="M2028" i="1"/>
  <c r="BD2028" i="1" s="1"/>
  <c r="K2028" i="1"/>
  <c r="BU2026" i="1"/>
  <c r="BH2026" i="1"/>
  <c r="BB2026" i="1"/>
  <c r="AN2026" i="1"/>
  <c r="AV2026" i="1" s="1"/>
  <c r="AM2026" i="1"/>
  <c r="AI2026" i="1"/>
  <c r="AH2026" i="1"/>
  <c r="AF2026" i="1"/>
  <c r="AE2026" i="1"/>
  <c r="AD2026" i="1"/>
  <c r="AC2026" i="1"/>
  <c r="AB2026" i="1"/>
  <c r="X2026" i="1"/>
  <c r="M2026" i="1"/>
  <c r="BD2026" i="1" s="1"/>
  <c r="K2026" i="1"/>
  <c r="AJ2026" i="1" s="1"/>
  <c r="BU2025" i="1"/>
  <c r="BH2025" i="1"/>
  <c r="BB2025" i="1"/>
  <c r="AN2025" i="1"/>
  <c r="BG2025" i="1" s="1"/>
  <c r="AA2025" i="1" s="1"/>
  <c r="AM2025" i="1"/>
  <c r="AU2025" i="1" s="1"/>
  <c r="AI2025" i="1"/>
  <c r="AH2025" i="1"/>
  <c r="AF2025" i="1"/>
  <c r="AE2025" i="1"/>
  <c r="AD2025" i="1"/>
  <c r="AC2025" i="1"/>
  <c r="AB2025" i="1"/>
  <c r="X2025" i="1"/>
  <c r="M2025" i="1"/>
  <c r="BD2025" i="1" s="1"/>
  <c r="K2025" i="1"/>
  <c r="AJ2025" i="1" s="1"/>
  <c r="BU2023" i="1"/>
  <c r="BH2023" i="1"/>
  <c r="BB2023" i="1"/>
  <c r="AN2023" i="1"/>
  <c r="AM2023" i="1"/>
  <c r="AI2023" i="1"/>
  <c r="AH2023" i="1"/>
  <c r="AF2023" i="1"/>
  <c r="AE2023" i="1"/>
  <c r="AD2023" i="1"/>
  <c r="AC2023" i="1"/>
  <c r="AB2023" i="1"/>
  <c r="X2023" i="1"/>
  <c r="M2023" i="1"/>
  <c r="BD2023" i="1" s="1"/>
  <c r="K2023" i="1"/>
  <c r="AJ2023" i="1" s="1"/>
  <c r="BU2021" i="1"/>
  <c r="BH2021" i="1"/>
  <c r="BB2021" i="1"/>
  <c r="AN2021" i="1"/>
  <c r="J2021" i="1" s="1"/>
  <c r="AM2021" i="1"/>
  <c r="AI2021" i="1"/>
  <c r="AH2021" i="1"/>
  <c r="AF2021" i="1"/>
  <c r="AE2021" i="1"/>
  <c r="AD2021" i="1"/>
  <c r="AC2021" i="1"/>
  <c r="AB2021" i="1"/>
  <c r="X2021" i="1"/>
  <c r="M2021" i="1"/>
  <c r="BD2021" i="1" s="1"/>
  <c r="K2021" i="1"/>
  <c r="BU2019" i="1"/>
  <c r="BH2019" i="1"/>
  <c r="BB2019" i="1"/>
  <c r="AN2019" i="1"/>
  <c r="AM2019" i="1"/>
  <c r="AI2019" i="1"/>
  <c r="AH2019" i="1"/>
  <c r="AF2019" i="1"/>
  <c r="AE2019" i="1"/>
  <c r="AD2019" i="1"/>
  <c r="AC2019" i="1"/>
  <c r="AB2019" i="1"/>
  <c r="X2019" i="1"/>
  <c r="M2019" i="1"/>
  <c r="BD2019" i="1" s="1"/>
  <c r="K2019" i="1"/>
  <c r="AJ2019" i="1" s="1"/>
  <c r="BU2017" i="1"/>
  <c r="BH2017" i="1"/>
  <c r="BB2017" i="1"/>
  <c r="AN2017" i="1"/>
  <c r="AM2017" i="1"/>
  <c r="AI2017" i="1"/>
  <c r="AH2017" i="1"/>
  <c r="AF2017" i="1"/>
  <c r="AE2017" i="1"/>
  <c r="AD2017" i="1"/>
  <c r="AC2017" i="1"/>
  <c r="AB2017" i="1"/>
  <c r="X2017" i="1"/>
  <c r="M2017" i="1"/>
  <c r="BD2017" i="1" s="1"/>
  <c r="K2017" i="1"/>
  <c r="AJ2017" i="1" s="1"/>
  <c r="BU2015" i="1"/>
  <c r="BH2015" i="1"/>
  <c r="BB2015" i="1"/>
  <c r="AN2015" i="1"/>
  <c r="AV2015" i="1" s="1"/>
  <c r="AM2015" i="1"/>
  <c r="AI2015" i="1"/>
  <c r="AH2015" i="1"/>
  <c r="AF2015" i="1"/>
  <c r="AE2015" i="1"/>
  <c r="AD2015" i="1"/>
  <c r="AC2015" i="1"/>
  <c r="AB2015" i="1"/>
  <c r="X2015" i="1"/>
  <c r="M2015" i="1"/>
  <c r="BD2015" i="1" s="1"/>
  <c r="K2015" i="1"/>
  <c r="AJ2015" i="1" s="1"/>
  <c r="BU2014" i="1"/>
  <c r="BH2014" i="1"/>
  <c r="BB2014" i="1"/>
  <c r="AN2014" i="1"/>
  <c r="J2014" i="1" s="1"/>
  <c r="AM2014" i="1"/>
  <c r="AU2014" i="1" s="1"/>
  <c r="AI2014" i="1"/>
  <c r="AH2014" i="1"/>
  <c r="AF2014" i="1"/>
  <c r="AE2014" i="1"/>
  <c r="AD2014" i="1"/>
  <c r="AC2014" i="1"/>
  <c r="AB2014" i="1"/>
  <c r="X2014" i="1"/>
  <c r="M2014" i="1"/>
  <c r="BD2014" i="1" s="1"/>
  <c r="K2014" i="1"/>
  <c r="AJ2014" i="1" s="1"/>
  <c r="BU2012" i="1"/>
  <c r="BH2012" i="1"/>
  <c r="BB2012" i="1"/>
  <c r="AN2012" i="1"/>
  <c r="AM2012" i="1"/>
  <c r="AI2012" i="1"/>
  <c r="AH2012" i="1"/>
  <c r="AF2012" i="1"/>
  <c r="AE2012" i="1"/>
  <c r="AD2012" i="1"/>
  <c r="AC2012" i="1"/>
  <c r="AB2012" i="1"/>
  <c r="X2012" i="1"/>
  <c r="M2012" i="1"/>
  <c r="BD2012" i="1" s="1"/>
  <c r="K2012" i="1"/>
  <c r="AJ2012" i="1" s="1"/>
  <c r="BU2011" i="1"/>
  <c r="BH2011" i="1"/>
  <c r="BB2011" i="1"/>
  <c r="AN2011" i="1"/>
  <c r="AM2011" i="1"/>
  <c r="I2011" i="1" s="1"/>
  <c r="AI2011" i="1"/>
  <c r="AH2011" i="1"/>
  <c r="AF2011" i="1"/>
  <c r="AE2011" i="1"/>
  <c r="AD2011" i="1"/>
  <c r="AC2011" i="1"/>
  <c r="AB2011" i="1"/>
  <c r="X2011" i="1"/>
  <c r="M2011" i="1"/>
  <c r="BD2011" i="1" s="1"/>
  <c r="K2011" i="1"/>
  <c r="AJ2011" i="1" s="1"/>
  <c r="BU2010" i="1"/>
  <c r="BH2010" i="1"/>
  <c r="BB2010" i="1"/>
  <c r="AN2010" i="1"/>
  <c r="AM2010" i="1"/>
  <c r="AU2010" i="1" s="1"/>
  <c r="AI2010" i="1"/>
  <c r="AH2010" i="1"/>
  <c r="AF2010" i="1"/>
  <c r="AE2010" i="1"/>
  <c r="AD2010" i="1"/>
  <c r="AC2010" i="1"/>
  <c r="AB2010" i="1"/>
  <c r="X2010" i="1"/>
  <c r="M2010" i="1"/>
  <c r="BD2010" i="1" s="1"/>
  <c r="K2010" i="1"/>
  <c r="AJ2010" i="1" s="1"/>
  <c r="BU2008" i="1"/>
  <c r="BH2008" i="1"/>
  <c r="BB2008" i="1"/>
  <c r="AN2008" i="1"/>
  <c r="J2008" i="1" s="1"/>
  <c r="AM2008" i="1"/>
  <c r="AI2008" i="1"/>
  <c r="AH2008" i="1"/>
  <c r="AF2008" i="1"/>
  <c r="AE2008" i="1"/>
  <c r="AD2008" i="1"/>
  <c r="AC2008" i="1"/>
  <c r="AB2008" i="1"/>
  <c r="X2008" i="1"/>
  <c r="M2008" i="1"/>
  <c r="BD2008" i="1" s="1"/>
  <c r="K2008" i="1"/>
  <c r="BU2006" i="1"/>
  <c r="BH2006" i="1"/>
  <c r="BB2006" i="1"/>
  <c r="AN2006" i="1"/>
  <c r="AM2006" i="1"/>
  <c r="BF2006" i="1" s="1"/>
  <c r="Z2006" i="1" s="1"/>
  <c r="AI2006" i="1"/>
  <c r="AH2006" i="1"/>
  <c r="AF2006" i="1"/>
  <c r="AE2006" i="1"/>
  <c r="AD2006" i="1"/>
  <c r="AC2006" i="1"/>
  <c r="AB2006" i="1"/>
  <c r="X2006" i="1"/>
  <c r="M2006" i="1"/>
  <c r="BD2006" i="1" s="1"/>
  <c r="K2006" i="1"/>
  <c r="AJ2006" i="1" s="1"/>
  <c r="BU2004" i="1"/>
  <c r="BH2004" i="1"/>
  <c r="BB2004" i="1"/>
  <c r="AN2004" i="1"/>
  <c r="J2004" i="1" s="1"/>
  <c r="AM2004" i="1"/>
  <c r="AI2004" i="1"/>
  <c r="AH2004" i="1"/>
  <c r="AF2004" i="1"/>
  <c r="AE2004" i="1"/>
  <c r="AD2004" i="1"/>
  <c r="AC2004" i="1"/>
  <c r="AB2004" i="1"/>
  <c r="X2004" i="1"/>
  <c r="M2004" i="1"/>
  <c r="BD2004" i="1" s="1"/>
  <c r="K2004" i="1"/>
  <c r="AJ2004" i="1" s="1"/>
  <c r="BU2002" i="1"/>
  <c r="BH2002" i="1"/>
  <c r="BB2002" i="1"/>
  <c r="AN2002" i="1"/>
  <c r="J2002" i="1" s="1"/>
  <c r="AM2002" i="1"/>
  <c r="AU2002" i="1" s="1"/>
  <c r="AI2002" i="1"/>
  <c r="AH2002" i="1"/>
  <c r="AF2002" i="1"/>
  <c r="AE2002" i="1"/>
  <c r="AD2002" i="1"/>
  <c r="AC2002" i="1"/>
  <c r="AB2002" i="1"/>
  <c r="X2002" i="1"/>
  <c r="M2002" i="1"/>
  <c r="BD2002" i="1" s="1"/>
  <c r="K2002" i="1"/>
  <c r="AJ2002" i="1" s="1"/>
  <c r="BU2000" i="1"/>
  <c r="BH2000" i="1"/>
  <c r="BB2000" i="1"/>
  <c r="AN2000" i="1"/>
  <c r="AM2000" i="1"/>
  <c r="AI2000" i="1"/>
  <c r="AH2000" i="1"/>
  <c r="AF2000" i="1"/>
  <c r="AE2000" i="1"/>
  <c r="AD2000" i="1"/>
  <c r="AC2000" i="1"/>
  <c r="AB2000" i="1"/>
  <c r="X2000" i="1"/>
  <c r="M2000" i="1"/>
  <c r="BD2000" i="1" s="1"/>
  <c r="K2000" i="1"/>
  <c r="AJ2000" i="1" s="1"/>
  <c r="BU1998" i="1"/>
  <c r="BH1998" i="1"/>
  <c r="BB1998" i="1"/>
  <c r="AN1998" i="1"/>
  <c r="AV1998" i="1" s="1"/>
  <c r="AM1998" i="1"/>
  <c r="AI1998" i="1"/>
  <c r="AH1998" i="1"/>
  <c r="AF1998" i="1"/>
  <c r="AE1998" i="1"/>
  <c r="AD1998" i="1"/>
  <c r="AC1998" i="1"/>
  <c r="AB1998" i="1"/>
  <c r="X1998" i="1"/>
  <c r="M1998" i="1"/>
  <c r="BD1998" i="1" s="1"/>
  <c r="K1998" i="1"/>
  <c r="AJ1998" i="1" s="1"/>
  <c r="BU1997" i="1"/>
  <c r="BH1997" i="1"/>
  <c r="BB1997" i="1"/>
  <c r="AN1997" i="1"/>
  <c r="J1997" i="1" s="1"/>
  <c r="AM1997" i="1"/>
  <c r="AI1997" i="1"/>
  <c r="AH1997" i="1"/>
  <c r="AF1997" i="1"/>
  <c r="AE1997" i="1"/>
  <c r="AD1997" i="1"/>
  <c r="AC1997" i="1"/>
  <c r="AB1997" i="1"/>
  <c r="X1997" i="1"/>
  <c r="M1997" i="1"/>
  <c r="BD1997" i="1" s="1"/>
  <c r="K1997" i="1"/>
  <c r="AJ1997" i="1" s="1"/>
  <c r="BU1995" i="1"/>
  <c r="BH1995" i="1"/>
  <c r="BB1995" i="1"/>
  <c r="AN1995" i="1"/>
  <c r="AM1995" i="1"/>
  <c r="AI1995" i="1"/>
  <c r="AH1995" i="1"/>
  <c r="AF1995" i="1"/>
  <c r="AE1995" i="1"/>
  <c r="AD1995" i="1"/>
  <c r="AC1995" i="1"/>
  <c r="AB1995" i="1"/>
  <c r="X1995" i="1"/>
  <c r="M1995" i="1"/>
  <c r="K1995" i="1"/>
  <c r="AJ1995" i="1" s="1"/>
  <c r="BU1992" i="1"/>
  <c r="BH1992" i="1"/>
  <c r="BB1992" i="1"/>
  <c r="AN1992" i="1"/>
  <c r="AM1992" i="1"/>
  <c r="AI1992" i="1"/>
  <c r="AH1992" i="1"/>
  <c r="AF1992" i="1"/>
  <c r="AE1992" i="1"/>
  <c r="AD1992" i="1"/>
  <c r="AC1992" i="1"/>
  <c r="AB1992" i="1"/>
  <c r="X1992" i="1"/>
  <c r="M1992" i="1"/>
  <c r="BD1992" i="1" s="1"/>
  <c r="K1992" i="1"/>
  <c r="AJ1992" i="1" s="1"/>
  <c r="BU1990" i="1"/>
  <c r="BH1990" i="1"/>
  <c r="BB1990" i="1"/>
  <c r="AN1990" i="1"/>
  <c r="J1990" i="1" s="1"/>
  <c r="AM1990" i="1"/>
  <c r="I1990" i="1" s="1"/>
  <c r="AI1990" i="1"/>
  <c r="AH1990" i="1"/>
  <c r="AF1990" i="1"/>
  <c r="AE1990" i="1"/>
  <c r="AD1990" i="1"/>
  <c r="AC1990" i="1"/>
  <c r="AB1990" i="1"/>
  <c r="X1990" i="1"/>
  <c r="M1990" i="1"/>
  <c r="BD1990" i="1" s="1"/>
  <c r="K1990" i="1"/>
  <c r="AJ1990" i="1" s="1"/>
  <c r="BU1988" i="1"/>
  <c r="BH1988" i="1"/>
  <c r="BB1988" i="1"/>
  <c r="AN1988" i="1"/>
  <c r="AM1988" i="1"/>
  <c r="AI1988" i="1"/>
  <c r="AH1988" i="1"/>
  <c r="AF1988" i="1"/>
  <c r="AE1988" i="1"/>
  <c r="AD1988" i="1"/>
  <c r="AC1988" i="1"/>
  <c r="AB1988" i="1"/>
  <c r="X1988" i="1"/>
  <c r="M1988" i="1"/>
  <c r="BD1988" i="1" s="1"/>
  <c r="K1988" i="1"/>
  <c r="AJ1988" i="1" s="1"/>
  <c r="BU1986" i="1"/>
  <c r="BH1986" i="1"/>
  <c r="BB1986" i="1"/>
  <c r="AN1986" i="1"/>
  <c r="BG1986" i="1" s="1"/>
  <c r="AA1986" i="1" s="1"/>
  <c r="AM1986" i="1"/>
  <c r="AI1986" i="1"/>
  <c r="AH1986" i="1"/>
  <c r="AF1986" i="1"/>
  <c r="AE1986" i="1"/>
  <c r="AD1986" i="1"/>
  <c r="AC1986" i="1"/>
  <c r="AB1986" i="1"/>
  <c r="X1986" i="1"/>
  <c r="M1986" i="1"/>
  <c r="BD1986" i="1" s="1"/>
  <c r="K1986" i="1"/>
  <c r="AJ1986" i="1" s="1"/>
  <c r="BU1984" i="1"/>
  <c r="BH1984" i="1"/>
  <c r="BB1984" i="1"/>
  <c r="AN1984" i="1"/>
  <c r="AM1984" i="1"/>
  <c r="I1984" i="1" s="1"/>
  <c r="AI1984" i="1"/>
  <c r="AH1984" i="1"/>
  <c r="AF1984" i="1"/>
  <c r="AE1984" i="1"/>
  <c r="AD1984" i="1"/>
  <c r="AC1984" i="1"/>
  <c r="AB1984" i="1"/>
  <c r="X1984" i="1"/>
  <c r="M1984" i="1"/>
  <c r="BD1984" i="1" s="1"/>
  <c r="K1984" i="1"/>
  <c r="AJ1984" i="1" s="1"/>
  <c r="BU1982" i="1"/>
  <c r="BH1982" i="1"/>
  <c r="BB1982" i="1"/>
  <c r="AN1982" i="1"/>
  <c r="J1982" i="1" s="1"/>
  <c r="AM1982" i="1"/>
  <c r="I1982" i="1" s="1"/>
  <c r="AI1982" i="1"/>
  <c r="AH1982" i="1"/>
  <c r="AF1982" i="1"/>
  <c r="AE1982" i="1"/>
  <c r="AD1982" i="1"/>
  <c r="AC1982" i="1"/>
  <c r="AB1982" i="1"/>
  <c r="X1982" i="1"/>
  <c r="M1982" i="1"/>
  <c r="K1982" i="1"/>
  <c r="BU1980" i="1"/>
  <c r="BH1980" i="1"/>
  <c r="BB1980" i="1"/>
  <c r="AN1980" i="1"/>
  <c r="J1980" i="1" s="1"/>
  <c r="AM1980" i="1"/>
  <c r="BF1980" i="1" s="1"/>
  <c r="Z1980" i="1" s="1"/>
  <c r="AI1980" i="1"/>
  <c r="AH1980" i="1"/>
  <c r="AF1980" i="1"/>
  <c r="AE1980" i="1"/>
  <c r="AD1980" i="1"/>
  <c r="AC1980" i="1"/>
  <c r="AB1980" i="1"/>
  <c r="X1980" i="1"/>
  <c r="M1980" i="1"/>
  <c r="BD1980" i="1" s="1"/>
  <c r="K1980" i="1"/>
  <c r="BU1978" i="1"/>
  <c r="BH1978" i="1"/>
  <c r="BB1978" i="1"/>
  <c r="AN1978" i="1"/>
  <c r="AM1978" i="1"/>
  <c r="AI1978" i="1"/>
  <c r="AH1978" i="1"/>
  <c r="AF1978" i="1"/>
  <c r="AE1978" i="1"/>
  <c r="AD1978" i="1"/>
  <c r="AC1978" i="1"/>
  <c r="AB1978" i="1"/>
  <c r="X1978" i="1"/>
  <c r="M1978" i="1"/>
  <c r="BD1978" i="1" s="1"/>
  <c r="K1978" i="1"/>
  <c r="AJ1978" i="1" s="1"/>
  <c r="BU1976" i="1"/>
  <c r="BH1976" i="1"/>
  <c r="BB1976" i="1"/>
  <c r="AN1976" i="1"/>
  <c r="J1976" i="1" s="1"/>
  <c r="AM1976" i="1"/>
  <c r="AU1976" i="1" s="1"/>
  <c r="AI1976" i="1"/>
  <c r="AH1976" i="1"/>
  <c r="AF1976" i="1"/>
  <c r="AE1976" i="1"/>
  <c r="AD1976" i="1"/>
  <c r="AC1976" i="1"/>
  <c r="AB1976" i="1"/>
  <c r="X1976" i="1"/>
  <c r="M1976" i="1"/>
  <c r="BD1976" i="1" s="1"/>
  <c r="K1976" i="1"/>
  <c r="AJ1976" i="1" s="1"/>
  <c r="BU1974" i="1"/>
  <c r="BH1974" i="1"/>
  <c r="BB1974" i="1"/>
  <c r="AN1974" i="1"/>
  <c r="AM1974" i="1"/>
  <c r="AI1974" i="1"/>
  <c r="AH1974" i="1"/>
  <c r="AF1974" i="1"/>
  <c r="AE1974" i="1"/>
  <c r="AD1974" i="1"/>
  <c r="AC1974" i="1"/>
  <c r="AB1974" i="1"/>
  <c r="X1974" i="1"/>
  <c r="M1974" i="1"/>
  <c r="BD1974" i="1" s="1"/>
  <c r="K1974" i="1"/>
  <c r="AJ1974" i="1" s="1"/>
  <c r="BU1972" i="1"/>
  <c r="BH1972" i="1"/>
  <c r="BB1972" i="1"/>
  <c r="AN1972" i="1"/>
  <c r="AM1972" i="1"/>
  <c r="AI1972" i="1"/>
  <c r="AH1972" i="1"/>
  <c r="AF1972" i="1"/>
  <c r="AE1972" i="1"/>
  <c r="AD1972" i="1"/>
  <c r="AC1972" i="1"/>
  <c r="AB1972" i="1"/>
  <c r="X1972" i="1"/>
  <c r="M1972" i="1"/>
  <c r="BD1972" i="1" s="1"/>
  <c r="K1972" i="1"/>
  <c r="AJ1972" i="1" s="1"/>
  <c r="BU1970" i="1"/>
  <c r="BH1970" i="1"/>
  <c r="BB1970" i="1"/>
  <c r="AN1970" i="1"/>
  <c r="AM1970" i="1"/>
  <c r="AI1970" i="1"/>
  <c r="AH1970" i="1"/>
  <c r="AF1970" i="1"/>
  <c r="AE1970" i="1"/>
  <c r="AD1970" i="1"/>
  <c r="AC1970" i="1"/>
  <c r="AB1970" i="1"/>
  <c r="X1970" i="1"/>
  <c r="M1970" i="1"/>
  <c r="BD1970" i="1" s="1"/>
  <c r="K1970" i="1"/>
  <c r="AJ1970" i="1" s="1"/>
  <c r="BU1969" i="1"/>
  <c r="BH1969" i="1"/>
  <c r="BB1969" i="1"/>
  <c r="AN1969" i="1"/>
  <c r="AM1969" i="1"/>
  <c r="AU1969" i="1" s="1"/>
  <c r="AI1969" i="1"/>
  <c r="AH1969" i="1"/>
  <c r="AF1969" i="1"/>
  <c r="AE1969" i="1"/>
  <c r="AD1969" i="1"/>
  <c r="AC1969" i="1"/>
  <c r="AB1969" i="1"/>
  <c r="X1969" i="1"/>
  <c r="M1969" i="1"/>
  <c r="BD1969" i="1" s="1"/>
  <c r="K1969" i="1"/>
  <c r="AJ1969" i="1" s="1"/>
  <c r="BU1968" i="1"/>
  <c r="BH1968" i="1"/>
  <c r="BB1968" i="1"/>
  <c r="AN1968" i="1"/>
  <c r="BG1968" i="1" s="1"/>
  <c r="AA1968" i="1" s="1"/>
  <c r="AM1968" i="1"/>
  <c r="AI1968" i="1"/>
  <c r="AH1968" i="1"/>
  <c r="AF1968" i="1"/>
  <c r="AE1968" i="1"/>
  <c r="AD1968" i="1"/>
  <c r="AC1968" i="1"/>
  <c r="AB1968" i="1"/>
  <c r="X1968" i="1"/>
  <c r="M1968" i="1"/>
  <c r="BD1968" i="1" s="1"/>
  <c r="K1968" i="1"/>
  <c r="AJ1968" i="1" s="1"/>
  <c r="BU1967" i="1"/>
  <c r="BH1967" i="1"/>
  <c r="BB1967" i="1"/>
  <c r="AN1967" i="1"/>
  <c r="AM1967" i="1"/>
  <c r="BF1967" i="1" s="1"/>
  <c r="Z1967" i="1" s="1"/>
  <c r="AI1967" i="1"/>
  <c r="AH1967" i="1"/>
  <c r="AF1967" i="1"/>
  <c r="AE1967" i="1"/>
  <c r="AD1967" i="1"/>
  <c r="AC1967" i="1"/>
  <c r="AB1967" i="1"/>
  <c r="X1967" i="1"/>
  <c r="M1967" i="1"/>
  <c r="BD1967" i="1" s="1"/>
  <c r="K1967" i="1"/>
  <c r="AJ1967" i="1" s="1"/>
  <c r="BU1966" i="1"/>
  <c r="BH1966" i="1"/>
  <c r="BD1966" i="1"/>
  <c r="BB1966" i="1"/>
  <c r="AN1966" i="1"/>
  <c r="AM1966" i="1"/>
  <c r="BF1966" i="1" s="1"/>
  <c r="Z1966" i="1" s="1"/>
  <c r="AI1966" i="1"/>
  <c r="AH1966" i="1"/>
  <c r="AF1966" i="1"/>
  <c r="AE1966" i="1"/>
  <c r="AD1966" i="1"/>
  <c r="AC1966" i="1"/>
  <c r="AB1966" i="1"/>
  <c r="X1966" i="1"/>
  <c r="M1966" i="1"/>
  <c r="K1966" i="1"/>
  <c r="AJ1966" i="1" s="1"/>
  <c r="BU1965" i="1"/>
  <c r="BH1965" i="1"/>
  <c r="BB1965" i="1"/>
  <c r="AN1965" i="1"/>
  <c r="BG1965" i="1" s="1"/>
  <c r="AA1965" i="1" s="1"/>
  <c r="AM1965" i="1"/>
  <c r="BF1965" i="1" s="1"/>
  <c r="Z1965" i="1" s="1"/>
  <c r="AI1965" i="1"/>
  <c r="AH1965" i="1"/>
  <c r="AF1965" i="1"/>
  <c r="AE1965" i="1"/>
  <c r="AD1965" i="1"/>
  <c r="AC1965" i="1"/>
  <c r="AB1965" i="1"/>
  <c r="X1965" i="1"/>
  <c r="M1965" i="1"/>
  <c r="BD1965" i="1" s="1"/>
  <c r="K1965" i="1"/>
  <c r="BU1961" i="1"/>
  <c r="BH1961" i="1"/>
  <c r="X1961" i="1" s="1"/>
  <c r="BB1961" i="1"/>
  <c r="AN1961" i="1"/>
  <c r="BG1961" i="1" s="1"/>
  <c r="AM1961" i="1"/>
  <c r="AI1961" i="1"/>
  <c r="AH1961" i="1"/>
  <c r="AF1961" i="1"/>
  <c r="AE1961" i="1"/>
  <c r="AD1961" i="1"/>
  <c r="AC1961" i="1"/>
  <c r="AB1961" i="1"/>
  <c r="AA1961" i="1"/>
  <c r="Z1961" i="1"/>
  <c r="M1961" i="1"/>
  <c r="BD1961" i="1" s="1"/>
  <c r="K1961" i="1"/>
  <c r="BU1959" i="1"/>
  <c r="BH1959" i="1"/>
  <c r="X1959" i="1" s="1"/>
  <c r="BB1959" i="1"/>
  <c r="AN1959" i="1"/>
  <c r="AM1959" i="1"/>
  <c r="AI1959" i="1"/>
  <c r="AH1959" i="1"/>
  <c r="AF1959" i="1"/>
  <c r="AE1959" i="1"/>
  <c r="AD1959" i="1"/>
  <c r="AC1959" i="1"/>
  <c r="AB1959" i="1"/>
  <c r="AA1959" i="1"/>
  <c r="Z1959" i="1"/>
  <c r="M1959" i="1"/>
  <c r="BD1959" i="1" s="1"/>
  <c r="K1959" i="1"/>
  <c r="AJ1959" i="1" s="1"/>
  <c r="BU1957" i="1"/>
  <c r="BH1957" i="1"/>
  <c r="X1957" i="1" s="1"/>
  <c r="BB1957" i="1"/>
  <c r="AN1957" i="1"/>
  <c r="AV1957" i="1" s="1"/>
  <c r="AM1957" i="1"/>
  <c r="AI1957" i="1"/>
  <c r="AH1957" i="1"/>
  <c r="AF1957" i="1"/>
  <c r="AE1957" i="1"/>
  <c r="AD1957" i="1"/>
  <c r="AC1957" i="1"/>
  <c r="AB1957" i="1"/>
  <c r="AA1957" i="1"/>
  <c r="Z1957" i="1"/>
  <c r="M1957" i="1"/>
  <c r="BD1957" i="1" s="1"/>
  <c r="K1957" i="1"/>
  <c r="AJ1957" i="1" s="1"/>
  <c r="BU1955" i="1"/>
  <c r="BH1955" i="1"/>
  <c r="X1955" i="1" s="1"/>
  <c r="BB1955" i="1"/>
  <c r="AN1955" i="1"/>
  <c r="AM1955" i="1"/>
  <c r="AI1955" i="1"/>
  <c r="AH1955" i="1"/>
  <c r="AF1955" i="1"/>
  <c r="AE1955" i="1"/>
  <c r="AD1955" i="1"/>
  <c r="AC1955" i="1"/>
  <c r="AB1955" i="1"/>
  <c r="AA1955" i="1"/>
  <c r="Z1955" i="1"/>
  <c r="M1955" i="1"/>
  <c r="BD1955" i="1" s="1"/>
  <c r="K1955" i="1"/>
  <c r="AJ1955" i="1" s="1"/>
  <c r="BU1953" i="1"/>
  <c r="BH1953" i="1"/>
  <c r="X1953" i="1" s="1"/>
  <c r="BB1953" i="1"/>
  <c r="AN1953" i="1"/>
  <c r="AM1953" i="1"/>
  <c r="AI1953" i="1"/>
  <c r="AH1953" i="1"/>
  <c r="AF1953" i="1"/>
  <c r="AE1953" i="1"/>
  <c r="AD1953" i="1"/>
  <c r="AC1953" i="1"/>
  <c r="AB1953" i="1"/>
  <c r="AA1953" i="1"/>
  <c r="Z1953" i="1"/>
  <c r="M1953" i="1"/>
  <c r="BD1953" i="1" s="1"/>
  <c r="K1953" i="1"/>
  <c r="AJ1953" i="1" s="1"/>
  <c r="BU1951" i="1"/>
  <c r="BH1951" i="1"/>
  <c r="X1951" i="1" s="1"/>
  <c r="BB1951" i="1"/>
  <c r="AN1951" i="1"/>
  <c r="AM1951" i="1"/>
  <c r="AI1951" i="1"/>
  <c r="AH1951" i="1"/>
  <c r="AF1951" i="1"/>
  <c r="AE1951" i="1"/>
  <c r="AD1951" i="1"/>
  <c r="AC1951" i="1"/>
  <c r="AB1951" i="1"/>
  <c r="AA1951" i="1"/>
  <c r="Z1951" i="1"/>
  <c r="M1951" i="1"/>
  <c r="K1951" i="1"/>
  <c r="AJ1951" i="1" s="1"/>
  <c r="BU1949" i="1"/>
  <c r="BH1949" i="1"/>
  <c r="X1949" i="1" s="1"/>
  <c r="BD1949" i="1"/>
  <c r="BB1949" i="1"/>
  <c r="AN1949" i="1"/>
  <c r="AM1949" i="1"/>
  <c r="AI1949" i="1"/>
  <c r="AH1949" i="1"/>
  <c r="AF1949" i="1"/>
  <c r="AE1949" i="1"/>
  <c r="AD1949" i="1"/>
  <c r="AC1949" i="1"/>
  <c r="AB1949" i="1"/>
  <c r="AA1949" i="1"/>
  <c r="Z1949" i="1"/>
  <c r="M1949" i="1"/>
  <c r="K1949" i="1"/>
  <c r="AJ1949" i="1" s="1"/>
  <c r="BU1946" i="1"/>
  <c r="BH1946" i="1"/>
  <c r="BB1946" i="1"/>
  <c r="AN1946" i="1"/>
  <c r="BG1946" i="1" s="1"/>
  <c r="AA1946" i="1" s="1"/>
  <c r="AM1946" i="1"/>
  <c r="I1946" i="1" s="1"/>
  <c r="AI1946" i="1"/>
  <c r="AH1946" i="1"/>
  <c r="AF1946" i="1"/>
  <c r="AE1946" i="1"/>
  <c r="AD1946" i="1"/>
  <c r="AC1946" i="1"/>
  <c r="AB1946" i="1"/>
  <c r="X1946" i="1"/>
  <c r="M1946" i="1"/>
  <c r="BD1946" i="1" s="1"/>
  <c r="K1946" i="1"/>
  <c r="AJ1946" i="1" s="1"/>
  <c r="BU1944" i="1"/>
  <c r="BH1944" i="1"/>
  <c r="BB1944" i="1"/>
  <c r="AN1944" i="1"/>
  <c r="AM1944" i="1"/>
  <c r="AU1944" i="1" s="1"/>
  <c r="AI1944" i="1"/>
  <c r="AH1944" i="1"/>
  <c r="AF1944" i="1"/>
  <c r="AE1944" i="1"/>
  <c r="AD1944" i="1"/>
  <c r="AC1944" i="1"/>
  <c r="AB1944" i="1"/>
  <c r="X1944" i="1"/>
  <c r="M1944" i="1"/>
  <c r="K1944" i="1"/>
  <c r="BU1941" i="1"/>
  <c r="BH1941" i="1"/>
  <c r="BB1941" i="1"/>
  <c r="AN1941" i="1"/>
  <c r="J1941" i="1" s="1"/>
  <c r="AM1941" i="1"/>
  <c r="AI1941" i="1"/>
  <c r="AH1941" i="1"/>
  <c r="AF1941" i="1"/>
  <c r="AE1941" i="1"/>
  <c r="AD1941" i="1"/>
  <c r="AC1941" i="1"/>
  <c r="AB1941" i="1"/>
  <c r="X1941" i="1"/>
  <c r="M1941" i="1"/>
  <c r="BD1941" i="1" s="1"/>
  <c r="K1941" i="1"/>
  <c r="AJ1941" i="1" s="1"/>
  <c r="BU1939" i="1"/>
  <c r="BH1939" i="1"/>
  <c r="BB1939" i="1"/>
  <c r="AN1939" i="1"/>
  <c r="AM1939" i="1"/>
  <c r="AI1939" i="1"/>
  <c r="AH1939" i="1"/>
  <c r="AF1939" i="1"/>
  <c r="AE1939" i="1"/>
  <c r="AD1939" i="1"/>
  <c r="AC1939" i="1"/>
  <c r="AB1939" i="1"/>
  <c r="X1939" i="1"/>
  <c r="M1939" i="1"/>
  <c r="K1939" i="1"/>
  <c r="BU1936" i="1"/>
  <c r="BH1936" i="1"/>
  <c r="X1936" i="1" s="1"/>
  <c r="BB1936" i="1"/>
  <c r="AN1936" i="1"/>
  <c r="AM1936" i="1"/>
  <c r="AI1936" i="1"/>
  <c r="AH1936" i="1"/>
  <c r="AF1936" i="1"/>
  <c r="AE1936" i="1"/>
  <c r="AD1936" i="1"/>
  <c r="AC1936" i="1"/>
  <c r="AB1936" i="1"/>
  <c r="AA1936" i="1"/>
  <c r="Z1936" i="1"/>
  <c r="M1936" i="1"/>
  <c r="BD1936" i="1" s="1"/>
  <c r="K1936" i="1"/>
  <c r="AJ1936" i="1" s="1"/>
  <c r="BU1935" i="1"/>
  <c r="BH1935" i="1"/>
  <c r="BB1935" i="1"/>
  <c r="AN1935" i="1"/>
  <c r="J1935" i="1" s="1"/>
  <c r="AM1935" i="1"/>
  <c r="BF1935" i="1" s="1"/>
  <c r="AB1935" i="1" s="1"/>
  <c r="AI1935" i="1"/>
  <c r="AH1935" i="1"/>
  <c r="AF1935" i="1"/>
  <c r="AE1935" i="1"/>
  <c r="AD1935" i="1"/>
  <c r="AA1935" i="1"/>
  <c r="Z1935" i="1"/>
  <c r="X1935" i="1"/>
  <c r="M1935" i="1"/>
  <c r="BD1935" i="1" s="1"/>
  <c r="K1935" i="1"/>
  <c r="AJ1935" i="1" s="1"/>
  <c r="BU1934" i="1"/>
  <c r="BH1934" i="1"/>
  <c r="BB1934" i="1"/>
  <c r="AN1934" i="1"/>
  <c r="AM1934" i="1"/>
  <c r="AI1934" i="1"/>
  <c r="AH1934" i="1"/>
  <c r="AF1934" i="1"/>
  <c r="AE1934" i="1"/>
  <c r="AD1934" i="1"/>
  <c r="AA1934" i="1"/>
  <c r="Z1934" i="1"/>
  <c r="X1934" i="1"/>
  <c r="M1934" i="1"/>
  <c r="BD1934" i="1" s="1"/>
  <c r="K1934" i="1"/>
  <c r="AJ1934" i="1" s="1"/>
  <c r="BU1933" i="1"/>
  <c r="BH1933" i="1"/>
  <c r="BB1933" i="1"/>
  <c r="AN1933" i="1"/>
  <c r="AM1933" i="1"/>
  <c r="AI1933" i="1"/>
  <c r="AH1933" i="1"/>
  <c r="AF1933" i="1"/>
  <c r="AE1933" i="1"/>
  <c r="AD1933" i="1"/>
  <c r="AA1933" i="1"/>
  <c r="Z1933" i="1"/>
  <c r="X1933" i="1"/>
  <c r="M1933" i="1"/>
  <c r="BD1933" i="1" s="1"/>
  <c r="K1933" i="1"/>
  <c r="AJ1933" i="1" s="1"/>
  <c r="BU1932" i="1"/>
  <c r="BH1932" i="1"/>
  <c r="BB1932" i="1"/>
  <c r="AN1932" i="1"/>
  <c r="BG1932" i="1" s="1"/>
  <c r="AC1932" i="1" s="1"/>
  <c r="AM1932" i="1"/>
  <c r="BF1932" i="1" s="1"/>
  <c r="AB1932" i="1" s="1"/>
  <c r="AI1932" i="1"/>
  <c r="AH1932" i="1"/>
  <c r="AF1932" i="1"/>
  <c r="AE1932" i="1"/>
  <c r="AD1932" i="1"/>
  <c r="AA1932" i="1"/>
  <c r="Z1932" i="1"/>
  <c r="X1932" i="1"/>
  <c r="M1932" i="1"/>
  <c r="BD1932" i="1" s="1"/>
  <c r="K1932" i="1"/>
  <c r="AJ1932" i="1" s="1"/>
  <c r="BU1931" i="1"/>
  <c r="BH1931" i="1"/>
  <c r="BB1931" i="1"/>
  <c r="AN1931" i="1"/>
  <c r="AV1931" i="1" s="1"/>
  <c r="AM1931" i="1"/>
  <c r="AU1931" i="1" s="1"/>
  <c r="AI1931" i="1"/>
  <c r="AH1931" i="1"/>
  <c r="AF1931" i="1"/>
  <c r="AE1931" i="1"/>
  <c r="AD1931" i="1"/>
  <c r="AA1931" i="1"/>
  <c r="Z1931" i="1"/>
  <c r="X1931" i="1"/>
  <c r="M1931" i="1"/>
  <c r="BD1931" i="1" s="1"/>
  <c r="K1931" i="1"/>
  <c r="AJ1931" i="1" s="1"/>
  <c r="BU1930" i="1"/>
  <c r="BH1930" i="1"/>
  <c r="BB1930" i="1"/>
  <c r="AN1930" i="1"/>
  <c r="BG1930" i="1" s="1"/>
  <c r="AC1930" i="1" s="1"/>
  <c r="AM1930" i="1"/>
  <c r="I1930" i="1" s="1"/>
  <c r="AI1930" i="1"/>
  <c r="AH1930" i="1"/>
  <c r="AF1930" i="1"/>
  <c r="AE1930" i="1"/>
  <c r="AD1930" i="1"/>
  <c r="AA1930" i="1"/>
  <c r="Z1930" i="1"/>
  <c r="X1930" i="1"/>
  <c r="M1930" i="1"/>
  <c r="BD1930" i="1" s="1"/>
  <c r="K1930" i="1"/>
  <c r="AJ1930" i="1" s="1"/>
  <c r="BU1929" i="1"/>
  <c r="BH1929" i="1"/>
  <c r="BB1929" i="1"/>
  <c r="AN1929" i="1"/>
  <c r="AM1929" i="1"/>
  <c r="AI1929" i="1"/>
  <c r="AH1929" i="1"/>
  <c r="AF1929" i="1"/>
  <c r="AE1929" i="1"/>
  <c r="AD1929" i="1"/>
  <c r="AA1929" i="1"/>
  <c r="Z1929" i="1"/>
  <c r="X1929" i="1"/>
  <c r="M1929" i="1"/>
  <c r="BD1929" i="1" s="1"/>
  <c r="K1929" i="1"/>
  <c r="AJ1929" i="1" s="1"/>
  <c r="BU1928" i="1"/>
  <c r="BH1928" i="1"/>
  <c r="BB1928" i="1"/>
  <c r="AN1928" i="1"/>
  <c r="AV1928" i="1" s="1"/>
  <c r="AM1928" i="1"/>
  <c r="AI1928" i="1"/>
  <c r="AH1928" i="1"/>
  <c r="AF1928" i="1"/>
  <c r="AE1928" i="1"/>
  <c r="AD1928" i="1"/>
  <c r="AA1928" i="1"/>
  <c r="Z1928" i="1"/>
  <c r="X1928" i="1"/>
  <c r="M1928" i="1"/>
  <c r="BD1928" i="1" s="1"/>
  <c r="K1928" i="1"/>
  <c r="AJ1928" i="1" s="1"/>
  <c r="BU1927" i="1"/>
  <c r="BH1927" i="1"/>
  <c r="BB1927" i="1"/>
  <c r="AN1927" i="1"/>
  <c r="J1927" i="1" s="1"/>
  <c r="AM1927" i="1"/>
  <c r="BF1927" i="1" s="1"/>
  <c r="AB1927" i="1" s="1"/>
  <c r="AI1927" i="1"/>
  <c r="AH1927" i="1"/>
  <c r="AF1927" i="1"/>
  <c r="AE1927" i="1"/>
  <c r="AD1927" i="1"/>
  <c r="AA1927" i="1"/>
  <c r="Z1927" i="1"/>
  <c r="X1927" i="1"/>
  <c r="M1927" i="1"/>
  <c r="BD1927" i="1" s="1"/>
  <c r="K1927" i="1"/>
  <c r="AJ1927" i="1" s="1"/>
  <c r="BU1926" i="1"/>
  <c r="BH1926" i="1"/>
  <c r="BB1926" i="1"/>
  <c r="AN1926" i="1"/>
  <c r="J1926" i="1" s="1"/>
  <c r="AM1926" i="1"/>
  <c r="BF1926" i="1" s="1"/>
  <c r="AB1926" i="1" s="1"/>
  <c r="AI1926" i="1"/>
  <c r="AH1926" i="1"/>
  <c r="AF1926" i="1"/>
  <c r="AE1926" i="1"/>
  <c r="AD1926" i="1"/>
  <c r="AA1926" i="1"/>
  <c r="Z1926" i="1"/>
  <c r="X1926" i="1"/>
  <c r="M1926" i="1"/>
  <c r="BD1926" i="1" s="1"/>
  <c r="K1926" i="1"/>
  <c r="AJ1926" i="1" s="1"/>
  <c r="BU1925" i="1"/>
  <c r="BH1925" i="1"/>
  <c r="BB1925" i="1"/>
  <c r="AN1925" i="1"/>
  <c r="J1925" i="1" s="1"/>
  <c r="AM1925" i="1"/>
  <c r="BF1925" i="1" s="1"/>
  <c r="AB1925" i="1" s="1"/>
  <c r="AI1925" i="1"/>
  <c r="AH1925" i="1"/>
  <c r="AF1925" i="1"/>
  <c r="AE1925" i="1"/>
  <c r="AD1925" i="1"/>
  <c r="AA1925" i="1"/>
  <c r="Z1925" i="1"/>
  <c r="X1925" i="1"/>
  <c r="M1925" i="1"/>
  <c r="BD1925" i="1" s="1"/>
  <c r="K1925" i="1"/>
  <c r="AJ1925" i="1" s="1"/>
  <c r="BU1924" i="1"/>
  <c r="BH1924" i="1"/>
  <c r="BB1924" i="1"/>
  <c r="AN1924" i="1"/>
  <c r="AV1924" i="1" s="1"/>
  <c r="AM1924" i="1"/>
  <c r="AI1924" i="1"/>
  <c r="AH1924" i="1"/>
  <c r="AF1924" i="1"/>
  <c r="AE1924" i="1"/>
  <c r="AD1924" i="1"/>
  <c r="AA1924" i="1"/>
  <c r="Z1924" i="1"/>
  <c r="X1924" i="1"/>
  <c r="M1924" i="1"/>
  <c r="BD1924" i="1" s="1"/>
  <c r="K1924" i="1"/>
  <c r="AJ1924" i="1" s="1"/>
  <c r="BU1923" i="1"/>
  <c r="BH1923" i="1"/>
  <c r="BB1923" i="1"/>
  <c r="AN1923" i="1"/>
  <c r="AM1923" i="1"/>
  <c r="AI1923" i="1"/>
  <c r="AH1923" i="1"/>
  <c r="AF1923" i="1"/>
  <c r="AE1923" i="1"/>
  <c r="AD1923" i="1"/>
  <c r="AA1923" i="1"/>
  <c r="Z1923" i="1"/>
  <c r="X1923" i="1"/>
  <c r="M1923" i="1"/>
  <c r="BD1923" i="1" s="1"/>
  <c r="K1923" i="1"/>
  <c r="AJ1923" i="1" s="1"/>
  <c r="BU1922" i="1"/>
  <c r="BH1922" i="1"/>
  <c r="BB1922" i="1"/>
  <c r="AN1922" i="1"/>
  <c r="AM1922" i="1"/>
  <c r="I1922" i="1" s="1"/>
  <c r="AI1922" i="1"/>
  <c r="AH1922" i="1"/>
  <c r="AF1922" i="1"/>
  <c r="AE1922" i="1"/>
  <c r="AD1922" i="1"/>
  <c r="AA1922" i="1"/>
  <c r="Z1922" i="1"/>
  <c r="X1922" i="1"/>
  <c r="M1922" i="1"/>
  <c r="BD1922" i="1" s="1"/>
  <c r="K1922" i="1"/>
  <c r="AJ1922" i="1" s="1"/>
  <c r="BU1921" i="1"/>
  <c r="BH1921" i="1"/>
  <c r="BB1921" i="1"/>
  <c r="AN1921" i="1"/>
  <c r="J1921" i="1" s="1"/>
  <c r="AM1921" i="1"/>
  <c r="I1921" i="1" s="1"/>
  <c r="AI1921" i="1"/>
  <c r="AH1921" i="1"/>
  <c r="AF1921" i="1"/>
  <c r="AE1921" i="1"/>
  <c r="AD1921" i="1"/>
  <c r="AA1921" i="1"/>
  <c r="Z1921" i="1"/>
  <c r="X1921" i="1"/>
  <c r="M1921" i="1"/>
  <c r="BD1921" i="1" s="1"/>
  <c r="K1921" i="1"/>
  <c r="AJ1921" i="1" s="1"/>
  <c r="BU1920" i="1"/>
  <c r="BH1920" i="1"/>
  <c r="BB1920" i="1"/>
  <c r="AN1920" i="1"/>
  <c r="BG1920" i="1" s="1"/>
  <c r="AC1920" i="1" s="1"/>
  <c r="AM1920" i="1"/>
  <c r="I1920" i="1" s="1"/>
  <c r="AI1920" i="1"/>
  <c r="AH1920" i="1"/>
  <c r="AF1920" i="1"/>
  <c r="AE1920" i="1"/>
  <c r="AD1920" i="1"/>
  <c r="AA1920" i="1"/>
  <c r="Z1920" i="1"/>
  <c r="X1920" i="1"/>
  <c r="M1920" i="1"/>
  <c r="BD1920" i="1" s="1"/>
  <c r="K1920" i="1"/>
  <c r="BU1919" i="1"/>
  <c r="BH1919" i="1"/>
  <c r="BB1919" i="1"/>
  <c r="AN1919" i="1"/>
  <c r="J1919" i="1" s="1"/>
  <c r="AM1919" i="1"/>
  <c r="AI1919" i="1"/>
  <c r="AH1919" i="1"/>
  <c r="AF1919" i="1"/>
  <c r="AE1919" i="1"/>
  <c r="AD1919" i="1"/>
  <c r="AA1919" i="1"/>
  <c r="Z1919" i="1"/>
  <c r="X1919" i="1"/>
  <c r="M1919" i="1"/>
  <c r="BD1919" i="1" s="1"/>
  <c r="K1919" i="1"/>
  <c r="AJ1919" i="1" s="1"/>
  <c r="BU1918" i="1"/>
  <c r="BH1918" i="1"/>
  <c r="BB1918" i="1"/>
  <c r="AN1918" i="1"/>
  <c r="J1918" i="1" s="1"/>
  <c r="AM1918" i="1"/>
  <c r="BF1918" i="1" s="1"/>
  <c r="AB1918" i="1" s="1"/>
  <c r="AI1918" i="1"/>
  <c r="AH1918" i="1"/>
  <c r="AF1918" i="1"/>
  <c r="AE1918" i="1"/>
  <c r="AD1918" i="1"/>
  <c r="AA1918" i="1"/>
  <c r="Z1918" i="1"/>
  <c r="X1918" i="1"/>
  <c r="M1918" i="1"/>
  <c r="BD1918" i="1" s="1"/>
  <c r="K1918" i="1"/>
  <c r="BU1917" i="1"/>
  <c r="BH1917" i="1"/>
  <c r="BB1917" i="1"/>
  <c r="AN1917" i="1"/>
  <c r="AM1917" i="1"/>
  <c r="AI1917" i="1"/>
  <c r="AH1917" i="1"/>
  <c r="AF1917" i="1"/>
  <c r="AE1917" i="1"/>
  <c r="AD1917" i="1"/>
  <c r="AA1917" i="1"/>
  <c r="Z1917" i="1"/>
  <c r="X1917" i="1"/>
  <c r="M1917" i="1"/>
  <c r="K1917" i="1"/>
  <c r="AJ1917" i="1" s="1"/>
  <c r="BU1915" i="1"/>
  <c r="BH1915" i="1"/>
  <c r="BB1915" i="1"/>
  <c r="AN1915" i="1"/>
  <c r="AM1915" i="1"/>
  <c r="BF1915" i="1" s="1"/>
  <c r="AB1915" i="1" s="1"/>
  <c r="AI1915" i="1"/>
  <c r="AH1915" i="1"/>
  <c r="AF1915" i="1"/>
  <c r="AE1915" i="1"/>
  <c r="AD1915" i="1"/>
  <c r="AA1915" i="1"/>
  <c r="Z1915" i="1"/>
  <c r="X1915" i="1"/>
  <c r="M1915" i="1"/>
  <c r="BD1915" i="1" s="1"/>
  <c r="K1915" i="1"/>
  <c r="AJ1915" i="1" s="1"/>
  <c r="BU1914" i="1"/>
  <c r="BH1914" i="1"/>
  <c r="BB1914" i="1"/>
  <c r="AN1914" i="1"/>
  <c r="AM1914" i="1"/>
  <c r="AU1914" i="1" s="1"/>
  <c r="AI1914" i="1"/>
  <c r="AH1914" i="1"/>
  <c r="AF1914" i="1"/>
  <c r="AE1914" i="1"/>
  <c r="AD1914" i="1"/>
  <c r="AA1914" i="1"/>
  <c r="Z1914" i="1"/>
  <c r="X1914" i="1"/>
  <c r="M1914" i="1"/>
  <c r="BD1914" i="1" s="1"/>
  <c r="K1914" i="1"/>
  <c r="AJ1914" i="1" s="1"/>
  <c r="BU1913" i="1"/>
  <c r="BH1913" i="1"/>
  <c r="BB1913" i="1"/>
  <c r="AN1913" i="1"/>
  <c r="J1913" i="1" s="1"/>
  <c r="AM1913" i="1"/>
  <c r="AI1913" i="1"/>
  <c r="AH1913" i="1"/>
  <c r="AF1913" i="1"/>
  <c r="AE1913" i="1"/>
  <c r="AD1913" i="1"/>
  <c r="AA1913" i="1"/>
  <c r="Z1913" i="1"/>
  <c r="X1913" i="1"/>
  <c r="M1913" i="1"/>
  <c r="BD1913" i="1" s="1"/>
  <c r="K1913" i="1"/>
  <c r="AJ1913" i="1" s="1"/>
  <c r="BU1912" i="1"/>
  <c r="BH1912" i="1"/>
  <c r="BB1912" i="1"/>
  <c r="AN1912" i="1"/>
  <c r="J1912" i="1" s="1"/>
  <c r="AM1912" i="1"/>
  <c r="I1912" i="1" s="1"/>
  <c r="AI1912" i="1"/>
  <c r="AH1912" i="1"/>
  <c r="AF1912" i="1"/>
  <c r="AE1912" i="1"/>
  <c r="AD1912" i="1"/>
  <c r="AA1912" i="1"/>
  <c r="Z1912" i="1"/>
  <c r="X1912" i="1"/>
  <c r="M1912" i="1"/>
  <c r="BD1912" i="1" s="1"/>
  <c r="K1912" i="1"/>
  <c r="BU1911" i="1"/>
  <c r="BH1911" i="1"/>
  <c r="BB1911" i="1"/>
  <c r="AN1911" i="1"/>
  <c r="J1911" i="1" s="1"/>
  <c r="AM1911" i="1"/>
  <c r="AI1911" i="1"/>
  <c r="AH1911" i="1"/>
  <c r="AF1911" i="1"/>
  <c r="AE1911" i="1"/>
  <c r="AD1911" i="1"/>
  <c r="AA1911" i="1"/>
  <c r="Z1911" i="1"/>
  <c r="X1911" i="1"/>
  <c r="M1911" i="1"/>
  <c r="BD1911" i="1" s="1"/>
  <c r="K1911" i="1"/>
  <c r="BU1909" i="1"/>
  <c r="BH1909" i="1"/>
  <c r="X1909" i="1" s="1"/>
  <c r="BB1909" i="1"/>
  <c r="AN1909" i="1"/>
  <c r="J1909" i="1" s="1"/>
  <c r="AM1909" i="1"/>
  <c r="BF1909" i="1" s="1"/>
  <c r="AI1909" i="1"/>
  <c r="AH1909" i="1"/>
  <c r="AF1909" i="1"/>
  <c r="AE1909" i="1"/>
  <c r="AD1909" i="1"/>
  <c r="AC1909" i="1"/>
  <c r="AB1909" i="1"/>
  <c r="AA1909" i="1"/>
  <c r="Z1909" i="1"/>
  <c r="M1909" i="1"/>
  <c r="BD1909" i="1" s="1"/>
  <c r="K1909" i="1"/>
  <c r="AJ1909" i="1" s="1"/>
  <c r="BU1908" i="1"/>
  <c r="BH1908" i="1"/>
  <c r="BB1908" i="1"/>
  <c r="AN1908" i="1"/>
  <c r="BG1908" i="1" s="1"/>
  <c r="AC1908" i="1" s="1"/>
  <c r="AM1908" i="1"/>
  <c r="AI1908" i="1"/>
  <c r="AH1908" i="1"/>
  <c r="AF1908" i="1"/>
  <c r="AE1908" i="1"/>
  <c r="AD1908" i="1"/>
  <c r="AA1908" i="1"/>
  <c r="Z1908" i="1"/>
  <c r="X1908" i="1"/>
  <c r="M1908" i="1"/>
  <c r="BD1908" i="1" s="1"/>
  <c r="K1908" i="1"/>
  <c r="BU1907" i="1"/>
  <c r="BH1907" i="1"/>
  <c r="BB1907" i="1"/>
  <c r="AN1907" i="1"/>
  <c r="AM1907" i="1"/>
  <c r="AI1907" i="1"/>
  <c r="AH1907" i="1"/>
  <c r="AF1907" i="1"/>
  <c r="AE1907" i="1"/>
  <c r="AD1907" i="1"/>
  <c r="AA1907" i="1"/>
  <c r="Z1907" i="1"/>
  <c r="X1907" i="1"/>
  <c r="M1907" i="1"/>
  <c r="BD1907" i="1" s="1"/>
  <c r="K1907" i="1"/>
  <c r="AJ1907" i="1" s="1"/>
  <c r="BU1906" i="1"/>
  <c r="BH1906" i="1"/>
  <c r="BB1906" i="1"/>
  <c r="AN1906" i="1"/>
  <c r="AM1906" i="1"/>
  <c r="AI1906" i="1"/>
  <c r="AH1906" i="1"/>
  <c r="AF1906" i="1"/>
  <c r="AE1906" i="1"/>
  <c r="AD1906" i="1"/>
  <c r="AA1906" i="1"/>
  <c r="Z1906" i="1"/>
  <c r="X1906" i="1"/>
  <c r="M1906" i="1"/>
  <c r="BD1906" i="1" s="1"/>
  <c r="K1906" i="1"/>
  <c r="AJ1906" i="1" s="1"/>
  <c r="BU1905" i="1"/>
  <c r="BH1905" i="1"/>
  <c r="BB1905" i="1"/>
  <c r="AN1905" i="1"/>
  <c r="AM1905" i="1"/>
  <c r="BF1905" i="1" s="1"/>
  <c r="AB1905" i="1" s="1"/>
  <c r="AI1905" i="1"/>
  <c r="AH1905" i="1"/>
  <c r="AF1905" i="1"/>
  <c r="AE1905" i="1"/>
  <c r="AD1905" i="1"/>
  <c r="AA1905" i="1"/>
  <c r="Z1905" i="1"/>
  <c r="X1905" i="1"/>
  <c r="M1905" i="1"/>
  <c r="BD1905" i="1" s="1"/>
  <c r="K1905" i="1"/>
  <c r="AJ1905" i="1" s="1"/>
  <c r="BU1904" i="1"/>
  <c r="BH1904" i="1"/>
  <c r="BB1904" i="1"/>
  <c r="AN1904" i="1"/>
  <c r="BG1904" i="1" s="1"/>
  <c r="AC1904" i="1" s="1"/>
  <c r="AM1904" i="1"/>
  <c r="BF1904" i="1" s="1"/>
  <c r="AB1904" i="1" s="1"/>
  <c r="AI1904" i="1"/>
  <c r="AH1904" i="1"/>
  <c r="AF1904" i="1"/>
  <c r="AE1904" i="1"/>
  <c r="AD1904" i="1"/>
  <c r="AA1904" i="1"/>
  <c r="Z1904" i="1"/>
  <c r="X1904" i="1"/>
  <c r="M1904" i="1"/>
  <c r="BD1904" i="1" s="1"/>
  <c r="K1904" i="1"/>
  <c r="AJ1904" i="1" s="1"/>
  <c r="BU1903" i="1"/>
  <c r="BH1903" i="1"/>
  <c r="BB1903" i="1"/>
  <c r="AN1903" i="1"/>
  <c r="AM1903" i="1"/>
  <c r="BF1903" i="1" s="1"/>
  <c r="AB1903" i="1" s="1"/>
  <c r="AI1903" i="1"/>
  <c r="AH1903" i="1"/>
  <c r="AF1903" i="1"/>
  <c r="AE1903" i="1"/>
  <c r="AD1903" i="1"/>
  <c r="AA1903" i="1"/>
  <c r="Z1903" i="1"/>
  <c r="X1903" i="1"/>
  <c r="M1903" i="1"/>
  <c r="BD1903" i="1" s="1"/>
  <c r="K1903" i="1"/>
  <c r="AJ1903" i="1" s="1"/>
  <c r="BU1902" i="1"/>
  <c r="BH1902" i="1"/>
  <c r="BB1902" i="1"/>
  <c r="AN1902" i="1"/>
  <c r="AM1902" i="1"/>
  <c r="AI1902" i="1"/>
  <c r="AH1902" i="1"/>
  <c r="AF1902" i="1"/>
  <c r="AE1902" i="1"/>
  <c r="AD1902" i="1"/>
  <c r="AA1902" i="1"/>
  <c r="Z1902" i="1"/>
  <c r="X1902" i="1"/>
  <c r="M1902" i="1"/>
  <c r="BD1902" i="1" s="1"/>
  <c r="K1902" i="1"/>
  <c r="AJ1902" i="1" s="1"/>
  <c r="BU1901" i="1"/>
  <c r="BH1901" i="1"/>
  <c r="BB1901" i="1"/>
  <c r="AN1901" i="1"/>
  <c r="AM1901" i="1"/>
  <c r="AU1901" i="1" s="1"/>
  <c r="AI1901" i="1"/>
  <c r="AH1901" i="1"/>
  <c r="AF1901" i="1"/>
  <c r="AE1901" i="1"/>
  <c r="AD1901" i="1"/>
  <c r="AA1901" i="1"/>
  <c r="Z1901" i="1"/>
  <c r="X1901" i="1"/>
  <c r="M1901" i="1"/>
  <c r="BD1901" i="1" s="1"/>
  <c r="K1901" i="1"/>
  <c r="AJ1901" i="1" s="1"/>
  <c r="BU1900" i="1"/>
  <c r="BH1900" i="1"/>
  <c r="BB1900" i="1"/>
  <c r="AN1900" i="1"/>
  <c r="BG1900" i="1" s="1"/>
  <c r="AC1900" i="1" s="1"/>
  <c r="AM1900" i="1"/>
  <c r="AI1900" i="1"/>
  <c r="AH1900" i="1"/>
  <c r="AF1900" i="1"/>
  <c r="AE1900" i="1"/>
  <c r="AD1900" i="1"/>
  <c r="AA1900" i="1"/>
  <c r="Z1900" i="1"/>
  <c r="X1900" i="1"/>
  <c r="M1900" i="1"/>
  <c r="BD1900" i="1" s="1"/>
  <c r="K1900" i="1"/>
  <c r="AJ1900" i="1" s="1"/>
  <c r="BU1899" i="1"/>
  <c r="BH1899" i="1"/>
  <c r="BB1899" i="1"/>
  <c r="AN1899" i="1"/>
  <c r="J1899" i="1" s="1"/>
  <c r="AM1899" i="1"/>
  <c r="AI1899" i="1"/>
  <c r="AH1899" i="1"/>
  <c r="AF1899" i="1"/>
  <c r="AE1899" i="1"/>
  <c r="AD1899" i="1"/>
  <c r="AA1899" i="1"/>
  <c r="Z1899" i="1"/>
  <c r="X1899" i="1"/>
  <c r="M1899" i="1"/>
  <c r="BD1899" i="1" s="1"/>
  <c r="K1899" i="1"/>
  <c r="AJ1899" i="1" s="1"/>
  <c r="BU1898" i="1"/>
  <c r="BH1898" i="1"/>
  <c r="BB1898" i="1"/>
  <c r="AN1898" i="1"/>
  <c r="J1898" i="1" s="1"/>
  <c r="AM1898" i="1"/>
  <c r="AU1898" i="1" s="1"/>
  <c r="AI1898" i="1"/>
  <c r="AH1898" i="1"/>
  <c r="AF1898" i="1"/>
  <c r="AE1898" i="1"/>
  <c r="AD1898" i="1"/>
  <c r="AA1898" i="1"/>
  <c r="Z1898" i="1"/>
  <c r="X1898" i="1"/>
  <c r="M1898" i="1"/>
  <c r="BD1898" i="1" s="1"/>
  <c r="K1898" i="1"/>
  <c r="AJ1898" i="1" s="1"/>
  <c r="BU1897" i="1"/>
  <c r="BH1897" i="1"/>
  <c r="BB1897" i="1"/>
  <c r="AN1897" i="1"/>
  <c r="AM1897" i="1"/>
  <c r="AI1897" i="1"/>
  <c r="AH1897" i="1"/>
  <c r="AF1897" i="1"/>
  <c r="AE1897" i="1"/>
  <c r="AD1897" i="1"/>
  <c r="AA1897" i="1"/>
  <c r="Z1897" i="1"/>
  <c r="X1897" i="1"/>
  <c r="M1897" i="1"/>
  <c r="BD1897" i="1" s="1"/>
  <c r="K1897" i="1"/>
  <c r="BU1896" i="1"/>
  <c r="BH1896" i="1"/>
  <c r="BB1896" i="1"/>
  <c r="AN1896" i="1"/>
  <c r="AM1896" i="1"/>
  <c r="AI1896" i="1"/>
  <c r="AH1896" i="1"/>
  <c r="AF1896" i="1"/>
  <c r="AE1896" i="1"/>
  <c r="AD1896" i="1"/>
  <c r="AA1896" i="1"/>
  <c r="Z1896" i="1"/>
  <c r="X1896" i="1"/>
  <c r="M1896" i="1"/>
  <c r="BD1896" i="1" s="1"/>
  <c r="K1896" i="1"/>
  <c r="AJ1896" i="1" s="1"/>
  <c r="BU1895" i="1"/>
  <c r="BH1895" i="1"/>
  <c r="BB1895" i="1"/>
  <c r="AN1895" i="1"/>
  <c r="AM1895" i="1"/>
  <c r="BF1895" i="1" s="1"/>
  <c r="AB1895" i="1" s="1"/>
  <c r="AI1895" i="1"/>
  <c r="AH1895" i="1"/>
  <c r="AF1895" i="1"/>
  <c r="AE1895" i="1"/>
  <c r="AD1895" i="1"/>
  <c r="AA1895" i="1"/>
  <c r="Z1895" i="1"/>
  <c r="X1895" i="1"/>
  <c r="M1895" i="1"/>
  <c r="BD1895" i="1" s="1"/>
  <c r="K1895" i="1"/>
  <c r="AJ1895" i="1" s="1"/>
  <c r="BU1894" i="1"/>
  <c r="BH1894" i="1"/>
  <c r="BB1894" i="1"/>
  <c r="AN1894" i="1"/>
  <c r="BG1894" i="1" s="1"/>
  <c r="AC1894" i="1" s="1"/>
  <c r="AM1894" i="1"/>
  <c r="BF1894" i="1" s="1"/>
  <c r="AB1894" i="1" s="1"/>
  <c r="AI1894" i="1"/>
  <c r="AH1894" i="1"/>
  <c r="AF1894" i="1"/>
  <c r="AE1894" i="1"/>
  <c r="AD1894" i="1"/>
  <c r="AA1894" i="1"/>
  <c r="Z1894" i="1"/>
  <c r="X1894" i="1"/>
  <c r="M1894" i="1"/>
  <c r="BD1894" i="1" s="1"/>
  <c r="K1894" i="1"/>
  <c r="AJ1894" i="1" s="1"/>
  <c r="BU1893" i="1"/>
  <c r="BH1893" i="1"/>
  <c r="BB1893" i="1"/>
  <c r="AN1893" i="1"/>
  <c r="AM1893" i="1"/>
  <c r="BF1893" i="1" s="1"/>
  <c r="AB1893" i="1" s="1"/>
  <c r="AI1893" i="1"/>
  <c r="AH1893" i="1"/>
  <c r="AF1893" i="1"/>
  <c r="AE1893" i="1"/>
  <c r="AD1893" i="1"/>
  <c r="AA1893" i="1"/>
  <c r="Z1893" i="1"/>
  <c r="X1893" i="1"/>
  <c r="M1893" i="1"/>
  <c r="BD1893" i="1" s="1"/>
  <c r="K1893" i="1"/>
  <c r="AJ1893" i="1" s="1"/>
  <c r="BU1892" i="1"/>
  <c r="BH1892" i="1"/>
  <c r="BB1892" i="1"/>
  <c r="AN1892" i="1"/>
  <c r="BG1892" i="1" s="1"/>
  <c r="AM1892" i="1"/>
  <c r="AI1892" i="1"/>
  <c r="AH1892" i="1"/>
  <c r="AF1892" i="1"/>
  <c r="AE1892" i="1"/>
  <c r="AD1892" i="1"/>
  <c r="AC1892" i="1"/>
  <c r="AA1892" i="1"/>
  <c r="Z1892" i="1"/>
  <c r="X1892" i="1"/>
  <c r="M1892" i="1"/>
  <c r="BD1892" i="1" s="1"/>
  <c r="K1892" i="1"/>
  <c r="AJ1892" i="1" s="1"/>
  <c r="BU1890" i="1"/>
  <c r="BH1890" i="1"/>
  <c r="BB1890" i="1"/>
  <c r="AN1890" i="1"/>
  <c r="BG1890" i="1" s="1"/>
  <c r="AC1890" i="1" s="1"/>
  <c r="AM1890" i="1"/>
  <c r="AI1890" i="1"/>
  <c r="AH1890" i="1"/>
  <c r="AF1890" i="1"/>
  <c r="AE1890" i="1"/>
  <c r="AD1890" i="1"/>
  <c r="AA1890" i="1"/>
  <c r="Z1890" i="1"/>
  <c r="X1890" i="1"/>
  <c r="M1890" i="1"/>
  <c r="BD1890" i="1" s="1"/>
  <c r="K1890" i="1"/>
  <c r="AJ1890" i="1" s="1"/>
  <c r="BU1888" i="1"/>
  <c r="BH1888" i="1"/>
  <c r="BB1888" i="1"/>
  <c r="AN1888" i="1"/>
  <c r="BG1888" i="1" s="1"/>
  <c r="AC1888" i="1" s="1"/>
  <c r="AM1888" i="1"/>
  <c r="AI1888" i="1"/>
  <c r="AH1888" i="1"/>
  <c r="AF1888" i="1"/>
  <c r="AE1888" i="1"/>
  <c r="AD1888" i="1"/>
  <c r="AA1888" i="1"/>
  <c r="Z1888" i="1"/>
  <c r="X1888" i="1"/>
  <c r="M1888" i="1"/>
  <c r="BD1888" i="1" s="1"/>
  <c r="K1888" i="1"/>
  <c r="AJ1888" i="1" s="1"/>
  <c r="J1888" i="1"/>
  <c r="BU1886" i="1"/>
  <c r="BH1886" i="1"/>
  <c r="BB1886" i="1"/>
  <c r="AN1886" i="1"/>
  <c r="AM1886" i="1"/>
  <c r="AI1886" i="1"/>
  <c r="AH1886" i="1"/>
  <c r="AF1886" i="1"/>
  <c r="AE1886" i="1"/>
  <c r="AD1886" i="1"/>
  <c r="AA1886" i="1"/>
  <c r="Z1886" i="1"/>
  <c r="X1886" i="1"/>
  <c r="M1886" i="1"/>
  <c r="BD1886" i="1" s="1"/>
  <c r="K1886" i="1"/>
  <c r="AJ1886" i="1" s="1"/>
  <c r="I1886" i="1"/>
  <c r="BU1885" i="1"/>
  <c r="BH1885" i="1"/>
  <c r="BB1885" i="1"/>
  <c r="AN1885" i="1"/>
  <c r="AM1885" i="1"/>
  <c r="AU1885" i="1" s="1"/>
  <c r="AI1885" i="1"/>
  <c r="AH1885" i="1"/>
  <c r="AF1885" i="1"/>
  <c r="AE1885" i="1"/>
  <c r="AD1885" i="1"/>
  <c r="AA1885" i="1"/>
  <c r="Z1885" i="1"/>
  <c r="X1885" i="1"/>
  <c r="M1885" i="1"/>
  <c r="BD1885" i="1" s="1"/>
  <c r="K1885" i="1"/>
  <c r="AJ1885" i="1" s="1"/>
  <c r="BU1883" i="1"/>
  <c r="BH1883" i="1"/>
  <c r="X1883" i="1" s="1"/>
  <c r="BB1883" i="1"/>
  <c r="AN1883" i="1"/>
  <c r="AM1883" i="1"/>
  <c r="AI1883" i="1"/>
  <c r="AH1883" i="1"/>
  <c r="AF1883" i="1"/>
  <c r="AE1883" i="1"/>
  <c r="AD1883" i="1"/>
  <c r="AC1883" i="1"/>
  <c r="AB1883" i="1"/>
  <c r="AA1883" i="1"/>
  <c r="Z1883" i="1"/>
  <c r="M1883" i="1"/>
  <c r="BD1883" i="1" s="1"/>
  <c r="K1883" i="1"/>
  <c r="AJ1883" i="1" s="1"/>
  <c r="BU1881" i="1"/>
  <c r="BH1881" i="1"/>
  <c r="BB1881" i="1"/>
  <c r="AN1881" i="1"/>
  <c r="AV1881" i="1" s="1"/>
  <c r="AM1881" i="1"/>
  <c r="AI1881" i="1"/>
  <c r="AH1881" i="1"/>
  <c r="AF1881" i="1"/>
  <c r="AE1881" i="1"/>
  <c r="AD1881" i="1"/>
  <c r="AA1881" i="1"/>
  <c r="Z1881" i="1"/>
  <c r="X1881" i="1"/>
  <c r="M1881" i="1"/>
  <c r="BD1881" i="1" s="1"/>
  <c r="K1881" i="1"/>
  <c r="AJ1881" i="1" s="1"/>
  <c r="BU1880" i="1"/>
  <c r="BH1880" i="1"/>
  <c r="BB1880" i="1"/>
  <c r="AN1880" i="1"/>
  <c r="J1880" i="1" s="1"/>
  <c r="AM1880" i="1"/>
  <c r="AI1880" i="1"/>
  <c r="AH1880" i="1"/>
  <c r="AF1880" i="1"/>
  <c r="AE1880" i="1"/>
  <c r="AD1880" i="1"/>
  <c r="AA1880" i="1"/>
  <c r="Z1880" i="1"/>
  <c r="X1880" i="1"/>
  <c r="M1880" i="1"/>
  <c r="BD1880" i="1" s="1"/>
  <c r="K1880" i="1"/>
  <c r="BU1879" i="1"/>
  <c r="BH1879" i="1"/>
  <c r="BB1879" i="1"/>
  <c r="AN1879" i="1"/>
  <c r="AM1879" i="1"/>
  <c r="AI1879" i="1"/>
  <c r="AH1879" i="1"/>
  <c r="AF1879" i="1"/>
  <c r="AE1879" i="1"/>
  <c r="AD1879" i="1"/>
  <c r="AA1879" i="1"/>
  <c r="Z1879" i="1"/>
  <c r="X1879" i="1"/>
  <c r="M1879" i="1"/>
  <c r="BD1879" i="1" s="1"/>
  <c r="K1879" i="1"/>
  <c r="AJ1879" i="1" s="1"/>
  <c r="BU1878" i="1"/>
  <c r="BH1878" i="1"/>
  <c r="BB1878" i="1"/>
  <c r="AN1878" i="1"/>
  <c r="BG1878" i="1" s="1"/>
  <c r="AC1878" i="1" s="1"/>
  <c r="AM1878" i="1"/>
  <c r="AU1878" i="1" s="1"/>
  <c r="AI1878" i="1"/>
  <c r="AH1878" i="1"/>
  <c r="AF1878" i="1"/>
  <c r="AE1878" i="1"/>
  <c r="AD1878" i="1"/>
  <c r="AA1878" i="1"/>
  <c r="Z1878" i="1"/>
  <c r="X1878" i="1"/>
  <c r="M1878" i="1"/>
  <c r="BD1878" i="1" s="1"/>
  <c r="K1878" i="1"/>
  <c r="AJ1878" i="1" s="1"/>
  <c r="BU1877" i="1"/>
  <c r="BH1877" i="1"/>
  <c r="BB1877" i="1"/>
  <c r="AN1877" i="1"/>
  <c r="BG1877" i="1" s="1"/>
  <c r="AC1877" i="1" s="1"/>
  <c r="AM1877" i="1"/>
  <c r="AI1877" i="1"/>
  <c r="AH1877" i="1"/>
  <c r="AF1877" i="1"/>
  <c r="AE1877" i="1"/>
  <c r="AD1877" i="1"/>
  <c r="AA1877" i="1"/>
  <c r="Z1877" i="1"/>
  <c r="X1877" i="1"/>
  <c r="M1877" i="1"/>
  <c r="BD1877" i="1" s="1"/>
  <c r="K1877" i="1"/>
  <c r="AJ1877" i="1" s="1"/>
  <c r="BU1876" i="1"/>
  <c r="BH1876" i="1"/>
  <c r="BB1876" i="1"/>
  <c r="AN1876" i="1"/>
  <c r="AV1876" i="1" s="1"/>
  <c r="AM1876" i="1"/>
  <c r="I1876" i="1" s="1"/>
  <c r="AI1876" i="1"/>
  <c r="AH1876" i="1"/>
  <c r="AF1876" i="1"/>
  <c r="AE1876" i="1"/>
  <c r="AD1876" i="1"/>
  <c r="AA1876" i="1"/>
  <c r="Z1876" i="1"/>
  <c r="X1876" i="1"/>
  <c r="M1876" i="1"/>
  <c r="BD1876" i="1" s="1"/>
  <c r="K1876" i="1"/>
  <c r="BU1875" i="1"/>
  <c r="BH1875" i="1"/>
  <c r="BB1875" i="1"/>
  <c r="AN1875" i="1"/>
  <c r="AM1875" i="1"/>
  <c r="AU1875" i="1" s="1"/>
  <c r="AI1875" i="1"/>
  <c r="AH1875" i="1"/>
  <c r="AF1875" i="1"/>
  <c r="AE1875" i="1"/>
  <c r="AD1875" i="1"/>
  <c r="AA1875" i="1"/>
  <c r="Z1875" i="1"/>
  <c r="X1875" i="1"/>
  <c r="M1875" i="1"/>
  <c r="BD1875" i="1" s="1"/>
  <c r="K1875" i="1"/>
  <c r="AJ1875" i="1" s="1"/>
  <c r="BU1874" i="1"/>
  <c r="BH1874" i="1"/>
  <c r="BB1874" i="1"/>
  <c r="AN1874" i="1"/>
  <c r="AM1874" i="1"/>
  <c r="AI1874" i="1"/>
  <c r="AH1874" i="1"/>
  <c r="AF1874" i="1"/>
  <c r="AE1874" i="1"/>
  <c r="AD1874" i="1"/>
  <c r="AA1874" i="1"/>
  <c r="Z1874" i="1"/>
  <c r="X1874" i="1"/>
  <c r="M1874" i="1"/>
  <c r="BD1874" i="1" s="1"/>
  <c r="K1874" i="1"/>
  <c r="AJ1874" i="1" s="1"/>
  <c r="BU1873" i="1"/>
  <c r="BH1873" i="1"/>
  <c r="BB1873" i="1"/>
  <c r="AN1873" i="1"/>
  <c r="BG1873" i="1" s="1"/>
  <c r="AC1873" i="1" s="1"/>
  <c r="AM1873" i="1"/>
  <c r="AI1873" i="1"/>
  <c r="AH1873" i="1"/>
  <c r="AF1873" i="1"/>
  <c r="AE1873" i="1"/>
  <c r="AD1873" i="1"/>
  <c r="AA1873" i="1"/>
  <c r="Z1873" i="1"/>
  <c r="X1873" i="1"/>
  <c r="M1873" i="1"/>
  <c r="BD1873" i="1" s="1"/>
  <c r="K1873" i="1"/>
  <c r="AJ1873" i="1" s="1"/>
  <c r="BU1872" i="1"/>
  <c r="BH1872" i="1"/>
  <c r="BB1872" i="1"/>
  <c r="AN1872" i="1"/>
  <c r="BG1872" i="1" s="1"/>
  <c r="AC1872" i="1" s="1"/>
  <c r="AM1872" i="1"/>
  <c r="AI1872" i="1"/>
  <c r="AH1872" i="1"/>
  <c r="AF1872" i="1"/>
  <c r="AE1872" i="1"/>
  <c r="AD1872" i="1"/>
  <c r="AA1872" i="1"/>
  <c r="Z1872" i="1"/>
  <c r="X1872" i="1"/>
  <c r="M1872" i="1"/>
  <c r="BD1872" i="1" s="1"/>
  <c r="K1872" i="1"/>
  <c r="AJ1872" i="1" s="1"/>
  <c r="BU1870" i="1"/>
  <c r="BH1870" i="1"/>
  <c r="BB1870" i="1"/>
  <c r="AN1870" i="1"/>
  <c r="AM1870" i="1"/>
  <c r="AI1870" i="1"/>
  <c r="AH1870" i="1"/>
  <c r="AF1870" i="1"/>
  <c r="AE1870" i="1"/>
  <c r="AD1870" i="1"/>
  <c r="AA1870" i="1"/>
  <c r="Z1870" i="1"/>
  <c r="X1870" i="1"/>
  <c r="M1870" i="1"/>
  <c r="BD1870" i="1" s="1"/>
  <c r="K1870" i="1"/>
  <c r="AJ1870" i="1" s="1"/>
  <c r="BU1869" i="1"/>
  <c r="BH1869" i="1"/>
  <c r="BB1869" i="1"/>
  <c r="AN1869" i="1"/>
  <c r="AM1869" i="1"/>
  <c r="I1869" i="1" s="1"/>
  <c r="AI1869" i="1"/>
  <c r="AH1869" i="1"/>
  <c r="AF1869" i="1"/>
  <c r="AE1869" i="1"/>
  <c r="AD1869" i="1"/>
  <c r="AA1869" i="1"/>
  <c r="Z1869" i="1"/>
  <c r="X1869" i="1"/>
  <c r="M1869" i="1"/>
  <c r="BD1869" i="1" s="1"/>
  <c r="K1869" i="1"/>
  <c r="BU1867" i="1"/>
  <c r="BH1867" i="1"/>
  <c r="BB1867" i="1"/>
  <c r="AN1867" i="1"/>
  <c r="BG1867" i="1" s="1"/>
  <c r="AC1867" i="1" s="1"/>
  <c r="AM1867" i="1"/>
  <c r="AI1867" i="1"/>
  <c r="AH1867" i="1"/>
  <c r="AF1867" i="1"/>
  <c r="AE1867" i="1"/>
  <c r="AD1867" i="1"/>
  <c r="AA1867" i="1"/>
  <c r="Z1867" i="1"/>
  <c r="X1867" i="1"/>
  <c r="M1867" i="1"/>
  <c r="BD1867" i="1" s="1"/>
  <c r="K1867" i="1"/>
  <c r="AJ1867" i="1" s="1"/>
  <c r="BU1866" i="1"/>
  <c r="BH1866" i="1"/>
  <c r="BB1866" i="1"/>
  <c r="AN1866" i="1"/>
  <c r="AM1866" i="1"/>
  <c r="AI1866" i="1"/>
  <c r="AH1866" i="1"/>
  <c r="AF1866" i="1"/>
  <c r="AE1866" i="1"/>
  <c r="AD1866" i="1"/>
  <c r="AA1866" i="1"/>
  <c r="Z1866" i="1"/>
  <c r="X1866" i="1"/>
  <c r="M1866" i="1"/>
  <c r="BD1866" i="1" s="1"/>
  <c r="K1866" i="1"/>
  <c r="BU1865" i="1"/>
  <c r="BH1865" i="1"/>
  <c r="BB1865" i="1"/>
  <c r="AN1865" i="1"/>
  <c r="AM1865" i="1"/>
  <c r="AU1865" i="1" s="1"/>
  <c r="AJ1865" i="1"/>
  <c r="AI1865" i="1"/>
  <c r="AH1865" i="1"/>
  <c r="AF1865" i="1"/>
  <c r="AE1865" i="1"/>
  <c r="AD1865" i="1"/>
  <c r="AA1865" i="1"/>
  <c r="Z1865" i="1"/>
  <c r="X1865" i="1"/>
  <c r="M1865" i="1"/>
  <c r="BD1865" i="1" s="1"/>
  <c r="K1865" i="1"/>
  <c r="BU1863" i="1"/>
  <c r="BH1863" i="1"/>
  <c r="BB1863" i="1"/>
  <c r="AN1863" i="1"/>
  <c r="BG1863" i="1" s="1"/>
  <c r="AC1863" i="1" s="1"/>
  <c r="AM1863" i="1"/>
  <c r="AI1863" i="1"/>
  <c r="AH1863" i="1"/>
  <c r="AF1863" i="1"/>
  <c r="AE1863" i="1"/>
  <c r="AD1863" i="1"/>
  <c r="AA1863" i="1"/>
  <c r="Z1863" i="1"/>
  <c r="X1863" i="1"/>
  <c r="M1863" i="1"/>
  <c r="BD1863" i="1" s="1"/>
  <c r="K1863" i="1"/>
  <c r="AJ1863" i="1" s="1"/>
  <c r="BU1862" i="1"/>
  <c r="BH1862" i="1"/>
  <c r="BB1862" i="1"/>
  <c r="AN1862" i="1"/>
  <c r="AM1862" i="1"/>
  <c r="AI1862" i="1"/>
  <c r="AH1862" i="1"/>
  <c r="AF1862" i="1"/>
  <c r="AE1862" i="1"/>
  <c r="AD1862" i="1"/>
  <c r="AA1862" i="1"/>
  <c r="Z1862" i="1"/>
  <c r="X1862" i="1"/>
  <c r="M1862" i="1"/>
  <c r="BD1862" i="1" s="1"/>
  <c r="K1862" i="1"/>
  <c r="AJ1862" i="1" s="1"/>
  <c r="BU1860" i="1"/>
  <c r="BH1860" i="1"/>
  <c r="BB1860" i="1"/>
  <c r="AN1860" i="1"/>
  <c r="AV1860" i="1" s="1"/>
  <c r="AM1860" i="1"/>
  <c r="AI1860" i="1"/>
  <c r="AH1860" i="1"/>
  <c r="AF1860" i="1"/>
  <c r="AE1860" i="1"/>
  <c r="AD1860" i="1"/>
  <c r="AA1860" i="1"/>
  <c r="Z1860" i="1"/>
  <c r="X1860" i="1"/>
  <c r="M1860" i="1"/>
  <c r="BD1860" i="1" s="1"/>
  <c r="K1860" i="1"/>
  <c r="BU1858" i="1"/>
  <c r="BH1858" i="1"/>
  <c r="BB1858" i="1"/>
  <c r="AN1858" i="1"/>
  <c r="BG1858" i="1" s="1"/>
  <c r="AC1858" i="1" s="1"/>
  <c r="AM1858" i="1"/>
  <c r="AI1858" i="1"/>
  <c r="AH1858" i="1"/>
  <c r="AF1858" i="1"/>
  <c r="AE1858" i="1"/>
  <c r="AD1858" i="1"/>
  <c r="AA1858" i="1"/>
  <c r="Z1858" i="1"/>
  <c r="X1858" i="1"/>
  <c r="M1858" i="1"/>
  <c r="BD1858" i="1" s="1"/>
  <c r="K1858" i="1"/>
  <c r="AJ1858" i="1" s="1"/>
  <c r="BU1857" i="1"/>
  <c r="BH1857" i="1"/>
  <c r="BB1857" i="1"/>
  <c r="AN1857" i="1"/>
  <c r="AM1857" i="1"/>
  <c r="AI1857" i="1"/>
  <c r="AH1857" i="1"/>
  <c r="AF1857" i="1"/>
  <c r="AE1857" i="1"/>
  <c r="AD1857" i="1"/>
  <c r="AA1857" i="1"/>
  <c r="Z1857" i="1"/>
  <c r="X1857" i="1"/>
  <c r="M1857" i="1"/>
  <c r="BD1857" i="1" s="1"/>
  <c r="K1857" i="1"/>
  <c r="AJ1857" i="1" s="1"/>
  <c r="BU1856" i="1"/>
  <c r="BH1856" i="1"/>
  <c r="BB1856" i="1"/>
  <c r="AN1856" i="1"/>
  <c r="AM1856" i="1"/>
  <c r="AU1856" i="1" s="1"/>
  <c r="AI1856" i="1"/>
  <c r="AH1856" i="1"/>
  <c r="AF1856" i="1"/>
  <c r="AE1856" i="1"/>
  <c r="AD1856" i="1"/>
  <c r="AA1856" i="1"/>
  <c r="Z1856" i="1"/>
  <c r="X1856" i="1"/>
  <c r="M1856" i="1"/>
  <c r="BD1856" i="1" s="1"/>
  <c r="K1856" i="1"/>
  <c r="AJ1856" i="1" s="1"/>
  <c r="BU1854" i="1"/>
  <c r="BH1854" i="1"/>
  <c r="BB1854" i="1"/>
  <c r="AN1854" i="1"/>
  <c r="AM1854" i="1"/>
  <c r="I1854" i="1" s="1"/>
  <c r="AI1854" i="1"/>
  <c r="AH1854" i="1"/>
  <c r="AF1854" i="1"/>
  <c r="AE1854" i="1"/>
  <c r="AD1854" i="1"/>
  <c r="AA1854" i="1"/>
  <c r="Z1854" i="1"/>
  <c r="X1854" i="1"/>
  <c r="M1854" i="1"/>
  <c r="BD1854" i="1" s="1"/>
  <c r="K1854" i="1"/>
  <c r="BU1852" i="1"/>
  <c r="BH1852" i="1"/>
  <c r="BB1852" i="1"/>
  <c r="AN1852" i="1"/>
  <c r="BG1852" i="1" s="1"/>
  <c r="AC1852" i="1" s="1"/>
  <c r="AM1852" i="1"/>
  <c r="AI1852" i="1"/>
  <c r="AH1852" i="1"/>
  <c r="AF1852" i="1"/>
  <c r="AE1852" i="1"/>
  <c r="AD1852" i="1"/>
  <c r="AA1852" i="1"/>
  <c r="Z1852" i="1"/>
  <c r="X1852" i="1"/>
  <c r="M1852" i="1"/>
  <c r="BD1852" i="1" s="1"/>
  <c r="K1852" i="1"/>
  <c r="AJ1852" i="1" s="1"/>
  <c r="BU1850" i="1"/>
  <c r="BH1850" i="1"/>
  <c r="BB1850" i="1"/>
  <c r="AN1850" i="1"/>
  <c r="AV1850" i="1" s="1"/>
  <c r="AM1850" i="1"/>
  <c r="AI1850" i="1"/>
  <c r="AH1850" i="1"/>
  <c r="AF1850" i="1"/>
  <c r="AE1850" i="1"/>
  <c r="AD1850" i="1"/>
  <c r="AA1850" i="1"/>
  <c r="Z1850" i="1"/>
  <c r="X1850" i="1"/>
  <c r="M1850" i="1"/>
  <c r="BD1850" i="1" s="1"/>
  <c r="K1850" i="1"/>
  <c r="AJ1850" i="1" s="1"/>
  <c r="BU1848" i="1"/>
  <c r="BH1848" i="1"/>
  <c r="BB1848" i="1"/>
  <c r="AN1848" i="1"/>
  <c r="AM1848" i="1"/>
  <c r="AI1848" i="1"/>
  <c r="AH1848" i="1"/>
  <c r="AF1848" i="1"/>
  <c r="AE1848" i="1"/>
  <c r="AD1848" i="1"/>
  <c r="AA1848" i="1"/>
  <c r="Z1848" i="1"/>
  <c r="X1848" i="1"/>
  <c r="M1848" i="1"/>
  <c r="BD1848" i="1" s="1"/>
  <c r="K1848" i="1"/>
  <c r="AJ1848" i="1" s="1"/>
  <c r="BU1846" i="1"/>
  <c r="BH1846" i="1"/>
  <c r="BD1846" i="1"/>
  <c r="BB1846" i="1"/>
  <c r="AN1846" i="1"/>
  <c r="AM1846" i="1"/>
  <c r="I1846" i="1" s="1"/>
  <c r="AI1846" i="1"/>
  <c r="AH1846" i="1"/>
  <c r="AF1846" i="1"/>
  <c r="AE1846" i="1"/>
  <c r="AD1846" i="1"/>
  <c r="AA1846" i="1"/>
  <c r="Z1846" i="1"/>
  <c r="X1846" i="1"/>
  <c r="M1846" i="1"/>
  <c r="K1846" i="1"/>
  <c r="AJ1846" i="1" s="1"/>
  <c r="BU1843" i="1"/>
  <c r="BH1843" i="1"/>
  <c r="BB1843" i="1"/>
  <c r="AN1843" i="1"/>
  <c r="AM1843" i="1"/>
  <c r="I1843" i="1" s="1"/>
  <c r="AI1843" i="1"/>
  <c r="AH1843" i="1"/>
  <c r="AF1843" i="1"/>
  <c r="AE1843" i="1"/>
  <c r="AD1843" i="1"/>
  <c r="AA1843" i="1"/>
  <c r="Z1843" i="1"/>
  <c r="X1843" i="1"/>
  <c r="M1843" i="1"/>
  <c r="BD1843" i="1" s="1"/>
  <c r="K1843" i="1"/>
  <c r="AJ1843" i="1" s="1"/>
  <c r="BU1841" i="1"/>
  <c r="BH1841" i="1"/>
  <c r="BD1841" i="1"/>
  <c r="BB1841" i="1"/>
  <c r="AN1841" i="1"/>
  <c r="BG1841" i="1" s="1"/>
  <c r="AC1841" i="1" s="1"/>
  <c r="AM1841" i="1"/>
  <c r="AI1841" i="1"/>
  <c r="AH1841" i="1"/>
  <c r="AF1841" i="1"/>
  <c r="AE1841" i="1"/>
  <c r="AD1841" i="1"/>
  <c r="AA1841" i="1"/>
  <c r="Z1841" i="1"/>
  <c r="X1841" i="1"/>
  <c r="M1841" i="1"/>
  <c r="K1841" i="1"/>
  <c r="BU1839" i="1"/>
  <c r="BH1839" i="1"/>
  <c r="BB1839" i="1"/>
  <c r="AN1839" i="1"/>
  <c r="AM1839" i="1"/>
  <c r="AI1839" i="1"/>
  <c r="AH1839" i="1"/>
  <c r="AF1839" i="1"/>
  <c r="AE1839" i="1"/>
  <c r="AD1839" i="1"/>
  <c r="AA1839" i="1"/>
  <c r="Z1839" i="1"/>
  <c r="X1839" i="1"/>
  <c r="M1839" i="1"/>
  <c r="BD1839" i="1" s="1"/>
  <c r="K1839" i="1"/>
  <c r="AJ1839" i="1" s="1"/>
  <c r="BU1837" i="1"/>
  <c r="BH1837" i="1"/>
  <c r="BB1837" i="1"/>
  <c r="AN1837" i="1"/>
  <c r="AM1837" i="1"/>
  <c r="AI1837" i="1"/>
  <c r="AH1837" i="1"/>
  <c r="AF1837" i="1"/>
  <c r="AE1837" i="1"/>
  <c r="AD1837" i="1"/>
  <c r="AA1837" i="1"/>
  <c r="Z1837" i="1"/>
  <c r="X1837" i="1"/>
  <c r="M1837" i="1"/>
  <c r="BD1837" i="1" s="1"/>
  <c r="K1837" i="1"/>
  <c r="AJ1837" i="1" s="1"/>
  <c r="BU1835" i="1"/>
  <c r="BH1835" i="1"/>
  <c r="BB1835" i="1"/>
  <c r="AN1835" i="1"/>
  <c r="AM1835" i="1"/>
  <c r="AI1835" i="1"/>
  <c r="AH1835" i="1"/>
  <c r="AF1835" i="1"/>
  <c r="AE1835" i="1"/>
  <c r="AD1835" i="1"/>
  <c r="AA1835" i="1"/>
  <c r="Z1835" i="1"/>
  <c r="X1835" i="1"/>
  <c r="M1835" i="1"/>
  <c r="K1835" i="1"/>
  <c r="AJ1835" i="1" s="1"/>
  <c r="BU1833" i="1"/>
  <c r="BH1833" i="1"/>
  <c r="BB1833" i="1"/>
  <c r="AN1833" i="1"/>
  <c r="AM1833" i="1"/>
  <c r="BF1833" i="1" s="1"/>
  <c r="AB1833" i="1" s="1"/>
  <c r="AI1833" i="1"/>
  <c r="AH1833" i="1"/>
  <c r="AF1833" i="1"/>
  <c r="AE1833" i="1"/>
  <c r="AD1833" i="1"/>
  <c r="AA1833" i="1"/>
  <c r="Z1833" i="1"/>
  <c r="X1833" i="1"/>
  <c r="M1833" i="1"/>
  <c r="BD1833" i="1" s="1"/>
  <c r="K1833" i="1"/>
  <c r="AJ1833" i="1" s="1"/>
  <c r="BU1831" i="1"/>
  <c r="BH1831" i="1"/>
  <c r="BB1831" i="1"/>
  <c r="AN1831" i="1"/>
  <c r="BG1831" i="1" s="1"/>
  <c r="AC1831" i="1" s="1"/>
  <c r="AM1831" i="1"/>
  <c r="I1831" i="1" s="1"/>
  <c r="AI1831" i="1"/>
  <c r="AH1831" i="1"/>
  <c r="AF1831" i="1"/>
  <c r="AE1831" i="1"/>
  <c r="AD1831" i="1"/>
  <c r="AA1831" i="1"/>
  <c r="Z1831" i="1"/>
  <c r="X1831" i="1"/>
  <c r="M1831" i="1"/>
  <c r="BD1831" i="1" s="1"/>
  <c r="K1831" i="1"/>
  <c r="AJ1831" i="1" s="1"/>
  <c r="BU1828" i="1"/>
  <c r="BH1828" i="1"/>
  <c r="X1828" i="1" s="1"/>
  <c r="BB1828" i="1"/>
  <c r="AN1828" i="1"/>
  <c r="AV1828" i="1" s="1"/>
  <c r="AM1828" i="1"/>
  <c r="AI1828" i="1"/>
  <c r="AH1828" i="1"/>
  <c r="AF1828" i="1"/>
  <c r="AE1828" i="1"/>
  <c r="AD1828" i="1"/>
  <c r="AC1828" i="1"/>
  <c r="AB1828" i="1"/>
  <c r="AA1828" i="1"/>
  <c r="Z1828" i="1"/>
  <c r="M1828" i="1"/>
  <c r="BD1828" i="1" s="1"/>
  <c r="K1828" i="1"/>
  <c r="AJ1828" i="1" s="1"/>
  <c r="BU1826" i="1"/>
  <c r="BH1826" i="1"/>
  <c r="BB1826" i="1"/>
  <c r="AN1826" i="1"/>
  <c r="AV1826" i="1" s="1"/>
  <c r="AM1826" i="1"/>
  <c r="AU1826" i="1" s="1"/>
  <c r="AI1826" i="1"/>
  <c r="AH1826" i="1"/>
  <c r="AF1826" i="1"/>
  <c r="AE1826" i="1"/>
  <c r="AD1826" i="1"/>
  <c r="AA1826" i="1"/>
  <c r="Z1826" i="1"/>
  <c r="X1826" i="1"/>
  <c r="M1826" i="1"/>
  <c r="BD1826" i="1" s="1"/>
  <c r="K1826" i="1"/>
  <c r="AJ1826" i="1" s="1"/>
  <c r="BU1824" i="1"/>
  <c r="BH1824" i="1"/>
  <c r="BB1824" i="1"/>
  <c r="AN1824" i="1"/>
  <c r="AV1824" i="1" s="1"/>
  <c r="AM1824" i="1"/>
  <c r="AI1824" i="1"/>
  <c r="AH1824" i="1"/>
  <c r="AF1824" i="1"/>
  <c r="AE1824" i="1"/>
  <c r="AD1824" i="1"/>
  <c r="AA1824" i="1"/>
  <c r="Z1824" i="1"/>
  <c r="X1824" i="1"/>
  <c r="M1824" i="1"/>
  <c r="BD1824" i="1" s="1"/>
  <c r="K1824" i="1"/>
  <c r="BU1823" i="1"/>
  <c r="BH1823" i="1"/>
  <c r="BB1823" i="1"/>
  <c r="AN1823" i="1"/>
  <c r="AM1823" i="1"/>
  <c r="AI1823" i="1"/>
  <c r="AH1823" i="1"/>
  <c r="AF1823" i="1"/>
  <c r="AE1823" i="1"/>
  <c r="AD1823" i="1"/>
  <c r="AA1823" i="1"/>
  <c r="Z1823" i="1"/>
  <c r="X1823" i="1"/>
  <c r="M1823" i="1"/>
  <c r="BD1823" i="1" s="1"/>
  <c r="K1823" i="1"/>
  <c r="AJ1823" i="1" s="1"/>
  <c r="BU1822" i="1"/>
  <c r="BH1822" i="1"/>
  <c r="BB1822" i="1"/>
  <c r="AN1822" i="1"/>
  <c r="J1822" i="1" s="1"/>
  <c r="AM1822" i="1"/>
  <c r="AI1822" i="1"/>
  <c r="AH1822" i="1"/>
  <c r="AF1822" i="1"/>
  <c r="AE1822" i="1"/>
  <c r="AD1822" i="1"/>
  <c r="AA1822" i="1"/>
  <c r="Z1822" i="1"/>
  <c r="X1822" i="1"/>
  <c r="M1822" i="1"/>
  <c r="BD1822" i="1" s="1"/>
  <c r="K1822" i="1"/>
  <c r="BU1821" i="1"/>
  <c r="BH1821" i="1"/>
  <c r="BB1821" i="1"/>
  <c r="AN1821" i="1"/>
  <c r="AM1821" i="1"/>
  <c r="BF1821" i="1" s="1"/>
  <c r="AB1821" i="1" s="1"/>
  <c r="AI1821" i="1"/>
  <c r="AH1821" i="1"/>
  <c r="AF1821" i="1"/>
  <c r="AE1821" i="1"/>
  <c r="AD1821" i="1"/>
  <c r="AA1821" i="1"/>
  <c r="Z1821" i="1"/>
  <c r="X1821" i="1"/>
  <c r="M1821" i="1"/>
  <c r="BD1821" i="1" s="1"/>
  <c r="K1821" i="1"/>
  <c r="AJ1821" i="1" s="1"/>
  <c r="BU1820" i="1"/>
  <c r="BH1820" i="1"/>
  <c r="BB1820" i="1"/>
  <c r="AN1820" i="1"/>
  <c r="BG1820" i="1" s="1"/>
  <c r="AC1820" i="1" s="1"/>
  <c r="AM1820" i="1"/>
  <c r="I1820" i="1" s="1"/>
  <c r="AI1820" i="1"/>
  <c r="AH1820" i="1"/>
  <c r="AF1820" i="1"/>
  <c r="AE1820" i="1"/>
  <c r="AD1820" i="1"/>
  <c r="AA1820" i="1"/>
  <c r="Z1820" i="1"/>
  <c r="X1820" i="1"/>
  <c r="M1820" i="1"/>
  <c r="BD1820" i="1" s="1"/>
  <c r="K1820" i="1"/>
  <c r="AJ1820" i="1" s="1"/>
  <c r="BU1819" i="1"/>
  <c r="BH1819" i="1"/>
  <c r="BB1819" i="1"/>
  <c r="AN1819" i="1"/>
  <c r="AM1819" i="1"/>
  <c r="BF1819" i="1" s="1"/>
  <c r="AB1819" i="1" s="1"/>
  <c r="AI1819" i="1"/>
  <c r="AH1819" i="1"/>
  <c r="AF1819" i="1"/>
  <c r="AE1819" i="1"/>
  <c r="AD1819" i="1"/>
  <c r="AA1819" i="1"/>
  <c r="Z1819" i="1"/>
  <c r="X1819" i="1"/>
  <c r="M1819" i="1"/>
  <c r="BD1819" i="1" s="1"/>
  <c r="K1819" i="1"/>
  <c r="AJ1819" i="1" s="1"/>
  <c r="BU1818" i="1"/>
  <c r="BH1818" i="1"/>
  <c r="BB1818" i="1"/>
  <c r="AN1818" i="1"/>
  <c r="AV1818" i="1" s="1"/>
  <c r="AM1818" i="1"/>
  <c r="AI1818" i="1"/>
  <c r="AH1818" i="1"/>
  <c r="AF1818" i="1"/>
  <c r="AE1818" i="1"/>
  <c r="AD1818" i="1"/>
  <c r="AA1818" i="1"/>
  <c r="Z1818" i="1"/>
  <c r="X1818" i="1"/>
  <c r="M1818" i="1"/>
  <c r="BD1818" i="1" s="1"/>
  <c r="K1818" i="1"/>
  <c r="AJ1818" i="1" s="1"/>
  <c r="BU1817" i="1"/>
  <c r="BH1817" i="1"/>
  <c r="BB1817" i="1"/>
  <c r="AN1817" i="1"/>
  <c r="AM1817" i="1"/>
  <c r="AI1817" i="1"/>
  <c r="AH1817" i="1"/>
  <c r="AF1817" i="1"/>
  <c r="AE1817" i="1"/>
  <c r="AD1817" i="1"/>
  <c r="AA1817" i="1"/>
  <c r="Z1817" i="1"/>
  <c r="X1817" i="1"/>
  <c r="M1817" i="1"/>
  <c r="BD1817" i="1" s="1"/>
  <c r="K1817" i="1"/>
  <c r="AJ1817" i="1" s="1"/>
  <c r="BU1816" i="1"/>
  <c r="BH1816" i="1"/>
  <c r="BB1816" i="1"/>
  <c r="AN1816" i="1"/>
  <c r="AM1816" i="1"/>
  <c r="AI1816" i="1"/>
  <c r="AH1816" i="1"/>
  <c r="AF1816" i="1"/>
  <c r="AE1816" i="1"/>
  <c r="AD1816" i="1"/>
  <c r="AA1816" i="1"/>
  <c r="Z1816" i="1"/>
  <c r="X1816" i="1"/>
  <c r="M1816" i="1"/>
  <c r="BD1816" i="1" s="1"/>
  <c r="K1816" i="1"/>
  <c r="AJ1816" i="1" s="1"/>
  <c r="BU1815" i="1"/>
  <c r="BH1815" i="1"/>
  <c r="BB1815" i="1"/>
  <c r="AN1815" i="1"/>
  <c r="J1815" i="1" s="1"/>
  <c r="AM1815" i="1"/>
  <c r="I1815" i="1" s="1"/>
  <c r="AI1815" i="1"/>
  <c r="AH1815" i="1"/>
  <c r="AF1815" i="1"/>
  <c r="AE1815" i="1"/>
  <c r="AD1815" i="1"/>
  <c r="AA1815" i="1"/>
  <c r="Z1815" i="1"/>
  <c r="X1815" i="1"/>
  <c r="M1815" i="1"/>
  <c r="BD1815" i="1" s="1"/>
  <c r="K1815" i="1"/>
  <c r="BU1814" i="1"/>
  <c r="BH1814" i="1"/>
  <c r="BB1814" i="1"/>
  <c r="AN1814" i="1"/>
  <c r="AM1814" i="1"/>
  <c r="AI1814" i="1"/>
  <c r="AH1814" i="1"/>
  <c r="AF1814" i="1"/>
  <c r="AE1814" i="1"/>
  <c r="AD1814" i="1"/>
  <c r="AA1814" i="1"/>
  <c r="Z1814" i="1"/>
  <c r="X1814" i="1"/>
  <c r="M1814" i="1"/>
  <c r="BD1814" i="1" s="1"/>
  <c r="K1814" i="1"/>
  <c r="BU1813" i="1"/>
  <c r="BH1813" i="1"/>
  <c r="BB1813" i="1"/>
  <c r="AN1813" i="1"/>
  <c r="BG1813" i="1" s="1"/>
  <c r="AC1813" i="1" s="1"/>
  <c r="AM1813" i="1"/>
  <c r="I1813" i="1" s="1"/>
  <c r="AI1813" i="1"/>
  <c r="AH1813" i="1"/>
  <c r="AF1813" i="1"/>
  <c r="AE1813" i="1"/>
  <c r="AD1813" i="1"/>
  <c r="AA1813" i="1"/>
  <c r="Z1813" i="1"/>
  <c r="X1813" i="1"/>
  <c r="M1813" i="1"/>
  <c r="BD1813" i="1" s="1"/>
  <c r="K1813" i="1"/>
  <c r="AJ1813" i="1" s="1"/>
  <c r="BU1811" i="1"/>
  <c r="BH1811" i="1"/>
  <c r="BB1811" i="1"/>
  <c r="AN1811" i="1"/>
  <c r="AV1811" i="1" s="1"/>
  <c r="AM1811" i="1"/>
  <c r="AI1811" i="1"/>
  <c r="AH1811" i="1"/>
  <c r="AF1811" i="1"/>
  <c r="AE1811" i="1"/>
  <c r="AD1811" i="1"/>
  <c r="AA1811" i="1"/>
  <c r="Z1811" i="1"/>
  <c r="X1811" i="1"/>
  <c r="M1811" i="1"/>
  <c r="BD1811" i="1" s="1"/>
  <c r="K1811" i="1"/>
  <c r="AJ1811" i="1" s="1"/>
  <c r="BU1810" i="1"/>
  <c r="BH1810" i="1"/>
  <c r="BB1810" i="1"/>
  <c r="AN1810" i="1"/>
  <c r="AM1810" i="1"/>
  <c r="AU1810" i="1" s="1"/>
  <c r="AI1810" i="1"/>
  <c r="AH1810" i="1"/>
  <c r="AF1810" i="1"/>
  <c r="AE1810" i="1"/>
  <c r="AD1810" i="1"/>
  <c r="AA1810" i="1"/>
  <c r="Z1810" i="1"/>
  <c r="X1810" i="1"/>
  <c r="M1810" i="1"/>
  <c r="BD1810" i="1" s="1"/>
  <c r="K1810" i="1"/>
  <c r="AJ1810" i="1" s="1"/>
  <c r="BU1808" i="1"/>
  <c r="BH1808" i="1"/>
  <c r="BB1808" i="1"/>
  <c r="AN1808" i="1"/>
  <c r="AM1808" i="1"/>
  <c r="BF1808" i="1" s="1"/>
  <c r="AB1808" i="1" s="1"/>
  <c r="AI1808" i="1"/>
  <c r="AH1808" i="1"/>
  <c r="AF1808" i="1"/>
  <c r="AE1808" i="1"/>
  <c r="AD1808" i="1"/>
  <c r="AA1808" i="1"/>
  <c r="Z1808" i="1"/>
  <c r="X1808" i="1"/>
  <c r="M1808" i="1"/>
  <c r="BD1808" i="1" s="1"/>
  <c r="K1808" i="1"/>
  <c r="AJ1808" i="1" s="1"/>
  <c r="BU1806" i="1"/>
  <c r="BH1806" i="1"/>
  <c r="BB1806" i="1"/>
  <c r="AN1806" i="1"/>
  <c r="J1806" i="1" s="1"/>
  <c r="AM1806" i="1"/>
  <c r="AI1806" i="1"/>
  <c r="AH1806" i="1"/>
  <c r="AF1806" i="1"/>
  <c r="AE1806" i="1"/>
  <c r="AD1806" i="1"/>
  <c r="AA1806" i="1"/>
  <c r="Z1806" i="1"/>
  <c r="X1806" i="1"/>
  <c r="M1806" i="1"/>
  <c r="BD1806" i="1" s="1"/>
  <c r="K1806" i="1"/>
  <c r="AJ1806" i="1" s="1"/>
  <c r="BU1804" i="1"/>
  <c r="BH1804" i="1"/>
  <c r="BB1804" i="1"/>
  <c r="AN1804" i="1"/>
  <c r="AV1804" i="1" s="1"/>
  <c r="AM1804" i="1"/>
  <c r="BF1804" i="1" s="1"/>
  <c r="AB1804" i="1" s="1"/>
  <c r="AI1804" i="1"/>
  <c r="AH1804" i="1"/>
  <c r="AF1804" i="1"/>
  <c r="AE1804" i="1"/>
  <c r="AD1804" i="1"/>
  <c r="AA1804" i="1"/>
  <c r="Z1804" i="1"/>
  <c r="X1804" i="1"/>
  <c r="M1804" i="1"/>
  <c r="BD1804" i="1" s="1"/>
  <c r="K1804" i="1"/>
  <c r="AJ1804" i="1" s="1"/>
  <c r="BU1802" i="1"/>
  <c r="BH1802" i="1"/>
  <c r="BB1802" i="1"/>
  <c r="AN1802" i="1"/>
  <c r="AV1802" i="1" s="1"/>
  <c r="AM1802" i="1"/>
  <c r="BF1802" i="1" s="1"/>
  <c r="AB1802" i="1" s="1"/>
  <c r="AI1802" i="1"/>
  <c r="AH1802" i="1"/>
  <c r="AF1802" i="1"/>
  <c r="AE1802" i="1"/>
  <c r="AD1802" i="1"/>
  <c r="AA1802" i="1"/>
  <c r="Z1802" i="1"/>
  <c r="X1802" i="1"/>
  <c r="M1802" i="1"/>
  <c r="BD1802" i="1" s="1"/>
  <c r="K1802" i="1"/>
  <c r="AJ1802" i="1" s="1"/>
  <c r="BU1800" i="1"/>
  <c r="BH1800" i="1"/>
  <c r="BB1800" i="1"/>
  <c r="AN1800" i="1"/>
  <c r="AM1800" i="1"/>
  <c r="AI1800" i="1"/>
  <c r="AH1800" i="1"/>
  <c r="AF1800" i="1"/>
  <c r="AE1800" i="1"/>
  <c r="AD1800" i="1"/>
  <c r="AA1800" i="1"/>
  <c r="Z1800" i="1"/>
  <c r="X1800" i="1"/>
  <c r="M1800" i="1"/>
  <c r="BD1800" i="1" s="1"/>
  <c r="K1800" i="1"/>
  <c r="AJ1800" i="1" s="1"/>
  <c r="BU1798" i="1"/>
  <c r="BH1798" i="1"/>
  <c r="BB1798" i="1"/>
  <c r="AN1798" i="1"/>
  <c r="AM1798" i="1"/>
  <c r="AI1798" i="1"/>
  <c r="AH1798" i="1"/>
  <c r="AF1798" i="1"/>
  <c r="AE1798" i="1"/>
  <c r="AD1798" i="1"/>
  <c r="AA1798" i="1"/>
  <c r="Z1798" i="1"/>
  <c r="X1798" i="1"/>
  <c r="M1798" i="1"/>
  <c r="BD1798" i="1" s="1"/>
  <c r="K1798" i="1"/>
  <c r="AJ1798" i="1" s="1"/>
  <c r="BU1796" i="1"/>
  <c r="BH1796" i="1"/>
  <c r="X1796" i="1" s="1"/>
  <c r="BB1796" i="1"/>
  <c r="AN1796" i="1"/>
  <c r="AM1796" i="1"/>
  <c r="I1796" i="1" s="1"/>
  <c r="AI1796" i="1"/>
  <c r="AH1796" i="1"/>
  <c r="AF1796" i="1"/>
  <c r="AE1796" i="1"/>
  <c r="AD1796" i="1"/>
  <c r="AC1796" i="1"/>
  <c r="AB1796" i="1"/>
  <c r="AA1796" i="1"/>
  <c r="Z1796" i="1"/>
  <c r="M1796" i="1"/>
  <c r="BD1796" i="1" s="1"/>
  <c r="K1796" i="1"/>
  <c r="AJ1796" i="1" s="1"/>
  <c r="BU1795" i="1"/>
  <c r="BH1795" i="1"/>
  <c r="BB1795" i="1"/>
  <c r="AN1795" i="1"/>
  <c r="AM1795" i="1"/>
  <c r="BF1795" i="1" s="1"/>
  <c r="AB1795" i="1" s="1"/>
  <c r="AI1795" i="1"/>
  <c r="AH1795" i="1"/>
  <c r="AF1795" i="1"/>
  <c r="AE1795" i="1"/>
  <c r="AD1795" i="1"/>
  <c r="AA1795" i="1"/>
  <c r="Z1795" i="1"/>
  <c r="X1795" i="1"/>
  <c r="M1795" i="1"/>
  <c r="BD1795" i="1" s="1"/>
  <c r="K1795" i="1"/>
  <c r="AJ1795" i="1" s="1"/>
  <c r="BU1794" i="1"/>
  <c r="BH1794" i="1"/>
  <c r="BB1794" i="1"/>
  <c r="AN1794" i="1"/>
  <c r="AM1794" i="1"/>
  <c r="AI1794" i="1"/>
  <c r="AH1794" i="1"/>
  <c r="AF1794" i="1"/>
  <c r="AE1794" i="1"/>
  <c r="AD1794" i="1"/>
  <c r="AA1794" i="1"/>
  <c r="Z1794" i="1"/>
  <c r="X1794" i="1"/>
  <c r="M1794" i="1"/>
  <c r="BD1794" i="1" s="1"/>
  <c r="K1794" i="1"/>
  <c r="AJ1794" i="1" s="1"/>
  <c r="BU1793" i="1"/>
  <c r="BH1793" i="1"/>
  <c r="BB1793" i="1"/>
  <c r="AN1793" i="1"/>
  <c r="AM1793" i="1"/>
  <c r="AU1793" i="1" s="1"/>
  <c r="AI1793" i="1"/>
  <c r="AH1793" i="1"/>
  <c r="AF1793" i="1"/>
  <c r="AE1793" i="1"/>
  <c r="AD1793" i="1"/>
  <c r="AA1793" i="1"/>
  <c r="Z1793" i="1"/>
  <c r="X1793" i="1"/>
  <c r="M1793" i="1"/>
  <c r="BD1793" i="1" s="1"/>
  <c r="K1793" i="1"/>
  <c r="AJ1793" i="1" s="1"/>
  <c r="BU1792" i="1"/>
  <c r="BH1792" i="1"/>
  <c r="BB1792" i="1"/>
  <c r="AN1792" i="1"/>
  <c r="AM1792" i="1"/>
  <c r="AI1792" i="1"/>
  <c r="AH1792" i="1"/>
  <c r="AF1792" i="1"/>
  <c r="AE1792" i="1"/>
  <c r="AD1792" i="1"/>
  <c r="AA1792" i="1"/>
  <c r="Z1792" i="1"/>
  <c r="X1792" i="1"/>
  <c r="M1792" i="1"/>
  <c r="BD1792" i="1" s="1"/>
  <c r="K1792" i="1"/>
  <c r="BU1790" i="1"/>
  <c r="BH1790" i="1"/>
  <c r="BB1790" i="1"/>
  <c r="AN1790" i="1"/>
  <c r="J1790" i="1" s="1"/>
  <c r="AM1790" i="1"/>
  <c r="BF1790" i="1" s="1"/>
  <c r="AB1790" i="1" s="1"/>
  <c r="AI1790" i="1"/>
  <c r="AH1790" i="1"/>
  <c r="AF1790" i="1"/>
  <c r="AE1790" i="1"/>
  <c r="AD1790" i="1"/>
  <c r="AA1790" i="1"/>
  <c r="Z1790" i="1"/>
  <c r="X1790" i="1"/>
  <c r="M1790" i="1"/>
  <c r="BD1790" i="1" s="1"/>
  <c r="K1790" i="1"/>
  <c r="AJ1790" i="1" s="1"/>
  <c r="BU1788" i="1"/>
  <c r="BH1788" i="1"/>
  <c r="BB1788" i="1"/>
  <c r="AN1788" i="1"/>
  <c r="J1788" i="1" s="1"/>
  <c r="AM1788" i="1"/>
  <c r="AI1788" i="1"/>
  <c r="AH1788" i="1"/>
  <c r="AF1788" i="1"/>
  <c r="AE1788" i="1"/>
  <c r="AD1788" i="1"/>
  <c r="AA1788" i="1"/>
  <c r="Z1788" i="1"/>
  <c r="X1788" i="1"/>
  <c r="M1788" i="1"/>
  <c r="BD1788" i="1" s="1"/>
  <c r="K1788" i="1"/>
  <c r="AJ1788" i="1" s="1"/>
  <c r="BU1786" i="1"/>
  <c r="BH1786" i="1"/>
  <c r="BB1786" i="1"/>
  <c r="AN1786" i="1"/>
  <c r="AM1786" i="1"/>
  <c r="AU1786" i="1" s="1"/>
  <c r="AI1786" i="1"/>
  <c r="AH1786" i="1"/>
  <c r="AF1786" i="1"/>
  <c r="AE1786" i="1"/>
  <c r="AD1786" i="1"/>
  <c r="AA1786" i="1"/>
  <c r="Z1786" i="1"/>
  <c r="X1786" i="1"/>
  <c r="M1786" i="1"/>
  <c r="BD1786" i="1" s="1"/>
  <c r="K1786" i="1"/>
  <c r="AJ1786" i="1" s="1"/>
  <c r="BU1784" i="1"/>
  <c r="BH1784" i="1"/>
  <c r="BB1784" i="1"/>
  <c r="AN1784" i="1"/>
  <c r="BG1784" i="1" s="1"/>
  <c r="AC1784" i="1" s="1"/>
  <c r="AM1784" i="1"/>
  <c r="AI1784" i="1"/>
  <c r="AH1784" i="1"/>
  <c r="AF1784" i="1"/>
  <c r="AE1784" i="1"/>
  <c r="AD1784" i="1"/>
  <c r="AA1784" i="1"/>
  <c r="Z1784" i="1"/>
  <c r="X1784" i="1"/>
  <c r="M1784" i="1"/>
  <c r="BD1784" i="1" s="1"/>
  <c r="K1784" i="1"/>
  <c r="BU1782" i="1"/>
  <c r="BH1782" i="1"/>
  <c r="BB1782" i="1"/>
  <c r="AN1782" i="1"/>
  <c r="BG1782" i="1" s="1"/>
  <c r="AC1782" i="1" s="1"/>
  <c r="AM1782" i="1"/>
  <c r="AU1782" i="1" s="1"/>
  <c r="AI1782" i="1"/>
  <c r="AH1782" i="1"/>
  <c r="AF1782" i="1"/>
  <c r="AE1782" i="1"/>
  <c r="AD1782" i="1"/>
  <c r="AA1782" i="1"/>
  <c r="Z1782" i="1"/>
  <c r="X1782" i="1"/>
  <c r="M1782" i="1"/>
  <c r="BD1782" i="1" s="1"/>
  <c r="K1782" i="1"/>
  <c r="AJ1782" i="1" s="1"/>
  <c r="BU1780" i="1"/>
  <c r="BH1780" i="1"/>
  <c r="BB1780" i="1"/>
  <c r="AN1780" i="1"/>
  <c r="BG1780" i="1" s="1"/>
  <c r="AC1780" i="1" s="1"/>
  <c r="AM1780" i="1"/>
  <c r="AU1780" i="1" s="1"/>
  <c r="AI1780" i="1"/>
  <c r="AH1780" i="1"/>
  <c r="AF1780" i="1"/>
  <c r="AE1780" i="1"/>
  <c r="AD1780" i="1"/>
  <c r="AA1780" i="1"/>
  <c r="Z1780" i="1"/>
  <c r="X1780" i="1"/>
  <c r="M1780" i="1"/>
  <c r="BD1780" i="1" s="1"/>
  <c r="K1780" i="1"/>
  <c r="BU1778" i="1"/>
  <c r="BH1778" i="1"/>
  <c r="BB1778" i="1"/>
  <c r="AN1778" i="1"/>
  <c r="BG1778" i="1" s="1"/>
  <c r="AC1778" i="1" s="1"/>
  <c r="AM1778" i="1"/>
  <c r="AU1778" i="1" s="1"/>
  <c r="AI1778" i="1"/>
  <c r="AH1778" i="1"/>
  <c r="AF1778" i="1"/>
  <c r="AE1778" i="1"/>
  <c r="AD1778" i="1"/>
  <c r="AA1778" i="1"/>
  <c r="Z1778" i="1"/>
  <c r="X1778" i="1"/>
  <c r="M1778" i="1"/>
  <c r="BD1778" i="1" s="1"/>
  <c r="K1778" i="1"/>
  <c r="AJ1778" i="1" s="1"/>
  <c r="BU1776" i="1"/>
  <c r="BH1776" i="1"/>
  <c r="BB1776" i="1"/>
  <c r="AN1776" i="1"/>
  <c r="AM1776" i="1"/>
  <c r="AJ1776" i="1"/>
  <c r="AI1776" i="1"/>
  <c r="AH1776" i="1"/>
  <c r="AF1776" i="1"/>
  <c r="AE1776" i="1"/>
  <c r="AD1776" i="1"/>
  <c r="AA1776" i="1"/>
  <c r="Z1776" i="1"/>
  <c r="X1776" i="1"/>
  <c r="M1776" i="1"/>
  <c r="BD1776" i="1" s="1"/>
  <c r="K1776" i="1"/>
  <c r="BU1774" i="1"/>
  <c r="BH1774" i="1"/>
  <c r="BB1774" i="1"/>
  <c r="AN1774" i="1"/>
  <c r="J1774" i="1" s="1"/>
  <c r="AM1774" i="1"/>
  <c r="AI1774" i="1"/>
  <c r="AH1774" i="1"/>
  <c r="AF1774" i="1"/>
  <c r="AE1774" i="1"/>
  <c r="AD1774" i="1"/>
  <c r="AA1774" i="1"/>
  <c r="Z1774" i="1"/>
  <c r="X1774" i="1"/>
  <c r="M1774" i="1"/>
  <c r="BD1774" i="1" s="1"/>
  <c r="K1774" i="1"/>
  <c r="AJ1774" i="1" s="1"/>
  <c r="BU1772" i="1"/>
  <c r="BH1772" i="1"/>
  <c r="BB1772" i="1"/>
  <c r="AN1772" i="1"/>
  <c r="BG1772" i="1" s="1"/>
  <c r="AC1772" i="1" s="1"/>
  <c r="AM1772" i="1"/>
  <c r="AI1772" i="1"/>
  <c r="AH1772" i="1"/>
  <c r="AF1772" i="1"/>
  <c r="AE1772" i="1"/>
  <c r="AD1772" i="1"/>
  <c r="AA1772" i="1"/>
  <c r="Z1772" i="1"/>
  <c r="X1772" i="1"/>
  <c r="M1772" i="1"/>
  <c r="BD1772" i="1" s="1"/>
  <c r="K1772" i="1"/>
  <c r="AJ1772" i="1" s="1"/>
  <c r="BU1770" i="1"/>
  <c r="BH1770" i="1"/>
  <c r="BB1770" i="1"/>
  <c r="AN1770" i="1"/>
  <c r="AM1770" i="1"/>
  <c r="AI1770" i="1"/>
  <c r="AH1770" i="1"/>
  <c r="AF1770" i="1"/>
  <c r="AE1770" i="1"/>
  <c r="AD1770" i="1"/>
  <c r="AA1770" i="1"/>
  <c r="Z1770" i="1"/>
  <c r="X1770" i="1"/>
  <c r="M1770" i="1"/>
  <c r="BD1770" i="1" s="1"/>
  <c r="K1770" i="1"/>
  <c r="BU1768" i="1"/>
  <c r="BH1768" i="1"/>
  <c r="BB1768" i="1"/>
  <c r="AN1768" i="1"/>
  <c r="AV1768" i="1" s="1"/>
  <c r="AM1768" i="1"/>
  <c r="AI1768" i="1"/>
  <c r="AH1768" i="1"/>
  <c r="AF1768" i="1"/>
  <c r="AE1768" i="1"/>
  <c r="AD1768" i="1"/>
  <c r="AA1768" i="1"/>
  <c r="Z1768" i="1"/>
  <c r="X1768" i="1"/>
  <c r="M1768" i="1"/>
  <c r="BD1768" i="1" s="1"/>
  <c r="K1768" i="1"/>
  <c r="BU1766" i="1"/>
  <c r="BH1766" i="1"/>
  <c r="BB1766" i="1"/>
  <c r="AN1766" i="1"/>
  <c r="AM1766" i="1"/>
  <c r="AI1766" i="1"/>
  <c r="AH1766" i="1"/>
  <c r="AF1766" i="1"/>
  <c r="AE1766" i="1"/>
  <c r="AD1766" i="1"/>
  <c r="AA1766" i="1"/>
  <c r="Z1766" i="1"/>
  <c r="X1766" i="1"/>
  <c r="M1766" i="1"/>
  <c r="BD1766" i="1" s="1"/>
  <c r="K1766" i="1"/>
  <c r="AJ1766" i="1" s="1"/>
  <c r="BU1764" i="1"/>
  <c r="BH1764" i="1"/>
  <c r="BB1764" i="1"/>
  <c r="AN1764" i="1"/>
  <c r="AM1764" i="1"/>
  <c r="I1764" i="1" s="1"/>
  <c r="AI1764" i="1"/>
  <c r="AH1764" i="1"/>
  <c r="AF1764" i="1"/>
  <c r="AE1764" i="1"/>
  <c r="AD1764" i="1"/>
  <c r="AA1764" i="1"/>
  <c r="Z1764" i="1"/>
  <c r="X1764" i="1"/>
  <c r="M1764" i="1"/>
  <c r="BD1764" i="1" s="1"/>
  <c r="K1764" i="1"/>
  <c r="BU1762" i="1"/>
  <c r="BH1762" i="1"/>
  <c r="BB1762" i="1"/>
  <c r="AN1762" i="1"/>
  <c r="AM1762" i="1"/>
  <c r="AI1762" i="1"/>
  <c r="AH1762" i="1"/>
  <c r="AF1762" i="1"/>
  <c r="AE1762" i="1"/>
  <c r="AD1762" i="1"/>
  <c r="AA1762" i="1"/>
  <c r="Z1762" i="1"/>
  <c r="X1762" i="1"/>
  <c r="M1762" i="1"/>
  <c r="BD1762" i="1" s="1"/>
  <c r="K1762" i="1"/>
  <c r="AJ1762" i="1" s="1"/>
  <c r="BU1760" i="1"/>
  <c r="BH1760" i="1"/>
  <c r="BB1760" i="1"/>
  <c r="AN1760" i="1"/>
  <c r="BG1760" i="1" s="1"/>
  <c r="AC1760" i="1" s="1"/>
  <c r="AM1760" i="1"/>
  <c r="AI1760" i="1"/>
  <c r="AH1760" i="1"/>
  <c r="AF1760" i="1"/>
  <c r="AE1760" i="1"/>
  <c r="AD1760" i="1"/>
  <c r="AA1760" i="1"/>
  <c r="Z1760" i="1"/>
  <c r="X1760" i="1"/>
  <c r="M1760" i="1"/>
  <c r="K1760" i="1"/>
  <c r="AJ1760" i="1" s="1"/>
  <c r="BU1758" i="1"/>
  <c r="BH1758" i="1"/>
  <c r="BB1758" i="1"/>
  <c r="AN1758" i="1"/>
  <c r="AM1758" i="1"/>
  <c r="I1758" i="1" s="1"/>
  <c r="AI1758" i="1"/>
  <c r="AH1758" i="1"/>
  <c r="AF1758" i="1"/>
  <c r="AE1758" i="1"/>
  <c r="AD1758" i="1"/>
  <c r="AA1758" i="1"/>
  <c r="Z1758" i="1"/>
  <c r="X1758" i="1"/>
  <c r="M1758" i="1"/>
  <c r="BD1758" i="1" s="1"/>
  <c r="K1758" i="1"/>
  <c r="AJ1758" i="1" s="1"/>
  <c r="BU1755" i="1"/>
  <c r="BH1755" i="1"/>
  <c r="X1755" i="1" s="1"/>
  <c r="BB1755" i="1"/>
  <c r="AN1755" i="1"/>
  <c r="AV1755" i="1" s="1"/>
  <c r="AM1755" i="1"/>
  <c r="I1755" i="1" s="1"/>
  <c r="AI1755" i="1"/>
  <c r="AH1755" i="1"/>
  <c r="AF1755" i="1"/>
  <c r="AE1755" i="1"/>
  <c r="AD1755" i="1"/>
  <c r="AC1755" i="1"/>
  <c r="AB1755" i="1"/>
  <c r="AA1755" i="1"/>
  <c r="Z1755" i="1"/>
  <c r="M1755" i="1"/>
  <c r="BD1755" i="1" s="1"/>
  <c r="K1755" i="1"/>
  <c r="BU1753" i="1"/>
  <c r="BH1753" i="1"/>
  <c r="BB1753" i="1"/>
  <c r="AN1753" i="1"/>
  <c r="AM1753" i="1"/>
  <c r="BF1753" i="1" s="1"/>
  <c r="AB1753" i="1" s="1"/>
  <c r="AI1753" i="1"/>
  <c r="AH1753" i="1"/>
  <c r="AF1753" i="1"/>
  <c r="AE1753" i="1"/>
  <c r="AD1753" i="1"/>
  <c r="AA1753" i="1"/>
  <c r="Z1753" i="1"/>
  <c r="X1753" i="1"/>
  <c r="M1753" i="1"/>
  <c r="BD1753" i="1" s="1"/>
  <c r="K1753" i="1"/>
  <c r="AJ1753" i="1" s="1"/>
  <c r="BU1751" i="1"/>
  <c r="BH1751" i="1"/>
  <c r="BB1751" i="1"/>
  <c r="AN1751" i="1"/>
  <c r="AM1751" i="1"/>
  <c r="AI1751" i="1"/>
  <c r="AH1751" i="1"/>
  <c r="AF1751" i="1"/>
  <c r="AE1751" i="1"/>
  <c r="AD1751" i="1"/>
  <c r="AA1751" i="1"/>
  <c r="Z1751" i="1"/>
  <c r="X1751" i="1"/>
  <c r="M1751" i="1"/>
  <c r="BD1751" i="1" s="1"/>
  <c r="K1751" i="1"/>
  <c r="AJ1751" i="1" s="1"/>
  <c r="BU1749" i="1"/>
  <c r="BH1749" i="1"/>
  <c r="BB1749" i="1"/>
  <c r="AN1749" i="1"/>
  <c r="AV1749" i="1" s="1"/>
  <c r="AM1749" i="1"/>
  <c r="AI1749" i="1"/>
  <c r="AH1749" i="1"/>
  <c r="AF1749" i="1"/>
  <c r="AE1749" i="1"/>
  <c r="AD1749" i="1"/>
  <c r="AA1749" i="1"/>
  <c r="Z1749" i="1"/>
  <c r="X1749" i="1"/>
  <c r="M1749" i="1"/>
  <c r="BD1749" i="1" s="1"/>
  <c r="K1749" i="1"/>
  <c r="AJ1749" i="1" s="1"/>
  <c r="BU1747" i="1"/>
  <c r="BH1747" i="1"/>
  <c r="BB1747" i="1"/>
  <c r="AN1747" i="1"/>
  <c r="BG1747" i="1" s="1"/>
  <c r="AC1747" i="1" s="1"/>
  <c r="AM1747" i="1"/>
  <c r="AI1747" i="1"/>
  <c r="AH1747" i="1"/>
  <c r="AF1747" i="1"/>
  <c r="AE1747" i="1"/>
  <c r="AD1747" i="1"/>
  <c r="AA1747" i="1"/>
  <c r="Z1747" i="1"/>
  <c r="X1747" i="1"/>
  <c r="M1747" i="1"/>
  <c r="BD1747" i="1" s="1"/>
  <c r="K1747" i="1"/>
  <c r="BU1744" i="1"/>
  <c r="BH1744" i="1"/>
  <c r="BB1744" i="1"/>
  <c r="AN1744" i="1"/>
  <c r="J1744" i="1" s="1"/>
  <c r="AM1744" i="1"/>
  <c r="AI1744" i="1"/>
  <c r="AH1744" i="1"/>
  <c r="AF1744" i="1"/>
  <c r="AE1744" i="1"/>
  <c r="AD1744" i="1"/>
  <c r="AC1744" i="1"/>
  <c r="AB1744" i="1"/>
  <c r="X1744" i="1"/>
  <c r="M1744" i="1"/>
  <c r="BD1744" i="1" s="1"/>
  <c r="K1744" i="1"/>
  <c r="AJ1744" i="1" s="1"/>
  <c r="BU1742" i="1"/>
  <c r="BH1742" i="1"/>
  <c r="BB1742" i="1"/>
  <c r="AN1742" i="1"/>
  <c r="BG1742" i="1" s="1"/>
  <c r="AA1742" i="1" s="1"/>
  <c r="AM1742" i="1"/>
  <c r="BF1742" i="1" s="1"/>
  <c r="Z1742" i="1" s="1"/>
  <c r="AI1742" i="1"/>
  <c r="AH1742" i="1"/>
  <c r="AF1742" i="1"/>
  <c r="AE1742" i="1"/>
  <c r="AD1742" i="1"/>
  <c r="AC1742" i="1"/>
  <c r="AB1742" i="1"/>
  <c r="X1742" i="1"/>
  <c r="M1742" i="1"/>
  <c r="BD1742" i="1" s="1"/>
  <c r="K1742" i="1"/>
  <c r="AJ1742" i="1" s="1"/>
  <c r="BU1740" i="1"/>
  <c r="BH1740" i="1"/>
  <c r="BB1740" i="1"/>
  <c r="AN1740" i="1"/>
  <c r="BG1740" i="1" s="1"/>
  <c r="AA1740" i="1" s="1"/>
  <c r="AM1740" i="1"/>
  <c r="AI1740" i="1"/>
  <c r="AH1740" i="1"/>
  <c r="AF1740" i="1"/>
  <c r="AE1740" i="1"/>
  <c r="AD1740" i="1"/>
  <c r="AC1740" i="1"/>
  <c r="AB1740" i="1"/>
  <c r="X1740" i="1"/>
  <c r="M1740" i="1"/>
  <c r="BD1740" i="1" s="1"/>
  <c r="K1740" i="1"/>
  <c r="AJ1740" i="1" s="1"/>
  <c r="BU1738" i="1"/>
  <c r="BH1738" i="1"/>
  <c r="BB1738" i="1"/>
  <c r="AN1738" i="1"/>
  <c r="AM1738" i="1"/>
  <c r="AI1738" i="1"/>
  <c r="AH1738" i="1"/>
  <c r="AF1738" i="1"/>
  <c r="AE1738" i="1"/>
  <c r="AD1738" i="1"/>
  <c r="AC1738" i="1"/>
  <c r="AB1738" i="1"/>
  <c r="X1738" i="1"/>
  <c r="M1738" i="1"/>
  <c r="K1738" i="1"/>
  <c r="AJ1738" i="1" s="1"/>
  <c r="BU1735" i="1"/>
  <c r="BH1735" i="1"/>
  <c r="BB1735" i="1"/>
  <c r="AN1735" i="1"/>
  <c r="AM1735" i="1"/>
  <c r="AI1735" i="1"/>
  <c r="AH1735" i="1"/>
  <c r="AF1735" i="1"/>
  <c r="AE1735" i="1"/>
  <c r="AD1735" i="1"/>
  <c r="AC1735" i="1"/>
  <c r="AB1735" i="1"/>
  <c r="X1735" i="1"/>
  <c r="M1735" i="1"/>
  <c r="BD1735" i="1" s="1"/>
  <c r="K1735" i="1"/>
  <c r="AJ1735" i="1" s="1"/>
  <c r="BU1733" i="1"/>
  <c r="BH1733" i="1"/>
  <c r="BB1733" i="1"/>
  <c r="AN1733" i="1"/>
  <c r="J1733" i="1" s="1"/>
  <c r="AM1733" i="1"/>
  <c r="AI1733" i="1"/>
  <c r="AH1733" i="1"/>
  <c r="AF1733" i="1"/>
  <c r="AE1733" i="1"/>
  <c r="AD1733" i="1"/>
  <c r="AC1733" i="1"/>
  <c r="AB1733" i="1"/>
  <c r="X1733" i="1"/>
  <c r="M1733" i="1"/>
  <c r="BD1733" i="1" s="1"/>
  <c r="K1733" i="1"/>
  <c r="AJ1733" i="1" s="1"/>
  <c r="BU1731" i="1"/>
  <c r="BH1731" i="1"/>
  <c r="BB1731" i="1"/>
  <c r="AN1731" i="1"/>
  <c r="AM1731" i="1"/>
  <c r="AI1731" i="1"/>
  <c r="AH1731" i="1"/>
  <c r="AF1731" i="1"/>
  <c r="AE1731" i="1"/>
  <c r="AD1731" i="1"/>
  <c r="AC1731" i="1"/>
  <c r="AB1731" i="1"/>
  <c r="X1731" i="1"/>
  <c r="M1731" i="1"/>
  <c r="BD1731" i="1" s="1"/>
  <c r="K1731" i="1"/>
  <c r="AJ1731" i="1" s="1"/>
  <c r="BU1729" i="1"/>
  <c r="BH1729" i="1"/>
  <c r="BB1729" i="1"/>
  <c r="AN1729" i="1"/>
  <c r="AM1729" i="1"/>
  <c r="AU1729" i="1" s="1"/>
  <c r="AI1729" i="1"/>
  <c r="AH1729" i="1"/>
  <c r="AF1729" i="1"/>
  <c r="AE1729" i="1"/>
  <c r="AD1729" i="1"/>
  <c r="AC1729" i="1"/>
  <c r="AB1729" i="1"/>
  <c r="X1729" i="1"/>
  <c r="M1729" i="1"/>
  <c r="BD1729" i="1" s="1"/>
  <c r="K1729" i="1"/>
  <c r="AJ1729" i="1" s="1"/>
  <c r="BU1727" i="1"/>
  <c r="BH1727" i="1"/>
  <c r="BB1727" i="1"/>
  <c r="AN1727" i="1"/>
  <c r="J1727" i="1" s="1"/>
  <c r="AM1727" i="1"/>
  <c r="BF1727" i="1" s="1"/>
  <c r="Z1727" i="1" s="1"/>
  <c r="AI1727" i="1"/>
  <c r="AH1727" i="1"/>
  <c r="AF1727" i="1"/>
  <c r="AE1727" i="1"/>
  <c r="AD1727" i="1"/>
  <c r="AC1727" i="1"/>
  <c r="AB1727" i="1"/>
  <c r="X1727" i="1"/>
  <c r="M1727" i="1"/>
  <c r="BD1727" i="1" s="1"/>
  <c r="K1727" i="1"/>
  <c r="BU1725" i="1"/>
  <c r="BH1725" i="1"/>
  <c r="BB1725" i="1"/>
  <c r="AN1725" i="1"/>
  <c r="AM1725" i="1"/>
  <c r="AI1725" i="1"/>
  <c r="AH1725" i="1"/>
  <c r="AF1725" i="1"/>
  <c r="AE1725" i="1"/>
  <c r="AD1725" i="1"/>
  <c r="AC1725" i="1"/>
  <c r="AB1725" i="1"/>
  <c r="X1725" i="1"/>
  <c r="M1725" i="1"/>
  <c r="BD1725" i="1" s="1"/>
  <c r="K1725" i="1"/>
  <c r="AJ1725" i="1" s="1"/>
  <c r="BU1723" i="1"/>
  <c r="BH1723" i="1"/>
  <c r="BB1723" i="1"/>
  <c r="AN1723" i="1"/>
  <c r="J1723" i="1" s="1"/>
  <c r="AM1723" i="1"/>
  <c r="AI1723" i="1"/>
  <c r="AH1723" i="1"/>
  <c r="AF1723" i="1"/>
  <c r="AE1723" i="1"/>
  <c r="AD1723" i="1"/>
  <c r="AC1723" i="1"/>
  <c r="AB1723" i="1"/>
  <c r="X1723" i="1"/>
  <c r="M1723" i="1"/>
  <c r="BD1723" i="1" s="1"/>
  <c r="K1723" i="1"/>
  <c r="BU1721" i="1"/>
  <c r="BH1721" i="1"/>
  <c r="BB1721" i="1"/>
  <c r="AN1721" i="1"/>
  <c r="J1721" i="1" s="1"/>
  <c r="AM1721" i="1"/>
  <c r="AI1721" i="1"/>
  <c r="AH1721" i="1"/>
  <c r="AF1721" i="1"/>
  <c r="AE1721" i="1"/>
  <c r="AD1721" i="1"/>
  <c r="AC1721" i="1"/>
  <c r="AB1721" i="1"/>
  <c r="X1721" i="1"/>
  <c r="M1721" i="1"/>
  <c r="BD1721" i="1" s="1"/>
  <c r="K1721" i="1"/>
  <c r="AJ1721" i="1" s="1"/>
  <c r="BU1718" i="1"/>
  <c r="BH1718" i="1"/>
  <c r="BB1718" i="1"/>
  <c r="AN1718" i="1"/>
  <c r="AV1718" i="1" s="1"/>
  <c r="AM1718" i="1"/>
  <c r="BF1718" i="1" s="1"/>
  <c r="Z1718" i="1" s="1"/>
  <c r="AI1718" i="1"/>
  <c r="AR1717" i="1" s="1"/>
  <c r="AH1718" i="1"/>
  <c r="AQ1717" i="1" s="1"/>
  <c r="AF1718" i="1"/>
  <c r="AE1718" i="1"/>
  <c r="AD1718" i="1"/>
  <c r="AC1718" i="1"/>
  <c r="AB1718" i="1"/>
  <c r="X1718" i="1"/>
  <c r="M1718" i="1"/>
  <c r="K1718" i="1"/>
  <c r="AJ1718" i="1" s="1"/>
  <c r="AS1717" i="1" s="1"/>
  <c r="K1717" i="1"/>
  <c r="F86" i="2" s="1"/>
  <c r="I86" i="2" s="1"/>
  <c r="BU1715" i="1"/>
  <c r="BH1715" i="1"/>
  <c r="BB1715" i="1"/>
  <c r="AN1715" i="1"/>
  <c r="AM1715" i="1"/>
  <c r="BF1715" i="1" s="1"/>
  <c r="Z1715" i="1" s="1"/>
  <c r="AI1715" i="1"/>
  <c r="AH1715" i="1"/>
  <c r="AF1715" i="1"/>
  <c r="AE1715" i="1"/>
  <c r="AD1715" i="1"/>
  <c r="AC1715" i="1"/>
  <c r="AB1715" i="1"/>
  <c r="X1715" i="1"/>
  <c r="M1715" i="1"/>
  <c r="BD1715" i="1" s="1"/>
  <c r="K1715" i="1"/>
  <c r="AJ1715" i="1" s="1"/>
  <c r="BU1714" i="1"/>
  <c r="BH1714" i="1"/>
  <c r="BB1714" i="1"/>
  <c r="AN1714" i="1"/>
  <c r="AV1714" i="1" s="1"/>
  <c r="AM1714" i="1"/>
  <c r="BF1714" i="1" s="1"/>
  <c r="Z1714" i="1" s="1"/>
  <c r="AI1714" i="1"/>
  <c r="AH1714" i="1"/>
  <c r="AF1714" i="1"/>
  <c r="AE1714" i="1"/>
  <c r="AD1714" i="1"/>
  <c r="AC1714" i="1"/>
  <c r="AB1714" i="1"/>
  <c r="X1714" i="1"/>
  <c r="M1714" i="1"/>
  <c r="BD1714" i="1" s="1"/>
  <c r="K1714" i="1"/>
  <c r="AJ1714" i="1" s="1"/>
  <c r="BU1713" i="1"/>
  <c r="BH1713" i="1"/>
  <c r="BD1713" i="1"/>
  <c r="BB1713" i="1"/>
  <c r="AN1713" i="1"/>
  <c r="AM1713" i="1"/>
  <c r="AI1713" i="1"/>
  <c r="AH1713" i="1"/>
  <c r="AF1713" i="1"/>
  <c r="AE1713" i="1"/>
  <c r="AD1713" i="1"/>
  <c r="AC1713" i="1"/>
  <c r="AB1713" i="1"/>
  <c r="X1713" i="1"/>
  <c r="M1713" i="1"/>
  <c r="K1713" i="1"/>
  <c r="AJ1713" i="1" s="1"/>
  <c r="BU1712" i="1"/>
  <c r="BH1712" i="1"/>
  <c r="X1712" i="1" s="1"/>
  <c r="BB1712" i="1"/>
  <c r="AN1712" i="1"/>
  <c r="BG1712" i="1" s="1"/>
  <c r="AM1712" i="1"/>
  <c r="AI1712" i="1"/>
  <c r="AH1712" i="1"/>
  <c r="AF1712" i="1"/>
  <c r="AE1712" i="1"/>
  <c r="AD1712" i="1"/>
  <c r="AC1712" i="1"/>
  <c r="AB1712" i="1"/>
  <c r="AA1712" i="1"/>
  <c r="Z1712" i="1"/>
  <c r="M1712" i="1"/>
  <c r="BD1712" i="1" s="1"/>
  <c r="K1712" i="1"/>
  <c r="AJ1712" i="1" s="1"/>
  <c r="BU1711" i="1"/>
  <c r="BH1711" i="1"/>
  <c r="BB1711" i="1"/>
  <c r="AN1711" i="1"/>
  <c r="AM1711" i="1"/>
  <c r="AI1711" i="1"/>
  <c r="AH1711" i="1"/>
  <c r="AF1711" i="1"/>
  <c r="AE1711" i="1"/>
  <c r="AD1711" i="1"/>
  <c r="AC1711" i="1"/>
  <c r="AB1711" i="1"/>
  <c r="X1711" i="1"/>
  <c r="M1711" i="1"/>
  <c r="BD1711" i="1" s="1"/>
  <c r="K1711" i="1"/>
  <c r="AJ1711" i="1" s="1"/>
  <c r="BU1710" i="1"/>
  <c r="BH1710" i="1"/>
  <c r="BB1710" i="1"/>
  <c r="AN1710" i="1"/>
  <c r="AM1710" i="1"/>
  <c r="AI1710" i="1"/>
  <c r="AH1710" i="1"/>
  <c r="AF1710" i="1"/>
  <c r="AE1710" i="1"/>
  <c r="AD1710" i="1"/>
  <c r="AC1710" i="1"/>
  <c r="AB1710" i="1"/>
  <c r="X1710" i="1"/>
  <c r="M1710" i="1"/>
  <c r="BD1710" i="1" s="1"/>
  <c r="K1710" i="1"/>
  <c r="BU1709" i="1"/>
  <c r="BH1709" i="1"/>
  <c r="BB1709" i="1"/>
  <c r="AN1709" i="1"/>
  <c r="J1709" i="1" s="1"/>
  <c r="AM1709" i="1"/>
  <c r="I1709" i="1" s="1"/>
  <c r="AI1709" i="1"/>
  <c r="AH1709" i="1"/>
  <c r="AF1709" i="1"/>
  <c r="AE1709" i="1"/>
  <c r="AD1709" i="1"/>
  <c r="AC1709" i="1"/>
  <c r="AB1709" i="1"/>
  <c r="X1709" i="1"/>
  <c r="M1709" i="1"/>
  <c r="BD1709" i="1" s="1"/>
  <c r="K1709" i="1"/>
  <c r="AJ1709" i="1" s="1"/>
  <c r="BU1708" i="1"/>
  <c r="BH1708" i="1"/>
  <c r="BB1708" i="1"/>
  <c r="AN1708" i="1"/>
  <c r="AM1708" i="1"/>
  <c r="AI1708" i="1"/>
  <c r="AH1708" i="1"/>
  <c r="AF1708" i="1"/>
  <c r="AE1708" i="1"/>
  <c r="AD1708" i="1"/>
  <c r="AC1708" i="1"/>
  <c r="AB1708" i="1"/>
  <c r="X1708" i="1"/>
  <c r="M1708" i="1"/>
  <c r="BD1708" i="1" s="1"/>
  <c r="K1708" i="1"/>
  <c r="AJ1708" i="1" s="1"/>
  <c r="BU1707" i="1"/>
  <c r="BH1707" i="1"/>
  <c r="BB1707" i="1"/>
  <c r="AN1707" i="1"/>
  <c r="BG1707" i="1" s="1"/>
  <c r="AA1707" i="1" s="1"/>
  <c r="AM1707" i="1"/>
  <c r="I1707" i="1" s="1"/>
  <c r="AI1707" i="1"/>
  <c r="AH1707" i="1"/>
  <c r="AF1707" i="1"/>
  <c r="AE1707" i="1"/>
  <c r="AD1707" i="1"/>
  <c r="AC1707" i="1"/>
  <c r="AB1707" i="1"/>
  <c r="X1707" i="1"/>
  <c r="M1707" i="1"/>
  <c r="BD1707" i="1" s="1"/>
  <c r="K1707" i="1"/>
  <c r="AJ1707" i="1" s="1"/>
  <c r="BU1706" i="1"/>
  <c r="BH1706" i="1"/>
  <c r="BB1706" i="1"/>
  <c r="AN1706" i="1"/>
  <c r="AM1706" i="1"/>
  <c r="AI1706" i="1"/>
  <c r="AH1706" i="1"/>
  <c r="AF1706" i="1"/>
  <c r="AE1706" i="1"/>
  <c r="AD1706" i="1"/>
  <c r="AC1706" i="1"/>
  <c r="AB1706" i="1"/>
  <c r="X1706" i="1"/>
  <c r="M1706" i="1"/>
  <c r="BD1706" i="1" s="1"/>
  <c r="K1706" i="1"/>
  <c r="AJ1706" i="1" s="1"/>
  <c r="BU1705" i="1"/>
  <c r="BH1705" i="1"/>
  <c r="BB1705" i="1"/>
  <c r="AN1705" i="1"/>
  <c r="J1705" i="1" s="1"/>
  <c r="AM1705" i="1"/>
  <c r="BF1705" i="1" s="1"/>
  <c r="Z1705" i="1" s="1"/>
  <c r="AI1705" i="1"/>
  <c r="AH1705" i="1"/>
  <c r="AF1705" i="1"/>
  <c r="AE1705" i="1"/>
  <c r="AD1705" i="1"/>
  <c r="AC1705" i="1"/>
  <c r="AB1705" i="1"/>
  <c r="X1705" i="1"/>
  <c r="M1705" i="1"/>
  <c r="BD1705" i="1" s="1"/>
  <c r="K1705" i="1"/>
  <c r="AJ1705" i="1" s="1"/>
  <c r="BU1704" i="1"/>
  <c r="BH1704" i="1"/>
  <c r="BB1704" i="1"/>
  <c r="AN1704" i="1"/>
  <c r="AM1704" i="1"/>
  <c r="BF1704" i="1" s="1"/>
  <c r="Z1704" i="1" s="1"/>
  <c r="AI1704" i="1"/>
  <c r="AH1704" i="1"/>
  <c r="AF1704" i="1"/>
  <c r="AE1704" i="1"/>
  <c r="AD1704" i="1"/>
  <c r="AC1704" i="1"/>
  <c r="AB1704" i="1"/>
  <c r="X1704" i="1"/>
  <c r="M1704" i="1"/>
  <c r="BD1704" i="1" s="1"/>
  <c r="K1704" i="1"/>
  <c r="AJ1704" i="1" s="1"/>
  <c r="BU1702" i="1"/>
  <c r="BH1702" i="1"/>
  <c r="BB1702" i="1"/>
  <c r="AN1702" i="1"/>
  <c r="AM1702" i="1"/>
  <c r="AI1702" i="1"/>
  <c r="AH1702" i="1"/>
  <c r="AF1702" i="1"/>
  <c r="AE1702" i="1"/>
  <c r="AD1702" i="1"/>
  <c r="AC1702" i="1"/>
  <c r="AB1702" i="1"/>
  <c r="X1702" i="1"/>
  <c r="M1702" i="1"/>
  <c r="BD1702" i="1" s="1"/>
  <c r="K1702" i="1"/>
  <c r="AJ1702" i="1" s="1"/>
  <c r="BU1700" i="1"/>
  <c r="BH1700" i="1"/>
  <c r="BB1700" i="1"/>
  <c r="AN1700" i="1"/>
  <c r="BG1700" i="1" s="1"/>
  <c r="AA1700" i="1" s="1"/>
  <c r="AM1700" i="1"/>
  <c r="BF1700" i="1" s="1"/>
  <c r="Z1700" i="1" s="1"/>
  <c r="AI1700" i="1"/>
  <c r="AH1700" i="1"/>
  <c r="AF1700" i="1"/>
  <c r="AE1700" i="1"/>
  <c r="AD1700" i="1"/>
  <c r="AC1700" i="1"/>
  <c r="AB1700" i="1"/>
  <c r="X1700" i="1"/>
  <c r="M1700" i="1"/>
  <c r="BD1700" i="1" s="1"/>
  <c r="K1700" i="1"/>
  <c r="AJ1700" i="1" s="1"/>
  <c r="BU1699" i="1"/>
  <c r="BH1699" i="1"/>
  <c r="BB1699" i="1"/>
  <c r="AN1699" i="1"/>
  <c r="J1699" i="1" s="1"/>
  <c r="AM1699" i="1"/>
  <c r="AI1699" i="1"/>
  <c r="AH1699" i="1"/>
  <c r="AF1699" i="1"/>
  <c r="AE1699" i="1"/>
  <c r="AD1699" i="1"/>
  <c r="AC1699" i="1"/>
  <c r="AB1699" i="1"/>
  <c r="X1699" i="1"/>
  <c r="M1699" i="1"/>
  <c r="BD1699" i="1" s="1"/>
  <c r="K1699" i="1"/>
  <c r="AJ1699" i="1" s="1"/>
  <c r="BU1698" i="1"/>
  <c r="BH1698" i="1"/>
  <c r="BB1698" i="1"/>
  <c r="AN1698" i="1"/>
  <c r="BG1698" i="1" s="1"/>
  <c r="AA1698" i="1" s="1"/>
  <c r="AM1698" i="1"/>
  <c r="I1698" i="1" s="1"/>
  <c r="AI1698" i="1"/>
  <c r="AH1698" i="1"/>
  <c r="AF1698" i="1"/>
  <c r="AE1698" i="1"/>
  <c r="AD1698" i="1"/>
  <c r="AC1698" i="1"/>
  <c r="AB1698" i="1"/>
  <c r="X1698" i="1"/>
  <c r="M1698" i="1"/>
  <c r="BD1698" i="1" s="1"/>
  <c r="K1698" i="1"/>
  <c r="AJ1698" i="1" s="1"/>
  <c r="BU1696" i="1"/>
  <c r="BH1696" i="1"/>
  <c r="BB1696" i="1"/>
  <c r="AN1696" i="1"/>
  <c r="J1696" i="1" s="1"/>
  <c r="AM1696" i="1"/>
  <c r="I1696" i="1" s="1"/>
  <c r="AI1696" i="1"/>
  <c r="AH1696" i="1"/>
  <c r="AF1696" i="1"/>
  <c r="AE1696" i="1"/>
  <c r="AD1696" i="1"/>
  <c r="AC1696" i="1"/>
  <c r="AB1696" i="1"/>
  <c r="X1696" i="1"/>
  <c r="M1696" i="1"/>
  <c r="BD1696" i="1" s="1"/>
  <c r="K1696" i="1"/>
  <c r="AJ1696" i="1" s="1"/>
  <c r="BU1695" i="1"/>
  <c r="BH1695" i="1"/>
  <c r="BB1695" i="1"/>
  <c r="AN1695" i="1"/>
  <c r="AM1695" i="1"/>
  <c r="I1695" i="1" s="1"/>
  <c r="AI1695" i="1"/>
  <c r="AH1695" i="1"/>
  <c r="AF1695" i="1"/>
  <c r="AE1695" i="1"/>
  <c r="AD1695" i="1"/>
  <c r="AC1695" i="1"/>
  <c r="AB1695" i="1"/>
  <c r="X1695" i="1"/>
  <c r="M1695" i="1"/>
  <c r="BD1695" i="1" s="1"/>
  <c r="K1695" i="1"/>
  <c r="AJ1695" i="1" s="1"/>
  <c r="BU1694" i="1"/>
  <c r="BH1694" i="1"/>
  <c r="BB1694" i="1"/>
  <c r="AN1694" i="1"/>
  <c r="AM1694" i="1"/>
  <c r="I1694" i="1" s="1"/>
  <c r="AI1694" i="1"/>
  <c r="AH1694" i="1"/>
  <c r="AF1694" i="1"/>
  <c r="AE1694" i="1"/>
  <c r="AD1694" i="1"/>
  <c r="AC1694" i="1"/>
  <c r="AB1694" i="1"/>
  <c r="X1694" i="1"/>
  <c r="M1694" i="1"/>
  <c r="BD1694" i="1" s="1"/>
  <c r="K1694" i="1"/>
  <c r="AJ1694" i="1" s="1"/>
  <c r="BU1692" i="1"/>
  <c r="BH1692" i="1"/>
  <c r="BB1692" i="1"/>
  <c r="AN1692" i="1"/>
  <c r="AM1692" i="1"/>
  <c r="BF1692" i="1" s="1"/>
  <c r="Z1692" i="1" s="1"/>
  <c r="AI1692" i="1"/>
  <c r="AH1692" i="1"/>
  <c r="AF1692" i="1"/>
  <c r="AE1692" i="1"/>
  <c r="AD1692" i="1"/>
  <c r="AC1692" i="1"/>
  <c r="AB1692" i="1"/>
  <c r="X1692" i="1"/>
  <c r="M1692" i="1"/>
  <c r="BD1692" i="1" s="1"/>
  <c r="K1692" i="1"/>
  <c r="AJ1692" i="1" s="1"/>
  <c r="BU1690" i="1"/>
  <c r="BH1690" i="1"/>
  <c r="BB1690" i="1"/>
  <c r="AN1690" i="1"/>
  <c r="AM1690" i="1"/>
  <c r="AI1690" i="1"/>
  <c r="AH1690" i="1"/>
  <c r="AF1690" i="1"/>
  <c r="AE1690" i="1"/>
  <c r="AD1690" i="1"/>
  <c r="AC1690" i="1"/>
  <c r="AB1690" i="1"/>
  <c r="X1690" i="1"/>
  <c r="M1690" i="1"/>
  <c r="K1690" i="1"/>
  <c r="BU1687" i="1"/>
  <c r="BH1687" i="1"/>
  <c r="X1687" i="1" s="1"/>
  <c r="BB1687" i="1"/>
  <c r="AN1687" i="1"/>
  <c r="AM1687" i="1"/>
  <c r="AI1687" i="1"/>
  <c r="AH1687" i="1"/>
  <c r="AF1687" i="1"/>
  <c r="AE1687" i="1"/>
  <c r="AD1687" i="1"/>
  <c r="AC1687" i="1"/>
  <c r="AB1687" i="1"/>
  <c r="AA1687" i="1"/>
  <c r="Z1687" i="1"/>
  <c r="M1687" i="1"/>
  <c r="BD1687" i="1" s="1"/>
  <c r="K1687" i="1"/>
  <c r="AJ1687" i="1" s="1"/>
  <c r="BU1685" i="1"/>
  <c r="BH1685" i="1"/>
  <c r="BB1685" i="1"/>
  <c r="AN1685" i="1"/>
  <c r="AM1685" i="1"/>
  <c r="AU1685" i="1" s="1"/>
  <c r="AI1685" i="1"/>
  <c r="AH1685" i="1"/>
  <c r="AF1685" i="1"/>
  <c r="AE1685" i="1"/>
  <c r="AD1685" i="1"/>
  <c r="AC1685" i="1"/>
  <c r="AB1685" i="1"/>
  <c r="X1685" i="1"/>
  <c r="M1685" i="1"/>
  <c r="BD1685" i="1" s="1"/>
  <c r="K1685" i="1"/>
  <c r="AJ1685" i="1" s="1"/>
  <c r="BU1683" i="1"/>
  <c r="BH1683" i="1"/>
  <c r="BB1683" i="1"/>
  <c r="AN1683" i="1"/>
  <c r="BG1683" i="1" s="1"/>
  <c r="AA1683" i="1" s="1"/>
  <c r="AM1683" i="1"/>
  <c r="BF1683" i="1" s="1"/>
  <c r="Z1683" i="1" s="1"/>
  <c r="AI1683" i="1"/>
  <c r="AH1683" i="1"/>
  <c r="AF1683" i="1"/>
  <c r="AE1683" i="1"/>
  <c r="AD1683" i="1"/>
  <c r="AC1683" i="1"/>
  <c r="AB1683" i="1"/>
  <c r="X1683" i="1"/>
  <c r="M1683" i="1"/>
  <c r="BD1683" i="1" s="1"/>
  <c r="K1683" i="1"/>
  <c r="AJ1683" i="1" s="1"/>
  <c r="BU1681" i="1"/>
  <c r="BH1681" i="1"/>
  <c r="BB1681" i="1"/>
  <c r="AN1681" i="1"/>
  <c r="BG1681" i="1" s="1"/>
  <c r="AA1681" i="1" s="1"/>
  <c r="AM1681" i="1"/>
  <c r="BF1681" i="1" s="1"/>
  <c r="Z1681" i="1" s="1"/>
  <c r="AI1681" i="1"/>
  <c r="AH1681" i="1"/>
  <c r="AF1681" i="1"/>
  <c r="AE1681" i="1"/>
  <c r="AD1681" i="1"/>
  <c r="AC1681" i="1"/>
  <c r="AB1681" i="1"/>
  <c r="X1681" i="1"/>
  <c r="M1681" i="1"/>
  <c r="BD1681" i="1" s="1"/>
  <c r="K1681" i="1"/>
  <c r="AJ1681" i="1" s="1"/>
  <c r="BU1679" i="1"/>
  <c r="BH1679" i="1"/>
  <c r="BB1679" i="1"/>
  <c r="AN1679" i="1"/>
  <c r="AM1679" i="1"/>
  <c r="AI1679" i="1"/>
  <c r="AH1679" i="1"/>
  <c r="AF1679" i="1"/>
  <c r="AE1679" i="1"/>
  <c r="AD1679" i="1"/>
  <c r="AC1679" i="1"/>
  <c r="AB1679" i="1"/>
  <c r="X1679" i="1"/>
  <c r="M1679" i="1"/>
  <c r="BD1679" i="1" s="1"/>
  <c r="K1679" i="1"/>
  <c r="AJ1679" i="1" s="1"/>
  <c r="BU1677" i="1"/>
  <c r="BH1677" i="1"/>
  <c r="BB1677" i="1"/>
  <c r="AN1677" i="1"/>
  <c r="BG1677" i="1" s="1"/>
  <c r="AA1677" i="1" s="1"/>
  <c r="AM1677" i="1"/>
  <c r="BF1677" i="1" s="1"/>
  <c r="Z1677" i="1" s="1"/>
  <c r="AJ1677" i="1"/>
  <c r="AI1677" i="1"/>
  <c r="AH1677" i="1"/>
  <c r="AF1677" i="1"/>
  <c r="AE1677" i="1"/>
  <c r="AD1677" i="1"/>
  <c r="AC1677" i="1"/>
  <c r="AB1677" i="1"/>
  <c r="X1677" i="1"/>
  <c r="M1677" i="1"/>
  <c r="BD1677" i="1" s="1"/>
  <c r="K1677" i="1"/>
  <c r="BU1675" i="1"/>
  <c r="BH1675" i="1"/>
  <c r="BB1675" i="1"/>
  <c r="AN1675" i="1"/>
  <c r="BG1675" i="1" s="1"/>
  <c r="AA1675" i="1" s="1"/>
  <c r="AM1675" i="1"/>
  <c r="AI1675" i="1"/>
  <c r="AH1675" i="1"/>
  <c r="AF1675" i="1"/>
  <c r="AE1675" i="1"/>
  <c r="AD1675" i="1"/>
  <c r="AC1675" i="1"/>
  <c r="AB1675" i="1"/>
  <c r="X1675" i="1"/>
  <c r="M1675" i="1"/>
  <c r="BD1675" i="1" s="1"/>
  <c r="K1675" i="1"/>
  <c r="BU1673" i="1"/>
  <c r="BH1673" i="1"/>
  <c r="BB1673" i="1"/>
  <c r="AN1673" i="1"/>
  <c r="AM1673" i="1"/>
  <c r="I1673" i="1" s="1"/>
  <c r="AI1673" i="1"/>
  <c r="AH1673" i="1"/>
  <c r="AF1673" i="1"/>
  <c r="AE1673" i="1"/>
  <c r="AD1673" i="1"/>
  <c r="AC1673" i="1"/>
  <c r="AB1673" i="1"/>
  <c r="X1673" i="1"/>
  <c r="M1673" i="1"/>
  <c r="BD1673" i="1" s="1"/>
  <c r="K1673" i="1"/>
  <c r="AJ1673" i="1" s="1"/>
  <c r="BU1671" i="1"/>
  <c r="BH1671" i="1"/>
  <c r="BB1671" i="1"/>
  <c r="AN1671" i="1"/>
  <c r="AM1671" i="1"/>
  <c r="BF1671" i="1" s="1"/>
  <c r="Z1671" i="1" s="1"/>
  <c r="AI1671" i="1"/>
  <c r="AH1671" i="1"/>
  <c r="AF1671" i="1"/>
  <c r="AE1671" i="1"/>
  <c r="AD1671" i="1"/>
  <c r="AC1671" i="1"/>
  <c r="AB1671" i="1"/>
  <c r="X1671" i="1"/>
  <c r="M1671" i="1"/>
  <c r="BD1671" i="1" s="1"/>
  <c r="K1671" i="1"/>
  <c r="AJ1671" i="1" s="1"/>
  <c r="BU1669" i="1"/>
  <c r="BH1669" i="1"/>
  <c r="BB1669" i="1"/>
  <c r="AN1669" i="1"/>
  <c r="AM1669" i="1"/>
  <c r="AI1669" i="1"/>
  <c r="AH1669" i="1"/>
  <c r="AF1669" i="1"/>
  <c r="AE1669" i="1"/>
  <c r="AD1669" i="1"/>
  <c r="AC1669" i="1"/>
  <c r="AB1669" i="1"/>
  <c r="X1669" i="1"/>
  <c r="M1669" i="1"/>
  <c r="BD1669" i="1" s="1"/>
  <c r="K1669" i="1"/>
  <c r="AJ1669" i="1" s="1"/>
  <c r="BU1667" i="1"/>
  <c r="BH1667" i="1"/>
  <c r="BB1667" i="1"/>
  <c r="AN1667" i="1"/>
  <c r="AM1667" i="1"/>
  <c r="AI1667" i="1"/>
  <c r="AH1667" i="1"/>
  <c r="AF1667" i="1"/>
  <c r="AE1667" i="1"/>
  <c r="AD1667" i="1"/>
  <c r="AC1667" i="1"/>
  <c r="AB1667" i="1"/>
  <c r="X1667" i="1"/>
  <c r="M1667" i="1"/>
  <c r="BD1667" i="1" s="1"/>
  <c r="K1667" i="1"/>
  <c r="AJ1667" i="1" s="1"/>
  <c r="BU1665" i="1"/>
  <c r="BH1665" i="1"/>
  <c r="BB1665" i="1"/>
  <c r="AN1665" i="1"/>
  <c r="AV1665" i="1" s="1"/>
  <c r="AM1665" i="1"/>
  <c r="AU1665" i="1" s="1"/>
  <c r="AI1665" i="1"/>
  <c r="AH1665" i="1"/>
  <c r="AF1665" i="1"/>
  <c r="AE1665" i="1"/>
  <c r="AD1665" i="1"/>
  <c r="AC1665" i="1"/>
  <c r="AB1665" i="1"/>
  <c r="X1665" i="1"/>
  <c r="M1665" i="1"/>
  <c r="BD1665" i="1" s="1"/>
  <c r="K1665" i="1"/>
  <c r="AJ1665" i="1" s="1"/>
  <c r="BU1663" i="1"/>
  <c r="BH1663" i="1"/>
  <c r="BB1663" i="1"/>
  <c r="AN1663" i="1"/>
  <c r="BG1663" i="1" s="1"/>
  <c r="AA1663" i="1" s="1"/>
  <c r="AM1663" i="1"/>
  <c r="BF1663" i="1" s="1"/>
  <c r="Z1663" i="1" s="1"/>
  <c r="AI1663" i="1"/>
  <c r="AH1663" i="1"/>
  <c r="AF1663" i="1"/>
  <c r="AE1663" i="1"/>
  <c r="AD1663" i="1"/>
  <c r="AC1663" i="1"/>
  <c r="AB1663" i="1"/>
  <c r="X1663" i="1"/>
  <c r="M1663" i="1"/>
  <c r="BD1663" i="1" s="1"/>
  <c r="K1663" i="1"/>
  <c r="BU1661" i="1"/>
  <c r="BH1661" i="1"/>
  <c r="BB1661" i="1"/>
  <c r="AN1661" i="1"/>
  <c r="BG1661" i="1" s="1"/>
  <c r="AA1661" i="1" s="1"/>
  <c r="AM1661" i="1"/>
  <c r="AU1661" i="1" s="1"/>
  <c r="AI1661" i="1"/>
  <c r="AH1661" i="1"/>
  <c r="AF1661" i="1"/>
  <c r="AE1661" i="1"/>
  <c r="AD1661" i="1"/>
  <c r="AC1661" i="1"/>
  <c r="AB1661" i="1"/>
  <c r="X1661" i="1"/>
  <c r="M1661" i="1"/>
  <c r="BD1661" i="1" s="1"/>
  <c r="K1661" i="1"/>
  <c r="AJ1661" i="1" s="1"/>
  <c r="BU1659" i="1"/>
  <c r="BH1659" i="1"/>
  <c r="BB1659" i="1"/>
  <c r="AN1659" i="1"/>
  <c r="AM1659" i="1"/>
  <c r="AI1659" i="1"/>
  <c r="AH1659" i="1"/>
  <c r="AF1659" i="1"/>
  <c r="AE1659" i="1"/>
  <c r="AD1659" i="1"/>
  <c r="AC1659" i="1"/>
  <c r="AB1659" i="1"/>
  <c r="X1659" i="1"/>
  <c r="M1659" i="1"/>
  <c r="BD1659" i="1" s="1"/>
  <c r="K1659" i="1"/>
  <c r="AJ1659" i="1" s="1"/>
  <c r="BU1657" i="1"/>
  <c r="BH1657" i="1"/>
  <c r="BB1657" i="1"/>
  <c r="AN1657" i="1"/>
  <c r="BG1657" i="1" s="1"/>
  <c r="AA1657" i="1" s="1"/>
  <c r="AM1657" i="1"/>
  <c r="AI1657" i="1"/>
  <c r="AH1657" i="1"/>
  <c r="AF1657" i="1"/>
  <c r="AE1657" i="1"/>
  <c r="AD1657" i="1"/>
  <c r="AC1657" i="1"/>
  <c r="AB1657" i="1"/>
  <c r="X1657" i="1"/>
  <c r="M1657" i="1"/>
  <c r="BD1657" i="1" s="1"/>
  <c r="K1657" i="1"/>
  <c r="AJ1657" i="1" s="1"/>
  <c r="BU1655" i="1"/>
  <c r="BH1655" i="1"/>
  <c r="BB1655" i="1"/>
  <c r="AN1655" i="1"/>
  <c r="J1655" i="1" s="1"/>
  <c r="AM1655" i="1"/>
  <c r="I1655" i="1" s="1"/>
  <c r="AI1655" i="1"/>
  <c r="AH1655" i="1"/>
  <c r="AF1655" i="1"/>
  <c r="AE1655" i="1"/>
  <c r="AD1655" i="1"/>
  <c r="AC1655" i="1"/>
  <c r="AB1655" i="1"/>
  <c r="X1655" i="1"/>
  <c r="M1655" i="1"/>
  <c r="BD1655" i="1" s="1"/>
  <c r="K1655" i="1"/>
  <c r="AJ1655" i="1" s="1"/>
  <c r="BU1653" i="1"/>
  <c r="BH1653" i="1"/>
  <c r="BB1653" i="1"/>
  <c r="AN1653" i="1"/>
  <c r="AM1653" i="1"/>
  <c r="AI1653" i="1"/>
  <c r="AH1653" i="1"/>
  <c r="AF1653" i="1"/>
  <c r="AE1653" i="1"/>
  <c r="AD1653" i="1"/>
  <c r="AC1653" i="1"/>
  <c r="AB1653" i="1"/>
  <c r="X1653" i="1"/>
  <c r="M1653" i="1"/>
  <c r="BD1653" i="1" s="1"/>
  <c r="K1653" i="1"/>
  <c r="AJ1653" i="1" s="1"/>
  <c r="BU1651" i="1"/>
  <c r="BH1651" i="1"/>
  <c r="BB1651" i="1"/>
  <c r="AN1651" i="1"/>
  <c r="AV1651" i="1" s="1"/>
  <c r="AM1651" i="1"/>
  <c r="BF1651" i="1" s="1"/>
  <c r="Z1651" i="1" s="1"/>
  <c r="AI1651" i="1"/>
  <c r="AH1651" i="1"/>
  <c r="AF1651" i="1"/>
  <c r="AE1651" i="1"/>
  <c r="AD1651" i="1"/>
  <c r="AC1651" i="1"/>
  <c r="AB1651" i="1"/>
  <c r="X1651" i="1"/>
  <c r="M1651" i="1"/>
  <c r="BD1651" i="1" s="1"/>
  <c r="K1651" i="1"/>
  <c r="AJ1651" i="1" s="1"/>
  <c r="BU1649" i="1"/>
  <c r="BH1649" i="1"/>
  <c r="BB1649" i="1"/>
  <c r="AN1649" i="1"/>
  <c r="BG1649" i="1" s="1"/>
  <c r="AA1649" i="1" s="1"/>
  <c r="AM1649" i="1"/>
  <c r="AI1649" i="1"/>
  <c r="AH1649" i="1"/>
  <c r="AF1649" i="1"/>
  <c r="AE1649" i="1"/>
  <c r="AD1649" i="1"/>
  <c r="AC1649" i="1"/>
  <c r="AB1649" i="1"/>
  <c r="X1649" i="1"/>
  <c r="M1649" i="1"/>
  <c r="BD1649" i="1" s="1"/>
  <c r="K1649" i="1"/>
  <c r="AJ1649" i="1" s="1"/>
  <c r="BU1647" i="1"/>
  <c r="BH1647" i="1"/>
  <c r="BB1647" i="1"/>
  <c r="AN1647" i="1"/>
  <c r="AV1647" i="1" s="1"/>
  <c r="AM1647" i="1"/>
  <c r="AI1647" i="1"/>
  <c r="AH1647" i="1"/>
  <c r="AF1647" i="1"/>
  <c r="AE1647" i="1"/>
  <c r="AD1647" i="1"/>
  <c r="AC1647" i="1"/>
  <c r="AB1647" i="1"/>
  <c r="X1647" i="1"/>
  <c r="M1647" i="1"/>
  <c r="BD1647" i="1" s="1"/>
  <c r="K1647" i="1"/>
  <c r="AJ1647" i="1" s="1"/>
  <c r="BU1645" i="1"/>
  <c r="BH1645" i="1"/>
  <c r="BB1645" i="1"/>
  <c r="AN1645" i="1"/>
  <c r="BG1645" i="1" s="1"/>
  <c r="AA1645" i="1" s="1"/>
  <c r="AM1645" i="1"/>
  <c r="I1645" i="1" s="1"/>
  <c r="AI1645" i="1"/>
  <c r="AH1645" i="1"/>
  <c r="AF1645" i="1"/>
  <c r="AE1645" i="1"/>
  <c r="AD1645" i="1"/>
  <c r="AC1645" i="1"/>
  <c r="AB1645" i="1"/>
  <c r="X1645" i="1"/>
  <c r="M1645" i="1"/>
  <c r="BD1645" i="1" s="1"/>
  <c r="K1645" i="1"/>
  <c r="BU1643" i="1"/>
  <c r="BH1643" i="1"/>
  <c r="BB1643" i="1"/>
  <c r="AN1643" i="1"/>
  <c r="AM1643" i="1"/>
  <c r="AI1643" i="1"/>
  <c r="AH1643" i="1"/>
  <c r="AF1643" i="1"/>
  <c r="AE1643" i="1"/>
  <c r="AD1643" i="1"/>
  <c r="AC1643" i="1"/>
  <c r="AB1643" i="1"/>
  <c r="X1643" i="1"/>
  <c r="M1643" i="1"/>
  <c r="BD1643" i="1" s="1"/>
  <c r="K1643" i="1"/>
  <c r="AJ1643" i="1" s="1"/>
  <c r="BU1641" i="1"/>
  <c r="BH1641" i="1"/>
  <c r="BB1641" i="1"/>
  <c r="AN1641" i="1"/>
  <c r="AV1641" i="1" s="1"/>
  <c r="AM1641" i="1"/>
  <c r="AI1641" i="1"/>
  <c r="AH1641" i="1"/>
  <c r="AF1641" i="1"/>
  <c r="AE1641" i="1"/>
  <c r="AD1641" i="1"/>
  <c r="AC1641" i="1"/>
  <c r="AB1641" i="1"/>
  <c r="X1641" i="1"/>
  <c r="M1641" i="1"/>
  <c r="BD1641" i="1" s="1"/>
  <c r="K1641" i="1"/>
  <c r="AJ1641" i="1" s="1"/>
  <c r="BU1639" i="1"/>
  <c r="BH1639" i="1"/>
  <c r="BB1639" i="1"/>
  <c r="AN1639" i="1"/>
  <c r="AM1639" i="1"/>
  <c r="BF1639" i="1" s="1"/>
  <c r="Z1639" i="1" s="1"/>
  <c r="AI1639" i="1"/>
  <c r="AH1639" i="1"/>
  <c r="AF1639" i="1"/>
  <c r="AE1639" i="1"/>
  <c r="AD1639" i="1"/>
  <c r="AC1639" i="1"/>
  <c r="AB1639" i="1"/>
  <c r="X1639" i="1"/>
  <c r="M1639" i="1"/>
  <c r="BD1639" i="1" s="1"/>
  <c r="K1639" i="1"/>
  <c r="AJ1639" i="1" s="1"/>
  <c r="BU1637" i="1"/>
  <c r="BH1637" i="1"/>
  <c r="BB1637" i="1"/>
  <c r="AN1637" i="1"/>
  <c r="BG1637" i="1" s="1"/>
  <c r="AA1637" i="1" s="1"/>
  <c r="AM1637" i="1"/>
  <c r="AU1637" i="1" s="1"/>
  <c r="AI1637" i="1"/>
  <c r="AH1637" i="1"/>
  <c r="AF1637" i="1"/>
  <c r="AE1637" i="1"/>
  <c r="AD1637" i="1"/>
  <c r="AC1637" i="1"/>
  <c r="AB1637" i="1"/>
  <c r="X1637" i="1"/>
  <c r="M1637" i="1"/>
  <c r="BD1637" i="1" s="1"/>
  <c r="K1637" i="1"/>
  <c r="AJ1637" i="1" s="1"/>
  <c r="BU1634" i="1"/>
  <c r="BH1634" i="1"/>
  <c r="X1634" i="1" s="1"/>
  <c r="BB1634" i="1"/>
  <c r="AN1634" i="1"/>
  <c r="AM1634" i="1"/>
  <c r="AI1634" i="1"/>
  <c r="AH1634" i="1"/>
  <c r="AF1634" i="1"/>
  <c r="AE1634" i="1"/>
  <c r="AD1634" i="1"/>
  <c r="AC1634" i="1"/>
  <c r="AB1634" i="1"/>
  <c r="AA1634" i="1"/>
  <c r="Z1634" i="1"/>
  <c r="M1634" i="1"/>
  <c r="BD1634" i="1" s="1"/>
  <c r="K1634" i="1"/>
  <c r="AJ1634" i="1" s="1"/>
  <c r="BU1632" i="1"/>
  <c r="BH1632" i="1"/>
  <c r="BB1632" i="1"/>
  <c r="AN1632" i="1"/>
  <c r="BG1632" i="1" s="1"/>
  <c r="AA1632" i="1" s="1"/>
  <c r="AM1632" i="1"/>
  <c r="BF1632" i="1" s="1"/>
  <c r="Z1632" i="1" s="1"/>
  <c r="AI1632" i="1"/>
  <c r="AH1632" i="1"/>
  <c r="AF1632" i="1"/>
  <c r="AE1632" i="1"/>
  <c r="AD1632" i="1"/>
  <c r="AC1632" i="1"/>
  <c r="AB1632" i="1"/>
  <c r="X1632" i="1"/>
  <c r="M1632" i="1"/>
  <c r="BD1632" i="1" s="1"/>
  <c r="K1632" i="1"/>
  <c r="AJ1632" i="1" s="1"/>
  <c r="BU1630" i="1"/>
  <c r="BH1630" i="1"/>
  <c r="BB1630" i="1"/>
  <c r="AN1630" i="1"/>
  <c r="BG1630" i="1" s="1"/>
  <c r="AA1630" i="1" s="1"/>
  <c r="AM1630" i="1"/>
  <c r="AI1630" i="1"/>
  <c r="AH1630" i="1"/>
  <c r="AF1630" i="1"/>
  <c r="AE1630" i="1"/>
  <c r="AD1630" i="1"/>
  <c r="AC1630" i="1"/>
  <c r="AB1630" i="1"/>
  <c r="X1630" i="1"/>
  <c r="M1630" i="1"/>
  <c r="BD1630" i="1" s="1"/>
  <c r="K1630" i="1"/>
  <c r="AJ1630" i="1" s="1"/>
  <c r="BU1628" i="1"/>
  <c r="BH1628" i="1"/>
  <c r="BB1628" i="1"/>
  <c r="AN1628" i="1"/>
  <c r="J1628" i="1" s="1"/>
  <c r="AM1628" i="1"/>
  <c r="AI1628" i="1"/>
  <c r="AH1628" i="1"/>
  <c r="AF1628" i="1"/>
  <c r="AE1628" i="1"/>
  <c r="AD1628" i="1"/>
  <c r="AC1628" i="1"/>
  <c r="AB1628" i="1"/>
  <c r="X1628" i="1"/>
  <c r="M1628" i="1"/>
  <c r="BD1628" i="1" s="1"/>
  <c r="K1628" i="1"/>
  <c r="AJ1628" i="1" s="1"/>
  <c r="BU1626" i="1"/>
  <c r="BH1626" i="1"/>
  <c r="BB1626" i="1"/>
  <c r="AN1626" i="1"/>
  <c r="AM1626" i="1"/>
  <c r="AI1626" i="1"/>
  <c r="AH1626" i="1"/>
  <c r="AF1626" i="1"/>
  <c r="AE1626" i="1"/>
  <c r="AD1626" i="1"/>
  <c r="AC1626" i="1"/>
  <c r="AB1626" i="1"/>
  <c r="X1626" i="1"/>
  <c r="M1626" i="1"/>
  <c r="BD1626" i="1" s="1"/>
  <c r="K1626" i="1"/>
  <c r="BU1624" i="1"/>
  <c r="BH1624" i="1"/>
  <c r="BB1624" i="1"/>
  <c r="AN1624" i="1"/>
  <c r="AV1624" i="1" s="1"/>
  <c r="AM1624" i="1"/>
  <c r="AI1624" i="1"/>
  <c r="AH1624" i="1"/>
  <c r="AF1624" i="1"/>
  <c r="AE1624" i="1"/>
  <c r="AD1624" i="1"/>
  <c r="AC1624" i="1"/>
  <c r="AB1624" i="1"/>
  <c r="X1624" i="1"/>
  <c r="M1624" i="1"/>
  <c r="BD1624" i="1" s="1"/>
  <c r="K1624" i="1"/>
  <c r="AJ1624" i="1" s="1"/>
  <c r="BU1622" i="1"/>
  <c r="BH1622" i="1"/>
  <c r="BB1622" i="1"/>
  <c r="AN1622" i="1"/>
  <c r="J1622" i="1" s="1"/>
  <c r="AM1622" i="1"/>
  <c r="AI1622" i="1"/>
  <c r="AH1622" i="1"/>
  <c r="AF1622" i="1"/>
  <c r="AE1622" i="1"/>
  <c r="AD1622" i="1"/>
  <c r="AC1622" i="1"/>
  <c r="AB1622" i="1"/>
  <c r="X1622" i="1"/>
  <c r="M1622" i="1"/>
  <c r="BD1622" i="1" s="1"/>
  <c r="K1622" i="1"/>
  <c r="AJ1622" i="1" s="1"/>
  <c r="BU1620" i="1"/>
  <c r="BH1620" i="1"/>
  <c r="BB1620" i="1"/>
  <c r="AN1620" i="1"/>
  <c r="AV1620" i="1" s="1"/>
  <c r="AM1620" i="1"/>
  <c r="AU1620" i="1" s="1"/>
  <c r="AI1620" i="1"/>
  <c r="AH1620" i="1"/>
  <c r="AF1620" i="1"/>
  <c r="AE1620" i="1"/>
  <c r="AD1620" i="1"/>
  <c r="AC1620" i="1"/>
  <c r="AB1620" i="1"/>
  <c r="X1620" i="1"/>
  <c r="M1620" i="1"/>
  <c r="BD1620" i="1" s="1"/>
  <c r="K1620" i="1"/>
  <c r="AJ1620" i="1" s="1"/>
  <c r="BU1618" i="1"/>
  <c r="BH1618" i="1"/>
  <c r="BB1618" i="1"/>
  <c r="AN1618" i="1"/>
  <c r="J1618" i="1" s="1"/>
  <c r="AM1618" i="1"/>
  <c r="I1618" i="1" s="1"/>
  <c r="AI1618" i="1"/>
  <c r="AH1618" i="1"/>
  <c r="AF1618" i="1"/>
  <c r="AE1618" i="1"/>
  <c r="AD1618" i="1"/>
  <c r="AC1618" i="1"/>
  <c r="AB1618" i="1"/>
  <c r="X1618" i="1"/>
  <c r="M1618" i="1"/>
  <c r="BD1618" i="1" s="1"/>
  <c r="K1618" i="1"/>
  <c r="BU1616" i="1"/>
  <c r="BH1616" i="1"/>
  <c r="BB1616" i="1"/>
  <c r="AN1616" i="1"/>
  <c r="AM1616" i="1"/>
  <c r="AI1616" i="1"/>
  <c r="AH1616" i="1"/>
  <c r="AF1616" i="1"/>
  <c r="AE1616" i="1"/>
  <c r="AD1616" i="1"/>
  <c r="AC1616" i="1"/>
  <c r="AB1616" i="1"/>
  <c r="X1616" i="1"/>
  <c r="M1616" i="1"/>
  <c r="BD1616" i="1" s="1"/>
  <c r="K1616" i="1"/>
  <c r="AJ1616" i="1" s="1"/>
  <c r="BU1614" i="1"/>
  <c r="BH1614" i="1"/>
  <c r="BB1614" i="1"/>
  <c r="AN1614" i="1"/>
  <c r="AV1614" i="1" s="1"/>
  <c r="AM1614" i="1"/>
  <c r="AU1614" i="1" s="1"/>
  <c r="AI1614" i="1"/>
  <c r="AH1614" i="1"/>
  <c r="AF1614" i="1"/>
  <c r="AE1614" i="1"/>
  <c r="AD1614" i="1"/>
  <c r="AC1614" i="1"/>
  <c r="AB1614" i="1"/>
  <c r="X1614" i="1"/>
  <c r="M1614" i="1"/>
  <c r="BD1614" i="1" s="1"/>
  <c r="K1614" i="1"/>
  <c r="BU1612" i="1"/>
  <c r="BH1612" i="1"/>
  <c r="BB1612" i="1"/>
  <c r="AN1612" i="1"/>
  <c r="BG1612" i="1" s="1"/>
  <c r="AA1612" i="1" s="1"/>
  <c r="AM1612" i="1"/>
  <c r="I1612" i="1" s="1"/>
  <c r="AI1612" i="1"/>
  <c r="AH1612" i="1"/>
  <c r="AF1612" i="1"/>
  <c r="AE1612" i="1"/>
  <c r="AD1612" i="1"/>
  <c r="AC1612" i="1"/>
  <c r="AB1612" i="1"/>
  <c r="X1612" i="1"/>
  <c r="M1612" i="1"/>
  <c r="BD1612" i="1" s="1"/>
  <c r="K1612" i="1"/>
  <c r="AJ1612" i="1" s="1"/>
  <c r="BU1611" i="1"/>
  <c r="BH1611" i="1"/>
  <c r="BB1611" i="1"/>
  <c r="AN1611" i="1"/>
  <c r="AV1611" i="1" s="1"/>
  <c r="AM1611" i="1"/>
  <c r="BF1611" i="1" s="1"/>
  <c r="Z1611" i="1" s="1"/>
  <c r="AI1611" i="1"/>
  <c r="AH1611" i="1"/>
  <c r="AF1611" i="1"/>
  <c r="AE1611" i="1"/>
  <c r="AD1611" i="1"/>
  <c r="AC1611" i="1"/>
  <c r="AB1611" i="1"/>
  <c r="X1611" i="1"/>
  <c r="M1611" i="1"/>
  <c r="K1611" i="1"/>
  <c r="AJ1611" i="1" s="1"/>
  <c r="BU1610" i="1"/>
  <c r="BH1610" i="1"/>
  <c r="BB1610" i="1"/>
  <c r="AN1610" i="1"/>
  <c r="AM1610" i="1"/>
  <c r="I1610" i="1" s="1"/>
  <c r="AI1610" i="1"/>
  <c r="AH1610" i="1"/>
  <c r="AF1610" i="1"/>
  <c r="AE1610" i="1"/>
  <c r="AD1610" i="1"/>
  <c r="AC1610" i="1"/>
  <c r="AB1610" i="1"/>
  <c r="X1610" i="1"/>
  <c r="M1610" i="1"/>
  <c r="BD1610" i="1" s="1"/>
  <c r="K1610" i="1"/>
  <c r="AJ1610" i="1" s="1"/>
  <c r="BU1609" i="1"/>
  <c r="BH1609" i="1"/>
  <c r="BB1609" i="1"/>
  <c r="AN1609" i="1"/>
  <c r="AV1609" i="1" s="1"/>
  <c r="AM1609" i="1"/>
  <c r="AI1609" i="1"/>
  <c r="AH1609" i="1"/>
  <c r="AF1609" i="1"/>
  <c r="AE1609" i="1"/>
  <c r="AD1609" i="1"/>
  <c r="AC1609" i="1"/>
  <c r="AB1609" i="1"/>
  <c r="X1609" i="1"/>
  <c r="M1609" i="1"/>
  <c r="BD1609" i="1" s="1"/>
  <c r="K1609" i="1"/>
  <c r="AJ1609" i="1" s="1"/>
  <c r="BU1606" i="1"/>
  <c r="BH1606" i="1"/>
  <c r="X1606" i="1" s="1"/>
  <c r="BB1606" i="1"/>
  <c r="AN1606" i="1"/>
  <c r="AM1606" i="1"/>
  <c r="BF1606" i="1" s="1"/>
  <c r="AI1606" i="1"/>
  <c r="AR1605" i="1" s="1"/>
  <c r="AH1606" i="1"/>
  <c r="AQ1605" i="1" s="1"/>
  <c r="AF1606" i="1"/>
  <c r="AE1606" i="1"/>
  <c r="AD1606" i="1"/>
  <c r="AC1606" i="1"/>
  <c r="AB1606" i="1"/>
  <c r="AA1606" i="1"/>
  <c r="Z1606" i="1"/>
  <c r="M1606" i="1"/>
  <c r="K1606" i="1"/>
  <c r="K1605" i="1" s="1"/>
  <c r="F81" i="2" s="1"/>
  <c r="I81" i="2" s="1"/>
  <c r="BU1603" i="1"/>
  <c r="BH1603" i="1"/>
  <c r="BB1603" i="1"/>
  <c r="AN1603" i="1"/>
  <c r="AM1603" i="1"/>
  <c r="AI1603" i="1"/>
  <c r="AH1603" i="1"/>
  <c r="AF1603" i="1"/>
  <c r="AE1603" i="1"/>
  <c r="AD1603" i="1"/>
  <c r="AC1603" i="1"/>
  <c r="AB1603" i="1"/>
  <c r="X1603" i="1"/>
  <c r="M1603" i="1"/>
  <c r="BD1603" i="1" s="1"/>
  <c r="K1603" i="1"/>
  <c r="AJ1603" i="1" s="1"/>
  <c r="BU1601" i="1"/>
  <c r="BH1601" i="1"/>
  <c r="BB1601" i="1"/>
  <c r="AN1601" i="1"/>
  <c r="AV1601" i="1" s="1"/>
  <c r="AM1601" i="1"/>
  <c r="BF1601" i="1" s="1"/>
  <c r="Z1601" i="1" s="1"/>
  <c r="AI1601" i="1"/>
  <c r="AH1601" i="1"/>
  <c r="AF1601" i="1"/>
  <c r="AE1601" i="1"/>
  <c r="AD1601" i="1"/>
  <c r="AC1601" i="1"/>
  <c r="AB1601" i="1"/>
  <c r="X1601" i="1"/>
  <c r="M1601" i="1"/>
  <c r="BD1601" i="1" s="1"/>
  <c r="K1601" i="1"/>
  <c r="BU1599" i="1"/>
  <c r="BH1599" i="1"/>
  <c r="BB1599" i="1"/>
  <c r="AN1599" i="1"/>
  <c r="J1599" i="1" s="1"/>
  <c r="AM1599" i="1"/>
  <c r="I1599" i="1" s="1"/>
  <c r="AI1599" i="1"/>
  <c r="AH1599" i="1"/>
  <c r="AF1599" i="1"/>
  <c r="AE1599" i="1"/>
  <c r="AD1599" i="1"/>
  <c r="AC1599" i="1"/>
  <c r="AB1599" i="1"/>
  <c r="X1599" i="1"/>
  <c r="M1599" i="1"/>
  <c r="BD1599" i="1" s="1"/>
  <c r="K1599" i="1"/>
  <c r="BU1597" i="1"/>
  <c r="BH1597" i="1"/>
  <c r="BB1597" i="1"/>
  <c r="AN1597" i="1"/>
  <c r="BG1597" i="1" s="1"/>
  <c r="AA1597" i="1" s="1"/>
  <c r="AM1597" i="1"/>
  <c r="AI1597" i="1"/>
  <c r="AH1597" i="1"/>
  <c r="AF1597" i="1"/>
  <c r="AE1597" i="1"/>
  <c r="AD1597" i="1"/>
  <c r="AC1597" i="1"/>
  <c r="AB1597" i="1"/>
  <c r="X1597" i="1"/>
  <c r="M1597" i="1"/>
  <c r="K1597" i="1"/>
  <c r="AJ1597" i="1" s="1"/>
  <c r="BU1595" i="1"/>
  <c r="BH1595" i="1"/>
  <c r="BB1595" i="1"/>
  <c r="AN1595" i="1"/>
  <c r="AM1595" i="1"/>
  <c r="AU1595" i="1" s="1"/>
  <c r="AI1595" i="1"/>
  <c r="AH1595" i="1"/>
  <c r="AF1595" i="1"/>
  <c r="AE1595" i="1"/>
  <c r="AD1595" i="1"/>
  <c r="AC1595" i="1"/>
  <c r="AB1595" i="1"/>
  <c r="X1595" i="1"/>
  <c r="M1595" i="1"/>
  <c r="BD1595" i="1" s="1"/>
  <c r="K1595" i="1"/>
  <c r="AJ1595" i="1" s="1"/>
  <c r="BU1585" i="1"/>
  <c r="BH1585" i="1"/>
  <c r="BB1585" i="1"/>
  <c r="AN1585" i="1"/>
  <c r="BG1585" i="1" s="1"/>
  <c r="AA1585" i="1" s="1"/>
  <c r="AM1585" i="1"/>
  <c r="BF1585" i="1" s="1"/>
  <c r="Z1585" i="1" s="1"/>
  <c r="AI1585" i="1"/>
  <c r="AH1585" i="1"/>
  <c r="AF1585" i="1"/>
  <c r="AE1585" i="1"/>
  <c r="AD1585" i="1"/>
  <c r="AC1585" i="1"/>
  <c r="AB1585" i="1"/>
  <c r="X1585" i="1"/>
  <c r="M1585" i="1"/>
  <c r="BD1585" i="1" s="1"/>
  <c r="K1585" i="1"/>
  <c r="AJ1585" i="1" s="1"/>
  <c r="BU1574" i="1"/>
  <c r="BH1574" i="1"/>
  <c r="BB1574" i="1"/>
  <c r="AN1574" i="1"/>
  <c r="AM1574" i="1"/>
  <c r="AI1574" i="1"/>
  <c r="AR1573" i="1" s="1"/>
  <c r="AH1574" i="1"/>
  <c r="AQ1573" i="1" s="1"/>
  <c r="AF1574" i="1"/>
  <c r="AE1574" i="1"/>
  <c r="AD1574" i="1"/>
  <c r="AC1574" i="1"/>
  <c r="AB1574" i="1"/>
  <c r="X1574" i="1"/>
  <c r="M1574" i="1"/>
  <c r="K1574" i="1"/>
  <c r="K1573" i="1" s="1"/>
  <c r="F79" i="2" s="1"/>
  <c r="I79" i="2" s="1"/>
  <c r="BU1571" i="1"/>
  <c r="BH1571" i="1"/>
  <c r="BB1571" i="1"/>
  <c r="AN1571" i="1"/>
  <c r="BG1571" i="1" s="1"/>
  <c r="AA1571" i="1" s="1"/>
  <c r="AM1571" i="1"/>
  <c r="AI1571" i="1"/>
  <c r="AH1571" i="1"/>
  <c r="AF1571" i="1"/>
  <c r="AE1571" i="1"/>
  <c r="AD1571" i="1"/>
  <c r="AC1571" i="1"/>
  <c r="AB1571" i="1"/>
  <c r="X1571" i="1"/>
  <c r="M1571" i="1"/>
  <c r="BD1571" i="1" s="1"/>
  <c r="K1571" i="1"/>
  <c r="AJ1571" i="1" s="1"/>
  <c r="BU1569" i="1"/>
  <c r="BH1569" i="1"/>
  <c r="BB1569" i="1"/>
  <c r="AN1569" i="1"/>
  <c r="AM1569" i="1"/>
  <c r="AI1569" i="1"/>
  <c r="AH1569" i="1"/>
  <c r="AF1569" i="1"/>
  <c r="AE1569" i="1"/>
  <c r="AD1569" i="1"/>
  <c r="AC1569" i="1"/>
  <c r="AB1569" i="1"/>
  <c r="X1569" i="1"/>
  <c r="M1569" i="1"/>
  <c r="BD1569" i="1" s="1"/>
  <c r="K1569" i="1"/>
  <c r="M1568" i="1"/>
  <c r="G78" i="2" s="1"/>
  <c r="BU1542" i="1"/>
  <c r="BH1542" i="1"/>
  <c r="BB1542" i="1"/>
  <c r="AN1542" i="1"/>
  <c r="AM1542" i="1"/>
  <c r="I1542" i="1" s="1"/>
  <c r="AI1542" i="1"/>
  <c r="AH1542" i="1"/>
  <c r="AF1542" i="1"/>
  <c r="AE1542" i="1"/>
  <c r="AD1542" i="1"/>
  <c r="AA1542" i="1"/>
  <c r="Z1542" i="1"/>
  <c r="X1542" i="1"/>
  <c r="M1542" i="1"/>
  <c r="BD1542" i="1" s="1"/>
  <c r="K1542" i="1"/>
  <c r="BU1516" i="1"/>
  <c r="BH1516" i="1"/>
  <c r="BB1516" i="1"/>
  <c r="AN1516" i="1"/>
  <c r="J1516" i="1" s="1"/>
  <c r="AM1516" i="1"/>
  <c r="AI1516" i="1"/>
  <c r="AH1516" i="1"/>
  <c r="AF1516" i="1"/>
  <c r="AE1516" i="1"/>
  <c r="AD1516" i="1"/>
  <c r="AA1516" i="1"/>
  <c r="Z1516" i="1"/>
  <c r="X1516" i="1"/>
  <c r="M1516" i="1"/>
  <c r="BD1516" i="1" s="1"/>
  <c r="K1516" i="1"/>
  <c r="AJ1516" i="1" s="1"/>
  <c r="BU1513" i="1"/>
  <c r="BH1513" i="1"/>
  <c r="BB1513" i="1"/>
  <c r="AN1513" i="1"/>
  <c r="BG1513" i="1" s="1"/>
  <c r="AC1513" i="1" s="1"/>
  <c r="AM1513" i="1"/>
  <c r="AI1513" i="1"/>
  <c r="AR1512" i="1" s="1"/>
  <c r="AH1513" i="1"/>
  <c r="AQ1512" i="1" s="1"/>
  <c r="AF1513" i="1"/>
  <c r="AE1513" i="1"/>
  <c r="AD1513" i="1"/>
  <c r="AA1513" i="1"/>
  <c r="Z1513" i="1"/>
  <c r="X1513" i="1"/>
  <c r="M1513" i="1"/>
  <c r="K1513" i="1"/>
  <c r="BU1511" i="1"/>
  <c r="BH1511" i="1"/>
  <c r="X1511" i="1" s="1"/>
  <c r="BB1511" i="1"/>
  <c r="AN1511" i="1"/>
  <c r="BG1511" i="1" s="1"/>
  <c r="AM1511" i="1"/>
  <c r="BF1511" i="1" s="1"/>
  <c r="AI1511" i="1"/>
  <c r="AH1511" i="1"/>
  <c r="AF1511" i="1"/>
  <c r="AE1511" i="1"/>
  <c r="AD1511" i="1"/>
  <c r="AC1511" i="1"/>
  <c r="AB1511" i="1"/>
  <c r="AA1511" i="1"/>
  <c r="Z1511" i="1"/>
  <c r="M1511" i="1"/>
  <c r="BD1511" i="1" s="1"/>
  <c r="K1511" i="1"/>
  <c r="BU1491" i="1"/>
  <c r="BH1491" i="1"/>
  <c r="BB1491" i="1"/>
  <c r="AN1491" i="1"/>
  <c r="AM1491" i="1"/>
  <c r="BF1491" i="1" s="1"/>
  <c r="AB1491" i="1" s="1"/>
  <c r="AI1491" i="1"/>
  <c r="AH1491" i="1"/>
  <c r="AF1491" i="1"/>
  <c r="AE1491" i="1"/>
  <c r="AD1491" i="1"/>
  <c r="AA1491" i="1"/>
  <c r="Z1491" i="1"/>
  <c r="X1491" i="1"/>
  <c r="M1491" i="1"/>
  <c r="BD1491" i="1" s="1"/>
  <c r="K1491" i="1"/>
  <c r="AJ1491" i="1" s="1"/>
  <c r="BU1471" i="1"/>
  <c r="BH1471" i="1"/>
  <c r="BB1471" i="1"/>
  <c r="AN1471" i="1"/>
  <c r="AV1471" i="1" s="1"/>
  <c r="AM1471" i="1"/>
  <c r="BF1471" i="1" s="1"/>
  <c r="AB1471" i="1" s="1"/>
  <c r="AI1471" i="1"/>
  <c r="AH1471" i="1"/>
  <c r="AF1471" i="1"/>
  <c r="AE1471" i="1"/>
  <c r="AD1471" i="1"/>
  <c r="AA1471" i="1"/>
  <c r="Z1471" i="1"/>
  <c r="X1471" i="1"/>
  <c r="M1471" i="1"/>
  <c r="BD1471" i="1" s="1"/>
  <c r="K1471" i="1"/>
  <c r="AJ1471" i="1" s="1"/>
  <c r="BU1458" i="1"/>
  <c r="BH1458" i="1"/>
  <c r="BB1458" i="1"/>
  <c r="AN1458" i="1"/>
  <c r="BG1458" i="1" s="1"/>
  <c r="AC1458" i="1" s="1"/>
  <c r="AM1458" i="1"/>
  <c r="BF1458" i="1" s="1"/>
  <c r="AB1458" i="1" s="1"/>
  <c r="AI1458" i="1"/>
  <c r="AH1458" i="1"/>
  <c r="AF1458" i="1"/>
  <c r="AE1458" i="1"/>
  <c r="AD1458" i="1"/>
  <c r="AA1458" i="1"/>
  <c r="Z1458" i="1"/>
  <c r="X1458" i="1"/>
  <c r="M1458" i="1"/>
  <c r="BD1458" i="1" s="1"/>
  <c r="K1458" i="1"/>
  <c r="BU1445" i="1"/>
  <c r="BH1445" i="1"/>
  <c r="BB1445" i="1"/>
  <c r="AN1445" i="1"/>
  <c r="AM1445" i="1"/>
  <c r="AI1445" i="1"/>
  <c r="AH1445" i="1"/>
  <c r="AF1445" i="1"/>
  <c r="AE1445" i="1"/>
  <c r="AD1445" i="1"/>
  <c r="AA1445" i="1"/>
  <c r="Z1445" i="1"/>
  <c r="X1445" i="1"/>
  <c r="M1445" i="1"/>
  <c r="BD1445" i="1" s="1"/>
  <c r="K1445" i="1"/>
  <c r="AJ1445" i="1" s="1"/>
  <c r="BU1431" i="1"/>
  <c r="BH1431" i="1"/>
  <c r="BB1431" i="1"/>
  <c r="AN1431" i="1"/>
  <c r="AM1431" i="1"/>
  <c r="BF1431" i="1" s="1"/>
  <c r="AB1431" i="1" s="1"/>
  <c r="AI1431" i="1"/>
  <c r="AH1431" i="1"/>
  <c r="AF1431" i="1"/>
  <c r="AE1431" i="1"/>
  <c r="AD1431" i="1"/>
  <c r="AA1431" i="1"/>
  <c r="Z1431" i="1"/>
  <c r="X1431" i="1"/>
  <c r="M1431" i="1"/>
  <c r="BD1431" i="1" s="1"/>
  <c r="K1431" i="1"/>
  <c r="AJ1431" i="1" s="1"/>
  <c r="BU1418" i="1"/>
  <c r="BH1418" i="1"/>
  <c r="BB1418" i="1"/>
  <c r="AN1418" i="1"/>
  <c r="AM1418" i="1"/>
  <c r="AI1418" i="1"/>
  <c r="AH1418" i="1"/>
  <c r="AF1418" i="1"/>
  <c r="AE1418" i="1"/>
  <c r="AD1418" i="1"/>
  <c r="AA1418" i="1"/>
  <c r="Z1418" i="1"/>
  <c r="X1418" i="1"/>
  <c r="M1418" i="1"/>
  <c r="K1418" i="1"/>
  <c r="AJ1418" i="1" s="1"/>
  <c r="BU1415" i="1"/>
  <c r="BH1415" i="1"/>
  <c r="X1415" i="1" s="1"/>
  <c r="BB1415" i="1"/>
  <c r="AN1415" i="1"/>
  <c r="AM1415" i="1"/>
  <c r="BF1415" i="1" s="1"/>
  <c r="AI1415" i="1"/>
  <c r="AH1415" i="1"/>
  <c r="AF1415" i="1"/>
  <c r="AE1415" i="1"/>
  <c r="AD1415" i="1"/>
  <c r="AC1415" i="1"/>
  <c r="AB1415" i="1"/>
  <c r="AA1415" i="1"/>
  <c r="Z1415" i="1"/>
  <c r="M1415" i="1"/>
  <c r="K1415" i="1"/>
  <c r="AJ1415" i="1" s="1"/>
  <c r="BU1412" i="1"/>
  <c r="BH1412" i="1"/>
  <c r="BB1412" i="1"/>
  <c r="AN1412" i="1"/>
  <c r="AM1412" i="1"/>
  <c r="AU1412" i="1" s="1"/>
  <c r="AI1412" i="1"/>
  <c r="AH1412" i="1"/>
  <c r="AF1412" i="1"/>
  <c r="AE1412" i="1"/>
  <c r="AD1412" i="1"/>
  <c r="AA1412" i="1"/>
  <c r="Z1412" i="1"/>
  <c r="X1412" i="1"/>
  <c r="M1412" i="1"/>
  <c r="BD1412" i="1" s="1"/>
  <c r="K1412" i="1"/>
  <c r="AJ1412" i="1" s="1"/>
  <c r="BU1409" i="1"/>
  <c r="BH1409" i="1"/>
  <c r="BB1409" i="1"/>
  <c r="AN1409" i="1"/>
  <c r="AM1409" i="1"/>
  <c r="BF1409" i="1" s="1"/>
  <c r="AB1409" i="1" s="1"/>
  <c r="AI1409" i="1"/>
  <c r="AH1409" i="1"/>
  <c r="AF1409" i="1"/>
  <c r="AE1409" i="1"/>
  <c r="AD1409" i="1"/>
  <c r="AA1409" i="1"/>
  <c r="Z1409" i="1"/>
  <c r="X1409" i="1"/>
  <c r="M1409" i="1"/>
  <c r="BD1409" i="1" s="1"/>
  <c r="K1409" i="1"/>
  <c r="AJ1409" i="1" s="1"/>
  <c r="BU1407" i="1"/>
  <c r="BH1407" i="1"/>
  <c r="X1407" i="1" s="1"/>
  <c r="BB1407" i="1"/>
  <c r="AN1407" i="1"/>
  <c r="BG1407" i="1" s="1"/>
  <c r="AM1407" i="1"/>
  <c r="AI1407" i="1"/>
  <c r="AH1407" i="1"/>
  <c r="AF1407" i="1"/>
  <c r="AE1407" i="1"/>
  <c r="AD1407" i="1"/>
  <c r="AC1407" i="1"/>
  <c r="AB1407" i="1"/>
  <c r="AA1407" i="1"/>
  <c r="Z1407" i="1"/>
  <c r="M1407" i="1"/>
  <c r="BD1407" i="1" s="1"/>
  <c r="K1407" i="1"/>
  <c r="AJ1407" i="1" s="1"/>
  <c r="BU1404" i="1"/>
  <c r="BH1404" i="1"/>
  <c r="BB1404" i="1"/>
  <c r="AN1404" i="1"/>
  <c r="AM1404" i="1"/>
  <c r="AI1404" i="1"/>
  <c r="AH1404" i="1"/>
  <c r="AF1404" i="1"/>
  <c r="AE1404" i="1"/>
  <c r="AD1404" i="1"/>
  <c r="AA1404" i="1"/>
  <c r="Z1404" i="1"/>
  <c r="X1404" i="1"/>
  <c r="M1404" i="1"/>
  <c r="BD1404" i="1" s="1"/>
  <c r="K1404" i="1"/>
  <c r="AJ1404" i="1" s="1"/>
  <c r="BU1400" i="1"/>
  <c r="BH1400" i="1"/>
  <c r="BB1400" i="1"/>
  <c r="AN1400" i="1"/>
  <c r="AV1400" i="1" s="1"/>
  <c r="AM1400" i="1"/>
  <c r="I1400" i="1" s="1"/>
  <c r="AI1400" i="1"/>
  <c r="AH1400" i="1"/>
  <c r="AF1400" i="1"/>
  <c r="AE1400" i="1"/>
  <c r="AD1400" i="1"/>
  <c r="AA1400" i="1"/>
  <c r="Z1400" i="1"/>
  <c r="X1400" i="1"/>
  <c r="M1400" i="1"/>
  <c r="BD1400" i="1" s="1"/>
  <c r="K1400" i="1"/>
  <c r="AJ1400" i="1" s="1"/>
  <c r="BU1397" i="1"/>
  <c r="BH1397" i="1"/>
  <c r="BB1397" i="1"/>
  <c r="AN1397" i="1"/>
  <c r="BG1397" i="1" s="1"/>
  <c r="AC1397" i="1" s="1"/>
  <c r="AM1397" i="1"/>
  <c r="AI1397" i="1"/>
  <c r="AH1397" i="1"/>
  <c r="AF1397" i="1"/>
  <c r="AE1397" i="1"/>
  <c r="AD1397" i="1"/>
  <c r="AA1397" i="1"/>
  <c r="Z1397" i="1"/>
  <c r="X1397" i="1"/>
  <c r="M1397" i="1"/>
  <c r="BD1397" i="1" s="1"/>
  <c r="K1397" i="1"/>
  <c r="BU1395" i="1"/>
  <c r="BH1395" i="1"/>
  <c r="BD1395" i="1"/>
  <c r="BB1395" i="1"/>
  <c r="AN1395" i="1"/>
  <c r="J1395" i="1" s="1"/>
  <c r="AM1395" i="1"/>
  <c r="AI1395" i="1"/>
  <c r="AH1395" i="1"/>
  <c r="AF1395" i="1"/>
  <c r="AE1395" i="1"/>
  <c r="AD1395" i="1"/>
  <c r="AA1395" i="1"/>
  <c r="Z1395" i="1"/>
  <c r="X1395" i="1"/>
  <c r="M1395" i="1"/>
  <c r="K1395" i="1"/>
  <c r="AJ1395" i="1" s="1"/>
  <c r="BU1393" i="1"/>
  <c r="BH1393" i="1"/>
  <c r="X1393" i="1" s="1"/>
  <c r="BB1393" i="1"/>
  <c r="AN1393" i="1"/>
  <c r="J1393" i="1" s="1"/>
  <c r="AM1393" i="1"/>
  <c r="AI1393" i="1"/>
  <c r="AH1393" i="1"/>
  <c r="AF1393" i="1"/>
  <c r="AE1393" i="1"/>
  <c r="AD1393" i="1"/>
  <c r="AC1393" i="1"/>
  <c r="AB1393" i="1"/>
  <c r="AA1393" i="1"/>
  <c r="Z1393" i="1"/>
  <c r="M1393" i="1"/>
  <c r="BD1393" i="1" s="1"/>
  <c r="K1393" i="1"/>
  <c r="AJ1393" i="1" s="1"/>
  <c r="BU1383" i="1"/>
  <c r="BH1383" i="1"/>
  <c r="BB1383" i="1"/>
  <c r="AN1383" i="1"/>
  <c r="AM1383" i="1"/>
  <c r="I1383" i="1" s="1"/>
  <c r="AI1383" i="1"/>
  <c r="AH1383" i="1"/>
  <c r="AF1383" i="1"/>
  <c r="AE1383" i="1"/>
  <c r="AD1383" i="1"/>
  <c r="AA1383" i="1"/>
  <c r="Z1383" i="1"/>
  <c r="X1383" i="1"/>
  <c r="M1383" i="1"/>
  <c r="BD1383" i="1" s="1"/>
  <c r="K1383" i="1"/>
  <c r="AJ1383" i="1" s="1"/>
  <c r="BU1379" i="1"/>
  <c r="BH1379" i="1"/>
  <c r="BB1379" i="1"/>
  <c r="AN1379" i="1"/>
  <c r="BG1379" i="1" s="1"/>
  <c r="AC1379" i="1" s="1"/>
  <c r="AM1379" i="1"/>
  <c r="AI1379" i="1"/>
  <c r="AH1379" i="1"/>
  <c r="AF1379" i="1"/>
  <c r="AE1379" i="1"/>
  <c r="AD1379" i="1"/>
  <c r="AA1379" i="1"/>
  <c r="Z1379" i="1"/>
  <c r="X1379" i="1"/>
  <c r="M1379" i="1"/>
  <c r="BD1379" i="1" s="1"/>
  <c r="K1379" i="1"/>
  <c r="AJ1379" i="1" s="1"/>
  <c r="BU1361" i="1"/>
  <c r="BH1361" i="1"/>
  <c r="BB1361" i="1"/>
  <c r="AN1361" i="1"/>
  <c r="AM1361" i="1"/>
  <c r="I1361" i="1" s="1"/>
  <c r="AI1361" i="1"/>
  <c r="AH1361" i="1"/>
  <c r="AF1361" i="1"/>
  <c r="AE1361" i="1"/>
  <c r="AD1361" i="1"/>
  <c r="AA1361" i="1"/>
  <c r="Z1361" i="1"/>
  <c r="X1361" i="1"/>
  <c r="M1361" i="1"/>
  <c r="BD1361" i="1" s="1"/>
  <c r="K1361" i="1"/>
  <c r="AJ1361" i="1" s="1"/>
  <c r="BU1355" i="1"/>
  <c r="BH1355" i="1"/>
  <c r="BB1355" i="1"/>
  <c r="AN1355" i="1"/>
  <c r="BG1355" i="1" s="1"/>
  <c r="AC1355" i="1" s="1"/>
  <c r="AM1355" i="1"/>
  <c r="AI1355" i="1"/>
  <c r="AH1355" i="1"/>
  <c r="AF1355" i="1"/>
  <c r="AE1355" i="1"/>
  <c r="AD1355" i="1"/>
  <c r="AA1355" i="1"/>
  <c r="Z1355" i="1"/>
  <c r="X1355" i="1"/>
  <c r="M1355" i="1"/>
  <c r="BD1355" i="1" s="1"/>
  <c r="K1355" i="1"/>
  <c r="AJ1355" i="1" s="1"/>
  <c r="BU1351" i="1"/>
  <c r="BH1351" i="1"/>
  <c r="BB1351" i="1"/>
  <c r="AN1351" i="1"/>
  <c r="AV1351" i="1" s="1"/>
  <c r="AM1351" i="1"/>
  <c r="AI1351" i="1"/>
  <c r="AH1351" i="1"/>
  <c r="AF1351" i="1"/>
  <c r="AE1351" i="1"/>
  <c r="AD1351" i="1"/>
  <c r="AA1351" i="1"/>
  <c r="Z1351" i="1"/>
  <c r="X1351" i="1"/>
  <c r="M1351" i="1"/>
  <c r="BD1351" i="1" s="1"/>
  <c r="K1351" i="1"/>
  <c r="AJ1351" i="1" s="1"/>
  <c r="BU1335" i="1"/>
  <c r="BH1335" i="1"/>
  <c r="BB1335" i="1"/>
  <c r="AN1335" i="1"/>
  <c r="AM1335" i="1"/>
  <c r="AI1335" i="1"/>
  <c r="AH1335" i="1"/>
  <c r="AF1335" i="1"/>
  <c r="AE1335" i="1"/>
  <c r="AD1335" i="1"/>
  <c r="AA1335" i="1"/>
  <c r="Z1335" i="1"/>
  <c r="X1335" i="1"/>
  <c r="M1335" i="1"/>
  <c r="BD1335" i="1" s="1"/>
  <c r="K1335" i="1"/>
  <c r="AJ1335" i="1" s="1"/>
  <c r="BU1327" i="1"/>
  <c r="BH1327" i="1"/>
  <c r="BB1327" i="1"/>
  <c r="AN1327" i="1"/>
  <c r="AM1327" i="1"/>
  <c r="AI1327" i="1"/>
  <c r="AH1327" i="1"/>
  <c r="AF1327" i="1"/>
  <c r="AE1327" i="1"/>
  <c r="AD1327" i="1"/>
  <c r="AA1327" i="1"/>
  <c r="Z1327" i="1"/>
  <c r="X1327" i="1"/>
  <c r="M1327" i="1"/>
  <c r="K1327" i="1"/>
  <c r="AJ1327" i="1" s="1"/>
  <c r="BU1324" i="1"/>
  <c r="BH1324" i="1"/>
  <c r="X1324" i="1" s="1"/>
  <c r="BB1324" i="1"/>
  <c r="AN1324" i="1"/>
  <c r="BG1324" i="1" s="1"/>
  <c r="AM1324" i="1"/>
  <c r="AI1324" i="1"/>
  <c r="AH1324" i="1"/>
  <c r="AF1324" i="1"/>
  <c r="AE1324" i="1"/>
  <c r="AD1324" i="1"/>
  <c r="AC1324" i="1"/>
  <c r="AB1324" i="1"/>
  <c r="AA1324" i="1"/>
  <c r="Z1324" i="1"/>
  <c r="M1324" i="1"/>
  <c r="BD1324" i="1" s="1"/>
  <c r="K1324" i="1"/>
  <c r="AJ1324" i="1" s="1"/>
  <c r="BU1322" i="1"/>
  <c r="BH1322" i="1"/>
  <c r="BB1322" i="1"/>
  <c r="AN1322" i="1"/>
  <c r="AM1322" i="1"/>
  <c r="AI1322" i="1"/>
  <c r="AH1322" i="1"/>
  <c r="AF1322" i="1"/>
  <c r="AE1322" i="1"/>
  <c r="AD1322" i="1"/>
  <c r="AA1322" i="1"/>
  <c r="Z1322" i="1"/>
  <c r="X1322" i="1"/>
  <c r="M1322" i="1"/>
  <c r="BD1322" i="1" s="1"/>
  <c r="K1322" i="1"/>
  <c r="AJ1322" i="1" s="1"/>
  <c r="BU1320" i="1"/>
  <c r="BH1320" i="1"/>
  <c r="BB1320" i="1"/>
  <c r="AN1320" i="1"/>
  <c r="AM1320" i="1"/>
  <c r="AI1320" i="1"/>
  <c r="AH1320" i="1"/>
  <c r="AF1320" i="1"/>
  <c r="AE1320" i="1"/>
  <c r="AD1320" i="1"/>
  <c r="AA1320" i="1"/>
  <c r="Z1320" i="1"/>
  <c r="X1320" i="1"/>
  <c r="M1320" i="1"/>
  <c r="BD1320" i="1" s="1"/>
  <c r="K1320" i="1"/>
  <c r="AJ1320" i="1" s="1"/>
  <c r="BU1318" i="1"/>
  <c r="BH1318" i="1"/>
  <c r="BB1318" i="1"/>
  <c r="AN1318" i="1"/>
  <c r="AM1318" i="1"/>
  <c r="AI1318" i="1"/>
  <c r="AH1318" i="1"/>
  <c r="AF1318" i="1"/>
  <c r="AE1318" i="1"/>
  <c r="AD1318" i="1"/>
  <c r="AA1318" i="1"/>
  <c r="Z1318" i="1"/>
  <c r="X1318" i="1"/>
  <c r="M1318" i="1"/>
  <c r="BD1318" i="1" s="1"/>
  <c r="K1318" i="1"/>
  <c r="AJ1318" i="1" s="1"/>
  <c r="BU1315" i="1"/>
  <c r="BH1315" i="1"/>
  <c r="BB1315" i="1"/>
  <c r="AN1315" i="1"/>
  <c r="AM1315" i="1"/>
  <c r="AI1315" i="1"/>
  <c r="AH1315" i="1"/>
  <c r="AF1315" i="1"/>
  <c r="AE1315" i="1"/>
  <c r="AD1315" i="1"/>
  <c r="AA1315" i="1"/>
  <c r="Z1315" i="1"/>
  <c r="X1315" i="1"/>
  <c r="M1315" i="1"/>
  <c r="BD1315" i="1" s="1"/>
  <c r="K1315" i="1"/>
  <c r="AJ1315" i="1" s="1"/>
  <c r="BU1313" i="1"/>
  <c r="BH1313" i="1"/>
  <c r="BB1313" i="1"/>
  <c r="AN1313" i="1"/>
  <c r="AV1313" i="1" s="1"/>
  <c r="AM1313" i="1"/>
  <c r="I1313" i="1" s="1"/>
  <c r="AI1313" i="1"/>
  <c r="AH1313" i="1"/>
  <c r="AF1313" i="1"/>
  <c r="AE1313" i="1"/>
  <c r="AD1313" i="1"/>
  <c r="AA1313" i="1"/>
  <c r="Z1313" i="1"/>
  <c r="X1313" i="1"/>
  <c r="M1313" i="1"/>
  <c r="BD1313" i="1" s="1"/>
  <c r="K1313" i="1"/>
  <c r="AJ1313" i="1" s="1"/>
  <c r="BU1311" i="1"/>
  <c r="BH1311" i="1"/>
  <c r="BB1311" i="1"/>
  <c r="AN1311" i="1"/>
  <c r="AV1311" i="1" s="1"/>
  <c r="AM1311" i="1"/>
  <c r="BF1311" i="1" s="1"/>
  <c r="AB1311" i="1" s="1"/>
  <c r="AI1311" i="1"/>
  <c r="AH1311" i="1"/>
  <c r="AF1311" i="1"/>
  <c r="AE1311" i="1"/>
  <c r="AD1311" i="1"/>
  <c r="AA1311" i="1"/>
  <c r="Z1311" i="1"/>
  <c r="X1311" i="1"/>
  <c r="M1311" i="1"/>
  <c r="BD1311" i="1" s="1"/>
  <c r="K1311" i="1"/>
  <c r="AJ1311" i="1" s="1"/>
  <c r="BU1309" i="1"/>
  <c r="BH1309" i="1"/>
  <c r="BB1309" i="1"/>
  <c r="AN1309" i="1"/>
  <c r="AM1309" i="1"/>
  <c r="I1309" i="1" s="1"/>
  <c r="AJ1309" i="1"/>
  <c r="AI1309" i="1"/>
  <c r="AH1309" i="1"/>
  <c r="AF1309" i="1"/>
  <c r="AE1309" i="1"/>
  <c r="AD1309" i="1"/>
  <c r="AA1309" i="1"/>
  <c r="Z1309" i="1"/>
  <c r="X1309" i="1"/>
  <c r="M1309" i="1"/>
  <c r="BD1309" i="1" s="1"/>
  <c r="K1309" i="1"/>
  <c r="BU1306" i="1"/>
  <c r="BH1306" i="1"/>
  <c r="BB1306" i="1"/>
  <c r="AN1306" i="1"/>
  <c r="AV1306" i="1" s="1"/>
  <c r="AM1306" i="1"/>
  <c r="AI1306" i="1"/>
  <c r="AH1306" i="1"/>
  <c r="AF1306" i="1"/>
  <c r="AE1306" i="1"/>
  <c r="AD1306" i="1"/>
  <c r="AA1306" i="1"/>
  <c r="Z1306" i="1"/>
  <c r="X1306" i="1"/>
  <c r="M1306" i="1"/>
  <c r="BD1306" i="1" s="1"/>
  <c r="K1306" i="1"/>
  <c r="AJ1306" i="1" s="1"/>
  <c r="BU1304" i="1"/>
  <c r="BH1304" i="1"/>
  <c r="BB1304" i="1"/>
  <c r="AN1304" i="1"/>
  <c r="AM1304" i="1"/>
  <c r="AI1304" i="1"/>
  <c r="AH1304" i="1"/>
  <c r="AF1304" i="1"/>
  <c r="AE1304" i="1"/>
  <c r="AD1304" i="1"/>
  <c r="AA1304" i="1"/>
  <c r="Z1304" i="1"/>
  <c r="X1304" i="1"/>
  <c r="M1304" i="1"/>
  <c r="BD1304" i="1" s="1"/>
  <c r="K1304" i="1"/>
  <c r="AJ1304" i="1" s="1"/>
  <c r="BU1302" i="1"/>
  <c r="BH1302" i="1"/>
  <c r="BB1302" i="1"/>
  <c r="AN1302" i="1"/>
  <c r="J1302" i="1" s="1"/>
  <c r="AM1302" i="1"/>
  <c r="AI1302" i="1"/>
  <c r="AH1302" i="1"/>
  <c r="AF1302" i="1"/>
  <c r="AE1302" i="1"/>
  <c r="AD1302" i="1"/>
  <c r="AA1302" i="1"/>
  <c r="Z1302" i="1"/>
  <c r="X1302" i="1"/>
  <c r="M1302" i="1"/>
  <c r="BD1302" i="1" s="1"/>
  <c r="K1302" i="1"/>
  <c r="AJ1302" i="1" s="1"/>
  <c r="BU1300" i="1"/>
  <c r="BH1300" i="1"/>
  <c r="BB1300" i="1"/>
  <c r="AN1300" i="1"/>
  <c r="J1300" i="1" s="1"/>
  <c r="AM1300" i="1"/>
  <c r="I1300" i="1" s="1"/>
  <c r="AI1300" i="1"/>
  <c r="AH1300" i="1"/>
  <c r="AF1300" i="1"/>
  <c r="AE1300" i="1"/>
  <c r="AD1300" i="1"/>
  <c r="AA1300" i="1"/>
  <c r="Z1300" i="1"/>
  <c r="X1300" i="1"/>
  <c r="M1300" i="1"/>
  <c r="BD1300" i="1" s="1"/>
  <c r="K1300" i="1"/>
  <c r="AJ1300" i="1" s="1"/>
  <c r="BU1298" i="1"/>
  <c r="BH1298" i="1"/>
  <c r="BB1298" i="1"/>
  <c r="AN1298" i="1"/>
  <c r="AM1298" i="1"/>
  <c r="AI1298" i="1"/>
  <c r="AH1298" i="1"/>
  <c r="AF1298" i="1"/>
  <c r="AE1298" i="1"/>
  <c r="AD1298" i="1"/>
  <c r="AA1298" i="1"/>
  <c r="Z1298" i="1"/>
  <c r="X1298" i="1"/>
  <c r="M1298" i="1"/>
  <c r="BD1298" i="1" s="1"/>
  <c r="K1298" i="1"/>
  <c r="BU1296" i="1"/>
  <c r="BH1296" i="1"/>
  <c r="X1296" i="1" s="1"/>
  <c r="BB1296" i="1"/>
  <c r="AN1296" i="1"/>
  <c r="AM1296" i="1"/>
  <c r="AI1296" i="1"/>
  <c r="AH1296" i="1"/>
  <c r="AF1296" i="1"/>
  <c r="AE1296" i="1"/>
  <c r="AD1296" i="1"/>
  <c r="AC1296" i="1"/>
  <c r="AB1296" i="1"/>
  <c r="AA1296" i="1"/>
  <c r="Z1296" i="1"/>
  <c r="M1296" i="1"/>
  <c r="BD1296" i="1" s="1"/>
  <c r="K1296" i="1"/>
  <c r="AJ1296" i="1" s="1"/>
  <c r="BU1293" i="1"/>
  <c r="BH1293" i="1"/>
  <c r="BB1293" i="1"/>
  <c r="AN1293" i="1"/>
  <c r="J1293" i="1" s="1"/>
  <c r="AM1293" i="1"/>
  <c r="BF1293" i="1" s="1"/>
  <c r="AB1293" i="1" s="1"/>
  <c r="AI1293" i="1"/>
  <c r="AH1293" i="1"/>
  <c r="AF1293" i="1"/>
  <c r="AE1293" i="1"/>
  <c r="AD1293" i="1"/>
  <c r="AA1293" i="1"/>
  <c r="Z1293" i="1"/>
  <c r="X1293" i="1"/>
  <c r="M1293" i="1"/>
  <c r="BD1293" i="1" s="1"/>
  <c r="K1293" i="1"/>
  <c r="AJ1293" i="1" s="1"/>
  <c r="BU1291" i="1"/>
  <c r="BH1291" i="1"/>
  <c r="BB1291" i="1"/>
  <c r="AN1291" i="1"/>
  <c r="AM1291" i="1"/>
  <c r="BF1291" i="1" s="1"/>
  <c r="AB1291" i="1" s="1"/>
  <c r="AI1291" i="1"/>
  <c r="AH1291" i="1"/>
  <c r="AF1291" i="1"/>
  <c r="AE1291" i="1"/>
  <c r="AD1291" i="1"/>
  <c r="AA1291" i="1"/>
  <c r="Z1291" i="1"/>
  <c r="X1291" i="1"/>
  <c r="M1291" i="1"/>
  <c r="BD1291" i="1" s="1"/>
  <c r="K1291" i="1"/>
  <c r="BU1289" i="1"/>
  <c r="BH1289" i="1"/>
  <c r="BB1289" i="1"/>
  <c r="AN1289" i="1"/>
  <c r="AM1289" i="1"/>
  <c r="BF1289" i="1" s="1"/>
  <c r="AB1289" i="1" s="1"/>
  <c r="AI1289" i="1"/>
  <c r="AH1289" i="1"/>
  <c r="AF1289" i="1"/>
  <c r="AE1289" i="1"/>
  <c r="AD1289" i="1"/>
  <c r="AA1289" i="1"/>
  <c r="Z1289" i="1"/>
  <c r="X1289" i="1"/>
  <c r="M1289" i="1"/>
  <c r="BD1289" i="1" s="1"/>
  <c r="K1289" i="1"/>
  <c r="AJ1289" i="1" s="1"/>
  <c r="BU1287" i="1"/>
  <c r="BH1287" i="1"/>
  <c r="BB1287" i="1"/>
  <c r="AN1287" i="1"/>
  <c r="AM1287" i="1"/>
  <c r="AI1287" i="1"/>
  <c r="AH1287" i="1"/>
  <c r="AF1287" i="1"/>
  <c r="AE1287" i="1"/>
  <c r="AD1287" i="1"/>
  <c r="AA1287" i="1"/>
  <c r="Z1287" i="1"/>
  <c r="X1287" i="1"/>
  <c r="M1287" i="1"/>
  <c r="BD1287" i="1" s="1"/>
  <c r="K1287" i="1"/>
  <c r="AJ1287" i="1" s="1"/>
  <c r="BU1285" i="1"/>
  <c r="BH1285" i="1"/>
  <c r="BB1285" i="1"/>
  <c r="AN1285" i="1"/>
  <c r="AV1285" i="1" s="1"/>
  <c r="AM1285" i="1"/>
  <c r="AI1285" i="1"/>
  <c r="AH1285" i="1"/>
  <c r="AF1285" i="1"/>
  <c r="AE1285" i="1"/>
  <c r="AD1285" i="1"/>
  <c r="AA1285" i="1"/>
  <c r="Z1285" i="1"/>
  <c r="X1285" i="1"/>
  <c r="M1285" i="1"/>
  <c r="BD1285" i="1" s="1"/>
  <c r="K1285" i="1"/>
  <c r="AJ1285" i="1" s="1"/>
  <c r="BU1283" i="1"/>
  <c r="BH1283" i="1"/>
  <c r="BB1283" i="1"/>
  <c r="AN1283" i="1"/>
  <c r="AM1283" i="1"/>
  <c r="AU1283" i="1" s="1"/>
  <c r="AI1283" i="1"/>
  <c r="AH1283" i="1"/>
  <c r="AF1283" i="1"/>
  <c r="AE1283" i="1"/>
  <c r="AD1283" i="1"/>
  <c r="AA1283" i="1"/>
  <c r="Z1283" i="1"/>
  <c r="X1283" i="1"/>
  <c r="M1283" i="1"/>
  <c r="BD1283" i="1" s="1"/>
  <c r="K1283" i="1"/>
  <c r="AJ1283" i="1" s="1"/>
  <c r="BU1281" i="1"/>
  <c r="BH1281" i="1"/>
  <c r="BB1281" i="1"/>
  <c r="AN1281" i="1"/>
  <c r="AM1281" i="1"/>
  <c r="BF1281" i="1" s="1"/>
  <c r="AB1281" i="1" s="1"/>
  <c r="AI1281" i="1"/>
  <c r="AH1281" i="1"/>
  <c r="AF1281" i="1"/>
  <c r="AE1281" i="1"/>
  <c r="AD1281" i="1"/>
  <c r="AA1281" i="1"/>
  <c r="Z1281" i="1"/>
  <c r="X1281" i="1"/>
  <c r="M1281" i="1"/>
  <c r="BD1281" i="1" s="1"/>
  <c r="K1281" i="1"/>
  <c r="AJ1281" i="1" s="1"/>
  <c r="BU1279" i="1"/>
  <c r="BH1279" i="1"/>
  <c r="BB1279" i="1"/>
  <c r="AN1279" i="1"/>
  <c r="AM1279" i="1"/>
  <c r="AI1279" i="1"/>
  <c r="AH1279" i="1"/>
  <c r="AF1279" i="1"/>
  <c r="AE1279" i="1"/>
  <c r="AD1279" i="1"/>
  <c r="AA1279" i="1"/>
  <c r="Z1279" i="1"/>
  <c r="X1279" i="1"/>
  <c r="M1279" i="1"/>
  <c r="BD1279" i="1" s="1"/>
  <c r="K1279" i="1"/>
  <c r="AJ1279" i="1" s="1"/>
  <c r="BU1277" i="1"/>
  <c r="BH1277" i="1"/>
  <c r="BB1277" i="1"/>
  <c r="AN1277" i="1"/>
  <c r="J1277" i="1" s="1"/>
  <c r="AM1277" i="1"/>
  <c r="BF1277" i="1" s="1"/>
  <c r="AB1277" i="1" s="1"/>
  <c r="AI1277" i="1"/>
  <c r="AH1277" i="1"/>
  <c r="AF1277" i="1"/>
  <c r="AE1277" i="1"/>
  <c r="AD1277" i="1"/>
  <c r="AA1277" i="1"/>
  <c r="Z1277" i="1"/>
  <c r="X1277" i="1"/>
  <c r="M1277" i="1"/>
  <c r="BD1277" i="1" s="1"/>
  <c r="K1277" i="1"/>
  <c r="AJ1277" i="1" s="1"/>
  <c r="BU1275" i="1"/>
  <c r="BH1275" i="1"/>
  <c r="BB1275" i="1"/>
  <c r="AN1275" i="1"/>
  <c r="AM1275" i="1"/>
  <c r="AI1275" i="1"/>
  <c r="AH1275" i="1"/>
  <c r="AF1275" i="1"/>
  <c r="AE1275" i="1"/>
  <c r="AD1275" i="1"/>
  <c r="AA1275" i="1"/>
  <c r="Z1275" i="1"/>
  <c r="X1275" i="1"/>
  <c r="M1275" i="1"/>
  <c r="BD1275" i="1" s="1"/>
  <c r="K1275" i="1"/>
  <c r="AJ1275" i="1" s="1"/>
  <c r="BU1273" i="1"/>
  <c r="BH1273" i="1"/>
  <c r="BB1273" i="1"/>
  <c r="AN1273" i="1"/>
  <c r="AM1273" i="1"/>
  <c r="AI1273" i="1"/>
  <c r="AH1273" i="1"/>
  <c r="AF1273" i="1"/>
  <c r="AE1273" i="1"/>
  <c r="AD1273" i="1"/>
  <c r="AA1273" i="1"/>
  <c r="Z1273" i="1"/>
  <c r="X1273" i="1"/>
  <c r="M1273" i="1"/>
  <c r="BD1273" i="1" s="1"/>
  <c r="K1273" i="1"/>
  <c r="AJ1273" i="1" s="1"/>
  <c r="BU1271" i="1"/>
  <c r="BH1271" i="1"/>
  <c r="BB1271" i="1"/>
  <c r="AN1271" i="1"/>
  <c r="AM1271" i="1"/>
  <c r="AI1271" i="1"/>
  <c r="AH1271" i="1"/>
  <c r="AF1271" i="1"/>
  <c r="AE1271" i="1"/>
  <c r="AD1271" i="1"/>
  <c r="AA1271" i="1"/>
  <c r="Z1271" i="1"/>
  <c r="X1271" i="1"/>
  <c r="M1271" i="1"/>
  <c r="BD1271" i="1" s="1"/>
  <c r="K1271" i="1"/>
  <c r="AJ1271" i="1" s="1"/>
  <c r="BU1269" i="1"/>
  <c r="BH1269" i="1"/>
  <c r="BB1269" i="1"/>
  <c r="AN1269" i="1"/>
  <c r="AM1269" i="1"/>
  <c r="AI1269" i="1"/>
  <c r="AH1269" i="1"/>
  <c r="AF1269" i="1"/>
  <c r="AE1269" i="1"/>
  <c r="AD1269" i="1"/>
  <c r="AA1269" i="1"/>
  <c r="Z1269" i="1"/>
  <c r="X1269" i="1"/>
  <c r="M1269" i="1"/>
  <c r="BD1269" i="1" s="1"/>
  <c r="K1269" i="1"/>
  <c r="AJ1269" i="1" s="1"/>
  <c r="BU1267" i="1"/>
  <c r="BH1267" i="1"/>
  <c r="BB1267" i="1"/>
  <c r="AN1267" i="1"/>
  <c r="BG1267" i="1" s="1"/>
  <c r="AC1267" i="1" s="1"/>
  <c r="AM1267" i="1"/>
  <c r="AI1267" i="1"/>
  <c r="AH1267" i="1"/>
  <c r="AF1267" i="1"/>
  <c r="AE1267" i="1"/>
  <c r="AD1267" i="1"/>
  <c r="AA1267" i="1"/>
  <c r="Z1267" i="1"/>
  <c r="X1267" i="1"/>
  <c r="M1267" i="1"/>
  <c r="BD1267" i="1" s="1"/>
  <c r="K1267" i="1"/>
  <c r="AJ1267" i="1" s="1"/>
  <c r="BU1265" i="1"/>
  <c r="BH1265" i="1"/>
  <c r="BB1265" i="1"/>
  <c r="AN1265" i="1"/>
  <c r="AM1265" i="1"/>
  <c r="AI1265" i="1"/>
  <c r="AH1265" i="1"/>
  <c r="AF1265" i="1"/>
  <c r="AE1265" i="1"/>
  <c r="AD1265" i="1"/>
  <c r="AA1265" i="1"/>
  <c r="Z1265" i="1"/>
  <c r="X1265" i="1"/>
  <c r="M1265" i="1"/>
  <c r="BD1265" i="1" s="1"/>
  <c r="K1265" i="1"/>
  <c r="BU1263" i="1"/>
  <c r="BH1263" i="1"/>
  <c r="BB1263" i="1"/>
  <c r="AN1263" i="1"/>
  <c r="AM1263" i="1"/>
  <c r="AU1263" i="1" s="1"/>
  <c r="AI1263" i="1"/>
  <c r="AH1263" i="1"/>
  <c r="AF1263" i="1"/>
  <c r="AE1263" i="1"/>
  <c r="AD1263" i="1"/>
  <c r="AA1263" i="1"/>
  <c r="Z1263" i="1"/>
  <c r="X1263" i="1"/>
  <c r="M1263" i="1"/>
  <c r="BD1263" i="1" s="1"/>
  <c r="K1263" i="1"/>
  <c r="AJ1263" i="1" s="1"/>
  <c r="BU1261" i="1"/>
  <c r="BH1261" i="1"/>
  <c r="X1261" i="1" s="1"/>
  <c r="BB1261" i="1"/>
  <c r="AN1261" i="1"/>
  <c r="BG1261" i="1" s="1"/>
  <c r="AM1261" i="1"/>
  <c r="BF1261" i="1" s="1"/>
  <c r="AI1261" i="1"/>
  <c r="AH1261" i="1"/>
  <c r="AF1261" i="1"/>
  <c r="AE1261" i="1"/>
  <c r="AD1261" i="1"/>
  <c r="AC1261" i="1"/>
  <c r="AB1261" i="1"/>
  <c r="AA1261" i="1"/>
  <c r="Z1261" i="1"/>
  <c r="M1261" i="1"/>
  <c r="BD1261" i="1" s="1"/>
  <c r="K1261" i="1"/>
  <c r="AJ1261" i="1" s="1"/>
  <c r="BU1259" i="1"/>
  <c r="BH1259" i="1"/>
  <c r="BB1259" i="1"/>
  <c r="AN1259" i="1"/>
  <c r="BG1259" i="1" s="1"/>
  <c r="AC1259" i="1" s="1"/>
  <c r="AM1259" i="1"/>
  <c r="AI1259" i="1"/>
  <c r="AH1259" i="1"/>
  <c r="AF1259" i="1"/>
  <c r="AE1259" i="1"/>
  <c r="AD1259" i="1"/>
  <c r="AA1259" i="1"/>
  <c r="Z1259" i="1"/>
  <c r="X1259" i="1"/>
  <c r="M1259" i="1"/>
  <c r="BD1259" i="1" s="1"/>
  <c r="K1259" i="1"/>
  <c r="AJ1259" i="1" s="1"/>
  <c r="BU1256" i="1"/>
  <c r="BH1256" i="1"/>
  <c r="BB1256" i="1"/>
  <c r="AN1256" i="1"/>
  <c r="AM1256" i="1"/>
  <c r="AI1256" i="1"/>
  <c r="AH1256" i="1"/>
  <c r="AF1256" i="1"/>
  <c r="AE1256" i="1"/>
  <c r="AD1256" i="1"/>
  <c r="AA1256" i="1"/>
  <c r="Z1256" i="1"/>
  <c r="X1256" i="1"/>
  <c r="M1256" i="1"/>
  <c r="BD1256" i="1" s="1"/>
  <c r="K1256" i="1"/>
  <c r="AJ1256" i="1" s="1"/>
  <c r="BU1254" i="1"/>
  <c r="BH1254" i="1"/>
  <c r="BB1254" i="1"/>
  <c r="AN1254" i="1"/>
  <c r="AM1254" i="1"/>
  <c r="AI1254" i="1"/>
  <c r="AH1254" i="1"/>
  <c r="AF1254" i="1"/>
  <c r="AE1254" i="1"/>
  <c r="AD1254" i="1"/>
  <c r="AA1254" i="1"/>
  <c r="Z1254" i="1"/>
  <c r="X1254" i="1"/>
  <c r="M1254" i="1"/>
  <c r="BD1254" i="1" s="1"/>
  <c r="K1254" i="1"/>
  <c r="AJ1254" i="1" s="1"/>
  <c r="BU1252" i="1"/>
  <c r="BH1252" i="1"/>
  <c r="X1252" i="1" s="1"/>
  <c r="BB1252" i="1"/>
  <c r="AN1252" i="1"/>
  <c r="AM1252" i="1"/>
  <c r="AI1252" i="1"/>
  <c r="AH1252" i="1"/>
  <c r="AF1252" i="1"/>
  <c r="AE1252" i="1"/>
  <c r="AD1252" i="1"/>
  <c r="AC1252" i="1"/>
  <c r="AB1252" i="1"/>
  <c r="AA1252" i="1"/>
  <c r="Z1252" i="1"/>
  <c r="M1252" i="1"/>
  <c r="BD1252" i="1" s="1"/>
  <c r="K1252" i="1"/>
  <c r="AJ1252" i="1" s="1"/>
  <c r="BU1250" i="1"/>
  <c r="BH1250" i="1"/>
  <c r="BB1250" i="1"/>
  <c r="AN1250" i="1"/>
  <c r="AV1250" i="1" s="1"/>
  <c r="AM1250" i="1"/>
  <c r="AU1250" i="1" s="1"/>
  <c r="AI1250" i="1"/>
  <c r="AH1250" i="1"/>
  <c r="AF1250" i="1"/>
  <c r="AE1250" i="1"/>
  <c r="AD1250" i="1"/>
  <c r="AA1250" i="1"/>
  <c r="Z1250" i="1"/>
  <c r="X1250" i="1"/>
  <c r="M1250" i="1"/>
  <c r="K1250" i="1"/>
  <c r="BU1248" i="1"/>
  <c r="BH1248" i="1"/>
  <c r="X1248" i="1" s="1"/>
  <c r="BB1248" i="1"/>
  <c r="AN1248" i="1"/>
  <c r="AM1248" i="1"/>
  <c r="AI1248" i="1"/>
  <c r="AH1248" i="1"/>
  <c r="AF1248" i="1"/>
  <c r="AE1248" i="1"/>
  <c r="AD1248" i="1"/>
  <c r="AC1248" i="1"/>
  <c r="AB1248" i="1"/>
  <c r="AA1248" i="1"/>
  <c r="Z1248" i="1"/>
  <c r="M1248" i="1"/>
  <c r="BD1248" i="1" s="1"/>
  <c r="K1248" i="1"/>
  <c r="AJ1248" i="1" s="1"/>
  <c r="BU1246" i="1"/>
  <c r="BH1246" i="1"/>
  <c r="BB1246" i="1"/>
  <c r="AN1246" i="1"/>
  <c r="AM1246" i="1"/>
  <c r="AU1246" i="1" s="1"/>
  <c r="AI1246" i="1"/>
  <c r="AH1246" i="1"/>
  <c r="AF1246" i="1"/>
  <c r="AE1246" i="1"/>
  <c r="AD1246" i="1"/>
  <c r="AA1246" i="1"/>
  <c r="Z1246" i="1"/>
  <c r="X1246" i="1"/>
  <c r="M1246" i="1"/>
  <c r="BD1246" i="1" s="1"/>
  <c r="K1246" i="1"/>
  <c r="AJ1246" i="1" s="1"/>
  <c r="BU1244" i="1"/>
  <c r="BH1244" i="1"/>
  <c r="BB1244" i="1"/>
  <c r="AN1244" i="1"/>
  <c r="AM1244" i="1"/>
  <c r="AI1244" i="1"/>
  <c r="AH1244" i="1"/>
  <c r="AF1244" i="1"/>
  <c r="AE1244" i="1"/>
  <c r="AD1244" i="1"/>
  <c r="AA1244" i="1"/>
  <c r="Z1244" i="1"/>
  <c r="X1244" i="1"/>
  <c r="M1244" i="1"/>
  <c r="BD1244" i="1" s="1"/>
  <c r="K1244" i="1"/>
  <c r="AJ1244" i="1" s="1"/>
  <c r="BU1242" i="1"/>
  <c r="BH1242" i="1"/>
  <c r="BB1242" i="1"/>
  <c r="AN1242" i="1"/>
  <c r="AM1242" i="1"/>
  <c r="AI1242" i="1"/>
  <c r="AH1242" i="1"/>
  <c r="AF1242" i="1"/>
  <c r="AE1242" i="1"/>
  <c r="AD1242" i="1"/>
  <c r="AA1242" i="1"/>
  <c r="Z1242" i="1"/>
  <c r="X1242" i="1"/>
  <c r="M1242" i="1"/>
  <c r="BD1242" i="1" s="1"/>
  <c r="K1242" i="1"/>
  <c r="AJ1242" i="1" s="1"/>
  <c r="BU1240" i="1"/>
  <c r="BH1240" i="1"/>
  <c r="BB1240" i="1"/>
  <c r="AN1240" i="1"/>
  <c r="AM1240" i="1"/>
  <c r="BF1240" i="1" s="1"/>
  <c r="AB1240" i="1" s="1"/>
  <c r="AI1240" i="1"/>
  <c r="AH1240" i="1"/>
  <c r="AF1240" i="1"/>
  <c r="AE1240" i="1"/>
  <c r="AD1240" i="1"/>
  <c r="AA1240" i="1"/>
  <c r="Z1240" i="1"/>
  <c r="X1240" i="1"/>
  <c r="M1240" i="1"/>
  <c r="BD1240" i="1" s="1"/>
  <c r="K1240" i="1"/>
  <c r="BU1238" i="1"/>
  <c r="BH1238" i="1"/>
  <c r="BB1238" i="1"/>
  <c r="AN1238" i="1"/>
  <c r="AM1238" i="1"/>
  <c r="AI1238" i="1"/>
  <c r="AH1238" i="1"/>
  <c r="AF1238" i="1"/>
  <c r="AE1238" i="1"/>
  <c r="AD1238" i="1"/>
  <c r="AA1238" i="1"/>
  <c r="Z1238" i="1"/>
  <c r="X1238" i="1"/>
  <c r="M1238" i="1"/>
  <c r="BD1238" i="1" s="1"/>
  <c r="K1238" i="1"/>
  <c r="AJ1238" i="1" s="1"/>
  <c r="BU1236" i="1"/>
  <c r="BH1236" i="1"/>
  <c r="BB1236" i="1"/>
  <c r="AN1236" i="1"/>
  <c r="AM1236" i="1"/>
  <c r="AI1236" i="1"/>
  <c r="AH1236" i="1"/>
  <c r="AF1236" i="1"/>
  <c r="AE1236" i="1"/>
  <c r="AD1236" i="1"/>
  <c r="AA1236" i="1"/>
  <c r="Z1236" i="1"/>
  <c r="X1236" i="1"/>
  <c r="M1236" i="1"/>
  <c r="K1236" i="1"/>
  <c r="AJ1236" i="1" s="1"/>
  <c r="BU1234" i="1"/>
  <c r="BH1234" i="1"/>
  <c r="X1234" i="1" s="1"/>
  <c r="BB1234" i="1"/>
  <c r="AN1234" i="1"/>
  <c r="BG1234" i="1" s="1"/>
  <c r="AM1234" i="1"/>
  <c r="BF1234" i="1" s="1"/>
  <c r="AI1234" i="1"/>
  <c r="AH1234" i="1"/>
  <c r="AF1234" i="1"/>
  <c r="AE1234" i="1"/>
  <c r="AD1234" i="1"/>
  <c r="AC1234" i="1"/>
  <c r="AB1234" i="1"/>
  <c r="AA1234" i="1"/>
  <c r="Z1234" i="1"/>
  <c r="M1234" i="1"/>
  <c r="BD1234" i="1" s="1"/>
  <c r="K1234" i="1"/>
  <c r="AJ1234" i="1" s="1"/>
  <c r="BU1228" i="1"/>
  <c r="BH1228" i="1"/>
  <c r="BB1228" i="1"/>
  <c r="AN1228" i="1"/>
  <c r="AM1228" i="1"/>
  <c r="AI1228" i="1"/>
  <c r="AH1228" i="1"/>
  <c r="AF1228" i="1"/>
  <c r="AE1228" i="1"/>
  <c r="AD1228" i="1"/>
  <c r="AA1228" i="1"/>
  <c r="Z1228" i="1"/>
  <c r="X1228" i="1"/>
  <c r="M1228" i="1"/>
  <c r="BD1228" i="1" s="1"/>
  <c r="K1228" i="1"/>
  <c r="BU1223" i="1"/>
  <c r="BH1223" i="1"/>
  <c r="BB1223" i="1"/>
  <c r="AN1223" i="1"/>
  <c r="AM1223" i="1"/>
  <c r="AI1223" i="1"/>
  <c r="AH1223" i="1"/>
  <c r="AF1223" i="1"/>
  <c r="AE1223" i="1"/>
  <c r="AD1223" i="1"/>
  <c r="AA1223" i="1"/>
  <c r="Z1223" i="1"/>
  <c r="X1223" i="1"/>
  <c r="M1223" i="1"/>
  <c r="BD1223" i="1" s="1"/>
  <c r="K1223" i="1"/>
  <c r="AJ1223" i="1" s="1"/>
  <c r="BU1217" i="1"/>
  <c r="BH1217" i="1"/>
  <c r="BB1217" i="1"/>
  <c r="AN1217" i="1"/>
  <c r="J1217" i="1" s="1"/>
  <c r="AM1217" i="1"/>
  <c r="AU1217" i="1" s="1"/>
  <c r="AI1217" i="1"/>
  <c r="AH1217" i="1"/>
  <c r="AF1217" i="1"/>
  <c r="AE1217" i="1"/>
  <c r="AD1217" i="1"/>
  <c r="AA1217" i="1"/>
  <c r="Z1217" i="1"/>
  <c r="X1217" i="1"/>
  <c r="M1217" i="1"/>
  <c r="BD1217" i="1" s="1"/>
  <c r="K1217" i="1"/>
  <c r="AJ1217" i="1" s="1"/>
  <c r="BU1211" i="1"/>
  <c r="BH1211" i="1"/>
  <c r="BB1211" i="1"/>
  <c r="AN1211" i="1"/>
  <c r="J1211" i="1" s="1"/>
  <c r="AM1211" i="1"/>
  <c r="AI1211" i="1"/>
  <c r="AH1211" i="1"/>
  <c r="AF1211" i="1"/>
  <c r="AE1211" i="1"/>
  <c r="AD1211" i="1"/>
  <c r="AA1211" i="1"/>
  <c r="Z1211" i="1"/>
  <c r="X1211" i="1"/>
  <c r="M1211" i="1"/>
  <c r="BD1211" i="1" s="1"/>
  <c r="K1211" i="1"/>
  <c r="BU1206" i="1"/>
  <c r="BH1206" i="1"/>
  <c r="BB1206" i="1"/>
  <c r="AN1206" i="1"/>
  <c r="BG1206" i="1" s="1"/>
  <c r="AC1206" i="1" s="1"/>
  <c r="AM1206" i="1"/>
  <c r="AI1206" i="1"/>
  <c r="AH1206" i="1"/>
  <c r="AF1206" i="1"/>
  <c r="AE1206" i="1"/>
  <c r="AD1206" i="1"/>
  <c r="AA1206" i="1"/>
  <c r="Z1206" i="1"/>
  <c r="X1206" i="1"/>
  <c r="M1206" i="1"/>
  <c r="BD1206" i="1" s="1"/>
  <c r="K1206" i="1"/>
  <c r="AJ1206" i="1" s="1"/>
  <c r="BU1200" i="1"/>
  <c r="BH1200" i="1"/>
  <c r="BB1200" i="1"/>
  <c r="AN1200" i="1"/>
  <c r="AM1200" i="1"/>
  <c r="AI1200" i="1"/>
  <c r="AH1200" i="1"/>
  <c r="AF1200" i="1"/>
  <c r="AE1200" i="1"/>
  <c r="AD1200" i="1"/>
  <c r="AA1200" i="1"/>
  <c r="Z1200" i="1"/>
  <c r="X1200" i="1"/>
  <c r="M1200" i="1"/>
  <c r="BD1200" i="1" s="1"/>
  <c r="K1200" i="1"/>
  <c r="AJ1200" i="1" s="1"/>
  <c r="BU1194" i="1"/>
  <c r="BH1194" i="1"/>
  <c r="BB1194" i="1"/>
  <c r="AN1194" i="1"/>
  <c r="BG1194" i="1" s="1"/>
  <c r="AC1194" i="1" s="1"/>
  <c r="AM1194" i="1"/>
  <c r="AU1194" i="1" s="1"/>
  <c r="AI1194" i="1"/>
  <c r="AH1194" i="1"/>
  <c r="AF1194" i="1"/>
  <c r="AE1194" i="1"/>
  <c r="AD1194" i="1"/>
  <c r="AA1194" i="1"/>
  <c r="Z1194" i="1"/>
  <c r="X1194" i="1"/>
  <c r="M1194" i="1"/>
  <c r="K1194" i="1"/>
  <c r="BU1191" i="1"/>
  <c r="BH1191" i="1"/>
  <c r="X1191" i="1" s="1"/>
  <c r="BB1191" i="1"/>
  <c r="AN1191" i="1"/>
  <c r="AM1191" i="1"/>
  <c r="AI1191" i="1"/>
  <c r="AH1191" i="1"/>
  <c r="AF1191" i="1"/>
  <c r="AE1191" i="1"/>
  <c r="AD1191" i="1"/>
  <c r="AC1191" i="1"/>
  <c r="AB1191" i="1"/>
  <c r="AA1191" i="1"/>
  <c r="Z1191" i="1"/>
  <c r="M1191" i="1"/>
  <c r="BD1191" i="1" s="1"/>
  <c r="K1191" i="1"/>
  <c r="AJ1191" i="1" s="1"/>
  <c r="BU1189" i="1"/>
  <c r="BH1189" i="1"/>
  <c r="BB1189" i="1"/>
  <c r="AN1189" i="1"/>
  <c r="J1189" i="1" s="1"/>
  <c r="AM1189" i="1"/>
  <c r="AU1189" i="1" s="1"/>
  <c r="AI1189" i="1"/>
  <c r="AH1189" i="1"/>
  <c r="AF1189" i="1"/>
  <c r="AE1189" i="1"/>
  <c r="AD1189" i="1"/>
  <c r="AA1189" i="1"/>
  <c r="Z1189" i="1"/>
  <c r="X1189" i="1"/>
  <c r="M1189" i="1"/>
  <c r="BD1189" i="1" s="1"/>
  <c r="K1189" i="1"/>
  <c r="BU1187" i="1"/>
  <c r="BH1187" i="1"/>
  <c r="BB1187" i="1"/>
  <c r="AN1187" i="1"/>
  <c r="AM1187" i="1"/>
  <c r="I1187" i="1" s="1"/>
  <c r="AI1187" i="1"/>
  <c r="AH1187" i="1"/>
  <c r="AF1187" i="1"/>
  <c r="AE1187" i="1"/>
  <c r="AD1187" i="1"/>
  <c r="AA1187" i="1"/>
  <c r="Z1187" i="1"/>
  <c r="X1187" i="1"/>
  <c r="M1187" i="1"/>
  <c r="BD1187" i="1" s="1"/>
  <c r="K1187" i="1"/>
  <c r="AJ1187" i="1" s="1"/>
  <c r="BU1185" i="1"/>
  <c r="BH1185" i="1"/>
  <c r="BB1185" i="1"/>
  <c r="AN1185" i="1"/>
  <c r="AM1185" i="1"/>
  <c r="AI1185" i="1"/>
  <c r="AH1185" i="1"/>
  <c r="AF1185" i="1"/>
  <c r="AE1185" i="1"/>
  <c r="AD1185" i="1"/>
  <c r="AA1185" i="1"/>
  <c r="Z1185" i="1"/>
  <c r="X1185" i="1"/>
  <c r="M1185" i="1"/>
  <c r="BD1185" i="1" s="1"/>
  <c r="K1185" i="1"/>
  <c r="AJ1185" i="1" s="1"/>
  <c r="BU1183" i="1"/>
  <c r="BH1183" i="1"/>
  <c r="BB1183" i="1"/>
  <c r="AN1183" i="1"/>
  <c r="J1183" i="1" s="1"/>
  <c r="AM1183" i="1"/>
  <c r="BF1183" i="1" s="1"/>
  <c r="AB1183" i="1" s="1"/>
  <c r="AI1183" i="1"/>
  <c r="AH1183" i="1"/>
  <c r="AF1183" i="1"/>
  <c r="AE1183" i="1"/>
  <c r="AD1183" i="1"/>
  <c r="AA1183" i="1"/>
  <c r="Z1183" i="1"/>
  <c r="X1183" i="1"/>
  <c r="M1183" i="1"/>
  <c r="BD1183" i="1" s="1"/>
  <c r="K1183" i="1"/>
  <c r="AJ1183" i="1" s="1"/>
  <c r="BU1177" i="1"/>
  <c r="BH1177" i="1"/>
  <c r="BB1177" i="1"/>
  <c r="AN1177" i="1"/>
  <c r="BG1177" i="1" s="1"/>
  <c r="AC1177" i="1" s="1"/>
  <c r="AM1177" i="1"/>
  <c r="AU1177" i="1" s="1"/>
  <c r="AI1177" i="1"/>
  <c r="AH1177" i="1"/>
  <c r="AF1177" i="1"/>
  <c r="AE1177" i="1"/>
  <c r="AD1177" i="1"/>
  <c r="AA1177" i="1"/>
  <c r="Z1177" i="1"/>
  <c r="X1177" i="1"/>
  <c r="M1177" i="1"/>
  <c r="BD1177" i="1" s="1"/>
  <c r="K1177" i="1"/>
  <c r="AJ1177" i="1" s="1"/>
  <c r="BU1171" i="1"/>
  <c r="BH1171" i="1"/>
  <c r="BB1171" i="1"/>
  <c r="AN1171" i="1"/>
  <c r="AV1171" i="1" s="1"/>
  <c r="AM1171" i="1"/>
  <c r="AI1171" i="1"/>
  <c r="AH1171" i="1"/>
  <c r="AF1171" i="1"/>
  <c r="AE1171" i="1"/>
  <c r="AD1171" i="1"/>
  <c r="AA1171" i="1"/>
  <c r="Z1171" i="1"/>
  <c r="X1171" i="1"/>
  <c r="M1171" i="1"/>
  <c r="BD1171" i="1" s="1"/>
  <c r="K1171" i="1"/>
  <c r="AJ1171" i="1" s="1"/>
  <c r="BU1165" i="1"/>
  <c r="BH1165" i="1"/>
  <c r="BB1165" i="1"/>
  <c r="AN1165" i="1"/>
  <c r="AM1165" i="1"/>
  <c r="AI1165" i="1"/>
  <c r="AH1165" i="1"/>
  <c r="AF1165" i="1"/>
  <c r="AE1165" i="1"/>
  <c r="AD1165" i="1"/>
  <c r="AA1165" i="1"/>
  <c r="Z1165" i="1"/>
  <c r="X1165" i="1"/>
  <c r="M1165" i="1"/>
  <c r="K1165" i="1"/>
  <c r="AJ1165" i="1" s="1"/>
  <c r="BU1159" i="1"/>
  <c r="BH1159" i="1"/>
  <c r="BB1159" i="1"/>
  <c r="AN1159" i="1"/>
  <c r="AM1159" i="1"/>
  <c r="AU1159" i="1" s="1"/>
  <c r="AI1159" i="1"/>
  <c r="AH1159" i="1"/>
  <c r="AF1159" i="1"/>
  <c r="AE1159" i="1"/>
  <c r="AD1159" i="1"/>
  <c r="AA1159" i="1"/>
  <c r="Z1159" i="1"/>
  <c r="X1159" i="1"/>
  <c r="M1159" i="1"/>
  <c r="BD1159" i="1" s="1"/>
  <c r="K1159" i="1"/>
  <c r="AJ1159" i="1" s="1"/>
  <c r="BU1157" i="1"/>
  <c r="BH1157" i="1"/>
  <c r="X1157" i="1" s="1"/>
  <c r="BB1157" i="1"/>
  <c r="AN1157" i="1"/>
  <c r="AV1157" i="1" s="1"/>
  <c r="AM1157" i="1"/>
  <c r="AI1157" i="1"/>
  <c r="AH1157" i="1"/>
  <c r="AF1157" i="1"/>
  <c r="AE1157" i="1"/>
  <c r="AD1157" i="1"/>
  <c r="AC1157" i="1"/>
  <c r="AB1157" i="1"/>
  <c r="AA1157" i="1"/>
  <c r="Z1157" i="1"/>
  <c r="M1157" i="1"/>
  <c r="BD1157" i="1" s="1"/>
  <c r="K1157" i="1"/>
  <c r="BU1154" i="1"/>
  <c r="BH1154" i="1"/>
  <c r="BB1154" i="1"/>
  <c r="AN1154" i="1"/>
  <c r="AM1154" i="1"/>
  <c r="AI1154" i="1"/>
  <c r="AH1154" i="1"/>
  <c r="AF1154" i="1"/>
  <c r="AE1154" i="1"/>
  <c r="AD1154" i="1"/>
  <c r="AA1154" i="1"/>
  <c r="Z1154" i="1"/>
  <c r="X1154" i="1"/>
  <c r="M1154" i="1"/>
  <c r="BD1154" i="1" s="1"/>
  <c r="K1154" i="1"/>
  <c r="AJ1154" i="1" s="1"/>
  <c r="BU1137" i="1"/>
  <c r="BH1137" i="1"/>
  <c r="BB1137" i="1"/>
  <c r="AN1137" i="1"/>
  <c r="AM1137" i="1"/>
  <c r="AI1137" i="1"/>
  <c r="AH1137" i="1"/>
  <c r="AF1137" i="1"/>
  <c r="AE1137" i="1"/>
  <c r="AD1137" i="1"/>
  <c r="AA1137" i="1"/>
  <c r="Z1137" i="1"/>
  <c r="X1137" i="1"/>
  <c r="M1137" i="1"/>
  <c r="BD1137" i="1" s="1"/>
  <c r="K1137" i="1"/>
  <c r="AJ1137" i="1" s="1"/>
  <c r="BU1129" i="1"/>
  <c r="BH1129" i="1"/>
  <c r="BB1129" i="1"/>
  <c r="AN1129" i="1"/>
  <c r="AM1129" i="1"/>
  <c r="AI1129" i="1"/>
  <c r="AH1129" i="1"/>
  <c r="AF1129" i="1"/>
  <c r="AE1129" i="1"/>
  <c r="AD1129" i="1"/>
  <c r="AA1129" i="1"/>
  <c r="Z1129" i="1"/>
  <c r="X1129" i="1"/>
  <c r="M1129" i="1"/>
  <c r="BD1129" i="1" s="1"/>
  <c r="K1129" i="1"/>
  <c r="AJ1129" i="1" s="1"/>
  <c r="BU1121" i="1"/>
  <c r="BH1121" i="1"/>
  <c r="BB1121" i="1"/>
  <c r="AN1121" i="1"/>
  <c r="AM1121" i="1"/>
  <c r="AU1121" i="1" s="1"/>
  <c r="AI1121" i="1"/>
  <c r="AH1121" i="1"/>
  <c r="AF1121" i="1"/>
  <c r="AE1121" i="1"/>
  <c r="AD1121" i="1"/>
  <c r="AA1121" i="1"/>
  <c r="Z1121" i="1"/>
  <c r="X1121" i="1"/>
  <c r="M1121" i="1"/>
  <c r="BD1121" i="1" s="1"/>
  <c r="K1121" i="1"/>
  <c r="AJ1121" i="1" s="1"/>
  <c r="BU1118" i="1"/>
  <c r="BH1118" i="1"/>
  <c r="BB1118" i="1"/>
  <c r="AN1118" i="1"/>
  <c r="AV1118" i="1" s="1"/>
  <c r="AM1118" i="1"/>
  <c r="AI1118" i="1"/>
  <c r="AH1118" i="1"/>
  <c r="AF1118" i="1"/>
  <c r="AE1118" i="1"/>
  <c r="AD1118" i="1"/>
  <c r="AC1118" i="1"/>
  <c r="AB1118" i="1"/>
  <c r="X1118" i="1"/>
  <c r="M1118" i="1"/>
  <c r="BD1118" i="1" s="1"/>
  <c r="K1118" i="1"/>
  <c r="AJ1118" i="1" s="1"/>
  <c r="BU1116" i="1"/>
  <c r="BH1116" i="1"/>
  <c r="BB1116" i="1"/>
  <c r="AN1116" i="1"/>
  <c r="AM1116" i="1"/>
  <c r="AU1116" i="1" s="1"/>
  <c r="AI1116" i="1"/>
  <c r="AH1116" i="1"/>
  <c r="AF1116" i="1"/>
  <c r="AE1116" i="1"/>
  <c r="AD1116" i="1"/>
  <c r="AC1116" i="1"/>
  <c r="AB1116" i="1"/>
  <c r="X1116" i="1"/>
  <c r="M1116" i="1"/>
  <c r="BD1116" i="1" s="1"/>
  <c r="K1116" i="1"/>
  <c r="AJ1116" i="1" s="1"/>
  <c r="BU1114" i="1"/>
  <c r="BH1114" i="1"/>
  <c r="BB1114" i="1"/>
  <c r="AN1114" i="1"/>
  <c r="AM1114" i="1"/>
  <c r="I1114" i="1" s="1"/>
  <c r="AI1114" i="1"/>
  <c r="AH1114" i="1"/>
  <c r="AF1114" i="1"/>
  <c r="AE1114" i="1"/>
  <c r="AD1114" i="1"/>
  <c r="AC1114" i="1"/>
  <c r="AB1114" i="1"/>
  <c r="X1114" i="1"/>
  <c r="M1114" i="1"/>
  <c r="BD1114" i="1" s="1"/>
  <c r="K1114" i="1"/>
  <c r="AJ1114" i="1" s="1"/>
  <c r="BU1112" i="1"/>
  <c r="BH1112" i="1"/>
  <c r="BB1112" i="1"/>
  <c r="AN1112" i="1"/>
  <c r="AM1112" i="1"/>
  <c r="BF1112" i="1" s="1"/>
  <c r="Z1112" i="1" s="1"/>
  <c r="AI1112" i="1"/>
  <c r="AH1112" i="1"/>
  <c r="AF1112" i="1"/>
  <c r="AE1112" i="1"/>
  <c r="AD1112" i="1"/>
  <c r="AC1112" i="1"/>
  <c r="AB1112" i="1"/>
  <c r="X1112" i="1"/>
  <c r="M1112" i="1"/>
  <c r="BD1112" i="1" s="1"/>
  <c r="K1112" i="1"/>
  <c r="AJ1112" i="1" s="1"/>
  <c r="BU1110" i="1"/>
  <c r="BH1110" i="1"/>
  <c r="BB1110" i="1"/>
  <c r="AN1110" i="1"/>
  <c r="BG1110" i="1" s="1"/>
  <c r="AA1110" i="1" s="1"/>
  <c r="AM1110" i="1"/>
  <c r="AI1110" i="1"/>
  <c r="AH1110" i="1"/>
  <c r="AF1110" i="1"/>
  <c r="AE1110" i="1"/>
  <c r="AD1110" i="1"/>
  <c r="AC1110" i="1"/>
  <c r="AB1110" i="1"/>
  <c r="X1110" i="1"/>
  <c r="M1110" i="1"/>
  <c r="BD1110" i="1" s="1"/>
  <c r="K1110" i="1"/>
  <c r="AJ1110" i="1" s="1"/>
  <c r="BU1108" i="1"/>
  <c r="BH1108" i="1"/>
  <c r="BB1108" i="1"/>
  <c r="AN1108" i="1"/>
  <c r="AM1108" i="1"/>
  <c r="AI1108" i="1"/>
  <c r="AH1108" i="1"/>
  <c r="AF1108" i="1"/>
  <c r="AE1108" i="1"/>
  <c r="AD1108" i="1"/>
  <c r="AC1108" i="1"/>
  <c r="AB1108" i="1"/>
  <c r="X1108" i="1"/>
  <c r="M1108" i="1"/>
  <c r="BD1108" i="1" s="1"/>
  <c r="K1108" i="1"/>
  <c r="AJ1108" i="1" s="1"/>
  <c r="BU1104" i="1"/>
  <c r="BH1104" i="1"/>
  <c r="BD1104" i="1"/>
  <c r="BB1104" i="1"/>
  <c r="AN1104" i="1"/>
  <c r="AM1104" i="1"/>
  <c r="I1104" i="1" s="1"/>
  <c r="AI1104" i="1"/>
  <c r="AH1104" i="1"/>
  <c r="AF1104" i="1"/>
  <c r="AE1104" i="1"/>
  <c r="AD1104" i="1"/>
  <c r="AC1104" i="1"/>
  <c r="AB1104" i="1"/>
  <c r="X1104" i="1"/>
  <c r="M1104" i="1"/>
  <c r="K1104" i="1"/>
  <c r="AJ1104" i="1" s="1"/>
  <c r="BU1102" i="1"/>
  <c r="BH1102" i="1"/>
  <c r="BB1102" i="1"/>
  <c r="AN1102" i="1"/>
  <c r="AM1102" i="1"/>
  <c r="AI1102" i="1"/>
  <c r="AH1102" i="1"/>
  <c r="AF1102" i="1"/>
  <c r="AE1102" i="1"/>
  <c r="AD1102" i="1"/>
  <c r="AC1102" i="1"/>
  <c r="AB1102" i="1"/>
  <c r="X1102" i="1"/>
  <c r="M1102" i="1"/>
  <c r="BD1102" i="1" s="1"/>
  <c r="K1102" i="1"/>
  <c r="AJ1102" i="1" s="1"/>
  <c r="BU1100" i="1"/>
  <c r="BH1100" i="1"/>
  <c r="BB1100" i="1"/>
  <c r="AN1100" i="1"/>
  <c r="BG1100" i="1" s="1"/>
  <c r="AA1100" i="1" s="1"/>
  <c r="AM1100" i="1"/>
  <c r="AU1100" i="1" s="1"/>
  <c r="AI1100" i="1"/>
  <c r="AH1100" i="1"/>
  <c r="AF1100" i="1"/>
  <c r="AE1100" i="1"/>
  <c r="AD1100" i="1"/>
  <c r="AC1100" i="1"/>
  <c r="AB1100" i="1"/>
  <c r="X1100" i="1"/>
  <c r="M1100" i="1"/>
  <c r="K1100" i="1"/>
  <c r="BU1094" i="1"/>
  <c r="BH1094" i="1"/>
  <c r="BB1094" i="1"/>
  <c r="AN1094" i="1"/>
  <c r="AV1094" i="1" s="1"/>
  <c r="AM1094" i="1"/>
  <c r="AU1094" i="1" s="1"/>
  <c r="AI1094" i="1"/>
  <c r="AH1094" i="1"/>
  <c r="AF1094" i="1"/>
  <c r="AE1094" i="1"/>
  <c r="AD1094" i="1"/>
  <c r="AC1094" i="1"/>
  <c r="AB1094" i="1"/>
  <c r="X1094" i="1"/>
  <c r="M1094" i="1"/>
  <c r="BD1094" i="1" s="1"/>
  <c r="K1094" i="1"/>
  <c r="AJ1094" i="1" s="1"/>
  <c r="BU1092" i="1"/>
  <c r="BH1092" i="1"/>
  <c r="BB1092" i="1"/>
  <c r="AN1092" i="1"/>
  <c r="J1092" i="1" s="1"/>
  <c r="AM1092" i="1"/>
  <c r="I1092" i="1" s="1"/>
  <c r="AI1092" i="1"/>
  <c r="AH1092" i="1"/>
  <c r="AF1092" i="1"/>
  <c r="AE1092" i="1"/>
  <c r="AD1092" i="1"/>
  <c r="AC1092" i="1"/>
  <c r="AB1092" i="1"/>
  <c r="X1092" i="1"/>
  <c r="M1092" i="1"/>
  <c r="BD1092" i="1" s="1"/>
  <c r="K1092" i="1"/>
  <c r="BU1087" i="1"/>
  <c r="BH1087" i="1"/>
  <c r="BB1087" i="1"/>
  <c r="AN1087" i="1"/>
  <c r="AM1087" i="1"/>
  <c r="AI1087" i="1"/>
  <c r="AH1087" i="1"/>
  <c r="AF1087" i="1"/>
  <c r="AE1087" i="1"/>
  <c r="AD1087" i="1"/>
  <c r="AC1087" i="1"/>
  <c r="AB1087" i="1"/>
  <c r="X1087" i="1"/>
  <c r="M1087" i="1"/>
  <c r="BD1087" i="1" s="1"/>
  <c r="K1087" i="1"/>
  <c r="AJ1087" i="1" s="1"/>
  <c r="BU1082" i="1"/>
  <c r="BH1082" i="1"/>
  <c r="BB1082" i="1"/>
  <c r="AN1082" i="1"/>
  <c r="J1082" i="1" s="1"/>
  <c r="AM1082" i="1"/>
  <c r="AI1082" i="1"/>
  <c r="AH1082" i="1"/>
  <c r="AF1082" i="1"/>
  <c r="AE1082" i="1"/>
  <c r="AD1082" i="1"/>
  <c r="AC1082" i="1"/>
  <c r="AB1082" i="1"/>
  <c r="X1082" i="1"/>
  <c r="M1082" i="1"/>
  <c r="K1082" i="1"/>
  <c r="AJ1082" i="1" s="1"/>
  <c r="BU1080" i="1"/>
  <c r="BH1080" i="1"/>
  <c r="BB1080" i="1"/>
  <c r="AN1080" i="1"/>
  <c r="AM1080" i="1"/>
  <c r="AI1080" i="1"/>
  <c r="AH1080" i="1"/>
  <c r="AF1080" i="1"/>
  <c r="AE1080" i="1"/>
  <c r="AD1080" i="1"/>
  <c r="AC1080" i="1"/>
  <c r="AB1080" i="1"/>
  <c r="X1080" i="1"/>
  <c r="M1080" i="1"/>
  <c r="BD1080" i="1" s="1"/>
  <c r="K1080" i="1"/>
  <c r="AJ1080" i="1" s="1"/>
  <c r="BU1064" i="1"/>
  <c r="BH1064" i="1"/>
  <c r="BB1064" i="1"/>
  <c r="AN1064" i="1"/>
  <c r="AM1064" i="1"/>
  <c r="I1064" i="1" s="1"/>
  <c r="AI1064" i="1"/>
  <c r="AH1064" i="1"/>
  <c r="AF1064" i="1"/>
  <c r="AE1064" i="1"/>
  <c r="AD1064" i="1"/>
  <c r="AC1064" i="1"/>
  <c r="AB1064" i="1"/>
  <c r="X1064" i="1"/>
  <c r="M1064" i="1"/>
  <c r="BD1064" i="1" s="1"/>
  <c r="K1064" i="1"/>
  <c r="AJ1064" i="1" s="1"/>
  <c r="BU1053" i="1"/>
  <c r="BH1053" i="1"/>
  <c r="BB1053" i="1"/>
  <c r="AN1053" i="1"/>
  <c r="BG1053" i="1" s="1"/>
  <c r="AA1053" i="1" s="1"/>
  <c r="AM1053" i="1"/>
  <c r="AI1053" i="1"/>
  <c r="AH1053" i="1"/>
  <c r="AF1053" i="1"/>
  <c r="AE1053" i="1"/>
  <c r="AD1053" i="1"/>
  <c r="AC1053" i="1"/>
  <c r="AB1053" i="1"/>
  <c r="X1053" i="1"/>
  <c r="M1053" i="1"/>
  <c r="BD1053" i="1" s="1"/>
  <c r="K1053" i="1"/>
  <c r="AJ1053" i="1" s="1"/>
  <c r="BU1046" i="1"/>
  <c r="BH1046" i="1"/>
  <c r="BB1046" i="1"/>
  <c r="AN1046" i="1"/>
  <c r="AV1046" i="1" s="1"/>
  <c r="AM1046" i="1"/>
  <c r="AI1046" i="1"/>
  <c r="AH1046" i="1"/>
  <c r="AF1046" i="1"/>
  <c r="AE1046" i="1"/>
  <c r="AD1046" i="1"/>
  <c r="AC1046" i="1"/>
  <c r="AB1046" i="1"/>
  <c r="X1046" i="1"/>
  <c r="M1046" i="1"/>
  <c r="BD1046" i="1" s="1"/>
  <c r="K1046" i="1"/>
  <c r="AJ1046" i="1" s="1"/>
  <c r="BU1033" i="1"/>
  <c r="BH1033" i="1"/>
  <c r="BB1033" i="1"/>
  <c r="AN1033" i="1"/>
  <c r="AV1033" i="1" s="1"/>
  <c r="AM1033" i="1"/>
  <c r="AJ1033" i="1"/>
  <c r="AI1033" i="1"/>
  <c r="AH1033" i="1"/>
  <c r="AF1033" i="1"/>
  <c r="AE1033" i="1"/>
  <c r="AD1033" i="1"/>
  <c r="AC1033" i="1"/>
  <c r="AB1033" i="1"/>
  <c r="X1033" i="1"/>
  <c r="M1033" i="1"/>
  <c r="BD1033" i="1" s="1"/>
  <c r="K1033" i="1"/>
  <c r="BU1018" i="1"/>
  <c r="BH1018" i="1"/>
  <c r="BB1018" i="1"/>
  <c r="AN1018" i="1"/>
  <c r="AV1018" i="1" s="1"/>
  <c r="AM1018" i="1"/>
  <c r="BF1018" i="1" s="1"/>
  <c r="Z1018" i="1" s="1"/>
  <c r="AJ1018" i="1"/>
  <c r="AI1018" i="1"/>
  <c r="AH1018" i="1"/>
  <c r="AF1018" i="1"/>
  <c r="AE1018" i="1"/>
  <c r="AD1018" i="1"/>
  <c r="AC1018" i="1"/>
  <c r="AB1018" i="1"/>
  <c r="X1018" i="1"/>
  <c r="M1018" i="1"/>
  <c r="BD1018" i="1" s="1"/>
  <c r="K1018" i="1"/>
  <c r="BU1014" i="1"/>
  <c r="BH1014" i="1"/>
  <c r="BB1014" i="1"/>
  <c r="AU1014" i="1"/>
  <c r="AN1014" i="1"/>
  <c r="BG1014" i="1" s="1"/>
  <c r="AA1014" i="1" s="1"/>
  <c r="AM1014" i="1"/>
  <c r="BF1014" i="1" s="1"/>
  <c r="Z1014" i="1" s="1"/>
  <c r="AI1014" i="1"/>
  <c r="AH1014" i="1"/>
  <c r="AF1014" i="1"/>
  <c r="AE1014" i="1"/>
  <c r="AD1014" i="1"/>
  <c r="AC1014" i="1"/>
  <c r="AB1014" i="1"/>
  <c r="X1014" i="1"/>
  <c r="M1014" i="1"/>
  <c r="BD1014" i="1" s="1"/>
  <c r="K1014" i="1"/>
  <c r="AJ1014" i="1" s="1"/>
  <c r="I1014" i="1"/>
  <c r="BU999" i="1"/>
  <c r="BH999" i="1"/>
  <c r="BB999" i="1"/>
  <c r="AN999" i="1"/>
  <c r="AM999" i="1"/>
  <c r="I999" i="1" s="1"/>
  <c r="AI999" i="1"/>
  <c r="AH999" i="1"/>
  <c r="AF999" i="1"/>
  <c r="AE999" i="1"/>
  <c r="AD999" i="1"/>
  <c r="AC999" i="1"/>
  <c r="AB999" i="1"/>
  <c r="X999" i="1"/>
  <c r="M999" i="1"/>
  <c r="BD999" i="1" s="1"/>
  <c r="K999" i="1"/>
  <c r="AJ999" i="1" s="1"/>
  <c r="BU984" i="1"/>
  <c r="BH984" i="1"/>
  <c r="BB984" i="1"/>
  <c r="AN984" i="1"/>
  <c r="AV984" i="1" s="1"/>
  <c r="AM984" i="1"/>
  <c r="AI984" i="1"/>
  <c r="AH984" i="1"/>
  <c r="AF984" i="1"/>
  <c r="AE984" i="1"/>
  <c r="AD984" i="1"/>
  <c r="AC984" i="1"/>
  <c r="AB984" i="1"/>
  <c r="X984" i="1"/>
  <c r="M984" i="1"/>
  <c r="BD984" i="1" s="1"/>
  <c r="K984" i="1"/>
  <c r="AJ984" i="1" s="1"/>
  <c r="BU981" i="1"/>
  <c r="BH981" i="1"/>
  <c r="BB981" i="1"/>
  <c r="AN981" i="1"/>
  <c r="AM981" i="1"/>
  <c r="BF981" i="1" s="1"/>
  <c r="Z981" i="1" s="1"/>
  <c r="AI981" i="1"/>
  <c r="AH981" i="1"/>
  <c r="AF981" i="1"/>
  <c r="AE981" i="1"/>
  <c r="AD981" i="1"/>
  <c r="AC981" i="1"/>
  <c r="AB981" i="1"/>
  <c r="X981" i="1"/>
  <c r="M981" i="1"/>
  <c r="BD981" i="1" s="1"/>
  <c r="K981" i="1"/>
  <c r="AJ981" i="1" s="1"/>
  <c r="BU972" i="1"/>
  <c r="BH972" i="1"/>
  <c r="BB972" i="1"/>
  <c r="AN972" i="1"/>
  <c r="BG972" i="1" s="1"/>
  <c r="AA972" i="1" s="1"/>
  <c r="AM972" i="1"/>
  <c r="AU972" i="1" s="1"/>
  <c r="AI972" i="1"/>
  <c r="AH972" i="1"/>
  <c r="AF972" i="1"/>
  <c r="AE972" i="1"/>
  <c r="AD972" i="1"/>
  <c r="AC972" i="1"/>
  <c r="AB972" i="1"/>
  <c r="X972" i="1"/>
  <c r="M972" i="1"/>
  <c r="BD972" i="1" s="1"/>
  <c r="K972" i="1"/>
  <c r="BU963" i="1"/>
  <c r="BH963" i="1"/>
  <c r="BB963" i="1"/>
  <c r="AN963" i="1"/>
  <c r="BG963" i="1" s="1"/>
  <c r="AA963" i="1" s="1"/>
  <c r="AM963" i="1"/>
  <c r="BF963" i="1" s="1"/>
  <c r="Z963" i="1" s="1"/>
  <c r="AI963" i="1"/>
  <c r="AH963" i="1"/>
  <c r="AF963" i="1"/>
  <c r="AE963" i="1"/>
  <c r="AD963" i="1"/>
  <c r="AC963" i="1"/>
  <c r="AB963" i="1"/>
  <c r="X963" i="1"/>
  <c r="M963" i="1"/>
  <c r="BD963" i="1" s="1"/>
  <c r="K963" i="1"/>
  <c r="BU960" i="1"/>
  <c r="BH960" i="1"/>
  <c r="BB960" i="1"/>
  <c r="AN960" i="1"/>
  <c r="AV960" i="1" s="1"/>
  <c r="AM960" i="1"/>
  <c r="AU960" i="1" s="1"/>
  <c r="AI960" i="1"/>
  <c r="AH960" i="1"/>
  <c r="AF960" i="1"/>
  <c r="AE960" i="1"/>
  <c r="AD960" i="1"/>
  <c r="AC960" i="1"/>
  <c r="AB960" i="1"/>
  <c r="X960" i="1"/>
  <c r="M960" i="1"/>
  <c r="K960" i="1"/>
  <c r="AJ960" i="1" s="1"/>
  <c r="BU957" i="1"/>
  <c r="BH957" i="1"/>
  <c r="BB957" i="1"/>
  <c r="AN957" i="1"/>
  <c r="AM957" i="1"/>
  <c r="AU957" i="1" s="1"/>
  <c r="AI957" i="1"/>
  <c r="AH957" i="1"/>
  <c r="AF957" i="1"/>
  <c r="AE957" i="1"/>
  <c r="AD957" i="1"/>
  <c r="AC957" i="1"/>
  <c r="AB957" i="1"/>
  <c r="X957" i="1"/>
  <c r="M957" i="1"/>
  <c r="BD957" i="1" s="1"/>
  <c r="K957" i="1"/>
  <c r="AJ957" i="1" s="1"/>
  <c r="BU955" i="1"/>
  <c r="BH955" i="1"/>
  <c r="BB955" i="1"/>
  <c r="AN955" i="1"/>
  <c r="AM955" i="1"/>
  <c r="AJ955" i="1"/>
  <c r="AI955" i="1"/>
  <c r="AH955" i="1"/>
  <c r="AF955" i="1"/>
  <c r="AE955" i="1"/>
  <c r="AD955" i="1"/>
  <c r="AC955" i="1"/>
  <c r="AB955" i="1"/>
  <c r="X955" i="1"/>
  <c r="M955" i="1"/>
  <c r="BD955" i="1" s="1"/>
  <c r="K955" i="1"/>
  <c r="BU944" i="1"/>
  <c r="BH944" i="1"/>
  <c r="BB944" i="1"/>
  <c r="AN944" i="1"/>
  <c r="AM944" i="1"/>
  <c r="I944" i="1" s="1"/>
  <c r="AI944" i="1"/>
  <c r="AH944" i="1"/>
  <c r="AF944" i="1"/>
  <c r="AE944" i="1"/>
  <c r="AD944" i="1"/>
  <c r="AC944" i="1"/>
  <c r="AB944" i="1"/>
  <c r="X944" i="1"/>
  <c r="M944" i="1"/>
  <c r="BD944" i="1" s="1"/>
  <c r="K944" i="1"/>
  <c r="AJ944" i="1" s="1"/>
  <c r="BU933" i="1"/>
  <c r="BH933" i="1"/>
  <c r="BB933" i="1"/>
  <c r="AN933" i="1"/>
  <c r="J933" i="1" s="1"/>
  <c r="AM933" i="1"/>
  <c r="AU933" i="1" s="1"/>
  <c r="AI933" i="1"/>
  <c r="AH933" i="1"/>
  <c r="AF933" i="1"/>
  <c r="AE933" i="1"/>
  <c r="AD933" i="1"/>
  <c r="AC933" i="1"/>
  <c r="AB933" i="1"/>
  <c r="X933" i="1"/>
  <c r="M933" i="1"/>
  <c r="BD933" i="1" s="1"/>
  <c r="K933" i="1"/>
  <c r="AJ933" i="1" s="1"/>
  <c r="BU922" i="1"/>
  <c r="BH922" i="1"/>
  <c r="BB922" i="1"/>
  <c r="AN922" i="1"/>
  <c r="J922" i="1" s="1"/>
  <c r="AM922" i="1"/>
  <c r="AU922" i="1" s="1"/>
  <c r="AI922" i="1"/>
  <c r="AH922" i="1"/>
  <c r="AF922" i="1"/>
  <c r="AE922" i="1"/>
  <c r="AD922" i="1"/>
  <c r="AC922" i="1"/>
  <c r="AB922" i="1"/>
  <c r="X922" i="1"/>
  <c r="M922" i="1"/>
  <c r="BD922" i="1" s="1"/>
  <c r="K922" i="1"/>
  <c r="AJ922" i="1" s="1"/>
  <c r="BU919" i="1"/>
  <c r="BH919" i="1"/>
  <c r="BB919" i="1"/>
  <c r="AN919" i="1"/>
  <c r="BG919" i="1" s="1"/>
  <c r="AA919" i="1" s="1"/>
  <c r="AM919" i="1"/>
  <c r="BF919" i="1" s="1"/>
  <c r="Z919" i="1" s="1"/>
  <c r="AI919" i="1"/>
  <c r="AH919" i="1"/>
  <c r="AF919" i="1"/>
  <c r="AE919" i="1"/>
  <c r="AD919" i="1"/>
  <c r="AC919" i="1"/>
  <c r="AB919" i="1"/>
  <c r="X919" i="1"/>
  <c r="M919" i="1"/>
  <c r="BD919" i="1" s="1"/>
  <c r="K919" i="1"/>
  <c r="AJ919" i="1" s="1"/>
  <c r="BU917" i="1"/>
  <c r="BH917" i="1"/>
  <c r="BB917" i="1"/>
  <c r="AN917" i="1"/>
  <c r="J917" i="1" s="1"/>
  <c r="AM917" i="1"/>
  <c r="BF917" i="1" s="1"/>
  <c r="Z917" i="1" s="1"/>
  <c r="AI917" i="1"/>
  <c r="AH917" i="1"/>
  <c r="AF917" i="1"/>
  <c r="AE917" i="1"/>
  <c r="AD917" i="1"/>
  <c r="AC917" i="1"/>
  <c r="AB917" i="1"/>
  <c r="X917" i="1"/>
  <c r="M917" i="1"/>
  <c r="BD917" i="1" s="1"/>
  <c r="K917" i="1"/>
  <c r="AJ917" i="1" s="1"/>
  <c r="BU914" i="1"/>
  <c r="BH914" i="1"/>
  <c r="BB914" i="1"/>
  <c r="AN914" i="1"/>
  <c r="AM914" i="1"/>
  <c r="AI914" i="1"/>
  <c r="AH914" i="1"/>
  <c r="AF914" i="1"/>
  <c r="AE914" i="1"/>
  <c r="AD914" i="1"/>
  <c r="AC914" i="1"/>
  <c r="AB914" i="1"/>
  <c r="X914" i="1"/>
  <c r="M914" i="1"/>
  <c r="BD914" i="1" s="1"/>
  <c r="K914" i="1"/>
  <c r="AJ914" i="1" s="1"/>
  <c r="BU912" i="1"/>
  <c r="BH912" i="1"/>
  <c r="BB912" i="1"/>
  <c r="AN912" i="1"/>
  <c r="AV912" i="1" s="1"/>
  <c r="AM912" i="1"/>
  <c r="AU912" i="1" s="1"/>
  <c r="AI912" i="1"/>
  <c r="AH912" i="1"/>
  <c r="AF912" i="1"/>
  <c r="AE912" i="1"/>
  <c r="AD912" i="1"/>
  <c r="AC912" i="1"/>
  <c r="AB912" i="1"/>
  <c r="X912" i="1"/>
  <c r="M912" i="1"/>
  <c r="BD912" i="1" s="1"/>
  <c r="K912" i="1"/>
  <c r="AJ912" i="1" s="1"/>
  <c r="BU910" i="1"/>
  <c r="BH910" i="1"/>
  <c r="BB910" i="1"/>
  <c r="AN910" i="1"/>
  <c r="BG910" i="1" s="1"/>
  <c r="AA910" i="1" s="1"/>
  <c r="AM910" i="1"/>
  <c r="AU910" i="1" s="1"/>
  <c r="AI910" i="1"/>
  <c r="AH910" i="1"/>
  <c r="AF910" i="1"/>
  <c r="AE910" i="1"/>
  <c r="AD910" i="1"/>
  <c r="AC910" i="1"/>
  <c r="AB910" i="1"/>
  <c r="X910" i="1"/>
  <c r="M910" i="1"/>
  <c r="BD910" i="1" s="1"/>
  <c r="K910" i="1"/>
  <c r="AJ910" i="1" s="1"/>
  <c r="BU907" i="1"/>
  <c r="BH907" i="1"/>
  <c r="BB907" i="1"/>
  <c r="AN907" i="1"/>
  <c r="AM907" i="1"/>
  <c r="AI907" i="1"/>
  <c r="AH907" i="1"/>
  <c r="AF907" i="1"/>
  <c r="AE907" i="1"/>
  <c r="AD907" i="1"/>
  <c r="AC907" i="1"/>
  <c r="AB907" i="1"/>
  <c r="X907" i="1"/>
  <c r="M907" i="1"/>
  <c r="BD907" i="1" s="1"/>
  <c r="K907" i="1"/>
  <c r="AJ907" i="1" s="1"/>
  <c r="BU904" i="1"/>
  <c r="BH904" i="1"/>
  <c r="BB904" i="1"/>
  <c r="AN904" i="1"/>
  <c r="AM904" i="1"/>
  <c r="I904" i="1" s="1"/>
  <c r="AJ904" i="1"/>
  <c r="AI904" i="1"/>
  <c r="AH904" i="1"/>
  <c r="AF904" i="1"/>
  <c r="AE904" i="1"/>
  <c r="AD904" i="1"/>
  <c r="AC904" i="1"/>
  <c r="AB904" i="1"/>
  <c r="X904" i="1"/>
  <c r="M904" i="1"/>
  <c r="BD904" i="1" s="1"/>
  <c r="K904" i="1"/>
  <c r="BU901" i="1"/>
  <c r="BH901" i="1"/>
  <c r="BB901" i="1"/>
  <c r="AN901" i="1"/>
  <c r="AM901" i="1"/>
  <c r="BF901" i="1" s="1"/>
  <c r="Z901" i="1" s="1"/>
  <c r="AJ901" i="1"/>
  <c r="AI901" i="1"/>
  <c r="AH901" i="1"/>
  <c r="AF901" i="1"/>
  <c r="AE901" i="1"/>
  <c r="AD901" i="1"/>
  <c r="AC901" i="1"/>
  <c r="AB901" i="1"/>
  <c r="X901" i="1"/>
  <c r="M901" i="1"/>
  <c r="K901" i="1"/>
  <c r="BU897" i="1"/>
  <c r="BH897" i="1"/>
  <c r="BB897" i="1"/>
  <c r="AN897" i="1"/>
  <c r="J897" i="1" s="1"/>
  <c r="AM897" i="1"/>
  <c r="BF897" i="1" s="1"/>
  <c r="Z897" i="1" s="1"/>
  <c r="AI897" i="1"/>
  <c r="AH897" i="1"/>
  <c r="AF897" i="1"/>
  <c r="AE897" i="1"/>
  <c r="AD897" i="1"/>
  <c r="AC897" i="1"/>
  <c r="AB897" i="1"/>
  <c r="X897" i="1"/>
  <c r="M897" i="1"/>
  <c r="BD897" i="1" s="1"/>
  <c r="K897" i="1"/>
  <c r="BU892" i="1"/>
  <c r="BH892" i="1"/>
  <c r="BB892" i="1"/>
  <c r="AN892" i="1"/>
  <c r="BG892" i="1" s="1"/>
  <c r="AA892" i="1" s="1"/>
  <c r="AM892" i="1"/>
  <c r="AI892" i="1"/>
  <c r="AH892" i="1"/>
  <c r="AF892" i="1"/>
  <c r="AE892" i="1"/>
  <c r="AD892" i="1"/>
  <c r="AC892" i="1"/>
  <c r="AB892" i="1"/>
  <c r="X892" i="1"/>
  <c r="M892" i="1"/>
  <c r="BD892" i="1" s="1"/>
  <c r="K892" i="1"/>
  <c r="AJ892" i="1" s="1"/>
  <c r="BU890" i="1"/>
  <c r="BH890" i="1"/>
  <c r="BB890" i="1"/>
  <c r="AN890" i="1"/>
  <c r="AM890" i="1"/>
  <c r="BF890" i="1" s="1"/>
  <c r="Z890" i="1" s="1"/>
  <c r="AI890" i="1"/>
  <c r="AH890" i="1"/>
  <c r="AF890" i="1"/>
  <c r="AE890" i="1"/>
  <c r="AD890" i="1"/>
  <c r="AC890" i="1"/>
  <c r="AB890" i="1"/>
  <c r="X890" i="1"/>
  <c r="M890" i="1"/>
  <c r="BD890" i="1" s="1"/>
  <c r="K890" i="1"/>
  <c r="AJ890" i="1" s="1"/>
  <c r="BU886" i="1"/>
  <c r="BH886" i="1"/>
  <c r="BB886" i="1"/>
  <c r="AN886" i="1"/>
  <c r="AM886" i="1"/>
  <c r="AI886" i="1"/>
  <c r="AH886" i="1"/>
  <c r="AF886" i="1"/>
  <c r="AE886" i="1"/>
  <c r="AD886" i="1"/>
  <c r="AC886" i="1"/>
  <c r="AB886" i="1"/>
  <c r="X886" i="1"/>
  <c r="M886" i="1"/>
  <c r="BD886" i="1" s="1"/>
  <c r="K886" i="1"/>
  <c r="AJ886" i="1" s="1"/>
  <c r="BU879" i="1"/>
  <c r="BH879" i="1"/>
  <c r="BB879" i="1"/>
  <c r="AN879" i="1"/>
  <c r="BG879" i="1" s="1"/>
  <c r="AM879" i="1"/>
  <c r="BF879" i="1" s="1"/>
  <c r="Z879" i="1" s="1"/>
  <c r="AI879" i="1"/>
  <c r="AH879" i="1"/>
  <c r="AF879" i="1"/>
  <c r="AE879" i="1"/>
  <c r="AD879" i="1"/>
  <c r="AC879" i="1"/>
  <c r="AB879" i="1"/>
  <c r="AA879" i="1"/>
  <c r="X879" i="1"/>
  <c r="M879" i="1"/>
  <c r="BD879" i="1" s="1"/>
  <c r="K879" i="1"/>
  <c r="AJ879" i="1" s="1"/>
  <c r="BU877" i="1"/>
  <c r="BH877" i="1"/>
  <c r="BB877" i="1"/>
  <c r="AN877" i="1"/>
  <c r="AM877" i="1"/>
  <c r="I877" i="1" s="1"/>
  <c r="AI877" i="1"/>
  <c r="AH877" i="1"/>
  <c r="AF877" i="1"/>
  <c r="AE877" i="1"/>
  <c r="AD877" i="1"/>
  <c r="AC877" i="1"/>
  <c r="AB877" i="1"/>
  <c r="X877" i="1"/>
  <c r="M877" i="1"/>
  <c r="BD877" i="1" s="1"/>
  <c r="K877" i="1"/>
  <c r="AJ877" i="1" s="1"/>
  <c r="BU875" i="1"/>
  <c r="BH875" i="1"/>
  <c r="BB875" i="1"/>
  <c r="AN875" i="1"/>
  <c r="AM875" i="1"/>
  <c r="AI875" i="1"/>
  <c r="AH875" i="1"/>
  <c r="AF875" i="1"/>
  <c r="AE875" i="1"/>
  <c r="AD875" i="1"/>
  <c r="AC875" i="1"/>
  <c r="AB875" i="1"/>
  <c r="X875" i="1"/>
  <c r="M875" i="1"/>
  <c r="BD875" i="1" s="1"/>
  <c r="K875" i="1"/>
  <c r="BU873" i="1"/>
  <c r="BH873" i="1"/>
  <c r="BB873" i="1"/>
  <c r="AN873" i="1"/>
  <c r="BG873" i="1" s="1"/>
  <c r="AA873" i="1" s="1"/>
  <c r="AM873" i="1"/>
  <c r="AI873" i="1"/>
  <c r="AH873" i="1"/>
  <c r="AF873" i="1"/>
  <c r="AE873" i="1"/>
  <c r="AD873" i="1"/>
  <c r="AC873" i="1"/>
  <c r="AB873" i="1"/>
  <c r="X873" i="1"/>
  <c r="M873" i="1"/>
  <c r="BD873" i="1" s="1"/>
  <c r="K873" i="1"/>
  <c r="AJ873" i="1" s="1"/>
  <c r="BU869" i="1"/>
  <c r="BH869" i="1"/>
  <c r="BB869" i="1"/>
  <c r="AN869" i="1"/>
  <c r="AM869" i="1"/>
  <c r="AU869" i="1" s="1"/>
  <c r="AI869" i="1"/>
  <c r="AH869" i="1"/>
  <c r="AF869" i="1"/>
  <c r="AC869" i="1"/>
  <c r="AB869" i="1"/>
  <c r="AA869" i="1"/>
  <c r="Z869" i="1"/>
  <c r="X869" i="1"/>
  <c r="M869" i="1"/>
  <c r="BD869" i="1" s="1"/>
  <c r="K869" i="1"/>
  <c r="BU867" i="1"/>
  <c r="BH867" i="1"/>
  <c r="BB867" i="1"/>
  <c r="AN867" i="1"/>
  <c r="AM867" i="1"/>
  <c r="AU867" i="1" s="1"/>
  <c r="AI867" i="1"/>
  <c r="AH867" i="1"/>
  <c r="AF867" i="1"/>
  <c r="AC867" i="1"/>
  <c r="AB867" i="1"/>
  <c r="AA867" i="1"/>
  <c r="Z867" i="1"/>
  <c r="X867" i="1"/>
  <c r="M867" i="1"/>
  <c r="BD867" i="1" s="1"/>
  <c r="K867" i="1"/>
  <c r="AJ867" i="1" s="1"/>
  <c r="BU865" i="1"/>
  <c r="BH865" i="1"/>
  <c r="BB865" i="1"/>
  <c r="AN865" i="1"/>
  <c r="BG865" i="1" s="1"/>
  <c r="AE865" i="1" s="1"/>
  <c r="AM865" i="1"/>
  <c r="AI865" i="1"/>
  <c r="AH865" i="1"/>
  <c r="AF865" i="1"/>
  <c r="AC865" i="1"/>
  <c r="AB865" i="1"/>
  <c r="AA865" i="1"/>
  <c r="Z865" i="1"/>
  <c r="X865" i="1"/>
  <c r="M865" i="1"/>
  <c r="BD865" i="1" s="1"/>
  <c r="K865" i="1"/>
  <c r="AJ865" i="1" s="1"/>
  <c r="BU863" i="1"/>
  <c r="BH863" i="1"/>
  <c r="BB863" i="1"/>
  <c r="AN863" i="1"/>
  <c r="BG863" i="1" s="1"/>
  <c r="AE863" i="1" s="1"/>
  <c r="AM863" i="1"/>
  <c r="AU863" i="1" s="1"/>
  <c r="AI863" i="1"/>
  <c r="AH863" i="1"/>
  <c r="AF863" i="1"/>
  <c r="AC863" i="1"/>
  <c r="AB863" i="1"/>
  <c r="AA863" i="1"/>
  <c r="Z863" i="1"/>
  <c r="X863" i="1"/>
  <c r="M863" i="1"/>
  <c r="K863" i="1"/>
  <c r="AJ863" i="1" s="1"/>
  <c r="BU860" i="1"/>
  <c r="BH860" i="1"/>
  <c r="X860" i="1" s="1"/>
  <c r="BB860" i="1"/>
  <c r="AN860" i="1"/>
  <c r="BG860" i="1" s="1"/>
  <c r="AM860" i="1"/>
  <c r="I860" i="1" s="1"/>
  <c r="I859" i="1" s="1"/>
  <c r="D55" i="2" s="1"/>
  <c r="AI860" i="1"/>
  <c r="AR859" i="1" s="1"/>
  <c r="AH860" i="1"/>
  <c r="AQ859" i="1" s="1"/>
  <c r="AF860" i="1"/>
  <c r="AE860" i="1"/>
  <c r="AD860" i="1"/>
  <c r="AC860" i="1"/>
  <c r="AB860" i="1"/>
  <c r="AA860" i="1"/>
  <c r="Z860" i="1"/>
  <c r="M860" i="1"/>
  <c r="K860" i="1"/>
  <c r="AJ860" i="1" s="1"/>
  <c r="AS859" i="1"/>
  <c r="BU857" i="1"/>
  <c r="BH857" i="1"/>
  <c r="BB857" i="1"/>
  <c r="AN857" i="1"/>
  <c r="BG857" i="1" s="1"/>
  <c r="AA857" i="1" s="1"/>
  <c r="AM857" i="1"/>
  <c r="BF857" i="1" s="1"/>
  <c r="Z857" i="1" s="1"/>
  <c r="AI857" i="1"/>
  <c r="AH857" i="1"/>
  <c r="AF857" i="1"/>
  <c r="AE857" i="1"/>
  <c r="AD857" i="1"/>
  <c r="AC857" i="1"/>
  <c r="AB857" i="1"/>
  <c r="X857" i="1"/>
  <c r="M857" i="1"/>
  <c r="BD857" i="1" s="1"/>
  <c r="K857" i="1"/>
  <c r="AJ857" i="1" s="1"/>
  <c r="BU855" i="1"/>
  <c r="BH855" i="1"/>
  <c r="BB855" i="1"/>
  <c r="AN855" i="1"/>
  <c r="AV855" i="1" s="1"/>
  <c r="AM855" i="1"/>
  <c r="BF855" i="1" s="1"/>
  <c r="Z855" i="1" s="1"/>
  <c r="AI855" i="1"/>
  <c r="AH855" i="1"/>
  <c r="AF855" i="1"/>
  <c r="AE855" i="1"/>
  <c r="AD855" i="1"/>
  <c r="AC855" i="1"/>
  <c r="AB855" i="1"/>
  <c r="X855" i="1"/>
  <c r="M855" i="1"/>
  <c r="BD855" i="1" s="1"/>
  <c r="K855" i="1"/>
  <c r="AJ855" i="1" s="1"/>
  <c r="BU845" i="1"/>
  <c r="BH845" i="1"/>
  <c r="BB845" i="1"/>
  <c r="AN845" i="1"/>
  <c r="AV845" i="1" s="1"/>
  <c r="AM845" i="1"/>
  <c r="AI845" i="1"/>
  <c r="AH845" i="1"/>
  <c r="AF845" i="1"/>
  <c r="AE845" i="1"/>
  <c r="AD845" i="1"/>
  <c r="AC845" i="1"/>
  <c r="AB845" i="1"/>
  <c r="X845" i="1"/>
  <c r="M845" i="1"/>
  <c r="K845" i="1"/>
  <c r="BU834" i="1"/>
  <c r="BH834" i="1"/>
  <c r="BB834" i="1"/>
  <c r="AN834" i="1"/>
  <c r="AM834" i="1"/>
  <c r="AU834" i="1" s="1"/>
  <c r="AI834" i="1"/>
  <c r="AR833" i="1" s="1"/>
  <c r="AH834" i="1"/>
  <c r="AQ833" i="1" s="1"/>
  <c r="AF834" i="1"/>
  <c r="AE834" i="1"/>
  <c r="AD834" i="1"/>
  <c r="AC834" i="1"/>
  <c r="AB834" i="1"/>
  <c r="X834" i="1"/>
  <c r="M834" i="1"/>
  <c r="K834" i="1"/>
  <c r="AJ834" i="1" s="1"/>
  <c r="AS833" i="1" s="1"/>
  <c r="BU831" i="1"/>
  <c r="BH831" i="1"/>
  <c r="BB831" i="1"/>
  <c r="AN831" i="1"/>
  <c r="BG831" i="1" s="1"/>
  <c r="AA831" i="1" s="1"/>
  <c r="AM831" i="1"/>
  <c r="BF831" i="1" s="1"/>
  <c r="Z831" i="1" s="1"/>
  <c r="AI831" i="1"/>
  <c r="AR830" i="1" s="1"/>
  <c r="AH831" i="1"/>
  <c r="AQ830" i="1" s="1"/>
  <c r="AF831" i="1"/>
  <c r="AE831" i="1"/>
  <c r="AD831" i="1"/>
  <c r="AC831" i="1"/>
  <c r="AB831" i="1"/>
  <c r="X831" i="1"/>
  <c r="M831" i="1"/>
  <c r="K831" i="1"/>
  <c r="AJ831" i="1" s="1"/>
  <c r="AS830" i="1" s="1"/>
  <c r="BU810" i="1"/>
  <c r="BH810" i="1"/>
  <c r="BB810" i="1"/>
  <c r="AN810" i="1"/>
  <c r="BG810" i="1" s="1"/>
  <c r="AC810" i="1" s="1"/>
  <c r="AM810" i="1"/>
  <c r="BF810" i="1" s="1"/>
  <c r="AB810" i="1" s="1"/>
  <c r="AI810" i="1"/>
  <c r="AR789" i="1" s="1"/>
  <c r="AH810" i="1"/>
  <c r="AF810" i="1"/>
  <c r="AE810" i="1"/>
  <c r="AD810" i="1"/>
  <c r="AA810" i="1"/>
  <c r="Z810" i="1"/>
  <c r="X810" i="1"/>
  <c r="M810" i="1"/>
  <c r="BD810" i="1" s="1"/>
  <c r="K810" i="1"/>
  <c r="AJ810" i="1" s="1"/>
  <c r="BU790" i="1"/>
  <c r="BH790" i="1"/>
  <c r="BB790" i="1"/>
  <c r="AN790" i="1"/>
  <c r="AM790" i="1"/>
  <c r="BF790" i="1" s="1"/>
  <c r="AB790" i="1" s="1"/>
  <c r="AI790" i="1"/>
  <c r="AH790" i="1"/>
  <c r="AF790" i="1"/>
  <c r="AE790" i="1"/>
  <c r="AD790" i="1"/>
  <c r="AA790" i="1"/>
  <c r="Z790" i="1"/>
  <c r="X790" i="1"/>
  <c r="M790" i="1"/>
  <c r="K790" i="1"/>
  <c r="BU787" i="1"/>
  <c r="BH787" i="1"/>
  <c r="X787" i="1" s="1"/>
  <c r="BB787" i="1"/>
  <c r="AN787" i="1"/>
  <c r="BG787" i="1" s="1"/>
  <c r="AM787" i="1"/>
  <c r="AI787" i="1"/>
  <c r="AH787" i="1"/>
  <c r="AF787" i="1"/>
  <c r="AE787" i="1"/>
  <c r="AD787" i="1"/>
  <c r="AC787" i="1"/>
  <c r="AB787" i="1"/>
  <c r="AA787" i="1"/>
  <c r="Z787" i="1"/>
  <c r="M787" i="1"/>
  <c r="BD787" i="1" s="1"/>
  <c r="K787" i="1"/>
  <c r="BU781" i="1"/>
  <c r="BH781" i="1"/>
  <c r="BB781" i="1"/>
  <c r="AN781" i="1"/>
  <c r="BG781" i="1" s="1"/>
  <c r="AC781" i="1" s="1"/>
  <c r="AM781" i="1"/>
  <c r="AI781" i="1"/>
  <c r="AH781" i="1"/>
  <c r="AF781" i="1"/>
  <c r="AE781" i="1"/>
  <c r="AD781" i="1"/>
  <c r="AA781" i="1"/>
  <c r="Z781" i="1"/>
  <c r="X781" i="1"/>
  <c r="M781" i="1"/>
  <c r="BD781" i="1" s="1"/>
  <c r="K781" i="1"/>
  <c r="AJ781" i="1" s="1"/>
  <c r="BU774" i="1"/>
  <c r="BH774" i="1"/>
  <c r="BB774" i="1"/>
  <c r="AN774" i="1"/>
  <c r="J774" i="1" s="1"/>
  <c r="AM774" i="1"/>
  <c r="BF774" i="1" s="1"/>
  <c r="AB774" i="1" s="1"/>
  <c r="AI774" i="1"/>
  <c r="AH774" i="1"/>
  <c r="AF774" i="1"/>
  <c r="AE774" i="1"/>
  <c r="AD774" i="1"/>
  <c r="AA774" i="1"/>
  <c r="Z774" i="1"/>
  <c r="X774" i="1"/>
  <c r="M774" i="1"/>
  <c r="BD774" i="1" s="1"/>
  <c r="K774" i="1"/>
  <c r="AJ774" i="1" s="1"/>
  <c r="BU768" i="1"/>
  <c r="BH768" i="1"/>
  <c r="BB768" i="1"/>
  <c r="AN768" i="1"/>
  <c r="AM768" i="1"/>
  <c r="I768" i="1" s="1"/>
  <c r="AI768" i="1"/>
  <c r="AH768" i="1"/>
  <c r="AF768" i="1"/>
  <c r="AE768" i="1"/>
  <c r="AD768" i="1"/>
  <c r="AA768" i="1"/>
  <c r="Z768" i="1"/>
  <c r="X768" i="1"/>
  <c r="M768" i="1"/>
  <c r="BD768" i="1" s="1"/>
  <c r="K768" i="1"/>
  <c r="AJ768" i="1" s="1"/>
  <c r="BU762" i="1"/>
  <c r="BH762" i="1"/>
  <c r="BB762" i="1"/>
  <c r="AN762" i="1"/>
  <c r="AV762" i="1" s="1"/>
  <c r="AM762" i="1"/>
  <c r="AI762" i="1"/>
  <c r="AH762" i="1"/>
  <c r="AF762" i="1"/>
  <c r="AE762" i="1"/>
  <c r="AD762" i="1"/>
  <c r="AA762" i="1"/>
  <c r="Z762" i="1"/>
  <c r="X762" i="1"/>
  <c r="M762" i="1"/>
  <c r="BD762" i="1" s="1"/>
  <c r="K762" i="1"/>
  <c r="BU755" i="1"/>
  <c r="BH755" i="1"/>
  <c r="BB755" i="1"/>
  <c r="AN755" i="1"/>
  <c r="BG755" i="1" s="1"/>
  <c r="AC755" i="1" s="1"/>
  <c r="AM755" i="1"/>
  <c r="BF755" i="1" s="1"/>
  <c r="AB755" i="1" s="1"/>
  <c r="AI755" i="1"/>
  <c r="AH755" i="1"/>
  <c r="AF755" i="1"/>
  <c r="AE755" i="1"/>
  <c r="AD755" i="1"/>
  <c r="AA755" i="1"/>
  <c r="Z755" i="1"/>
  <c r="X755" i="1"/>
  <c r="M755" i="1"/>
  <c r="BD755" i="1" s="1"/>
  <c r="K755" i="1"/>
  <c r="AJ755" i="1" s="1"/>
  <c r="BU749" i="1"/>
  <c r="BH749" i="1"/>
  <c r="BB749" i="1"/>
  <c r="AN749" i="1"/>
  <c r="J749" i="1" s="1"/>
  <c r="AM749" i="1"/>
  <c r="AU749" i="1" s="1"/>
  <c r="AI749" i="1"/>
  <c r="AH749" i="1"/>
  <c r="AF749" i="1"/>
  <c r="AE749" i="1"/>
  <c r="AD749" i="1"/>
  <c r="AA749" i="1"/>
  <c r="Z749" i="1"/>
  <c r="X749" i="1"/>
  <c r="M749" i="1"/>
  <c r="BD749" i="1" s="1"/>
  <c r="K749" i="1"/>
  <c r="AJ749" i="1" s="1"/>
  <c r="BU747" i="1"/>
  <c r="BH747" i="1"/>
  <c r="X747" i="1" s="1"/>
  <c r="BB747" i="1"/>
  <c r="AN747" i="1"/>
  <c r="AM747" i="1"/>
  <c r="BF747" i="1" s="1"/>
  <c r="AI747" i="1"/>
  <c r="AH747" i="1"/>
  <c r="AF747" i="1"/>
  <c r="AE747" i="1"/>
  <c r="AD747" i="1"/>
  <c r="AC747" i="1"/>
  <c r="AB747" i="1"/>
  <c r="AA747" i="1"/>
  <c r="Z747" i="1"/>
  <c r="M747" i="1"/>
  <c r="BD747" i="1" s="1"/>
  <c r="K747" i="1"/>
  <c r="AJ747" i="1" s="1"/>
  <c r="BU745" i="1"/>
  <c r="BH745" i="1"/>
  <c r="BB745" i="1"/>
  <c r="AN745" i="1"/>
  <c r="BG745" i="1" s="1"/>
  <c r="AC745" i="1" s="1"/>
  <c r="AM745" i="1"/>
  <c r="BF745" i="1" s="1"/>
  <c r="AB745" i="1" s="1"/>
  <c r="AI745" i="1"/>
  <c r="AH745" i="1"/>
  <c r="AF745" i="1"/>
  <c r="AE745" i="1"/>
  <c r="AD745" i="1"/>
  <c r="AA745" i="1"/>
  <c r="Z745" i="1"/>
  <c r="X745" i="1"/>
  <c r="M745" i="1"/>
  <c r="BD745" i="1" s="1"/>
  <c r="K745" i="1"/>
  <c r="BU743" i="1"/>
  <c r="BH743" i="1"/>
  <c r="BB743" i="1"/>
  <c r="AN743" i="1"/>
  <c r="AV743" i="1" s="1"/>
  <c r="AM743" i="1"/>
  <c r="AI743" i="1"/>
  <c r="AH743" i="1"/>
  <c r="AF743" i="1"/>
  <c r="AE743" i="1"/>
  <c r="AD743" i="1"/>
  <c r="AA743" i="1"/>
  <c r="Z743" i="1"/>
  <c r="X743" i="1"/>
  <c r="M743" i="1"/>
  <c r="K743" i="1"/>
  <c r="BU741" i="1"/>
  <c r="BH741" i="1"/>
  <c r="X741" i="1" s="1"/>
  <c r="BB741" i="1"/>
  <c r="AN741" i="1"/>
  <c r="AM741" i="1"/>
  <c r="AI741" i="1"/>
  <c r="AH741" i="1"/>
  <c r="AF741" i="1"/>
  <c r="AE741" i="1"/>
  <c r="AD741" i="1"/>
  <c r="AC741" i="1"/>
  <c r="AB741" i="1"/>
  <c r="AA741" i="1"/>
  <c r="Z741" i="1"/>
  <c r="M741" i="1"/>
  <c r="BD741" i="1" s="1"/>
  <c r="K741" i="1"/>
  <c r="AJ741" i="1" s="1"/>
  <c r="BU738" i="1"/>
  <c r="BH738" i="1"/>
  <c r="BB738" i="1"/>
  <c r="AN738" i="1"/>
  <c r="AM738" i="1"/>
  <c r="AI738" i="1"/>
  <c r="AH738" i="1"/>
  <c r="AF738" i="1"/>
  <c r="AE738" i="1"/>
  <c r="AD738" i="1"/>
  <c r="AA738" i="1"/>
  <c r="Z738" i="1"/>
  <c r="X738" i="1"/>
  <c r="M738" i="1"/>
  <c r="BD738" i="1" s="1"/>
  <c r="K738" i="1"/>
  <c r="AJ738" i="1" s="1"/>
  <c r="BU736" i="1"/>
  <c r="BH736" i="1"/>
  <c r="BD736" i="1"/>
  <c r="BB736" i="1"/>
  <c r="AN736" i="1"/>
  <c r="AM736" i="1"/>
  <c r="AU736" i="1" s="1"/>
  <c r="AI736" i="1"/>
  <c r="AH736" i="1"/>
  <c r="AF736" i="1"/>
  <c r="AE736" i="1"/>
  <c r="AD736" i="1"/>
  <c r="AA736" i="1"/>
  <c r="Z736" i="1"/>
  <c r="X736" i="1"/>
  <c r="M736" i="1"/>
  <c r="K736" i="1"/>
  <c r="AJ736" i="1" s="1"/>
  <c r="BU734" i="1"/>
  <c r="BH734" i="1"/>
  <c r="BB734" i="1"/>
  <c r="AN734" i="1"/>
  <c r="AV734" i="1" s="1"/>
  <c r="AM734" i="1"/>
  <c r="AU734" i="1" s="1"/>
  <c r="AI734" i="1"/>
  <c r="AH734" i="1"/>
  <c r="AF734" i="1"/>
  <c r="AE734" i="1"/>
  <c r="AD734" i="1"/>
  <c r="AA734" i="1"/>
  <c r="Z734" i="1"/>
  <c r="X734" i="1"/>
  <c r="M734" i="1"/>
  <c r="BD734" i="1" s="1"/>
  <c r="K734" i="1"/>
  <c r="AJ734" i="1" s="1"/>
  <c r="BU732" i="1"/>
  <c r="BH732" i="1"/>
  <c r="X732" i="1" s="1"/>
  <c r="BB732" i="1"/>
  <c r="AN732" i="1"/>
  <c r="AM732" i="1"/>
  <c r="AI732" i="1"/>
  <c r="AH732" i="1"/>
  <c r="AF732" i="1"/>
  <c r="AE732" i="1"/>
  <c r="AD732" i="1"/>
  <c r="AC732" i="1"/>
  <c r="AB732" i="1"/>
  <c r="AA732" i="1"/>
  <c r="Z732" i="1"/>
  <c r="M732" i="1"/>
  <c r="BD732" i="1" s="1"/>
  <c r="K732" i="1"/>
  <c r="AJ732" i="1" s="1"/>
  <c r="BU730" i="1"/>
  <c r="BH730" i="1"/>
  <c r="BB730" i="1"/>
  <c r="AN730" i="1"/>
  <c r="AM730" i="1"/>
  <c r="BF730" i="1" s="1"/>
  <c r="AB730" i="1" s="1"/>
  <c r="AI730" i="1"/>
  <c r="AH730" i="1"/>
  <c r="AF730" i="1"/>
  <c r="AE730" i="1"/>
  <c r="AD730" i="1"/>
  <c r="AA730" i="1"/>
  <c r="Z730" i="1"/>
  <c r="X730" i="1"/>
  <c r="M730" i="1"/>
  <c r="BD730" i="1" s="1"/>
  <c r="K730" i="1"/>
  <c r="AJ730" i="1" s="1"/>
  <c r="BU724" i="1"/>
  <c r="BH724" i="1"/>
  <c r="BB724" i="1"/>
  <c r="AN724" i="1"/>
  <c r="AM724" i="1"/>
  <c r="AU724" i="1" s="1"/>
  <c r="AI724" i="1"/>
  <c r="AH724" i="1"/>
  <c r="AF724" i="1"/>
  <c r="AE724" i="1"/>
  <c r="AD724" i="1"/>
  <c r="AA724" i="1"/>
  <c r="Z724" i="1"/>
  <c r="X724" i="1"/>
  <c r="M724" i="1"/>
  <c r="BD724" i="1" s="1"/>
  <c r="K724" i="1"/>
  <c r="AJ724" i="1" s="1"/>
  <c r="BU718" i="1"/>
  <c r="BH718" i="1"/>
  <c r="BB718" i="1"/>
  <c r="AN718" i="1"/>
  <c r="BG718" i="1" s="1"/>
  <c r="AC718" i="1" s="1"/>
  <c r="AM718" i="1"/>
  <c r="AU718" i="1" s="1"/>
  <c r="AI718" i="1"/>
  <c r="AH718" i="1"/>
  <c r="AF718" i="1"/>
  <c r="AE718" i="1"/>
  <c r="AD718" i="1"/>
  <c r="AA718" i="1"/>
  <c r="Z718" i="1"/>
  <c r="X718" i="1"/>
  <c r="M718" i="1"/>
  <c r="BD718" i="1" s="1"/>
  <c r="K718" i="1"/>
  <c r="AJ718" i="1" s="1"/>
  <c r="BU714" i="1"/>
  <c r="BH714" i="1"/>
  <c r="BB714" i="1"/>
  <c r="AN714" i="1"/>
  <c r="AV714" i="1" s="1"/>
  <c r="AM714" i="1"/>
  <c r="AU714" i="1" s="1"/>
  <c r="AI714" i="1"/>
  <c r="AH714" i="1"/>
  <c r="AF714" i="1"/>
  <c r="AE714" i="1"/>
  <c r="AD714" i="1"/>
  <c r="AA714" i="1"/>
  <c r="Z714" i="1"/>
  <c r="X714" i="1"/>
  <c r="M714" i="1"/>
  <c r="BD714" i="1" s="1"/>
  <c r="K714" i="1"/>
  <c r="AJ714" i="1" s="1"/>
  <c r="BU703" i="1"/>
  <c r="BH703" i="1"/>
  <c r="BB703" i="1"/>
  <c r="AN703" i="1"/>
  <c r="J703" i="1" s="1"/>
  <c r="AM703" i="1"/>
  <c r="AJ703" i="1"/>
  <c r="AI703" i="1"/>
  <c r="AH703" i="1"/>
  <c r="AF703" i="1"/>
  <c r="AE703" i="1"/>
  <c r="AD703" i="1"/>
  <c r="AA703" i="1"/>
  <c r="Z703" i="1"/>
  <c r="X703" i="1"/>
  <c r="M703" i="1"/>
  <c r="BD703" i="1" s="1"/>
  <c r="K703" i="1"/>
  <c r="BU694" i="1"/>
  <c r="BH694" i="1"/>
  <c r="BB694" i="1"/>
  <c r="AN694" i="1"/>
  <c r="AM694" i="1"/>
  <c r="I694" i="1" s="1"/>
  <c r="AJ694" i="1"/>
  <c r="AI694" i="1"/>
  <c r="AH694" i="1"/>
  <c r="AF694" i="1"/>
  <c r="AE694" i="1"/>
  <c r="AD694" i="1"/>
  <c r="AA694" i="1"/>
  <c r="Z694" i="1"/>
  <c r="X694" i="1"/>
  <c r="M694" i="1"/>
  <c r="BD694" i="1" s="1"/>
  <c r="K694" i="1"/>
  <c r="BU683" i="1"/>
  <c r="BH683" i="1"/>
  <c r="BD683" i="1"/>
  <c r="BB683" i="1"/>
  <c r="AN683" i="1"/>
  <c r="AV683" i="1" s="1"/>
  <c r="AM683" i="1"/>
  <c r="BF683" i="1" s="1"/>
  <c r="AB683" i="1" s="1"/>
  <c r="AI683" i="1"/>
  <c r="AH683" i="1"/>
  <c r="AF683" i="1"/>
  <c r="AE683" i="1"/>
  <c r="AD683" i="1"/>
  <c r="AA683" i="1"/>
  <c r="Z683" i="1"/>
  <c r="X683" i="1"/>
  <c r="M683" i="1"/>
  <c r="K683" i="1"/>
  <c r="BU674" i="1"/>
  <c r="BH674" i="1"/>
  <c r="BB674" i="1"/>
  <c r="AN674" i="1"/>
  <c r="AV674" i="1" s="1"/>
  <c r="AM674" i="1"/>
  <c r="BF674" i="1" s="1"/>
  <c r="AB674" i="1" s="1"/>
  <c r="AI674" i="1"/>
  <c r="AH674" i="1"/>
  <c r="AF674" i="1"/>
  <c r="AE674" i="1"/>
  <c r="AD674" i="1"/>
  <c r="AA674" i="1"/>
  <c r="Z674" i="1"/>
  <c r="X674" i="1"/>
  <c r="M674" i="1"/>
  <c r="K674" i="1"/>
  <c r="AJ674" i="1" s="1"/>
  <c r="BU672" i="1"/>
  <c r="BH672" i="1"/>
  <c r="X672" i="1" s="1"/>
  <c r="BB672" i="1"/>
  <c r="AN672" i="1"/>
  <c r="J672" i="1" s="1"/>
  <c r="AM672" i="1"/>
  <c r="BF672" i="1" s="1"/>
  <c r="AI672" i="1"/>
  <c r="AH672" i="1"/>
  <c r="AF672" i="1"/>
  <c r="AE672" i="1"/>
  <c r="AD672" i="1"/>
  <c r="AC672" i="1"/>
  <c r="AB672" i="1"/>
  <c r="AA672" i="1"/>
  <c r="Z672" i="1"/>
  <c r="M672" i="1"/>
  <c r="BD672" i="1" s="1"/>
  <c r="K672" i="1"/>
  <c r="AJ672" i="1" s="1"/>
  <c r="BU670" i="1"/>
  <c r="BH670" i="1"/>
  <c r="BB670" i="1"/>
  <c r="AN670" i="1"/>
  <c r="BG670" i="1" s="1"/>
  <c r="AC670" i="1" s="1"/>
  <c r="AM670" i="1"/>
  <c r="AI670" i="1"/>
  <c r="AH670" i="1"/>
  <c r="AF670" i="1"/>
  <c r="AE670" i="1"/>
  <c r="AD670" i="1"/>
  <c r="AA670" i="1"/>
  <c r="Z670" i="1"/>
  <c r="X670" i="1"/>
  <c r="M670" i="1"/>
  <c r="BD670" i="1" s="1"/>
  <c r="K670" i="1"/>
  <c r="AJ670" i="1" s="1"/>
  <c r="BU668" i="1"/>
  <c r="BH668" i="1"/>
  <c r="BD668" i="1"/>
  <c r="BB668" i="1"/>
  <c r="AN668" i="1"/>
  <c r="J668" i="1" s="1"/>
  <c r="AM668" i="1"/>
  <c r="AU668" i="1" s="1"/>
  <c r="AI668" i="1"/>
  <c r="AH668" i="1"/>
  <c r="AF668" i="1"/>
  <c r="AE668" i="1"/>
  <c r="AD668" i="1"/>
  <c r="AA668" i="1"/>
  <c r="Z668" i="1"/>
  <c r="X668" i="1"/>
  <c r="M668" i="1"/>
  <c r="K668" i="1"/>
  <c r="AJ668" i="1" s="1"/>
  <c r="BU665" i="1"/>
  <c r="BH665" i="1"/>
  <c r="X665" i="1" s="1"/>
  <c r="BB665" i="1"/>
  <c r="AN665" i="1"/>
  <c r="AV665" i="1" s="1"/>
  <c r="AM665" i="1"/>
  <c r="AI665" i="1"/>
  <c r="AH665" i="1"/>
  <c r="AF665" i="1"/>
  <c r="AE665" i="1"/>
  <c r="AD665" i="1"/>
  <c r="AC665" i="1"/>
  <c r="AB665" i="1"/>
  <c r="AA665" i="1"/>
  <c r="Z665" i="1"/>
  <c r="M665" i="1"/>
  <c r="BD665" i="1" s="1"/>
  <c r="K665" i="1"/>
  <c r="AJ665" i="1" s="1"/>
  <c r="BU663" i="1"/>
  <c r="BH663" i="1"/>
  <c r="BB663" i="1"/>
  <c r="AN663" i="1"/>
  <c r="J663" i="1" s="1"/>
  <c r="AM663" i="1"/>
  <c r="I663" i="1" s="1"/>
  <c r="AI663" i="1"/>
  <c r="AH663" i="1"/>
  <c r="AF663" i="1"/>
  <c r="AE663" i="1"/>
  <c r="AD663" i="1"/>
  <c r="AA663" i="1"/>
  <c r="Z663" i="1"/>
  <c r="X663" i="1"/>
  <c r="M663" i="1"/>
  <c r="BD663" i="1" s="1"/>
  <c r="K663" i="1"/>
  <c r="AJ663" i="1" s="1"/>
  <c r="BU661" i="1"/>
  <c r="BH661" i="1"/>
  <c r="BB661" i="1"/>
  <c r="AN661" i="1"/>
  <c r="BG661" i="1" s="1"/>
  <c r="AC661" i="1" s="1"/>
  <c r="AM661" i="1"/>
  <c r="I661" i="1" s="1"/>
  <c r="AI661" i="1"/>
  <c r="AH661" i="1"/>
  <c r="AF661" i="1"/>
  <c r="AE661" i="1"/>
  <c r="AD661" i="1"/>
  <c r="AA661" i="1"/>
  <c r="Z661" i="1"/>
  <c r="X661" i="1"/>
  <c r="M661" i="1"/>
  <c r="BD661" i="1" s="1"/>
  <c r="K661" i="1"/>
  <c r="AJ661" i="1" s="1"/>
  <c r="BU659" i="1"/>
  <c r="BH659" i="1"/>
  <c r="BB659" i="1"/>
  <c r="AN659" i="1"/>
  <c r="AV659" i="1" s="1"/>
  <c r="AM659" i="1"/>
  <c r="AI659" i="1"/>
  <c r="AH659" i="1"/>
  <c r="AF659" i="1"/>
  <c r="AE659" i="1"/>
  <c r="AD659" i="1"/>
  <c r="AA659" i="1"/>
  <c r="Z659" i="1"/>
  <c r="X659" i="1"/>
  <c r="M659" i="1"/>
  <c r="BD659" i="1" s="1"/>
  <c r="K659" i="1"/>
  <c r="AJ659" i="1" s="1"/>
  <c r="BU657" i="1"/>
  <c r="BH657" i="1"/>
  <c r="BB657" i="1"/>
  <c r="AN657" i="1"/>
  <c r="AM657" i="1"/>
  <c r="AU657" i="1" s="1"/>
  <c r="AI657" i="1"/>
  <c r="AH657" i="1"/>
  <c r="AF657" i="1"/>
  <c r="AE657" i="1"/>
  <c r="AD657" i="1"/>
  <c r="AA657" i="1"/>
  <c r="Z657" i="1"/>
  <c r="X657" i="1"/>
  <c r="M657" i="1"/>
  <c r="BD657" i="1" s="1"/>
  <c r="K657" i="1"/>
  <c r="AJ657" i="1" s="1"/>
  <c r="BU655" i="1"/>
  <c r="BH655" i="1"/>
  <c r="BB655" i="1"/>
  <c r="AN655" i="1"/>
  <c r="J655" i="1" s="1"/>
  <c r="AM655" i="1"/>
  <c r="I655" i="1" s="1"/>
  <c r="AI655" i="1"/>
  <c r="AH655" i="1"/>
  <c r="AF655" i="1"/>
  <c r="AE655" i="1"/>
  <c r="AD655" i="1"/>
  <c r="AA655" i="1"/>
  <c r="Z655" i="1"/>
  <c r="X655" i="1"/>
  <c r="M655" i="1"/>
  <c r="BD655" i="1" s="1"/>
  <c r="K655" i="1"/>
  <c r="AJ655" i="1" s="1"/>
  <c r="BU653" i="1"/>
  <c r="BH653" i="1"/>
  <c r="BB653" i="1"/>
  <c r="AN653" i="1"/>
  <c r="AV653" i="1" s="1"/>
  <c r="AM653" i="1"/>
  <c r="I653" i="1" s="1"/>
  <c r="AI653" i="1"/>
  <c r="AH653" i="1"/>
  <c r="AF653" i="1"/>
  <c r="AE653" i="1"/>
  <c r="AD653" i="1"/>
  <c r="AA653" i="1"/>
  <c r="Z653" i="1"/>
  <c r="X653" i="1"/>
  <c r="M653" i="1"/>
  <c r="BD653" i="1" s="1"/>
  <c r="K653" i="1"/>
  <c r="BU651" i="1"/>
  <c r="BH651" i="1"/>
  <c r="BB651" i="1"/>
  <c r="AN651" i="1"/>
  <c r="AV651" i="1" s="1"/>
  <c r="AM651" i="1"/>
  <c r="AI651" i="1"/>
  <c r="AH651" i="1"/>
  <c r="AF651" i="1"/>
  <c r="AE651" i="1"/>
  <c r="AD651" i="1"/>
  <c r="AA651" i="1"/>
  <c r="Z651" i="1"/>
  <c r="X651" i="1"/>
  <c r="M651" i="1"/>
  <c r="BD651" i="1" s="1"/>
  <c r="K651" i="1"/>
  <c r="AJ651" i="1" s="1"/>
  <c r="BU649" i="1"/>
  <c r="BH649" i="1"/>
  <c r="BB649" i="1"/>
  <c r="AN649" i="1"/>
  <c r="BG649" i="1" s="1"/>
  <c r="AC649" i="1" s="1"/>
  <c r="AM649" i="1"/>
  <c r="AU649" i="1" s="1"/>
  <c r="AI649" i="1"/>
  <c r="AH649" i="1"/>
  <c r="AF649" i="1"/>
  <c r="AE649" i="1"/>
  <c r="AD649" i="1"/>
  <c r="AA649" i="1"/>
  <c r="Z649" i="1"/>
  <c r="X649" i="1"/>
  <c r="M649" i="1"/>
  <c r="BD649" i="1" s="1"/>
  <c r="K649" i="1"/>
  <c r="BU647" i="1"/>
  <c r="BH647" i="1"/>
  <c r="BB647" i="1"/>
  <c r="AN647" i="1"/>
  <c r="AM647" i="1"/>
  <c r="BF647" i="1" s="1"/>
  <c r="AB647" i="1" s="1"/>
  <c r="AI647" i="1"/>
  <c r="AH647" i="1"/>
  <c r="AF647" i="1"/>
  <c r="AE647" i="1"/>
  <c r="AD647" i="1"/>
  <c r="AA647" i="1"/>
  <c r="Z647" i="1"/>
  <c r="X647" i="1"/>
  <c r="M647" i="1"/>
  <c r="BD647" i="1" s="1"/>
  <c r="K647" i="1"/>
  <c r="AJ647" i="1" s="1"/>
  <c r="BU645" i="1"/>
  <c r="BH645" i="1"/>
  <c r="BB645" i="1"/>
  <c r="AN645" i="1"/>
  <c r="AM645" i="1"/>
  <c r="AI645" i="1"/>
  <c r="AH645" i="1"/>
  <c r="AF645" i="1"/>
  <c r="AE645" i="1"/>
  <c r="AD645" i="1"/>
  <c r="AA645" i="1"/>
  <c r="Z645" i="1"/>
  <c r="X645" i="1"/>
  <c r="M645" i="1"/>
  <c r="BD645" i="1" s="1"/>
  <c r="K645" i="1"/>
  <c r="BU643" i="1"/>
  <c r="BH643" i="1"/>
  <c r="BB643" i="1"/>
  <c r="AN643" i="1"/>
  <c r="BG643" i="1" s="1"/>
  <c r="AC643" i="1" s="1"/>
  <c r="AM643" i="1"/>
  <c r="BF643" i="1" s="1"/>
  <c r="AB643" i="1" s="1"/>
  <c r="AI643" i="1"/>
  <c r="AH643" i="1"/>
  <c r="AF643" i="1"/>
  <c r="AE643" i="1"/>
  <c r="AD643" i="1"/>
  <c r="AA643" i="1"/>
  <c r="Z643" i="1"/>
  <c r="X643" i="1"/>
  <c r="M643" i="1"/>
  <c r="BD643" i="1" s="1"/>
  <c r="K643" i="1"/>
  <c r="AJ643" i="1" s="1"/>
  <c r="BU641" i="1"/>
  <c r="BH641" i="1"/>
  <c r="X641" i="1" s="1"/>
  <c r="BB641" i="1"/>
  <c r="AN641" i="1"/>
  <c r="AM641" i="1"/>
  <c r="AU641" i="1" s="1"/>
  <c r="AI641" i="1"/>
  <c r="AH641" i="1"/>
  <c r="AF641" i="1"/>
  <c r="AE641" i="1"/>
  <c r="AD641" i="1"/>
  <c r="AC641" i="1"/>
  <c r="AB641" i="1"/>
  <c r="AA641" i="1"/>
  <c r="Z641" i="1"/>
  <c r="M641" i="1"/>
  <c r="BD641" i="1" s="1"/>
  <c r="K641" i="1"/>
  <c r="AJ641" i="1" s="1"/>
  <c r="BU639" i="1"/>
  <c r="BH639" i="1"/>
  <c r="BD639" i="1"/>
  <c r="BB639" i="1"/>
  <c r="AN639" i="1"/>
  <c r="BG639" i="1" s="1"/>
  <c r="AC639" i="1" s="1"/>
  <c r="AM639" i="1"/>
  <c r="BF639" i="1" s="1"/>
  <c r="AB639" i="1" s="1"/>
  <c r="AI639" i="1"/>
  <c r="AH639" i="1"/>
  <c r="AF639" i="1"/>
  <c r="AE639" i="1"/>
  <c r="AD639" i="1"/>
  <c r="AA639" i="1"/>
  <c r="Z639" i="1"/>
  <c r="X639" i="1"/>
  <c r="M639" i="1"/>
  <c r="K639" i="1"/>
  <c r="AJ639" i="1" s="1"/>
  <c r="BU637" i="1"/>
  <c r="BH637" i="1"/>
  <c r="BB637" i="1"/>
  <c r="AN637" i="1"/>
  <c r="AM637" i="1"/>
  <c r="BF637" i="1" s="1"/>
  <c r="AB637" i="1" s="1"/>
  <c r="AI637" i="1"/>
  <c r="AH637" i="1"/>
  <c r="AF637" i="1"/>
  <c r="AE637" i="1"/>
  <c r="AD637" i="1"/>
  <c r="AA637" i="1"/>
  <c r="Z637" i="1"/>
  <c r="X637" i="1"/>
  <c r="M637" i="1"/>
  <c r="BD637" i="1" s="1"/>
  <c r="K637" i="1"/>
  <c r="AJ637" i="1" s="1"/>
  <c r="BU635" i="1"/>
  <c r="BH635" i="1"/>
  <c r="BB635" i="1"/>
  <c r="AN635" i="1"/>
  <c r="BG635" i="1" s="1"/>
  <c r="AC635" i="1" s="1"/>
  <c r="AM635" i="1"/>
  <c r="BF635" i="1" s="1"/>
  <c r="AB635" i="1" s="1"/>
  <c r="AI635" i="1"/>
  <c r="AH635" i="1"/>
  <c r="AF635" i="1"/>
  <c r="AE635" i="1"/>
  <c r="AD635" i="1"/>
  <c r="AA635" i="1"/>
  <c r="Z635" i="1"/>
  <c r="X635" i="1"/>
  <c r="M635" i="1"/>
  <c r="BD635" i="1" s="1"/>
  <c r="K635" i="1"/>
  <c r="AJ635" i="1" s="1"/>
  <c r="BU633" i="1"/>
  <c r="BH633" i="1"/>
  <c r="BB633" i="1"/>
  <c r="AN633" i="1"/>
  <c r="AV633" i="1" s="1"/>
  <c r="AM633" i="1"/>
  <c r="BF633" i="1" s="1"/>
  <c r="AB633" i="1" s="1"/>
  <c r="AI633" i="1"/>
  <c r="AH633" i="1"/>
  <c r="AF633" i="1"/>
  <c r="AE633" i="1"/>
  <c r="AD633" i="1"/>
  <c r="AA633" i="1"/>
  <c r="Z633" i="1"/>
  <c r="X633" i="1"/>
  <c r="M633" i="1"/>
  <c r="BD633" i="1" s="1"/>
  <c r="K633" i="1"/>
  <c r="AJ633" i="1" s="1"/>
  <c r="BU631" i="1"/>
  <c r="BH631" i="1"/>
  <c r="BB631" i="1"/>
  <c r="AN631" i="1"/>
  <c r="BG631" i="1" s="1"/>
  <c r="AC631" i="1" s="1"/>
  <c r="AM631" i="1"/>
  <c r="I631" i="1" s="1"/>
  <c r="AI631" i="1"/>
  <c r="AH631" i="1"/>
  <c r="AF631" i="1"/>
  <c r="AE631" i="1"/>
  <c r="AD631" i="1"/>
  <c r="AA631" i="1"/>
  <c r="Z631" i="1"/>
  <c r="X631" i="1"/>
  <c r="M631" i="1"/>
  <c r="BD631" i="1" s="1"/>
  <c r="K631" i="1"/>
  <c r="AJ631" i="1" s="1"/>
  <c r="BU629" i="1"/>
  <c r="BH629" i="1"/>
  <c r="BB629" i="1"/>
  <c r="AN629" i="1"/>
  <c r="J629" i="1" s="1"/>
  <c r="AM629" i="1"/>
  <c r="AI629" i="1"/>
  <c r="AH629" i="1"/>
  <c r="AF629" i="1"/>
  <c r="AE629" i="1"/>
  <c r="AD629" i="1"/>
  <c r="AA629" i="1"/>
  <c r="Z629" i="1"/>
  <c r="X629" i="1"/>
  <c r="M629" i="1"/>
  <c r="K629" i="1"/>
  <c r="AJ629" i="1" s="1"/>
  <c r="BU627" i="1"/>
  <c r="BH627" i="1"/>
  <c r="X627" i="1" s="1"/>
  <c r="BB627" i="1"/>
  <c r="AN627" i="1"/>
  <c r="AM627" i="1"/>
  <c r="AI627" i="1"/>
  <c r="AH627" i="1"/>
  <c r="AF627" i="1"/>
  <c r="AE627" i="1"/>
  <c r="AD627" i="1"/>
  <c r="AC627" i="1"/>
  <c r="AB627" i="1"/>
  <c r="AA627" i="1"/>
  <c r="Z627" i="1"/>
  <c r="M627" i="1"/>
  <c r="BD627" i="1" s="1"/>
  <c r="K627" i="1"/>
  <c r="AJ627" i="1" s="1"/>
  <c r="BU621" i="1"/>
  <c r="BH621" i="1"/>
  <c r="BB621" i="1"/>
  <c r="AN621" i="1"/>
  <c r="AM621" i="1"/>
  <c r="AI621" i="1"/>
  <c r="AH621" i="1"/>
  <c r="AF621" i="1"/>
  <c r="AE621" i="1"/>
  <c r="AD621" i="1"/>
  <c r="AA621" i="1"/>
  <c r="Z621" i="1"/>
  <c r="X621" i="1"/>
  <c r="M621" i="1"/>
  <c r="BD621" i="1" s="1"/>
  <c r="K621" i="1"/>
  <c r="AJ621" i="1" s="1"/>
  <c r="BU615" i="1"/>
  <c r="BH615" i="1"/>
  <c r="BB615" i="1"/>
  <c r="AN615" i="1"/>
  <c r="BG615" i="1" s="1"/>
  <c r="AC615" i="1" s="1"/>
  <c r="AM615" i="1"/>
  <c r="BF615" i="1" s="1"/>
  <c r="AB615" i="1" s="1"/>
  <c r="AI615" i="1"/>
  <c r="AH615" i="1"/>
  <c r="AF615" i="1"/>
  <c r="AE615" i="1"/>
  <c r="AD615" i="1"/>
  <c r="AA615" i="1"/>
  <c r="Z615" i="1"/>
  <c r="X615" i="1"/>
  <c r="M615" i="1"/>
  <c r="BD615" i="1" s="1"/>
  <c r="K615" i="1"/>
  <c r="AJ615" i="1" s="1"/>
  <c r="BU610" i="1"/>
  <c r="BH610" i="1"/>
  <c r="BB610" i="1"/>
  <c r="AN610" i="1"/>
  <c r="AM610" i="1"/>
  <c r="I610" i="1" s="1"/>
  <c r="AI610" i="1"/>
  <c r="AH610" i="1"/>
  <c r="AF610" i="1"/>
  <c r="AE610" i="1"/>
  <c r="AD610" i="1"/>
  <c r="AA610" i="1"/>
  <c r="Z610" i="1"/>
  <c r="X610" i="1"/>
  <c r="M610" i="1"/>
  <c r="BD610" i="1" s="1"/>
  <c r="K610" i="1"/>
  <c r="AJ610" i="1" s="1"/>
  <c r="BU604" i="1"/>
  <c r="BH604" i="1"/>
  <c r="BB604" i="1"/>
  <c r="AN604" i="1"/>
  <c r="AV604" i="1" s="1"/>
  <c r="AM604" i="1"/>
  <c r="BF604" i="1" s="1"/>
  <c r="AB604" i="1" s="1"/>
  <c r="AI604" i="1"/>
  <c r="AH604" i="1"/>
  <c r="AF604" i="1"/>
  <c r="AE604" i="1"/>
  <c r="AD604" i="1"/>
  <c r="AA604" i="1"/>
  <c r="Z604" i="1"/>
  <c r="X604" i="1"/>
  <c r="M604" i="1"/>
  <c r="BD604" i="1" s="1"/>
  <c r="K604" i="1"/>
  <c r="AJ604" i="1" s="1"/>
  <c r="BU599" i="1"/>
  <c r="BH599" i="1"/>
  <c r="BB599" i="1"/>
  <c r="AN599" i="1"/>
  <c r="AM599" i="1"/>
  <c r="AI599" i="1"/>
  <c r="AH599" i="1"/>
  <c r="AF599" i="1"/>
  <c r="AE599" i="1"/>
  <c r="AD599" i="1"/>
  <c r="AA599" i="1"/>
  <c r="Z599" i="1"/>
  <c r="X599" i="1"/>
  <c r="M599" i="1"/>
  <c r="BD599" i="1" s="1"/>
  <c r="K599" i="1"/>
  <c r="BU597" i="1"/>
  <c r="BH597" i="1"/>
  <c r="X597" i="1" s="1"/>
  <c r="BB597" i="1"/>
  <c r="AN597" i="1"/>
  <c r="AV597" i="1" s="1"/>
  <c r="AM597" i="1"/>
  <c r="I597" i="1" s="1"/>
  <c r="AI597" i="1"/>
  <c r="AH597" i="1"/>
  <c r="AF597" i="1"/>
  <c r="AE597" i="1"/>
  <c r="AD597" i="1"/>
  <c r="AC597" i="1"/>
  <c r="AB597" i="1"/>
  <c r="AA597" i="1"/>
  <c r="Z597" i="1"/>
  <c r="M597" i="1"/>
  <c r="BD597" i="1" s="1"/>
  <c r="K597" i="1"/>
  <c r="AJ597" i="1" s="1"/>
  <c r="BU595" i="1"/>
  <c r="BH595" i="1"/>
  <c r="BB595" i="1"/>
  <c r="AN595" i="1"/>
  <c r="AM595" i="1"/>
  <c r="AU595" i="1" s="1"/>
  <c r="AI595" i="1"/>
  <c r="AH595" i="1"/>
  <c r="AF595" i="1"/>
  <c r="AE595" i="1"/>
  <c r="AD595" i="1"/>
  <c r="AA595" i="1"/>
  <c r="Z595" i="1"/>
  <c r="X595" i="1"/>
  <c r="M595" i="1"/>
  <c r="BD595" i="1" s="1"/>
  <c r="K595" i="1"/>
  <c r="AJ595" i="1" s="1"/>
  <c r="BU588" i="1"/>
  <c r="BH588" i="1"/>
  <c r="BB588" i="1"/>
  <c r="AN588" i="1"/>
  <c r="BG588" i="1" s="1"/>
  <c r="AC588" i="1" s="1"/>
  <c r="AM588" i="1"/>
  <c r="BF588" i="1" s="1"/>
  <c r="AB588" i="1" s="1"/>
  <c r="AI588" i="1"/>
  <c r="AH588" i="1"/>
  <c r="AF588" i="1"/>
  <c r="AE588" i="1"/>
  <c r="AD588" i="1"/>
  <c r="AA588" i="1"/>
  <c r="Z588" i="1"/>
  <c r="X588" i="1"/>
  <c r="M588" i="1"/>
  <c r="BD588" i="1" s="1"/>
  <c r="K588" i="1"/>
  <c r="AJ588" i="1" s="1"/>
  <c r="BU582" i="1"/>
  <c r="BH582" i="1"/>
  <c r="BB582" i="1"/>
  <c r="AN582" i="1"/>
  <c r="J582" i="1" s="1"/>
  <c r="AM582" i="1"/>
  <c r="AI582" i="1"/>
  <c r="AH582" i="1"/>
  <c r="AF582" i="1"/>
  <c r="AE582" i="1"/>
  <c r="AD582" i="1"/>
  <c r="AA582" i="1"/>
  <c r="Z582" i="1"/>
  <c r="X582" i="1"/>
  <c r="M582" i="1"/>
  <c r="BD582" i="1" s="1"/>
  <c r="K582" i="1"/>
  <c r="AJ582" i="1" s="1"/>
  <c r="BU576" i="1"/>
  <c r="BH576" i="1"/>
  <c r="BB576" i="1"/>
  <c r="AN576" i="1"/>
  <c r="AV576" i="1" s="1"/>
  <c r="AM576" i="1"/>
  <c r="AI576" i="1"/>
  <c r="AH576" i="1"/>
  <c r="AF576" i="1"/>
  <c r="AE576" i="1"/>
  <c r="AD576" i="1"/>
  <c r="AA576" i="1"/>
  <c r="Z576" i="1"/>
  <c r="X576" i="1"/>
  <c r="M576" i="1"/>
  <c r="BD576" i="1" s="1"/>
  <c r="K576" i="1"/>
  <c r="AJ576" i="1" s="1"/>
  <c r="BU573" i="1"/>
  <c r="BH573" i="1"/>
  <c r="BB573" i="1"/>
  <c r="AN573" i="1"/>
  <c r="AM573" i="1"/>
  <c r="I573" i="1" s="1"/>
  <c r="AI573" i="1"/>
  <c r="AH573" i="1"/>
  <c r="AF573" i="1"/>
  <c r="AE573" i="1"/>
  <c r="AD573" i="1"/>
  <c r="AC573" i="1"/>
  <c r="AB573" i="1"/>
  <c r="X573" i="1"/>
  <c r="M573" i="1"/>
  <c r="BD573" i="1" s="1"/>
  <c r="K573" i="1"/>
  <c r="AJ573" i="1" s="1"/>
  <c r="BU570" i="1"/>
  <c r="BH570" i="1"/>
  <c r="BB570" i="1"/>
  <c r="AN570" i="1"/>
  <c r="AM570" i="1"/>
  <c r="AI570" i="1"/>
  <c r="AH570" i="1"/>
  <c r="AF570" i="1"/>
  <c r="AE570" i="1"/>
  <c r="AD570" i="1"/>
  <c r="AC570" i="1"/>
  <c r="AB570" i="1"/>
  <c r="X570" i="1"/>
  <c r="M570" i="1"/>
  <c r="BD570" i="1" s="1"/>
  <c r="K570" i="1"/>
  <c r="AJ570" i="1" s="1"/>
  <c r="BU568" i="1"/>
  <c r="BH568" i="1"/>
  <c r="BB568" i="1"/>
  <c r="AN568" i="1"/>
  <c r="BG568" i="1" s="1"/>
  <c r="AA568" i="1" s="1"/>
  <c r="AM568" i="1"/>
  <c r="AI568" i="1"/>
  <c r="AH568" i="1"/>
  <c r="AF568" i="1"/>
  <c r="AE568" i="1"/>
  <c r="AD568" i="1"/>
  <c r="AC568" i="1"/>
  <c r="AB568" i="1"/>
  <c r="X568" i="1"/>
  <c r="M568" i="1"/>
  <c r="BD568" i="1" s="1"/>
  <c r="K568" i="1"/>
  <c r="AJ568" i="1" s="1"/>
  <c r="BU566" i="1"/>
  <c r="BH566" i="1"/>
  <c r="BB566" i="1"/>
  <c r="AN566" i="1"/>
  <c r="AM566" i="1"/>
  <c r="BF566" i="1" s="1"/>
  <c r="Z566" i="1" s="1"/>
  <c r="AI566" i="1"/>
  <c r="AH566" i="1"/>
  <c r="AF566" i="1"/>
  <c r="AE566" i="1"/>
  <c r="AD566" i="1"/>
  <c r="AC566" i="1"/>
  <c r="AB566" i="1"/>
  <c r="X566" i="1"/>
  <c r="M566" i="1"/>
  <c r="BD566" i="1" s="1"/>
  <c r="K566" i="1"/>
  <c r="AJ566" i="1" s="1"/>
  <c r="BU564" i="1"/>
  <c r="BH564" i="1"/>
  <c r="BB564" i="1"/>
  <c r="AN564" i="1"/>
  <c r="AM564" i="1"/>
  <c r="I564" i="1" s="1"/>
  <c r="AI564" i="1"/>
  <c r="AH564" i="1"/>
  <c r="AF564" i="1"/>
  <c r="AE564" i="1"/>
  <c r="AD564" i="1"/>
  <c r="AC564" i="1"/>
  <c r="AB564" i="1"/>
  <c r="X564" i="1"/>
  <c r="M564" i="1"/>
  <c r="BD564" i="1" s="1"/>
  <c r="K564" i="1"/>
  <c r="AJ564" i="1" s="1"/>
  <c r="BU562" i="1"/>
  <c r="BH562" i="1"/>
  <c r="BB562" i="1"/>
  <c r="AN562" i="1"/>
  <c r="BG562" i="1" s="1"/>
  <c r="AA562" i="1" s="1"/>
  <c r="AM562" i="1"/>
  <c r="AU562" i="1" s="1"/>
  <c r="AI562" i="1"/>
  <c r="AH562" i="1"/>
  <c r="AF562" i="1"/>
  <c r="AE562" i="1"/>
  <c r="AD562" i="1"/>
  <c r="AC562" i="1"/>
  <c r="AB562" i="1"/>
  <c r="X562" i="1"/>
  <c r="M562" i="1"/>
  <c r="BD562" i="1" s="1"/>
  <c r="K562" i="1"/>
  <c r="AJ562" i="1" s="1"/>
  <c r="BU556" i="1"/>
  <c r="BH556" i="1"/>
  <c r="BB556" i="1"/>
  <c r="AN556" i="1"/>
  <c r="AM556" i="1"/>
  <c r="AI556" i="1"/>
  <c r="AH556" i="1"/>
  <c r="AF556" i="1"/>
  <c r="AE556" i="1"/>
  <c r="AD556" i="1"/>
  <c r="AC556" i="1"/>
  <c r="AB556" i="1"/>
  <c r="X556" i="1"/>
  <c r="M556" i="1"/>
  <c r="BD556" i="1" s="1"/>
  <c r="K556" i="1"/>
  <c r="AJ556" i="1" s="1"/>
  <c r="BU551" i="1"/>
  <c r="BH551" i="1"/>
  <c r="BB551" i="1"/>
  <c r="AN551" i="1"/>
  <c r="AV551" i="1" s="1"/>
  <c r="AM551" i="1"/>
  <c r="AU551" i="1" s="1"/>
  <c r="AI551" i="1"/>
  <c r="AH551" i="1"/>
  <c r="AF551" i="1"/>
  <c r="AE551" i="1"/>
  <c r="AD551" i="1"/>
  <c r="AC551" i="1"/>
  <c r="AB551" i="1"/>
  <c r="X551" i="1"/>
  <c r="M551" i="1"/>
  <c r="BD551" i="1" s="1"/>
  <c r="K551" i="1"/>
  <c r="AJ551" i="1" s="1"/>
  <c r="BU542" i="1"/>
  <c r="BH542" i="1"/>
  <c r="BB542" i="1"/>
  <c r="AN542" i="1"/>
  <c r="AV542" i="1" s="1"/>
  <c r="AM542" i="1"/>
  <c r="I542" i="1" s="1"/>
  <c r="AI542" i="1"/>
  <c r="AH542" i="1"/>
  <c r="AF542" i="1"/>
  <c r="AE542" i="1"/>
  <c r="AD542" i="1"/>
  <c r="AC542" i="1"/>
  <c r="AB542" i="1"/>
  <c r="X542" i="1"/>
  <c r="M542" i="1"/>
  <c r="BD542" i="1" s="1"/>
  <c r="K542" i="1"/>
  <c r="AJ542" i="1" s="1"/>
  <c r="BU536" i="1"/>
  <c r="BH536" i="1"/>
  <c r="BB536" i="1"/>
  <c r="AN536" i="1"/>
  <c r="BG536" i="1" s="1"/>
  <c r="AA536" i="1" s="1"/>
  <c r="AM536" i="1"/>
  <c r="BF536" i="1" s="1"/>
  <c r="Z536" i="1" s="1"/>
  <c r="AI536" i="1"/>
  <c r="AH536" i="1"/>
  <c r="AF536" i="1"/>
  <c r="AE536" i="1"/>
  <c r="AD536" i="1"/>
  <c r="AC536" i="1"/>
  <c r="AB536" i="1"/>
  <c r="X536" i="1"/>
  <c r="M536" i="1"/>
  <c r="BD536" i="1" s="1"/>
  <c r="K536" i="1"/>
  <c r="AJ536" i="1" s="1"/>
  <c r="BU533" i="1"/>
  <c r="BH533" i="1"/>
  <c r="BB533" i="1"/>
  <c r="AN533" i="1"/>
  <c r="BG533" i="1" s="1"/>
  <c r="AA533" i="1" s="1"/>
  <c r="AM533" i="1"/>
  <c r="AU533" i="1" s="1"/>
  <c r="AI533" i="1"/>
  <c r="AH533" i="1"/>
  <c r="AF533" i="1"/>
  <c r="AE533" i="1"/>
  <c r="AD533" i="1"/>
  <c r="AC533" i="1"/>
  <c r="AB533" i="1"/>
  <c r="X533" i="1"/>
  <c r="M533" i="1"/>
  <c r="BD533" i="1" s="1"/>
  <c r="K533" i="1"/>
  <c r="AJ533" i="1" s="1"/>
  <c r="BU525" i="1"/>
  <c r="BH525" i="1"/>
  <c r="BB525" i="1"/>
  <c r="AN525" i="1"/>
  <c r="J525" i="1" s="1"/>
  <c r="AM525" i="1"/>
  <c r="AJ525" i="1"/>
  <c r="AI525" i="1"/>
  <c r="AH525" i="1"/>
  <c r="AF525" i="1"/>
  <c r="AE525" i="1"/>
  <c r="AD525" i="1"/>
  <c r="AC525" i="1"/>
  <c r="AB525" i="1"/>
  <c r="X525" i="1"/>
  <c r="M525" i="1"/>
  <c r="BD525" i="1" s="1"/>
  <c r="K525" i="1"/>
  <c r="BU515" i="1"/>
  <c r="BH515" i="1"/>
  <c r="BB515" i="1"/>
  <c r="AN515" i="1"/>
  <c r="AM515" i="1"/>
  <c r="AJ515" i="1"/>
  <c r="AI515" i="1"/>
  <c r="AH515" i="1"/>
  <c r="AF515" i="1"/>
  <c r="AE515" i="1"/>
  <c r="AD515" i="1"/>
  <c r="AC515" i="1"/>
  <c r="AB515" i="1"/>
  <c r="X515" i="1"/>
  <c r="M515" i="1"/>
  <c r="BD515" i="1" s="1"/>
  <c r="K515" i="1"/>
  <c r="BU507" i="1"/>
  <c r="BH507" i="1"/>
  <c r="BB507" i="1"/>
  <c r="AN507" i="1"/>
  <c r="J507" i="1" s="1"/>
  <c r="AM507" i="1"/>
  <c r="BF507" i="1" s="1"/>
  <c r="Z507" i="1" s="1"/>
  <c r="AI507" i="1"/>
  <c r="AH507" i="1"/>
  <c r="AF507" i="1"/>
  <c r="AE507" i="1"/>
  <c r="AD507" i="1"/>
  <c r="AC507" i="1"/>
  <c r="AB507" i="1"/>
  <c r="X507" i="1"/>
  <c r="M507" i="1"/>
  <c r="BD507" i="1" s="1"/>
  <c r="K507" i="1"/>
  <c r="AJ507" i="1" s="1"/>
  <c r="BU497" i="1"/>
  <c r="BH497" i="1"/>
  <c r="BB497" i="1"/>
  <c r="AN497" i="1"/>
  <c r="AM497" i="1"/>
  <c r="AI497" i="1"/>
  <c r="AH497" i="1"/>
  <c r="AF497" i="1"/>
  <c r="AE497" i="1"/>
  <c r="AD497" i="1"/>
  <c r="AC497" i="1"/>
  <c r="AB497" i="1"/>
  <c r="X497" i="1"/>
  <c r="M497" i="1"/>
  <c r="BD497" i="1" s="1"/>
  <c r="K497" i="1"/>
  <c r="AJ497" i="1" s="1"/>
  <c r="BU490" i="1"/>
  <c r="BH490" i="1"/>
  <c r="BB490" i="1"/>
  <c r="AN490" i="1"/>
  <c r="BG490" i="1" s="1"/>
  <c r="AA490" i="1" s="1"/>
  <c r="AM490" i="1"/>
  <c r="AI490" i="1"/>
  <c r="AH490" i="1"/>
  <c r="AF490" i="1"/>
  <c r="AE490" i="1"/>
  <c r="AD490" i="1"/>
  <c r="AC490" i="1"/>
  <c r="AB490" i="1"/>
  <c r="X490" i="1"/>
  <c r="M490" i="1"/>
  <c r="BD490" i="1" s="1"/>
  <c r="K490" i="1"/>
  <c r="AJ490" i="1" s="1"/>
  <c r="BU480" i="1"/>
  <c r="BH480" i="1"/>
  <c r="BB480" i="1"/>
  <c r="AN480" i="1"/>
  <c r="AM480" i="1"/>
  <c r="AI480" i="1"/>
  <c r="AH480" i="1"/>
  <c r="AF480" i="1"/>
  <c r="AE480" i="1"/>
  <c r="AD480" i="1"/>
  <c r="AC480" i="1"/>
  <c r="AB480" i="1"/>
  <c r="X480" i="1"/>
  <c r="M480" i="1"/>
  <c r="BD480" i="1" s="1"/>
  <c r="K480" i="1"/>
  <c r="AJ480" i="1" s="1"/>
  <c r="BU470" i="1"/>
  <c r="BH470" i="1"/>
  <c r="BB470" i="1"/>
  <c r="AN470" i="1"/>
  <c r="AV470" i="1" s="1"/>
  <c r="AM470" i="1"/>
  <c r="AU470" i="1" s="1"/>
  <c r="BA470" i="1" s="1"/>
  <c r="AI470" i="1"/>
  <c r="AH470" i="1"/>
  <c r="AF470" i="1"/>
  <c r="AE470" i="1"/>
  <c r="AD470" i="1"/>
  <c r="AC470" i="1"/>
  <c r="AB470" i="1"/>
  <c r="X470" i="1"/>
  <c r="M470" i="1"/>
  <c r="BD470" i="1" s="1"/>
  <c r="K470" i="1"/>
  <c r="AJ470" i="1" s="1"/>
  <c r="BU460" i="1"/>
  <c r="BH460" i="1"/>
  <c r="BB460" i="1"/>
  <c r="AN460" i="1"/>
  <c r="AM460" i="1"/>
  <c r="AI460" i="1"/>
  <c r="AH460" i="1"/>
  <c r="AF460" i="1"/>
  <c r="AE460" i="1"/>
  <c r="AD460" i="1"/>
  <c r="AC460" i="1"/>
  <c r="AB460" i="1"/>
  <c r="X460" i="1"/>
  <c r="M460" i="1"/>
  <c r="BD460" i="1" s="1"/>
  <c r="K460" i="1"/>
  <c r="AJ460" i="1" s="1"/>
  <c r="BU455" i="1"/>
  <c r="BH455" i="1"/>
  <c r="BB455" i="1"/>
  <c r="AN455" i="1"/>
  <c r="AM455" i="1"/>
  <c r="I455" i="1" s="1"/>
  <c r="AI455" i="1"/>
  <c r="AH455" i="1"/>
  <c r="AF455" i="1"/>
  <c r="AE455" i="1"/>
  <c r="AD455" i="1"/>
  <c r="AC455" i="1"/>
  <c r="AB455" i="1"/>
  <c r="X455" i="1"/>
  <c r="M455" i="1"/>
  <c r="BD455" i="1" s="1"/>
  <c r="K455" i="1"/>
  <c r="AJ455" i="1" s="1"/>
  <c r="BU446" i="1"/>
  <c r="BH446" i="1"/>
  <c r="BB446" i="1"/>
  <c r="AN446" i="1"/>
  <c r="AM446" i="1"/>
  <c r="AI446" i="1"/>
  <c r="AH446" i="1"/>
  <c r="AF446" i="1"/>
  <c r="AE446" i="1"/>
  <c r="AD446" i="1"/>
  <c r="AC446" i="1"/>
  <c r="AB446" i="1"/>
  <c r="X446" i="1"/>
  <c r="M446" i="1"/>
  <c r="BD446" i="1" s="1"/>
  <c r="K446" i="1"/>
  <c r="BU437" i="1"/>
  <c r="BH437" i="1"/>
  <c r="BB437" i="1"/>
  <c r="AN437" i="1"/>
  <c r="BG437" i="1" s="1"/>
  <c r="AA437" i="1" s="1"/>
  <c r="AM437" i="1"/>
  <c r="I437" i="1" s="1"/>
  <c r="AI437" i="1"/>
  <c r="AH437" i="1"/>
  <c r="AF437" i="1"/>
  <c r="AE437" i="1"/>
  <c r="AD437" i="1"/>
  <c r="AC437" i="1"/>
  <c r="AB437" i="1"/>
  <c r="X437" i="1"/>
  <c r="M437" i="1"/>
  <c r="K437" i="1"/>
  <c r="AJ437" i="1" s="1"/>
  <c r="BU434" i="1"/>
  <c r="BH434" i="1"/>
  <c r="BB434" i="1"/>
  <c r="AN434" i="1"/>
  <c r="AM434" i="1"/>
  <c r="AU434" i="1" s="1"/>
  <c r="AI434" i="1"/>
  <c r="AH434" i="1"/>
  <c r="AF434" i="1"/>
  <c r="AE434" i="1"/>
  <c r="AD434" i="1"/>
  <c r="AC434" i="1"/>
  <c r="AB434" i="1"/>
  <c r="X434" i="1"/>
  <c r="M434" i="1"/>
  <c r="BD434" i="1" s="1"/>
  <c r="K434" i="1"/>
  <c r="AJ434" i="1" s="1"/>
  <c r="BU432" i="1"/>
  <c r="BH432" i="1"/>
  <c r="BB432" i="1"/>
  <c r="AN432" i="1"/>
  <c r="AM432" i="1"/>
  <c r="AI432" i="1"/>
  <c r="AH432" i="1"/>
  <c r="AF432" i="1"/>
  <c r="AE432" i="1"/>
  <c r="AD432" i="1"/>
  <c r="AC432" i="1"/>
  <c r="AB432" i="1"/>
  <c r="X432" i="1"/>
  <c r="M432" i="1"/>
  <c r="BD432" i="1" s="1"/>
  <c r="K432" i="1"/>
  <c r="AJ432" i="1" s="1"/>
  <c r="BU430" i="1"/>
  <c r="BH430" i="1"/>
  <c r="BB430" i="1"/>
  <c r="AN430" i="1"/>
  <c r="AV430" i="1" s="1"/>
  <c r="AM430" i="1"/>
  <c r="AI430" i="1"/>
  <c r="AH430" i="1"/>
  <c r="AF430" i="1"/>
  <c r="AE430" i="1"/>
  <c r="AD430" i="1"/>
  <c r="AC430" i="1"/>
  <c r="AB430" i="1"/>
  <c r="X430" i="1"/>
  <c r="M430" i="1"/>
  <c r="BD430" i="1" s="1"/>
  <c r="K430" i="1"/>
  <c r="AJ430" i="1" s="1"/>
  <c r="BU428" i="1"/>
  <c r="BH428" i="1"/>
  <c r="BB428" i="1"/>
  <c r="AN428" i="1"/>
  <c r="J428" i="1" s="1"/>
  <c r="AM428" i="1"/>
  <c r="BF428" i="1" s="1"/>
  <c r="Z428" i="1" s="1"/>
  <c r="AI428" i="1"/>
  <c r="AH428" i="1"/>
  <c r="AF428" i="1"/>
  <c r="AE428" i="1"/>
  <c r="AD428" i="1"/>
  <c r="AC428" i="1"/>
  <c r="AB428" i="1"/>
  <c r="X428" i="1"/>
  <c r="M428" i="1"/>
  <c r="K428" i="1"/>
  <c r="BU425" i="1"/>
  <c r="BH425" i="1"/>
  <c r="BB425" i="1"/>
  <c r="AN425" i="1"/>
  <c r="AM425" i="1"/>
  <c r="BF425" i="1" s="1"/>
  <c r="Z425" i="1" s="1"/>
  <c r="AI425" i="1"/>
  <c r="AR424" i="1" s="1"/>
  <c r="AH425" i="1"/>
  <c r="AQ424" i="1" s="1"/>
  <c r="AF425" i="1"/>
  <c r="AE425" i="1"/>
  <c r="AD425" i="1"/>
  <c r="AC425" i="1"/>
  <c r="AB425" i="1"/>
  <c r="X425" i="1"/>
  <c r="M425" i="1"/>
  <c r="M424" i="1" s="1"/>
  <c r="G37" i="2" s="1"/>
  <c r="K425" i="1"/>
  <c r="AJ425" i="1" s="1"/>
  <c r="AS424" i="1" s="1"/>
  <c r="BU422" i="1"/>
  <c r="BH422" i="1"/>
  <c r="BB422" i="1"/>
  <c r="AN422" i="1"/>
  <c r="BG422" i="1" s="1"/>
  <c r="AA422" i="1" s="1"/>
  <c r="AM422" i="1"/>
  <c r="AI422" i="1"/>
  <c r="AH422" i="1"/>
  <c r="AF422" i="1"/>
  <c r="AE422" i="1"/>
  <c r="AD422" i="1"/>
  <c r="AC422" i="1"/>
  <c r="AB422" i="1"/>
  <c r="X422" i="1"/>
  <c r="M422" i="1"/>
  <c r="BD422" i="1" s="1"/>
  <c r="K422" i="1"/>
  <c r="AJ422" i="1" s="1"/>
  <c r="BU420" i="1"/>
  <c r="BH420" i="1"/>
  <c r="BB420" i="1"/>
  <c r="AN420" i="1"/>
  <c r="AM420" i="1"/>
  <c r="AI420" i="1"/>
  <c r="AH420" i="1"/>
  <c r="AF420" i="1"/>
  <c r="AE420" i="1"/>
  <c r="AD420" i="1"/>
  <c r="AC420" i="1"/>
  <c r="AB420" i="1"/>
  <c r="X420" i="1"/>
  <c r="M420" i="1"/>
  <c r="BD420" i="1" s="1"/>
  <c r="K420" i="1"/>
  <c r="AJ420" i="1" s="1"/>
  <c r="BU418" i="1"/>
  <c r="BH418" i="1"/>
  <c r="BB418" i="1"/>
  <c r="AN418" i="1"/>
  <c r="AM418" i="1"/>
  <c r="I418" i="1" s="1"/>
  <c r="AI418" i="1"/>
  <c r="AH418" i="1"/>
  <c r="AF418" i="1"/>
  <c r="AE418" i="1"/>
  <c r="AD418" i="1"/>
  <c r="AC418" i="1"/>
  <c r="AB418" i="1"/>
  <c r="X418" i="1"/>
  <c r="M418" i="1"/>
  <c r="BD418" i="1" s="1"/>
  <c r="K418" i="1"/>
  <c r="AJ418" i="1" s="1"/>
  <c r="BU416" i="1"/>
  <c r="BH416" i="1"/>
  <c r="BB416" i="1"/>
  <c r="AN416" i="1"/>
  <c r="AM416" i="1"/>
  <c r="BF416" i="1" s="1"/>
  <c r="Z416" i="1" s="1"/>
  <c r="AI416" i="1"/>
  <c r="AH416" i="1"/>
  <c r="AF416" i="1"/>
  <c r="AE416" i="1"/>
  <c r="AD416" i="1"/>
  <c r="AC416" i="1"/>
  <c r="AB416" i="1"/>
  <c r="X416" i="1"/>
  <c r="M416" i="1"/>
  <c r="BD416" i="1" s="1"/>
  <c r="K416" i="1"/>
  <c r="BU414" i="1"/>
  <c r="BH414" i="1"/>
  <c r="BB414" i="1"/>
  <c r="AN414" i="1"/>
  <c r="AV414" i="1" s="1"/>
  <c r="AM414" i="1"/>
  <c r="I414" i="1" s="1"/>
  <c r="AI414" i="1"/>
  <c r="AH414" i="1"/>
  <c r="AF414" i="1"/>
  <c r="AE414" i="1"/>
  <c r="AD414" i="1"/>
  <c r="AC414" i="1"/>
  <c r="AB414" i="1"/>
  <c r="X414" i="1"/>
  <c r="M414" i="1"/>
  <c r="BD414" i="1" s="1"/>
  <c r="K414" i="1"/>
  <c r="AJ414" i="1" s="1"/>
  <c r="BU411" i="1"/>
  <c r="BH411" i="1"/>
  <c r="BB411" i="1"/>
  <c r="AN411" i="1"/>
  <c r="AM411" i="1"/>
  <c r="AJ411" i="1"/>
  <c r="AI411" i="1"/>
  <c r="AH411" i="1"/>
  <c r="AF411" i="1"/>
  <c r="AE411" i="1"/>
  <c r="AD411" i="1"/>
  <c r="AC411" i="1"/>
  <c r="AB411" i="1"/>
  <c r="X411" i="1"/>
  <c r="M411" i="1"/>
  <c r="BD411" i="1" s="1"/>
  <c r="K411" i="1"/>
  <c r="BU409" i="1"/>
  <c r="BH409" i="1"/>
  <c r="BB409" i="1"/>
  <c r="AN409" i="1"/>
  <c r="BG409" i="1" s="1"/>
  <c r="AA409" i="1" s="1"/>
  <c r="AM409" i="1"/>
  <c r="AU409" i="1" s="1"/>
  <c r="AI409" i="1"/>
  <c r="AH409" i="1"/>
  <c r="AF409" i="1"/>
  <c r="AE409" i="1"/>
  <c r="AD409" i="1"/>
  <c r="AC409" i="1"/>
  <c r="AB409" i="1"/>
  <c r="X409" i="1"/>
  <c r="M409" i="1"/>
  <c r="BD409" i="1" s="1"/>
  <c r="K409" i="1"/>
  <c r="AJ409" i="1" s="1"/>
  <c r="BU406" i="1"/>
  <c r="BH406" i="1"/>
  <c r="BB406" i="1"/>
  <c r="AN406" i="1"/>
  <c r="BG406" i="1" s="1"/>
  <c r="AA406" i="1" s="1"/>
  <c r="AM406" i="1"/>
  <c r="BF406" i="1" s="1"/>
  <c r="Z406" i="1" s="1"/>
  <c r="AI406" i="1"/>
  <c r="AH406" i="1"/>
  <c r="AF406" i="1"/>
  <c r="AE406" i="1"/>
  <c r="AD406" i="1"/>
  <c r="AC406" i="1"/>
  <c r="AB406" i="1"/>
  <c r="X406" i="1"/>
  <c r="M406" i="1"/>
  <c r="BD406" i="1" s="1"/>
  <c r="K406" i="1"/>
  <c r="AJ406" i="1" s="1"/>
  <c r="BU404" i="1"/>
  <c r="BH404" i="1"/>
  <c r="BB404" i="1"/>
  <c r="AN404" i="1"/>
  <c r="AM404" i="1"/>
  <c r="BF404" i="1" s="1"/>
  <c r="Z404" i="1" s="1"/>
  <c r="AI404" i="1"/>
  <c r="AH404" i="1"/>
  <c r="AF404" i="1"/>
  <c r="AE404" i="1"/>
  <c r="AD404" i="1"/>
  <c r="AC404" i="1"/>
  <c r="AB404" i="1"/>
  <c r="X404" i="1"/>
  <c r="M404" i="1"/>
  <c r="BD404" i="1" s="1"/>
  <c r="K404" i="1"/>
  <c r="AJ404" i="1" s="1"/>
  <c r="BU402" i="1"/>
  <c r="BH402" i="1"/>
  <c r="BB402" i="1"/>
  <c r="AN402" i="1"/>
  <c r="BG402" i="1" s="1"/>
  <c r="AA402" i="1" s="1"/>
  <c r="AM402" i="1"/>
  <c r="AI402" i="1"/>
  <c r="AH402" i="1"/>
  <c r="AF402" i="1"/>
  <c r="AE402" i="1"/>
  <c r="AD402" i="1"/>
  <c r="AC402" i="1"/>
  <c r="AB402" i="1"/>
  <c r="X402" i="1"/>
  <c r="M402" i="1"/>
  <c r="BD402" i="1" s="1"/>
  <c r="K402" i="1"/>
  <c r="AJ402" i="1" s="1"/>
  <c r="BU400" i="1"/>
  <c r="BH400" i="1"/>
  <c r="BB400" i="1"/>
  <c r="AN400" i="1"/>
  <c r="BG400" i="1" s="1"/>
  <c r="AA400" i="1" s="1"/>
  <c r="AM400" i="1"/>
  <c r="BF400" i="1" s="1"/>
  <c r="Z400" i="1" s="1"/>
  <c r="AI400" i="1"/>
  <c r="AH400" i="1"/>
  <c r="AF400" i="1"/>
  <c r="AE400" i="1"/>
  <c r="AD400" i="1"/>
  <c r="AC400" i="1"/>
  <c r="AB400" i="1"/>
  <c r="X400" i="1"/>
  <c r="M400" i="1"/>
  <c r="BD400" i="1" s="1"/>
  <c r="K400" i="1"/>
  <c r="AJ400" i="1" s="1"/>
  <c r="BU397" i="1"/>
  <c r="BH397" i="1"/>
  <c r="BB397" i="1"/>
  <c r="AN397" i="1"/>
  <c r="AV397" i="1" s="1"/>
  <c r="AM397" i="1"/>
  <c r="AI397" i="1"/>
  <c r="AH397" i="1"/>
  <c r="AF397" i="1"/>
  <c r="AE397" i="1"/>
  <c r="AD397" i="1"/>
  <c r="AC397" i="1"/>
  <c r="AB397" i="1"/>
  <c r="X397" i="1"/>
  <c r="M397" i="1"/>
  <c r="BD397" i="1" s="1"/>
  <c r="K397" i="1"/>
  <c r="AJ397" i="1" s="1"/>
  <c r="BU394" i="1"/>
  <c r="BH394" i="1"/>
  <c r="BB394" i="1"/>
  <c r="AN394" i="1"/>
  <c r="AM394" i="1"/>
  <c r="AI394" i="1"/>
  <c r="AH394" i="1"/>
  <c r="AF394" i="1"/>
  <c r="AE394" i="1"/>
  <c r="AD394" i="1"/>
  <c r="AC394" i="1"/>
  <c r="AB394" i="1"/>
  <c r="X394" i="1"/>
  <c r="M394" i="1"/>
  <c r="BD394" i="1" s="1"/>
  <c r="K394" i="1"/>
  <c r="AJ394" i="1" s="1"/>
  <c r="I394" i="1"/>
  <c r="BU390" i="1"/>
  <c r="BH390" i="1"/>
  <c r="BB390" i="1"/>
  <c r="AN390" i="1"/>
  <c r="AV390" i="1" s="1"/>
  <c r="AM390" i="1"/>
  <c r="AI390" i="1"/>
  <c r="AH390" i="1"/>
  <c r="AF390" i="1"/>
  <c r="AE390" i="1"/>
  <c r="AD390" i="1"/>
  <c r="AC390" i="1"/>
  <c r="AB390" i="1"/>
  <c r="X390" i="1"/>
  <c r="M390" i="1"/>
  <c r="K390" i="1"/>
  <c r="AJ390" i="1" s="1"/>
  <c r="BU387" i="1"/>
  <c r="BH387" i="1"/>
  <c r="BB387" i="1"/>
  <c r="AN387" i="1"/>
  <c r="BG387" i="1" s="1"/>
  <c r="AA387" i="1" s="1"/>
  <c r="AM387" i="1"/>
  <c r="I387" i="1" s="1"/>
  <c r="AI387" i="1"/>
  <c r="AH387" i="1"/>
  <c r="AF387" i="1"/>
  <c r="AE387" i="1"/>
  <c r="AD387" i="1"/>
  <c r="AC387" i="1"/>
  <c r="AB387" i="1"/>
  <c r="X387" i="1"/>
  <c r="M387" i="1"/>
  <c r="BD387" i="1" s="1"/>
  <c r="K387" i="1"/>
  <c r="AJ387" i="1" s="1"/>
  <c r="BU385" i="1"/>
  <c r="BH385" i="1"/>
  <c r="BB385" i="1"/>
  <c r="AN385" i="1"/>
  <c r="AV385" i="1" s="1"/>
  <c r="AM385" i="1"/>
  <c r="AI385" i="1"/>
  <c r="AH385" i="1"/>
  <c r="AF385" i="1"/>
  <c r="AE385" i="1"/>
  <c r="AD385" i="1"/>
  <c r="AC385" i="1"/>
  <c r="AB385" i="1"/>
  <c r="X385" i="1"/>
  <c r="M385" i="1"/>
  <c r="BD385" i="1" s="1"/>
  <c r="K385" i="1"/>
  <c r="BU382" i="1"/>
  <c r="BH382" i="1"/>
  <c r="BB382" i="1"/>
  <c r="AN382" i="1"/>
  <c r="AM382" i="1"/>
  <c r="AI382" i="1"/>
  <c r="AH382" i="1"/>
  <c r="AF382" i="1"/>
  <c r="AE382" i="1"/>
  <c r="AD382" i="1"/>
  <c r="AC382" i="1"/>
  <c r="AB382" i="1"/>
  <c r="X382" i="1"/>
  <c r="M382" i="1"/>
  <c r="K382" i="1"/>
  <c r="AJ382" i="1" s="1"/>
  <c r="BU380" i="1"/>
  <c r="BH380" i="1"/>
  <c r="BB380" i="1"/>
  <c r="AN380" i="1"/>
  <c r="J380" i="1" s="1"/>
  <c r="AM380" i="1"/>
  <c r="I380" i="1" s="1"/>
  <c r="AI380" i="1"/>
  <c r="AR379" i="1" s="1"/>
  <c r="AH380" i="1"/>
  <c r="AF380" i="1"/>
  <c r="AE380" i="1"/>
  <c r="AD380" i="1"/>
  <c r="AC380" i="1"/>
  <c r="AB380" i="1"/>
  <c r="X380" i="1"/>
  <c r="M380" i="1"/>
  <c r="BD380" i="1" s="1"/>
  <c r="K380" i="1"/>
  <c r="BU377" i="1"/>
  <c r="BH377" i="1"/>
  <c r="BB377" i="1"/>
  <c r="AN377" i="1"/>
  <c r="BG377" i="1" s="1"/>
  <c r="AA377" i="1" s="1"/>
  <c r="AM377" i="1"/>
  <c r="BF377" i="1" s="1"/>
  <c r="Z377" i="1" s="1"/>
  <c r="AI377" i="1"/>
  <c r="AH377" i="1"/>
  <c r="AF377" i="1"/>
  <c r="AE377" i="1"/>
  <c r="AD377" i="1"/>
  <c r="AC377" i="1"/>
  <c r="AB377" i="1"/>
  <c r="X377" i="1"/>
  <c r="M377" i="1"/>
  <c r="BD377" i="1" s="1"/>
  <c r="K377" i="1"/>
  <c r="AJ377" i="1" s="1"/>
  <c r="BU375" i="1"/>
  <c r="BH375" i="1"/>
  <c r="BB375" i="1"/>
  <c r="AN375" i="1"/>
  <c r="AM375" i="1"/>
  <c r="AI375" i="1"/>
  <c r="AH375" i="1"/>
  <c r="AF375" i="1"/>
  <c r="AE375" i="1"/>
  <c r="AD375" i="1"/>
  <c r="AC375" i="1"/>
  <c r="AB375" i="1"/>
  <c r="X375" i="1"/>
  <c r="M375" i="1"/>
  <c r="BD375" i="1" s="1"/>
  <c r="K375" i="1"/>
  <c r="AJ375" i="1" s="1"/>
  <c r="BU373" i="1"/>
  <c r="BH373" i="1"/>
  <c r="BB373" i="1"/>
  <c r="AN373" i="1"/>
  <c r="BG373" i="1" s="1"/>
  <c r="AA373" i="1" s="1"/>
  <c r="AM373" i="1"/>
  <c r="I373" i="1" s="1"/>
  <c r="AI373" i="1"/>
  <c r="AH373" i="1"/>
  <c r="AF373" i="1"/>
  <c r="AE373" i="1"/>
  <c r="AD373" i="1"/>
  <c r="AC373" i="1"/>
  <c r="AB373" i="1"/>
  <c r="X373" i="1"/>
  <c r="M373" i="1"/>
  <c r="BD373" i="1" s="1"/>
  <c r="K373" i="1"/>
  <c r="AJ373" i="1" s="1"/>
  <c r="BU371" i="1"/>
  <c r="BH371" i="1"/>
  <c r="BB371" i="1"/>
  <c r="AN371" i="1"/>
  <c r="AM371" i="1"/>
  <c r="I371" i="1" s="1"/>
  <c r="AI371" i="1"/>
  <c r="AH371" i="1"/>
  <c r="AF371" i="1"/>
  <c r="AE371" i="1"/>
  <c r="AD371" i="1"/>
  <c r="AC371" i="1"/>
  <c r="AB371" i="1"/>
  <c r="X371" i="1"/>
  <c r="M371" i="1"/>
  <c r="BD371" i="1" s="1"/>
  <c r="K371" i="1"/>
  <c r="AJ371" i="1" s="1"/>
  <c r="BU369" i="1"/>
  <c r="BH369" i="1"/>
  <c r="BB369" i="1"/>
  <c r="AN369" i="1"/>
  <c r="J369" i="1" s="1"/>
  <c r="AM369" i="1"/>
  <c r="BF369" i="1" s="1"/>
  <c r="Z369" i="1" s="1"/>
  <c r="AI369" i="1"/>
  <c r="AH369" i="1"/>
  <c r="AF369" i="1"/>
  <c r="AE369" i="1"/>
  <c r="AD369" i="1"/>
  <c r="AC369" i="1"/>
  <c r="AB369" i="1"/>
  <c r="X369" i="1"/>
  <c r="M369" i="1"/>
  <c r="BD369" i="1" s="1"/>
  <c r="K369" i="1"/>
  <c r="AJ369" i="1" s="1"/>
  <c r="BU367" i="1"/>
  <c r="BH367" i="1"/>
  <c r="BB367" i="1"/>
  <c r="AN367" i="1"/>
  <c r="AM367" i="1"/>
  <c r="BF367" i="1" s="1"/>
  <c r="Z367" i="1" s="1"/>
  <c r="AI367" i="1"/>
  <c r="AH367" i="1"/>
  <c r="AF367" i="1"/>
  <c r="AE367" i="1"/>
  <c r="AD367" i="1"/>
  <c r="AC367" i="1"/>
  <c r="AB367" i="1"/>
  <c r="X367" i="1"/>
  <c r="M367" i="1"/>
  <c r="K367" i="1"/>
  <c r="AJ367" i="1" s="1"/>
  <c r="BU364" i="1"/>
  <c r="BH364" i="1"/>
  <c r="BB364" i="1"/>
  <c r="AN364" i="1"/>
  <c r="AM364" i="1"/>
  <c r="AU364" i="1" s="1"/>
  <c r="AJ364" i="1"/>
  <c r="AI364" i="1"/>
  <c r="AH364" i="1"/>
  <c r="AF364" i="1"/>
  <c r="AE364" i="1"/>
  <c r="AD364" i="1"/>
  <c r="AC364" i="1"/>
  <c r="AB364" i="1"/>
  <c r="X364" i="1"/>
  <c r="M364" i="1"/>
  <c r="BD364" i="1" s="1"/>
  <c r="K364" i="1"/>
  <c r="BU362" i="1"/>
  <c r="BH362" i="1"/>
  <c r="BB362" i="1"/>
  <c r="AN362" i="1"/>
  <c r="AV362" i="1" s="1"/>
  <c r="AM362" i="1"/>
  <c r="BF362" i="1" s="1"/>
  <c r="Z362" i="1" s="1"/>
  <c r="AJ362" i="1"/>
  <c r="AI362" i="1"/>
  <c r="AH362" i="1"/>
  <c r="AF362" i="1"/>
  <c r="AE362" i="1"/>
  <c r="AD362" i="1"/>
  <c r="AC362" i="1"/>
  <c r="AB362" i="1"/>
  <c r="X362" i="1"/>
  <c r="M362" i="1"/>
  <c r="BD362" i="1" s="1"/>
  <c r="K362" i="1"/>
  <c r="BU360" i="1"/>
  <c r="BH360" i="1"/>
  <c r="BB360" i="1"/>
  <c r="AN360" i="1"/>
  <c r="AV360" i="1" s="1"/>
  <c r="AM360" i="1"/>
  <c r="AU360" i="1" s="1"/>
  <c r="AJ360" i="1"/>
  <c r="AI360" i="1"/>
  <c r="AH360" i="1"/>
  <c r="AF360" i="1"/>
  <c r="AE360" i="1"/>
  <c r="AD360" i="1"/>
  <c r="AC360" i="1"/>
  <c r="AB360" i="1"/>
  <c r="X360" i="1"/>
  <c r="M360" i="1"/>
  <c r="BD360" i="1" s="1"/>
  <c r="K360" i="1"/>
  <c r="BU356" i="1"/>
  <c r="BH356" i="1"/>
  <c r="X356" i="1" s="1"/>
  <c r="BB356" i="1"/>
  <c r="AN356" i="1"/>
  <c r="BG356" i="1" s="1"/>
  <c r="AM356" i="1"/>
  <c r="BF356" i="1" s="1"/>
  <c r="AJ356" i="1"/>
  <c r="AI356" i="1"/>
  <c r="AH356" i="1"/>
  <c r="AF356" i="1"/>
  <c r="AE356" i="1"/>
  <c r="AD356" i="1"/>
  <c r="AC356" i="1"/>
  <c r="AB356" i="1"/>
  <c r="AA356" i="1"/>
  <c r="Z356" i="1"/>
  <c r="M356" i="1"/>
  <c r="BD356" i="1" s="1"/>
  <c r="K356" i="1"/>
  <c r="BU354" i="1"/>
  <c r="BH354" i="1"/>
  <c r="X354" i="1" s="1"/>
  <c r="BB354" i="1"/>
  <c r="AN354" i="1"/>
  <c r="AM354" i="1"/>
  <c r="BF354" i="1" s="1"/>
  <c r="AI354" i="1"/>
  <c r="AH354" i="1"/>
  <c r="AF354" i="1"/>
  <c r="AE354" i="1"/>
  <c r="AD354" i="1"/>
  <c r="AC354" i="1"/>
  <c r="AB354" i="1"/>
  <c r="AA354" i="1"/>
  <c r="Z354" i="1"/>
  <c r="M354" i="1"/>
  <c r="BD354" i="1" s="1"/>
  <c r="K354" i="1"/>
  <c r="AJ354" i="1" s="1"/>
  <c r="BU352" i="1"/>
  <c r="BH352" i="1"/>
  <c r="X352" i="1" s="1"/>
  <c r="BB352" i="1"/>
  <c r="AN352" i="1"/>
  <c r="AV352" i="1" s="1"/>
  <c r="AM352" i="1"/>
  <c r="AU352" i="1" s="1"/>
  <c r="AI352" i="1"/>
  <c r="AH352" i="1"/>
  <c r="AF352" i="1"/>
  <c r="AE352" i="1"/>
  <c r="AD352" i="1"/>
  <c r="AC352" i="1"/>
  <c r="AB352" i="1"/>
  <c r="AA352" i="1"/>
  <c r="Z352" i="1"/>
  <c r="M352" i="1"/>
  <c r="BD352" i="1" s="1"/>
  <c r="K352" i="1"/>
  <c r="AJ352" i="1" s="1"/>
  <c r="BU350" i="1"/>
  <c r="BH350" i="1"/>
  <c r="X350" i="1" s="1"/>
  <c r="BB350" i="1"/>
  <c r="AN350" i="1"/>
  <c r="J350" i="1" s="1"/>
  <c r="AM350" i="1"/>
  <c r="AI350" i="1"/>
  <c r="AH350" i="1"/>
  <c r="AF350" i="1"/>
  <c r="AE350" i="1"/>
  <c r="AD350" i="1"/>
  <c r="AC350" i="1"/>
  <c r="AB350" i="1"/>
  <c r="AA350" i="1"/>
  <c r="Z350" i="1"/>
  <c r="M350" i="1"/>
  <c r="BD350" i="1" s="1"/>
  <c r="K350" i="1"/>
  <c r="AJ350" i="1" s="1"/>
  <c r="BU348" i="1"/>
  <c r="BH348" i="1"/>
  <c r="X348" i="1" s="1"/>
  <c r="BB348" i="1"/>
  <c r="AN348" i="1"/>
  <c r="J348" i="1" s="1"/>
  <c r="AM348" i="1"/>
  <c r="BF348" i="1" s="1"/>
  <c r="AI348" i="1"/>
  <c r="AH348" i="1"/>
  <c r="AF348" i="1"/>
  <c r="AE348" i="1"/>
  <c r="AD348" i="1"/>
  <c r="AC348" i="1"/>
  <c r="AB348" i="1"/>
  <c r="AA348" i="1"/>
  <c r="Z348" i="1"/>
  <c r="M348" i="1"/>
  <c r="BD348" i="1" s="1"/>
  <c r="K348" i="1"/>
  <c r="BU346" i="1"/>
  <c r="BH346" i="1"/>
  <c r="X346" i="1" s="1"/>
  <c r="BB346" i="1"/>
  <c r="AN346" i="1"/>
  <c r="J346" i="1" s="1"/>
  <c r="AM346" i="1"/>
  <c r="AU346" i="1" s="1"/>
  <c r="AI346" i="1"/>
  <c r="AH346" i="1"/>
  <c r="AF346" i="1"/>
  <c r="AE346" i="1"/>
  <c r="AD346" i="1"/>
  <c r="AC346" i="1"/>
  <c r="AB346" i="1"/>
  <c r="AA346" i="1"/>
  <c r="Z346" i="1"/>
  <c r="M346" i="1"/>
  <c r="BD346" i="1" s="1"/>
  <c r="K346" i="1"/>
  <c r="AJ346" i="1" s="1"/>
  <c r="BU344" i="1"/>
  <c r="BH344" i="1"/>
  <c r="X344" i="1" s="1"/>
  <c r="BB344" i="1"/>
  <c r="AN344" i="1"/>
  <c r="J344" i="1" s="1"/>
  <c r="AM344" i="1"/>
  <c r="I344" i="1" s="1"/>
  <c r="AI344" i="1"/>
  <c r="AH344" i="1"/>
  <c r="AF344" i="1"/>
  <c r="AE344" i="1"/>
  <c r="AD344" i="1"/>
  <c r="AC344" i="1"/>
  <c r="AB344" i="1"/>
  <c r="AA344" i="1"/>
  <c r="Z344" i="1"/>
  <c r="M344" i="1"/>
  <c r="K344" i="1"/>
  <c r="AJ344" i="1" s="1"/>
  <c r="BU333" i="1"/>
  <c r="BH333" i="1"/>
  <c r="BB333" i="1"/>
  <c r="AN333" i="1"/>
  <c r="AV333" i="1" s="1"/>
  <c r="AM333" i="1"/>
  <c r="AU333" i="1" s="1"/>
  <c r="AI333" i="1"/>
  <c r="AH333" i="1"/>
  <c r="AF333" i="1"/>
  <c r="AE333" i="1"/>
  <c r="AD333" i="1"/>
  <c r="AC333" i="1"/>
  <c r="AB333" i="1"/>
  <c r="X333" i="1"/>
  <c r="M333" i="1"/>
  <c r="BD333" i="1" s="1"/>
  <c r="K333" i="1"/>
  <c r="AJ333" i="1" s="1"/>
  <c r="BU322" i="1"/>
  <c r="BH322" i="1"/>
  <c r="BB322" i="1"/>
  <c r="AN322" i="1"/>
  <c r="BG322" i="1" s="1"/>
  <c r="AA322" i="1" s="1"/>
  <c r="AM322" i="1"/>
  <c r="AU322" i="1" s="1"/>
  <c r="AI322" i="1"/>
  <c r="AH322" i="1"/>
  <c r="AF322" i="1"/>
  <c r="AE322" i="1"/>
  <c r="AD322" i="1"/>
  <c r="AC322" i="1"/>
  <c r="AB322" i="1"/>
  <c r="X322" i="1"/>
  <c r="M322" i="1"/>
  <c r="BD322" i="1" s="1"/>
  <c r="K322" i="1"/>
  <c r="AJ322" i="1" s="1"/>
  <c r="BU306" i="1"/>
  <c r="BH306" i="1"/>
  <c r="BB306" i="1"/>
  <c r="AN306" i="1"/>
  <c r="AV306" i="1" s="1"/>
  <c r="AM306" i="1"/>
  <c r="AU306" i="1" s="1"/>
  <c r="AI306" i="1"/>
  <c r="AH306" i="1"/>
  <c r="AF306" i="1"/>
  <c r="AE306" i="1"/>
  <c r="AD306" i="1"/>
  <c r="AC306" i="1"/>
  <c r="AB306" i="1"/>
  <c r="X306" i="1"/>
  <c r="M306" i="1"/>
  <c r="BD306" i="1" s="1"/>
  <c r="K306" i="1"/>
  <c r="AJ306" i="1" s="1"/>
  <c r="BU296" i="1"/>
  <c r="BH296" i="1"/>
  <c r="BB296" i="1"/>
  <c r="AN296" i="1"/>
  <c r="BG296" i="1" s="1"/>
  <c r="AA296" i="1" s="1"/>
  <c r="AM296" i="1"/>
  <c r="AU296" i="1" s="1"/>
  <c r="AI296" i="1"/>
  <c r="AH296" i="1"/>
  <c r="AF296" i="1"/>
  <c r="AE296" i="1"/>
  <c r="AD296" i="1"/>
  <c r="AC296" i="1"/>
  <c r="AB296" i="1"/>
  <c r="X296" i="1"/>
  <c r="M296" i="1"/>
  <c r="BD296" i="1" s="1"/>
  <c r="K296" i="1"/>
  <c r="AJ296" i="1" s="1"/>
  <c r="BU283" i="1"/>
  <c r="BH283" i="1"/>
  <c r="BB283" i="1"/>
  <c r="AN283" i="1"/>
  <c r="J283" i="1" s="1"/>
  <c r="AM283" i="1"/>
  <c r="AI283" i="1"/>
  <c r="AH283" i="1"/>
  <c r="AF283" i="1"/>
  <c r="AE283" i="1"/>
  <c r="AD283" i="1"/>
  <c r="AC283" i="1"/>
  <c r="AB283" i="1"/>
  <c r="X283" i="1"/>
  <c r="M283" i="1"/>
  <c r="BD283" i="1" s="1"/>
  <c r="K283" i="1"/>
  <c r="AJ283" i="1" s="1"/>
  <c r="BU282" i="1"/>
  <c r="BH282" i="1"/>
  <c r="BB282" i="1"/>
  <c r="AN282" i="1"/>
  <c r="AM282" i="1"/>
  <c r="AI282" i="1"/>
  <c r="AH282" i="1"/>
  <c r="AF282" i="1"/>
  <c r="AE282" i="1"/>
  <c r="AD282" i="1"/>
  <c r="AC282" i="1"/>
  <c r="AB282" i="1"/>
  <c r="X282" i="1"/>
  <c r="M282" i="1"/>
  <c r="BD282" i="1" s="1"/>
  <c r="K282" i="1"/>
  <c r="AJ282" i="1" s="1"/>
  <c r="BU280" i="1"/>
  <c r="BH280" i="1"/>
  <c r="BB280" i="1"/>
  <c r="AN280" i="1"/>
  <c r="J280" i="1" s="1"/>
  <c r="AM280" i="1"/>
  <c r="I280" i="1" s="1"/>
  <c r="AI280" i="1"/>
  <c r="AH280" i="1"/>
  <c r="AF280" i="1"/>
  <c r="AE280" i="1"/>
  <c r="AD280" i="1"/>
  <c r="AC280" i="1"/>
  <c r="AB280" i="1"/>
  <c r="X280" i="1"/>
  <c r="M280" i="1"/>
  <c r="BD280" i="1" s="1"/>
  <c r="K280" i="1"/>
  <c r="AJ280" i="1" s="1"/>
  <c r="BU278" i="1"/>
  <c r="BH278" i="1"/>
  <c r="BB278" i="1"/>
  <c r="AN278" i="1"/>
  <c r="AM278" i="1"/>
  <c r="AU278" i="1" s="1"/>
  <c r="AI278" i="1"/>
  <c r="AH278" i="1"/>
  <c r="AF278" i="1"/>
  <c r="AE278" i="1"/>
  <c r="AD278" i="1"/>
  <c r="AC278" i="1"/>
  <c r="AB278" i="1"/>
  <c r="X278" i="1"/>
  <c r="M278" i="1"/>
  <c r="BD278" i="1" s="1"/>
  <c r="K278" i="1"/>
  <c r="BU276" i="1"/>
  <c r="BH276" i="1"/>
  <c r="BB276" i="1"/>
  <c r="AN276" i="1"/>
  <c r="AV276" i="1" s="1"/>
  <c r="AM276" i="1"/>
  <c r="I276" i="1" s="1"/>
  <c r="AI276" i="1"/>
  <c r="AH276" i="1"/>
  <c r="AF276" i="1"/>
  <c r="AE276" i="1"/>
  <c r="AD276" i="1"/>
  <c r="AC276" i="1"/>
  <c r="AB276" i="1"/>
  <c r="X276" i="1"/>
  <c r="M276" i="1"/>
  <c r="BD276" i="1" s="1"/>
  <c r="K276" i="1"/>
  <c r="AJ276" i="1" s="1"/>
  <c r="BU274" i="1"/>
  <c r="BH274" i="1"/>
  <c r="BB274" i="1"/>
  <c r="AN274" i="1"/>
  <c r="J274" i="1" s="1"/>
  <c r="AM274" i="1"/>
  <c r="AI274" i="1"/>
  <c r="AH274" i="1"/>
  <c r="AF274" i="1"/>
  <c r="AE274" i="1"/>
  <c r="AD274" i="1"/>
  <c r="AC274" i="1"/>
  <c r="AB274" i="1"/>
  <c r="X274" i="1"/>
  <c r="M274" i="1"/>
  <c r="BD274" i="1" s="1"/>
  <c r="K274" i="1"/>
  <c r="AJ274" i="1" s="1"/>
  <c r="BU271" i="1"/>
  <c r="BH271" i="1"/>
  <c r="BB271" i="1"/>
  <c r="AN271" i="1"/>
  <c r="BG271" i="1" s="1"/>
  <c r="AA271" i="1" s="1"/>
  <c r="AM271" i="1"/>
  <c r="AU271" i="1" s="1"/>
  <c r="AI271" i="1"/>
  <c r="AH271" i="1"/>
  <c r="AF271" i="1"/>
  <c r="AE271" i="1"/>
  <c r="AD271" i="1"/>
  <c r="AC271" i="1"/>
  <c r="AB271" i="1"/>
  <c r="X271" i="1"/>
  <c r="M271" i="1"/>
  <c r="BD271" i="1" s="1"/>
  <c r="K271" i="1"/>
  <c r="AJ271" i="1" s="1"/>
  <c r="BU269" i="1"/>
  <c r="BH269" i="1"/>
  <c r="BB269" i="1"/>
  <c r="AN269" i="1"/>
  <c r="BG269" i="1" s="1"/>
  <c r="AA269" i="1" s="1"/>
  <c r="AM269" i="1"/>
  <c r="BF269" i="1" s="1"/>
  <c r="Z269" i="1" s="1"/>
  <c r="AI269" i="1"/>
  <c r="AH269" i="1"/>
  <c r="AF269" i="1"/>
  <c r="AE269" i="1"/>
  <c r="AD269" i="1"/>
  <c r="AC269" i="1"/>
  <c r="AB269" i="1"/>
  <c r="X269" i="1"/>
  <c r="M269" i="1"/>
  <c r="BD269" i="1" s="1"/>
  <c r="K269" i="1"/>
  <c r="AJ269" i="1" s="1"/>
  <c r="BU267" i="1"/>
  <c r="BH267" i="1"/>
  <c r="BB267" i="1"/>
  <c r="AN267" i="1"/>
  <c r="J267" i="1" s="1"/>
  <c r="AM267" i="1"/>
  <c r="AI267" i="1"/>
  <c r="AH267" i="1"/>
  <c r="AF267" i="1"/>
  <c r="AE267" i="1"/>
  <c r="AD267" i="1"/>
  <c r="AC267" i="1"/>
  <c r="AB267" i="1"/>
  <c r="X267" i="1"/>
  <c r="M267" i="1"/>
  <c r="BD267" i="1" s="1"/>
  <c r="K267" i="1"/>
  <c r="AJ267" i="1" s="1"/>
  <c r="BU265" i="1"/>
  <c r="BH265" i="1"/>
  <c r="BB265" i="1"/>
  <c r="AN265" i="1"/>
  <c r="AM265" i="1"/>
  <c r="AU265" i="1" s="1"/>
  <c r="AI265" i="1"/>
  <c r="AH265" i="1"/>
  <c r="AF265" i="1"/>
  <c r="AE265" i="1"/>
  <c r="AD265" i="1"/>
  <c r="AC265" i="1"/>
  <c r="AB265" i="1"/>
  <c r="X265" i="1"/>
  <c r="M265" i="1"/>
  <c r="BD265" i="1" s="1"/>
  <c r="K265" i="1"/>
  <c r="AJ265" i="1" s="1"/>
  <c r="BU263" i="1"/>
  <c r="BH263" i="1"/>
  <c r="BB263" i="1"/>
  <c r="AN263" i="1"/>
  <c r="AV263" i="1" s="1"/>
  <c r="AM263" i="1"/>
  <c r="AI263" i="1"/>
  <c r="AH263" i="1"/>
  <c r="AF263" i="1"/>
  <c r="AE263" i="1"/>
  <c r="AD263" i="1"/>
  <c r="AC263" i="1"/>
  <c r="AB263" i="1"/>
  <c r="X263" i="1"/>
  <c r="M263" i="1"/>
  <c r="BD263" i="1" s="1"/>
  <c r="K263" i="1"/>
  <c r="AJ263" i="1" s="1"/>
  <c r="BU261" i="1"/>
  <c r="BH261" i="1"/>
  <c r="BB261" i="1"/>
  <c r="AN261" i="1"/>
  <c r="J261" i="1" s="1"/>
  <c r="AM261" i="1"/>
  <c r="I261" i="1" s="1"/>
  <c r="AI261" i="1"/>
  <c r="AH261" i="1"/>
  <c r="AF261" i="1"/>
  <c r="AE261" i="1"/>
  <c r="AD261" i="1"/>
  <c r="AC261" i="1"/>
  <c r="AB261" i="1"/>
  <c r="X261" i="1"/>
  <c r="M261" i="1"/>
  <c r="BD261" i="1" s="1"/>
  <c r="K261" i="1"/>
  <c r="BU257" i="1"/>
  <c r="BH257" i="1"/>
  <c r="BB257" i="1"/>
  <c r="AN257" i="1"/>
  <c r="AM257" i="1"/>
  <c r="AU257" i="1" s="1"/>
  <c r="AI257" i="1"/>
  <c r="AH257" i="1"/>
  <c r="AF257" i="1"/>
  <c r="AE257" i="1"/>
  <c r="AD257" i="1"/>
  <c r="AC257" i="1"/>
  <c r="AB257" i="1"/>
  <c r="X257" i="1"/>
  <c r="M257" i="1"/>
  <c r="BD257" i="1" s="1"/>
  <c r="K257" i="1"/>
  <c r="AJ257" i="1" s="1"/>
  <c r="BU253" i="1"/>
  <c r="BH253" i="1"/>
  <c r="BB253" i="1"/>
  <c r="AN253" i="1"/>
  <c r="BG253" i="1" s="1"/>
  <c r="AA253" i="1" s="1"/>
  <c r="AM253" i="1"/>
  <c r="I253" i="1" s="1"/>
  <c r="AI253" i="1"/>
  <c r="AH253" i="1"/>
  <c r="AF253" i="1"/>
  <c r="AE253" i="1"/>
  <c r="AD253" i="1"/>
  <c r="AC253" i="1"/>
  <c r="AB253" i="1"/>
  <c r="X253" i="1"/>
  <c r="M253" i="1"/>
  <c r="BD253" i="1" s="1"/>
  <c r="K253" i="1"/>
  <c r="BU251" i="1"/>
  <c r="BH251" i="1"/>
  <c r="BB251" i="1"/>
  <c r="AN251" i="1"/>
  <c r="J251" i="1" s="1"/>
  <c r="AM251" i="1"/>
  <c r="I251" i="1" s="1"/>
  <c r="AI251" i="1"/>
  <c r="AH251" i="1"/>
  <c r="AF251" i="1"/>
  <c r="AE251" i="1"/>
  <c r="AD251" i="1"/>
  <c r="AC251" i="1"/>
  <c r="AB251" i="1"/>
  <c r="X251" i="1"/>
  <c r="M251" i="1"/>
  <c r="BD251" i="1" s="1"/>
  <c r="K251" i="1"/>
  <c r="AJ251" i="1" s="1"/>
  <c r="BU245" i="1"/>
  <c r="BH245" i="1"/>
  <c r="BB245" i="1"/>
  <c r="AN245" i="1"/>
  <c r="BG245" i="1" s="1"/>
  <c r="AA245" i="1" s="1"/>
  <c r="AM245" i="1"/>
  <c r="AI245" i="1"/>
  <c r="AH245" i="1"/>
  <c r="AF245" i="1"/>
  <c r="AE245" i="1"/>
  <c r="AD245" i="1"/>
  <c r="AC245" i="1"/>
  <c r="AB245" i="1"/>
  <c r="X245" i="1"/>
  <c r="M245" i="1"/>
  <c r="BD245" i="1" s="1"/>
  <c r="K245" i="1"/>
  <c r="AJ245" i="1" s="1"/>
  <c r="BU238" i="1"/>
  <c r="BH238" i="1"/>
  <c r="BB238" i="1"/>
  <c r="AN238" i="1"/>
  <c r="BG238" i="1" s="1"/>
  <c r="AA238" i="1" s="1"/>
  <c r="AM238" i="1"/>
  <c r="BF238" i="1" s="1"/>
  <c r="Z238" i="1" s="1"/>
  <c r="AI238" i="1"/>
  <c r="AH238" i="1"/>
  <c r="AF238" i="1"/>
  <c r="AE238" i="1"/>
  <c r="AD238" i="1"/>
  <c r="AC238" i="1"/>
  <c r="AB238" i="1"/>
  <c r="X238" i="1"/>
  <c r="M238" i="1"/>
  <c r="BD238" i="1" s="1"/>
  <c r="K238" i="1"/>
  <c r="AJ238" i="1" s="1"/>
  <c r="BU230" i="1"/>
  <c r="BH230" i="1"/>
  <c r="BB230" i="1"/>
  <c r="AN230" i="1"/>
  <c r="AM230" i="1"/>
  <c r="BF230" i="1" s="1"/>
  <c r="Z230" i="1" s="1"/>
  <c r="AI230" i="1"/>
  <c r="AH230" i="1"/>
  <c r="AF230" i="1"/>
  <c r="AE230" i="1"/>
  <c r="AD230" i="1"/>
  <c r="AC230" i="1"/>
  <c r="AB230" i="1"/>
  <c r="X230" i="1"/>
  <c r="M230" i="1"/>
  <c r="BD230" i="1" s="1"/>
  <c r="K230" i="1"/>
  <c r="BU220" i="1"/>
  <c r="BH220" i="1"/>
  <c r="BB220" i="1"/>
  <c r="AN220" i="1"/>
  <c r="BG220" i="1" s="1"/>
  <c r="AA220" i="1" s="1"/>
  <c r="AM220" i="1"/>
  <c r="AU220" i="1" s="1"/>
  <c r="AJ220" i="1"/>
  <c r="AI220" i="1"/>
  <c r="AH220" i="1"/>
  <c r="AF220" i="1"/>
  <c r="AE220" i="1"/>
  <c r="AD220" i="1"/>
  <c r="AC220" i="1"/>
  <c r="AB220" i="1"/>
  <c r="X220" i="1"/>
  <c r="M220" i="1"/>
  <c r="BD220" i="1" s="1"/>
  <c r="K220" i="1"/>
  <c r="BU210" i="1"/>
  <c r="BH210" i="1"/>
  <c r="BB210" i="1"/>
  <c r="AN210" i="1"/>
  <c r="BG210" i="1" s="1"/>
  <c r="AA210" i="1" s="1"/>
  <c r="AM210" i="1"/>
  <c r="BF210" i="1" s="1"/>
  <c r="Z210" i="1" s="1"/>
  <c r="AI210" i="1"/>
  <c r="AH210" i="1"/>
  <c r="AF210" i="1"/>
  <c r="AE210" i="1"/>
  <c r="AD210" i="1"/>
  <c r="AC210" i="1"/>
  <c r="AB210" i="1"/>
  <c r="X210" i="1"/>
  <c r="M210" i="1"/>
  <c r="BD210" i="1" s="1"/>
  <c r="K210" i="1"/>
  <c r="BU207" i="1"/>
  <c r="BH207" i="1"/>
  <c r="BB207" i="1"/>
  <c r="AN207" i="1"/>
  <c r="BG207" i="1" s="1"/>
  <c r="AA207" i="1" s="1"/>
  <c r="AM207" i="1"/>
  <c r="AI207" i="1"/>
  <c r="AH207" i="1"/>
  <c r="AF207" i="1"/>
  <c r="AE207" i="1"/>
  <c r="AD207" i="1"/>
  <c r="AC207" i="1"/>
  <c r="AB207" i="1"/>
  <c r="X207" i="1"/>
  <c r="M207" i="1"/>
  <c r="BD207" i="1" s="1"/>
  <c r="K207" i="1"/>
  <c r="AJ207" i="1" s="1"/>
  <c r="BU205" i="1"/>
  <c r="BH205" i="1"/>
  <c r="BB205" i="1"/>
  <c r="AN205" i="1"/>
  <c r="BG205" i="1" s="1"/>
  <c r="AA205" i="1" s="1"/>
  <c r="AM205" i="1"/>
  <c r="AU205" i="1" s="1"/>
  <c r="AI205" i="1"/>
  <c r="AH205" i="1"/>
  <c r="AF205" i="1"/>
  <c r="AE205" i="1"/>
  <c r="AD205" i="1"/>
  <c r="AC205" i="1"/>
  <c r="AB205" i="1"/>
  <c r="X205" i="1"/>
  <c r="M205" i="1"/>
  <c r="BD205" i="1" s="1"/>
  <c r="K205" i="1"/>
  <c r="AJ205" i="1" s="1"/>
  <c r="BU202" i="1"/>
  <c r="BH202" i="1"/>
  <c r="BD202" i="1"/>
  <c r="BB202" i="1"/>
  <c r="AN202" i="1"/>
  <c r="AV202" i="1" s="1"/>
  <c r="AM202" i="1"/>
  <c r="AI202" i="1"/>
  <c r="AR201" i="1" s="1"/>
  <c r="AH202" i="1"/>
  <c r="AQ201" i="1" s="1"/>
  <c r="AF202" i="1"/>
  <c r="AE202" i="1"/>
  <c r="AD202" i="1"/>
  <c r="AA202" i="1"/>
  <c r="Z202" i="1"/>
  <c r="X202" i="1"/>
  <c r="M202" i="1"/>
  <c r="M201" i="1" s="1"/>
  <c r="G26" i="2" s="1"/>
  <c r="K202" i="1"/>
  <c r="K201" i="1" s="1"/>
  <c r="F26" i="2" s="1"/>
  <c r="I26" i="2" s="1"/>
  <c r="BU199" i="1"/>
  <c r="BH199" i="1"/>
  <c r="BB199" i="1"/>
  <c r="AN199" i="1"/>
  <c r="BG199" i="1" s="1"/>
  <c r="AC199" i="1" s="1"/>
  <c r="AM199" i="1"/>
  <c r="BF199" i="1" s="1"/>
  <c r="AB199" i="1" s="1"/>
  <c r="AI199" i="1"/>
  <c r="AR198" i="1" s="1"/>
  <c r="AH199" i="1"/>
  <c r="AQ198" i="1" s="1"/>
  <c r="AF199" i="1"/>
  <c r="AE199" i="1"/>
  <c r="AD199" i="1"/>
  <c r="AA199" i="1"/>
  <c r="Z199" i="1"/>
  <c r="X199" i="1"/>
  <c r="M199" i="1"/>
  <c r="BD199" i="1" s="1"/>
  <c r="K199" i="1"/>
  <c r="BU196" i="1"/>
  <c r="BH196" i="1"/>
  <c r="BB196" i="1"/>
  <c r="AN196" i="1"/>
  <c r="BG196" i="1" s="1"/>
  <c r="AC196" i="1" s="1"/>
  <c r="AM196" i="1"/>
  <c r="BF196" i="1" s="1"/>
  <c r="AB196" i="1" s="1"/>
  <c r="AI196" i="1"/>
  <c r="AH196" i="1"/>
  <c r="AF196" i="1"/>
  <c r="AE196" i="1"/>
  <c r="AD196" i="1"/>
  <c r="AA196" i="1"/>
  <c r="Z196" i="1"/>
  <c r="X196" i="1"/>
  <c r="M196" i="1"/>
  <c r="BD196" i="1" s="1"/>
  <c r="K196" i="1"/>
  <c r="BU193" i="1"/>
  <c r="BH193" i="1"/>
  <c r="BB193" i="1"/>
  <c r="AN193" i="1"/>
  <c r="AV193" i="1" s="1"/>
  <c r="AM193" i="1"/>
  <c r="I193" i="1" s="1"/>
  <c r="AI193" i="1"/>
  <c r="AR192" i="1" s="1"/>
  <c r="AH193" i="1"/>
  <c r="AF193" i="1"/>
  <c r="AE193" i="1"/>
  <c r="AD193" i="1"/>
  <c r="AA193" i="1"/>
  <c r="Z193" i="1"/>
  <c r="X193" i="1"/>
  <c r="M193" i="1"/>
  <c r="K193" i="1"/>
  <c r="AJ193" i="1" s="1"/>
  <c r="BU190" i="1"/>
  <c r="BH190" i="1"/>
  <c r="BB190" i="1"/>
  <c r="AN190" i="1"/>
  <c r="BG190" i="1" s="1"/>
  <c r="AC190" i="1" s="1"/>
  <c r="AM190" i="1"/>
  <c r="BF190" i="1" s="1"/>
  <c r="AB190" i="1" s="1"/>
  <c r="AI190" i="1"/>
  <c r="AR189" i="1" s="1"/>
  <c r="AH190" i="1"/>
  <c r="AQ189" i="1" s="1"/>
  <c r="AF190" i="1"/>
  <c r="AE190" i="1"/>
  <c r="AD190" i="1"/>
  <c r="AA190" i="1"/>
  <c r="Z190" i="1"/>
  <c r="X190" i="1"/>
  <c r="M190" i="1"/>
  <c r="BD190" i="1" s="1"/>
  <c r="K190" i="1"/>
  <c r="BU187" i="1"/>
  <c r="BH187" i="1"/>
  <c r="BB187" i="1"/>
  <c r="AN187" i="1"/>
  <c r="AM187" i="1"/>
  <c r="AI187" i="1"/>
  <c r="AR186" i="1" s="1"/>
  <c r="AH187" i="1"/>
  <c r="AQ186" i="1" s="1"/>
  <c r="AF187" i="1"/>
  <c r="AE187" i="1"/>
  <c r="AD187" i="1"/>
  <c r="AA187" i="1"/>
  <c r="Z187" i="1"/>
  <c r="X187" i="1"/>
  <c r="M187" i="1"/>
  <c r="K187" i="1"/>
  <c r="K186" i="1" s="1"/>
  <c r="F22" i="2" s="1"/>
  <c r="I22" i="2" s="1"/>
  <c r="BU182" i="1"/>
  <c r="BH182" i="1"/>
  <c r="BB182" i="1"/>
  <c r="AN182" i="1"/>
  <c r="AM182" i="1"/>
  <c r="AI182" i="1"/>
  <c r="AR181" i="1" s="1"/>
  <c r="AH182" i="1"/>
  <c r="AQ181" i="1" s="1"/>
  <c r="AF182" i="1"/>
  <c r="AE182" i="1"/>
  <c r="AD182" i="1"/>
  <c r="AA182" i="1"/>
  <c r="Z182" i="1"/>
  <c r="X182" i="1"/>
  <c r="M182" i="1"/>
  <c r="K182" i="1"/>
  <c r="K181" i="1" s="1"/>
  <c r="F21" i="2" s="1"/>
  <c r="I21" i="2" s="1"/>
  <c r="BU177" i="1"/>
  <c r="BH177" i="1"/>
  <c r="BB177" i="1"/>
  <c r="AN177" i="1"/>
  <c r="AM177" i="1"/>
  <c r="BF177" i="1" s="1"/>
  <c r="AB177" i="1" s="1"/>
  <c r="AI177" i="1"/>
  <c r="AH177" i="1"/>
  <c r="AF177" i="1"/>
  <c r="AE177" i="1"/>
  <c r="AD177" i="1"/>
  <c r="AA177" i="1"/>
  <c r="Z177" i="1"/>
  <c r="X177" i="1"/>
  <c r="M177" i="1"/>
  <c r="BD177" i="1" s="1"/>
  <c r="K177" i="1"/>
  <c r="AJ177" i="1" s="1"/>
  <c r="BU173" i="1"/>
  <c r="BH173" i="1"/>
  <c r="BB173" i="1"/>
  <c r="AN173" i="1"/>
  <c r="BG173" i="1" s="1"/>
  <c r="AC173" i="1" s="1"/>
  <c r="AM173" i="1"/>
  <c r="BF173" i="1" s="1"/>
  <c r="AB173" i="1" s="1"/>
  <c r="AI173" i="1"/>
  <c r="AH173" i="1"/>
  <c r="AF173" i="1"/>
  <c r="AE173" i="1"/>
  <c r="AD173" i="1"/>
  <c r="AA173" i="1"/>
  <c r="Z173" i="1"/>
  <c r="X173" i="1"/>
  <c r="M173" i="1"/>
  <c r="BD173" i="1" s="1"/>
  <c r="K173" i="1"/>
  <c r="BU169" i="1"/>
  <c r="BH169" i="1"/>
  <c r="X169" i="1" s="1"/>
  <c r="BB169" i="1"/>
  <c r="AN169" i="1"/>
  <c r="AV169" i="1" s="1"/>
  <c r="AM169" i="1"/>
  <c r="I169" i="1" s="1"/>
  <c r="AI169" i="1"/>
  <c r="AH169" i="1"/>
  <c r="AF169" i="1"/>
  <c r="AE169" i="1"/>
  <c r="AD169" i="1"/>
  <c r="AC169" i="1"/>
  <c r="AB169" i="1"/>
  <c r="AA169" i="1"/>
  <c r="Z169" i="1"/>
  <c r="M169" i="1"/>
  <c r="BD169" i="1" s="1"/>
  <c r="K169" i="1"/>
  <c r="BU167" i="1"/>
  <c r="BH167" i="1"/>
  <c r="X167" i="1" s="1"/>
  <c r="BB167" i="1"/>
  <c r="AN167" i="1"/>
  <c r="BG167" i="1" s="1"/>
  <c r="AM167" i="1"/>
  <c r="AI167" i="1"/>
  <c r="AH167" i="1"/>
  <c r="AF167" i="1"/>
  <c r="AE167" i="1"/>
  <c r="AD167" i="1"/>
  <c r="AC167" i="1"/>
  <c r="AB167" i="1"/>
  <c r="AA167" i="1"/>
  <c r="Z167" i="1"/>
  <c r="M167" i="1"/>
  <c r="BD167" i="1" s="1"/>
  <c r="K167" i="1"/>
  <c r="AJ167" i="1" s="1"/>
  <c r="BU165" i="1"/>
  <c r="BH165" i="1"/>
  <c r="X165" i="1" s="1"/>
  <c r="BB165" i="1"/>
  <c r="AN165" i="1"/>
  <c r="J165" i="1" s="1"/>
  <c r="AM165" i="1"/>
  <c r="I165" i="1" s="1"/>
  <c r="AI165" i="1"/>
  <c r="AH165" i="1"/>
  <c r="AF165" i="1"/>
  <c r="AE165" i="1"/>
  <c r="AD165" i="1"/>
  <c r="AC165" i="1"/>
  <c r="AB165" i="1"/>
  <c r="AA165" i="1"/>
  <c r="Z165" i="1"/>
  <c r="M165" i="1"/>
  <c r="BD165" i="1" s="1"/>
  <c r="K165" i="1"/>
  <c r="AJ165" i="1" s="1"/>
  <c r="BU163" i="1"/>
  <c r="BH163" i="1"/>
  <c r="X163" i="1" s="1"/>
  <c r="BB163" i="1"/>
  <c r="AN163" i="1"/>
  <c r="BG163" i="1" s="1"/>
  <c r="AM163" i="1"/>
  <c r="AI163" i="1"/>
  <c r="AH163" i="1"/>
  <c r="AF163" i="1"/>
  <c r="AE163" i="1"/>
  <c r="AD163" i="1"/>
  <c r="AC163" i="1"/>
  <c r="AB163" i="1"/>
  <c r="AA163" i="1"/>
  <c r="Z163" i="1"/>
  <c r="M163" i="1"/>
  <c r="BD163" i="1" s="1"/>
  <c r="K163" i="1"/>
  <c r="AJ163" i="1" s="1"/>
  <c r="BU161" i="1"/>
  <c r="BH161" i="1"/>
  <c r="X161" i="1" s="1"/>
  <c r="BB161" i="1"/>
  <c r="AN161" i="1"/>
  <c r="BG161" i="1" s="1"/>
  <c r="AM161" i="1"/>
  <c r="AU161" i="1" s="1"/>
  <c r="AI161" i="1"/>
  <c r="AH161" i="1"/>
  <c r="AF161" i="1"/>
  <c r="AE161" i="1"/>
  <c r="AD161" i="1"/>
  <c r="AC161" i="1"/>
  <c r="AB161" i="1"/>
  <c r="AA161" i="1"/>
  <c r="Z161" i="1"/>
  <c r="M161" i="1"/>
  <c r="BD161" i="1" s="1"/>
  <c r="K161" i="1"/>
  <c r="AJ161" i="1" s="1"/>
  <c r="BU159" i="1"/>
  <c r="BH159" i="1"/>
  <c r="X159" i="1" s="1"/>
  <c r="BB159" i="1"/>
  <c r="AN159" i="1"/>
  <c r="AM159" i="1"/>
  <c r="BF159" i="1" s="1"/>
  <c r="AI159" i="1"/>
  <c r="AH159" i="1"/>
  <c r="AF159" i="1"/>
  <c r="AE159" i="1"/>
  <c r="AD159" i="1"/>
  <c r="AC159" i="1"/>
  <c r="AB159" i="1"/>
  <c r="AA159" i="1"/>
  <c r="Z159" i="1"/>
  <c r="M159" i="1"/>
  <c r="BD159" i="1" s="1"/>
  <c r="K159" i="1"/>
  <c r="AJ159" i="1" s="1"/>
  <c r="BU157" i="1"/>
  <c r="BH157" i="1"/>
  <c r="X157" i="1" s="1"/>
  <c r="BB157" i="1"/>
  <c r="AN157" i="1"/>
  <c r="BG157" i="1" s="1"/>
  <c r="AM157" i="1"/>
  <c r="BF157" i="1" s="1"/>
  <c r="AI157" i="1"/>
  <c r="AH157" i="1"/>
  <c r="AF157" i="1"/>
  <c r="AE157" i="1"/>
  <c r="AD157" i="1"/>
  <c r="AC157" i="1"/>
  <c r="AB157" i="1"/>
  <c r="AA157" i="1"/>
  <c r="Z157" i="1"/>
  <c r="M157" i="1"/>
  <c r="BD157" i="1" s="1"/>
  <c r="K157" i="1"/>
  <c r="AJ157" i="1" s="1"/>
  <c r="BU154" i="1"/>
  <c r="BH154" i="1"/>
  <c r="BB154" i="1"/>
  <c r="AN154" i="1"/>
  <c r="AV154" i="1" s="1"/>
  <c r="AM154" i="1"/>
  <c r="BF154" i="1" s="1"/>
  <c r="Z154" i="1" s="1"/>
  <c r="AI154" i="1"/>
  <c r="AH154" i="1"/>
  <c r="AF154" i="1"/>
  <c r="AE154" i="1"/>
  <c r="AD154" i="1"/>
  <c r="AC154" i="1"/>
  <c r="AB154" i="1"/>
  <c r="X154" i="1"/>
  <c r="M154" i="1"/>
  <c r="BD154" i="1" s="1"/>
  <c r="K154" i="1"/>
  <c r="AJ154" i="1" s="1"/>
  <c r="BU152" i="1"/>
  <c r="BH152" i="1"/>
  <c r="BB152" i="1"/>
  <c r="AN152" i="1"/>
  <c r="BG152" i="1" s="1"/>
  <c r="AA152" i="1" s="1"/>
  <c r="AM152" i="1"/>
  <c r="BF152" i="1" s="1"/>
  <c r="Z152" i="1" s="1"/>
  <c r="AI152" i="1"/>
  <c r="AH152" i="1"/>
  <c r="AF152" i="1"/>
  <c r="AE152" i="1"/>
  <c r="AD152" i="1"/>
  <c r="AC152" i="1"/>
  <c r="AB152" i="1"/>
  <c r="X152" i="1"/>
  <c r="M152" i="1"/>
  <c r="BD152" i="1" s="1"/>
  <c r="K152" i="1"/>
  <c r="AJ152" i="1" s="1"/>
  <c r="BU142" i="1"/>
  <c r="BH142" i="1"/>
  <c r="BB142" i="1"/>
  <c r="AN142" i="1"/>
  <c r="AV142" i="1" s="1"/>
  <c r="AM142" i="1"/>
  <c r="I142" i="1" s="1"/>
  <c r="AI142" i="1"/>
  <c r="AH142" i="1"/>
  <c r="AF142" i="1"/>
  <c r="AE142" i="1"/>
  <c r="AD142" i="1"/>
  <c r="AC142" i="1"/>
  <c r="AB142" i="1"/>
  <c r="X142" i="1"/>
  <c r="M142" i="1"/>
  <c r="BD142" i="1" s="1"/>
  <c r="K142" i="1"/>
  <c r="BU134" i="1"/>
  <c r="BH134" i="1"/>
  <c r="BB134" i="1"/>
  <c r="AN134" i="1"/>
  <c r="AV134" i="1" s="1"/>
  <c r="AM134" i="1"/>
  <c r="AI134" i="1"/>
  <c r="AH134" i="1"/>
  <c r="AF134" i="1"/>
  <c r="AE134" i="1"/>
  <c r="AD134" i="1"/>
  <c r="AC134" i="1"/>
  <c r="AB134" i="1"/>
  <c r="X134" i="1"/>
  <c r="M134" i="1"/>
  <c r="BD134" i="1" s="1"/>
  <c r="K134" i="1"/>
  <c r="AJ134" i="1" s="1"/>
  <c r="BU124" i="1"/>
  <c r="BH124" i="1"/>
  <c r="BB124" i="1"/>
  <c r="AN124" i="1"/>
  <c r="J124" i="1" s="1"/>
  <c r="AM124" i="1"/>
  <c r="AU124" i="1" s="1"/>
  <c r="AI124" i="1"/>
  <c r="AH124" i="1"/>
  <c r="AF124" i="1"/>
  <c r="AE124" i="1"/>
  <c r="AD124" i="1"/>
  <c r="AC124" i="1"/>
  <c r="AB124" i="1"/>
  <c r="X124" i="1"/>
  <c r="M124" i="1"/>
  <c r="BD124" i="1" s="1"/>
  <c r="K124" i="1"/>
  <c r="AJ124" i="1" s="1"/>
  <c r="BU122" i="1"/>
  <c r="BH122" i="1"/>
  <c r="BB122" i="1"/>
  <c r="AN122" i="1"/>
  <c r="AM122" i="1"/>
  <c r="BF122" i="1" s="1"/>
  <c r="Z122" i="1" s="1"/>
  <c r="AI122" i="1"/>
  <c r="AH122" i="1"/>
  <c r="AF122" i="1"/>
  <c r="AE122" i="1"/>
  <c r="AD122" i="1"/>
  <c r="AC122" i="1"/>
  <c r="AB122" i="1"/>
  <c r="X122" i="1"/>
  <c r="M122" i="1"/>
  <c r="BD122" i="1" s="1"/>
  <c r="K122" i="1"/>
  <c r="AJ122" i="1" s="1"/>
  <c r="BU115" i="1"/>
  <c r="BH115" i="1"/>
  <c r="BB115" i="1"/>
  <c r="AN115" i="1"/>
  <c r="BG115" i="1" s="1"/>
  <c r="AA115" i="1" s="1"/>
  <c r="AM115" i="1"/>
  <c r="AU115" i="1" s="1"/>
  <c r="AI115" i="1"/>
  <c r="AH115" i="1"/>
  <c r="AF115" i="1"/>
  <c r="AE115" i="1"/>
  <c r="AD115" i="1"/>
  <c r="AC115" i="1"/>
  <c r="AB115" i="1"/>
  <c r="X115" i="1"/>
  <c r="M115" i="1"/>
  <c r="BD115" i="1" s="1"/>
  <c r="K115" i="1"/>
  <c r="AJ115" i="1" s="1"/>
  <c r="BU107" i="1"/>
  <c r="BH107" i="1"/>
  <c r="BB107" i="1"/>
  <c r="AN107" i="1"/>
  <c r="AV107" i="1" s="1"/>
  <c r="AM107" i="1"/>
  <c r="AI107" i="1"/>
  <c r="AH107" i="1"/>
  <c r="AF107" i="1"/>
  <c r="AE107" i="1"/>
  <c r="AD107" i="1"/>
  <c r="AC107" i="1"/>
  <c r="AB107" i="1"/>
  <c r="X107" i="1"/>
  <c r="M107" i="1"/>
  <c r="BD107" i="1" s="1"/>
  <c r="K107" i="1"/>
  <c r="AJ107" i="1" s="1"/>
  <c r="BU106" i="1"/>
  <c r="BH106" i="1"/>
  <c r="BB106" i="1"/>
  <c r="AN106" i="1"/>
  <c r="BG106" i="1" s="1"/>
  <c r="AA106" i="1" s="1"/>
  <c r="AM106" i="1"/>
  <c r="I106" i="1" s="1"/>
  <c r="AI106" i="1"/>
  <c r="AH106" i="1"/>
  <c r="AF106" i="1"/>
  <c r="AE106" i="1"/>
  <c r="AD106" i="1"/>
  <c r="AC106" i="1"/>
  <c r="AB106" i="1"/>
  <c r="X106" i="1"/>
  <c r="M106" i="1"/>
  <c r="K106" i="1"/>
  <c r="BU103" i="1"/>
  <c r="BH103" i="1"/>
  <c r="BB103" i="1"/>
  <c r="AN103" i="1"/>
  <c r="J103" i="1" s="1"/>
  <c r="AM103" i="1"/>
  <c r="AU103" i="1" s="1"/>
  <c r="AI103" i="1"/>
  <c r="AH103" i="1"/>
  <c r="AF103" i="1"/>
  <c r="AE103" i="1"/>
  <c r="AD103" i="1"/>
  <c r="AC103" i="1"/>
  <c r="AB103" i="1"/>
  <c r="X103" i="1"/>
  <c r="M103" i="1"/>
  <c r="BD103" i="1" s="1"/>
  <c r="K103" i="1"/>
  <c r="AJ103" i="1" s="1"/>
  <c r="BU97" i="1"/>
  <c r="BH97" i="1"/>
  <c r="BB97" i="1"/>
  <c r="AN97" i="1"/>
  <c r="BG97" i="1" s="1"/>
  <c r="AA97" i="1" s="1"/>
  <c r="AM97" i="1"/>
  <c r="BF97" i="1" s="1"/>
  <c r="Z97" i="1" s="1"/>
  <c r="AI97" i="1"/>
  <c r="AH97" i="1"/>
  <c r="AF97" i="1"/>
  <c r="AE97" i="1"/>
  <c r="AD97" i="1"/>
  <c r="AC97" i="1"/>
  <c r="AB97" i="1"/>
  <c r="X97" i="1"/>
  <c r="M97" i="1"/>
  <c r="BD97" i="1" s="1"/>
  <c r="K97" i="1"/>
  <c r="AJ97" i="1" s="1"/>
  <c r="BU91" i="1"/>
  <c r="BH91" i="1"/>
  <c r="BB91" i="1"/>
  <c r="AN91" i="1"/>
  <c r="AV91" i="1" s="1"/>
  <c r="AM91" i="1"/>
  <c r="AU91" i="1" s="1"/>
  <c r="AI91" i="1"/>
  <c r="AH91" i="1"/>
  <c r="AF91" i="1"/>
  <c r="AE91" i="1"/>
  <c r="AD91" i="1"/>
  <c r="AC91" i="1"/>
  <c r="AB91" i="1"/>
  <c r="X91" i="1"/>
  <c r="M91" i="1"/>
  <c r="BD91" i="1" s="1"/>
  <c r="K91" i="1"/>
  <c r="AJ91" i="1" s="1"/>
  <c r="BU86" i="1"/>
  <c r="BH86" i="1"/>
  <c r="BB86" i="1"/>
  <c r="AN86" i="1"/>
  <c r="BG86" i="1" s="1"/>
  <c r="AA86" i="1" s="1"/>
  <c r="AM86" i="1"/>
  <c r="BF86" i="1" s="1"/>
  <c r="Z86" i="1" s="1"/>
  <c r="AI86" i="1"/>
  <c r="AH86" i="1"/>
  <c r="AF86" i="1"/>
  <c r="AE86" i="1"/>
  <c r="AD86" i="1"/>
  <c r="AC86" i="1"/>
  <c r="AB86" i="1"/>
  <c r="X86" i="1"/>
  <c r="M86" i="1"/>
  <c r="BD86" i="1" s="1"/>
  <c r="K86" i="1"/>
  <c r="AJ86" i="1" s="1"/>
  <c r="J86" i="1"/>
  <c r="BU80" i="1"/>
  <c r="BH80" i="1"/>
  <c r="BB80" i="1"/>
  <c r="AN80" i="1"/>
  <c r="BG80" i="1" s="1"/>
  <c r="AA80" i="1" s="1"/>
  <c r="AM80" i="1"/>
  <c r="BF80" i="1" s="1"/>
  <c r="Z80" i="1" s="1"/>
  <c r="AI80" i="1"/>
  <c r="AH80" i="1"/>
  <c r="AF80" i="1"/>
  <c r="AE80" i="1"/>
  <c r="AD80" i="1"/>
  <c r="AC80" i="1"/>
  <c r="AB80" i="1"/>
  <c r="X80" i="1"/>
  <c r="M80" i="1"/>
  <c r="BD80" i="1" s="1"/>
  <c r="K80" i="1"/>
  <c r="AJ80" i="1" s="1"/>
  <c r="BU71" i="1"/>
  <c r="BH71" i="1"/>
  <c r="BB71" i="1"/>
  <c r="AN71" i="1"/>
  <c r="BG71" i="1" s="1"/>
  <c r="AA71" i="1" s="1"/>
  <c r="AM71" i="1"/>
  <c r="AI71" i="1"/>
  <c r="AH71" i="1"/>
  <c r="AF71" i="1"/>
  <c r="AE71" i="1"/>
  <c r="AD71" i="1"/>
  <c r="AC71" i="1"/>
  <c r="AB71" i="1"/>
  <c r="X71" i="1"/>
  <c r="M71" i="1"/>
  <c r="BD71" i="1" s="1"/>
  <c r="K71" i="1"/>
  <c r="AJ71" i="1" s="1"/>
  <c r="BU65" i="1"/>
  <c r="BH65" i="1"/>
  <c r="BB65" i="1"/>
  <c r="AN65" i="1"/>
  <c r="J65" i="1" s="1"/>
  <c r="AM65" i="1"/>
  <c r="BF65" i="1" s="1"/>
  <c r="Z65" i="1" s="1"/>
  <c r="AI65" i="1"/>
  <c r="AH65" i="1"/>
  <c r="AF65" i="1"/>
  <c r="AE65" i="1"/>
  <c r="AD65" i="1"/>
  <c r="AC65" i="1"/>
  <c r="AB65" i="1"/>
  <c r="X65" i="1"/>
  <c r="M65" i="1"/>
  <c r="BD65" i="1" s="1"/>
  <c r="K65" i="1"/>
  <c r="AJ65" i="1" s="1"/>
  <c r="BU61" i="1"/>
  <c r="BH61" i="1"/>
  <c r="BB61" i="1"/>
  <c r="AN61" i="1"/>
  <c r="BG61" i="1" s="1"/>
  <c r="AA61" i="1" s="1"/>
  <c r="AM61" i="1"/>
  <c r="AU61" i="1" s="1"/>
  <c r="AI61" i="1"/>
  <c r="AH61" i="1"/>
  <c r="AF61" i="1"/>
  <c r="AE61" i="1"/>
  <c r="AD61" i="1"/>
  <c r="AC61" i="1"/>
  <c r="AB61" i="1"/>
  <c r="X61" i="1"/>
  <c r="M61" i="1"/>
  <c r="BD61" i="1" s="1"/>
  <c r="K61" i="1"/>
  <c r="AJ61" i="1" s="1"/>
  <c r="BU57" i="1"/>
  <c r="BH57" i="1"/>
  <c r="BB57" i="1"/>
  <c r="AN57" i="1"/>
  <c r="BG57" i="1" s="1"/>
  <c r="AA57" i="1" s="1"/>
  <c r="AM57" i="1"/>
  <c r="BF57" i="1" s="1"/>
  <c r="Z57" i="1" s="1"/>
  <c r="AI57" i="1"/>
  <c r="AH57" i="1"/>
  <c r="AF57" i="1"/>
  <c r="AE57" i="1"/>
  <c r="AD57" i="1"/>
  <c r="AC57" i="1"/>
  <c r="AB57" i="1"/>
  <c r="X57" i="1"/>
  <c r="M57" i="1"/>
  <c r="BD57" i="1" s="1"/>
  <c r="K57" i="1"/>
  <c r="BU53" i="1"/>
  <c r="BH53" i="1"/>
  <c r="BB53" i="1"/>
  <c r="AN53" i="1"/>
  <c r="AV53" i="1" s="1"/>
  <c r="AM53" i="1"/>
  <c r="I53" i="1" s="1"/>
  <c r="AI53" i="1"/>
  <c r="AH53" i="1"/>
  <c r="AF53" i="1"/>
  <c r="AE53" i="1"/>
  <c r="AD53" i="1"/>
  <c r="AC53" i="1"/>
  <c r="AB53" i="1"/>
  <c r="X53" i="1"/>
  <c r="M53" i="1"/>
  <c r="BD53" i="1" s="1"/>
  <c r="K53" i="1"/>
  <c r="AJ53" i="1" s="1"/>
  <c r="BU50" i="1"/>
  <c r="BH50" i="1"/>
  <c r="BB50" i="1"/>
  <c r="AN50" i="1"/>
  <c r="AV50" i="1" s="1"/>
  <c r="AM50" i="1"/>
  <c r="AI50" i="1"/>
  <c r="AH50" i="1"/>
  <c r="AF50" i="1"/>
  <c r="AE50" i="1"/>
  <c r="AD50" i="1"/>
  <c r="AC50" i="1"/>
  <c r="AB50" i="1"/>
  <c r="X50" i="1"/>
  <c r="M50" i="1"/>
  <c r="BD50" i="1" s="1"/>
  <c r="K50" i="1"/>
  <c r="AJ50" i="1" s="1"/>
  <c r="BU44" i="1"/>
  <c r="BH44" i="1"/>
  <c r="BB44" i="1"/>
  <c r="AN44" i="1"/>
  <c r="AM44" i="1"/>
  <c r="AU44" i="1" s="1"/>
  <c r="AI44" i="1"/>
  <c r="AH44" i="1"/>
  <c r="AF44" i="1"/>
  <c r="AE44" i="1"/>
  <c r="AD44" i="1"/>
  <c r="AC44" i="1"/>
  <c r="AB44" i="1"/>
  <c r="X44" i="1"/>
  <c r="M44" i="1"/>
  <c r="BD44" i="1" s="1"/>
  <c r="K44" i="1"/>
  <c r="AJ44" i="1" s="1"/>
  <c r="BU43" i="1"/>
  <c r="BH43" i="1"/>
  <c r="BB43" i="1"/>
  <c r="AN43" i="1"/>
  <c r="BG43" i="1" s="1"/>
  <c r="AA43" i="1" s="1"/>
  <c r="AM43" i="1"/>
  <c r="BF43" i="1" s="1"/>
  <c r="Z43" i="1" s="1"/>
  <c r="AI43" i="1"/>
  <c r="AH43" i="1"/>
  <c r="AF43" i="1"/>
  <c r="AE43" i="1"/>
  <c r="AD43" i="1"/>
  <c r="AC43" i="1"/>
  <c r="AB43" i="1"/>
  <c r="X43" i="1"/>
  <c r="M43" i="1"/>
  <c r="BD43" i="1" s="1"/>
  <c r="K43" i="1"/>
  <c r="AJ43" i="1" s="1"/>
  <c r="BU41" i="1"/>
  <c r="BH41" i="1"/>
  <c r="BB41" i="1"/>
  <c r="AN41" i="1"/>
  <c r="AV41" i="1" s="1"/>
  <c r="AM41" i="1"/>
  <c r="AI41" i="1"/>
  <c r="AH41" i="1"/>
  <c r="AF41" i="1"/>
  <c r="AE41" i="1"/>
  <c r="AD41" i="1"/>
  <c r="AC41" i="1"/>
  <c r="AB41" i="1"/>
  <c r="X41" i="1"/>
  <c r="M41" i="1"/>
  <c r="BD41" i="1" s="1"/>
  <c r="K41" i="1"/>
  <c r="AJ41" i="1" s="1"/>
  <c r="BU38" i="1"/>
  <c r="BH38" i="1"/>
  <c r="BB38" i="1"/>
  <c r="AN38" i="1"/>
  <c r="J38" i="1" s="1"/>
  <c r="AM38" i="1"/>
  <c r="BF38" i="1" s="1"/>
  <c r="AB38" i="1" s="1"/>
  <c r="AI38" i="1"/>
  <c r="AH38" i="1"/>
  <c r="AF38" i="1"/>
  <c r="AE38" i="1"/>
  <c r="AD38" i="1"/>
  <c r="AA38" i="1"/>
  <c r="Z38" i="1"/>
  <c r="X38" i="1"/>
  <c r="M38" i="1"/>
  <c r="BD38" i="1" s="1"/>
  <c r="K38" i="1"/>
  <c r="AJ38" i="1" s="1"/>
  <c r="BU36" i="1"/>
  <c r="BH36" i="1"/>
  <c r="BB36" i="1"/>
  <c r="AN36" i="1"/>
  <c r="AM36" i="1"/>
  <c r="AI36" i="1"/>
  <c r="AH36" i="1"/>
  <c r="AF36" i="1"/>
  <c r="AE36" i="1"/>
  <c r="AD36" i="1"/>
  <c r="AA36" i="1"/>
  <c r="Z36" i="1"/>
  <c r="X36" i="1"/>
  <c r="M36" i="1"/>
  <c r="BD36" i="1" s="1"/>
  <c r="K36" i="1"/>
  <c r="AJ36" i="1" s="1"/>
  <c r="M35" i="1"/>
  <c r="G15" i="2" s="1"/>
  <c r="BU33" i="1"/>
  <c r="BH33" i="1"/>
  <c r="BB33" i="1"/>
  <c r="AN33" i="1"/>
  <c r="J33" i="1" s="1"/>
  <c r="J32" i="1" s="1"/>
  <c r="E14" i="2" s="1"/>
  <c r="AM33" i="1"/>
  <c r="AI33" i="1"/>
  <c r="AR32" i="1" s="1"/>
  <c r="AH33" i="1"/>
  <c r="AQ32" i="1" s="1"/>
  <c r="AF33" i="1"/>
  <c r="AE33" i="1"/>
  <c r="AD33" i="1"/>
  <c r="AA33" i="1"/>
  <c r="Z33" i="1"/>
  <c r="X33" i="1"/>
  <c r="M33" i="1"/>
  <c r="BD33" i="1" s="1"/>
  <c r="K33" i="1"/>
  <c r="K32" i="1" s="1"/>
  <c r="F14" i="2" s="1"/>
  <c r="I14" i="2" s="1"/>
  <c r="M32" i="1"/>
  <c r="G14" i="2" s="1"/>
  <c r="BU29" i="1"/>
  <c r="BH29" i="1"/>
  <c r="BB29" i="1"/>
  <c r="AN29" i="1"/>
  <c r="BG29" i="1" s="1"/>
  <c r="AC29" i="1" s="1"/>
  <c r="AM29" i="1"/>
  <c r="BF29" i="1" s="1"/>
  <c r="AB29" i="1" s="1"/>
  <c r="AI29" i="1"/>
  <c r="AH29" i="1"/>
  <c r="AF29" i="1"/>
  <c r="AE29" i="1"/>
  <c r="AD29" i="1"/>
  <c r="AA29" i="1"/>
  <c r="Z29" i="1"/>
  <c r="X29" i="1"/>
  <c r="M29" i="1"/>
  <c r="BD29" i="1" s="1"/>
  <c r="K29" i="1"/>
  <c r="AJ29" i="1" s="1"/>
  <c r="BU26" i="1"/>
  <c r="BH26" i="1"/>
  <c r="BB26" i="1"/>
  <c r="AN26" i="1"/>
  <c r="AM26" i="1"/>
  <c r="I26" i="1" s="1"/>
  <c r="AI26" i="1"/>
  <c r="AH26" i="1"/>
  <c r="AF26" i="1"/>
  <c r="AE26" i="1"/>
  <c r="AD26" i="1"/>
  <c r="AA26" i="1"/>
  <c r="Z26" i="1"/>
  <c r="X26" i="1"/>
  <c r="M26" i="1"/>
  <c r="BD26" i="1" s="1"/>
  <c r="K26" i="1"/>
  <c r="BU23" i="1"/>
  <c r="BH23" i="1"/>
  <c r="BB23" i="1"/>
  <c r="AN23" i="1"/>
  <c r="AV23" i="1" s="1"/>
  <c r="AM23" i="1"/>
  <c r="AU23" i="1" s="1"/>
  <c r="AI23" i="1"/>
  <c r="AH23" i="1"/>
  <c r="AF23" i="1"/>
  <c r="AE23" i="1"/>
  <c r="AD23" i="1"/>
  <c r="AA23" i="1"/>
  <c r="Z23" i="1"/>
  <c r="X23" i="1"/>
  <c r="M23" i="1"/>
  <c r="BD23" i="1" s="1"/>
  <c r="K23" i="1"/>
  <c r="AJ23" i="1" s="1"/>
  <c r="BU14" i="1"/>
  <c r="BH14" i="1"/>
  <c r="BB14" i="1"/>
  <c r="AN14" i="1"/>
  <c r="J14" i="1" s="1"/>
  <c r="J13" i="1" s="1"/>
  <c r="AM14" i="1"/>
  <c r="I14" i="1" s="1"/>
  <c r="I13" i="1" s="1"/>
  <c r="AI14" i="1"/>
  <c r="AR13" i="1" s="1"/>
  <c r="AH14" i="1"/>
  <c r="AQ13" i="1" s="1"/>
  <c r="AF14" i="1"/>
  <c r="AE14" i="1"/>
  <c r="AD14" i="1"/>
  <c r="AA14" i="1"/>
  <c r="Z14" i="1"/>
  <c r="X14" i="1"/>
  <c r="M14" i="1"/>
  <c r="BD14" i="1" s="1"/>
  <c r="K14" i="1"/>
  <c r="AJ14" i="1" s="1"/>
  <c r="AS13" i="1" s="1"/>
  <c r="AS1" i="1"/>
  <c r="AR1" i="1"/>
  <c r="AQ1" i="1"/>
  <c r="BF1931" i="1" l="1"/>
  <c r="AB1931" i="1" s="1"/>
  <c r="BF1976" i="1"/>
  <c r="Z1976" i="1" s="1"/>
  <c r="BG855" i="1"/>
  <c r="AA855" i="1" s="1"/>
  <c r="J1014" i="1"/>
  <c r="AJ202" i="1"/>
  <c r="AS201" i="1" s="1"/>
  <c r="I1595" i="1"/>
  <c r="BF2002" i="1"/>
  <c r="Z2002" i="1" s="1"/>
  <c r="BG2140" i="1"/>
  <c r="AC2140" i="1" s="1"/>
  <c r="AU2192" i="1"/>
  <c r="J2203" i="1"/>
  <c r="BG2660" i="1"/>
  <c r="AE2660" i="1" s="1"/>
  <c r="J134" i="1"/>
  <c r="J1641" i="1"/>
  <c r="J1778" i="1"/>
  <c r="BG1811" i="1"/>
  <c r="AC1811" i="1" s="1"/>
  <c r="BF1914" i="1"/>
  <c r="AB1914" i="1" s="1"/>
  <c r="BF1217" i="1"/>
  <c r="AB1217" i="1" s="1"/>
  <c r="BF2585" i="1"/>
  <c r="I1976" i="1"/>
  <c r="J2140" i="1"/>
  <c r="AV2473" i="1"/>
  <c r="AV1014" i="1"/>
  <c r="AU1790" i="1"/>
  <c r="BF1782" i="1"/>
  <c r="AB1782" i="1" s="1"/>
  <c r="I1790" i="1"/>
  <c r="BG134" i="1"/>
  <c r="AA134" i="1" s="1"/>
  <c r="J855" i="1"/>
  <c r="AQ1568" i="1"/>
  <c r="BG350" i="1"/>
  <c r="J2666" i="1"/>
  <c r="J1637" i="1"/>
  <c r="I2309" i="1"/>
  <c r="BF2483" i="1"/>
  <c r="AD2483" i="1" s="1"/>
  <c r="AJ187" i="1"/>
  <c r="AS186" i="1" s="1"/>
  <c r="BF2475" i="1"/>
  <c r="AD2475" i="1" s="1"/>
  <c r="BF2477" i="1"/>
  <c r="AD2477" i="1" s="1"/>
  <c r="I2769" i="1"/>
  <c r="I1782" i="1"/>
  <c r="I2575" i="1"/>
  <c r="BG2699" i="1"/>
  <c r="AE2699" i="1" s="1"/>
  <c r="I674" i="1"/>
  <c r="BF1595" i="1"/>
  <c r="Z1595" i="1" s="1"/>
  <c r="J1900" i="1"/>
  <c r="BG2002" i="1"/>
  <c r="AA2002" i="1" s="1"/>
  <c r="BF2769" i="1"/>
  <c r="Z2769" i="1" s="1"/>
  <c r="AQ379" i="1"/>
  <c r="AU2650" i="1"/>
  <c r="BF2650" i="1"/>
  <c r="Z2650" i="1" s="1"/>
  <c r="I2650" i="1"/>
  <c r="AV1839" i="1"/>
  <c r="J1839" i="1"/>
  <c r="AV2111" i="1"/>
  <c r="BG2111" i="1"/>
  <c r="AC2111" i="1" s="1"/>
  <c r="J2111" i="1"/>
  <c r="BF2473" i="1"/>
  <c r="AD2473" i="1" s="1"/>
  <c r="AU2473" i="1"/>
  <c r="AT2473" i="1" s="1"/>
  <c r="AU2059" i="1"/>
  <c r="AV2310" i="1"/>
  <c r="BA2310" i="1" s="1"/>
  <c r="BG2310" i="1"/>
  <c r="J2310" i="1"/>
  <c r="AV2426" i="1"/>
  <c r="AT2426" i="1" s="1"/>
  <c r="J2426" i="1"/>
  <c r="BF2471" i="1"/>
  <c r="AD2471" i="1" s="1"/>
  <c r="AU2471" i="1"/>
  <c r="J576" i="1"/>
  <c r="AV933" i="1"/>
  <c r="BG933" i="1"/>
  <c r="AA933" i="1" s="1"/>
  <c r="BF960" i="1"/>
  <c r="Z960" i="1" s="1"/>
  <c r="BG2066" i="1"/>
  <c r="AC2066" i="1" s="1"/>
  <c r="BG2305" i="1"/>
  <c r="AC2305" i="1" s="1"/>
  <c r="I2310" i="1"/>
  <c r="BF2411" i="1"/>
  <c r="AB2411" i="1" s="1"/>
  <c r="I2411" i="1"/>
  <c r="BF2467" i="1"/>
  <c r="AD2467" i="1" s="1"/>
  <c r="I350" i="1"/>
  <c r="BF350" i="1"/>
  <c r="I588" i="1"/>
  <c r="AV1271" i="1"/>
  <c r="J1271" i="1"/>
  <c r="BG1271" i="1"/>
  <c r="AC1271" i="1" s="1"/>
  <c r="J2066" i="1"/>
  <c r="AV2458" i="1"/>
  <c r="J2458" i="1"/>
  <c r="I960" i="1"/>
  <c r="BG1802" i="1"/>
  <c r="AC1802" i="1" s="1"/>
  <c r="AV1968" i="1"/>
  <c r="J1968" i="1"/>
  <c r="AV2011" i="1"/>
  <c r="BG2011" i="1"/>
  <c r="AA2011" i="1" s="1"/>
  <c r="AU2411" i="1"/>
  <c r="I2467" i="1"/>
  <c r="I2471" i="1"/>
  <c r="AV1875" i="1"/>
  <c r="BA1875" i="1" s="1"/>
  <c r="J1875" i="1"/>
  <c r="BG2694" i="1"/>
  <c r="AE2694" i="1" s="1"/>
  <c r="J2694" i="1"/>
  <c r="BG1875" i="1"/>
  <c r="AC1875" i="1" s="1"/>
  <c r="AV2552" i="1"/>
  <c r="BG2552" i="1"/>
  <c r="AA2552" i="1" s="1"/>
  <c r="BF1053" i="1"/>
  <c r="Z1053" i="1" s="1"/>
  <c r="I1053" i="1"/>
  <c r="AU1053" i="1"/>
  <c r="BG1839" i="1"/>
  <c r="AC1839" i="1" s="1"/>
  <c r="BF2420" i="1"/>
  <c r="Z2420" i="1" s="1"/>
  <c r="I2420" i="1"/>
  <c r="BG382" i="1"/>
  <c r="AA382" i="1" s="1"/>
  <c r="J382" i="1"/>
  <c r="BG576" i="1"/>
  <c r="AC576" i="1" s="1"/>
  <c r="BF595" i="1"/>
  <c r="AB595" i="1" s="1"/>
  <c r="AV1137" i="1"/>
  <c r="J1137" i="1"/>
  <c r="AV1713" i="1"/>
  <c r="J1713" i="1"/>
  <c r="BG1713" i="1"/>
  <c r="AA1713" i="1" s="1"/>
  <c r="BF1901" i="1"/>
  <c r="AB1901" i="1" s="1"/>
  <c r="BF2066" i="1"/>
  <c r="AB2066" i="1" s="1"/>
  <c r="BF2418" i="1"/>
  <c r="Z2418" i="1" s="1"/>
  <c r="I2418" i="1"/>
  <c r="BG2426" i="1"/>
  <c r="AA2426" i="1" s="1"/>
  <c r="BF2515" i="1"/>
  <c r="AD2515" i="1" s="1"/>
  <c r="I2515" i="1"/>
  <c r="AU2515" i="1"/>
  <c r="I2066" i="1"/>
  <c r="AU2420" i="1"/>
  <c r="BA2420" i="1" s="1"/>
  <c r="BG2515" i="1"/>
  <c r="AE2515" i="1" s="1"/>
  <c r="AV2515" i="1"/>
  <c r="BG430" i="1"/>
  <c r="AA430" i="1" s="1"/>
  <c r="I595" i="1"/>
  <c r="AV350" i="1"/>
  <c r="J430" i="1"/>
  <c r="BG2403" i="1"/>
  <c r="AC2403" i="1" s="1"/>
  <c r="J2403" i="1"/>
  <c r="BF2505" i="1"/>
  <c r="AD2505" i="1" s="1"/>
  <c r="AU2505" i="1"/>
  <c r="BG1792" i="1"/>
  <c r="AC1792" i="1" s="1"/>
  <c r="J1792" i="1"/>
  <c r="AU2121" i="1"/>
  <c r="BA2121" i="1" s="1"/>
  <c r="I2121" i="1"/>
  <c r="BF2121" i="1"/>
  <c r="AB2121" i="1" s="1"/>
  <c r="I2595" i="1"/>
  <c r="AU2595" i="1"/>
  <c r="I2628" i="1"/>
  <c r="BF2628" i="1"/>
  <c r="AD2628" i="1" s="1"/>
  <c r="AU2628" i="1"/>
  <c r="AT2628" i="1" s="1"/>
  <c r="BG1955" i="1"/>
  <c r="J1955" i="1"/>
  <c r="BG1957" i="1"/>
  <c r="J1957" i="1"/>
  <c r="BF2503" i="1"/>
  <c r="AD2503" i="1" s="1"/>
  <c r="AU2503" i="1"/>
  <c r="BA2503" i="1" s="1"/>
  <c r="AV768" i="1"/>
  <c r="BG768" i="1"/>
  <c r="AC768" i="1" s="1"/>
  <c r="BF1735" i="1"/>
  <c r="Z1735" i="1" s="1"/>
  <c r="AU1735" i="1"/>
  <c r="AU730" i="1"/>
  <c r="J747" i="1"/>
  <c r="BG747" i="1"/>
  <c r="BG1102" i="1"/>
  <c r="AA1102" i="1" s="1"/>
  <c r="J1102" i="1"/>
  <c r="AU2283" i="1"/>
  <c r="BF2283" i="1"/>
  <c r="AB2283" i="1" s="1"/>
  <c r="BF2385" i="1"/>
  <c r="Z2385" i="1" s="1"/>
  <c r="AU2385" i="1"/>
  <c r="BF2495" i="1"/>
  <c r="AD2495" i="1" s="1"/>
  <c r="AU2495" i="1"/>
  <c r="AV2568" i="1"/>
  <c r="BG2568" i="1"/>
  <c r="AA2568" i="1" s="1"/>
  <c r="BG2670" i="1"/>
  <c r="AE2670" i="1" s="1"/>
  <c r="J2670" i="1"/>
  <c r="BF91" i="1"/>
  <c r="Z91" i="1" s="1"/>
  <c r="AV1102" i="1"/>
  <c r="BF1637" i="1"/>
  <c r="Z1637" i="1" s="1"/>
  <c r="BG1669" i="1"/>
  <c r="AA1669" i="1" s="1"/>
  <c r="J1669" i="1"/>
  <c r="BG2117" i="1"/>
  <c r="AC2117" i="1" s="1"/>
  <c r="J2117" i="1"/>
  <c r="AU2205" i="1"/>
  <c r="BF2205" i="1"/>
  <c r="Z2205" i="1" s="1"/>
  <c r="BF2279" i="1"/>
  <c r="AB2279" i="1" s="1"/>
  <c r="AU2279" i="1"/>
  <c r="I2279" i="1"/>
  <c r="BF2489" i="1"/>
  <c r="AD2489" i="1" s="1"/>
  <c r="AU2489" i="1"/>
  <c r="J762" i="1"/>
  <c r="AV1335" i="1"/>
  <c r="BG1335" i="1"/>
  <c r="AC1335" i="1" s="1"/>
  <c r="I1637" i="1"/>
  <c r="AU2366" i="1"/>
  <c r="I2366" i="1"/>
  <c r="J2733" i="1"/>
  <c r="BG2733" i="1"/>
  <c r="AE2733" i="1" s="1"/>
  <c r="AV2733" i="1"/>
  <c r="AT2733" i="1" s="1"/>
  <c r="BF2035" i="1"/>
  <c r="Z2035" i="1" s="1"/>
  <c r="BF2099" i="1"/>
  <c r="AB2099" i="1" s="1"/>
  <c r="BF2029" i="1"/>
  <c r="Z2029" i="1" s="1"/>
  <c r="I604" i="1"/>
  <c r="I1931" i="1"/>
  <c r="I2002" i="1"/>
  <c r="I2483" i="1"/>
  <c r="AV1585" i="1"/>
  <c r="AR35" i="1"/>
  <c r="AU1511" i="1"/>
  <c r="AU1698" i="1"/>
  <c r="J1820" i="1"/>
  <c r="I1491" i="1"/>
  <c r="AR2359" i="1"/>
  <c r="BF2614" i="1"/>
  <c r="AD2614" i="1" s="1"/>
  <c r="AU857" i="1"/>
  <c r="I1511" i="1"/>
  <c r="J1585" i="1"/>
  <c r="BF1698" i="1"/>
  <c r="Z1698" i="1" s="1"/>
  <c r="I2029" i="1"/>
  <c r="I2163" i="1"/>
  <c r="BF2163" i="1"/>
  <c r="AU2309" i="1"/>
  <c r="AT2309" i="1" s="1"/>
  <c r="AV1637" i="1"/>
  <c r="BA1637" i="1" s="1"/>
  <c r="AV1900" i="1"/>
  <c r="BD2376" i="1"/>
  <c r="I1217" i="1"/>
  <c r="I2460" i="1"/>
  <c r="I2475" i="1"/>
  <c r="AU1491" i="1"/>
  <c r="BA2270" i="1"/>
  <c r="BF1129" i="1"/>
  <c r="AB1129" i="1" s="1"/>
  <c r="AU1129" i="1"/>
  <c r="I1639" i="1"/>
  <c r="AU1082" i="1"/>
  <c r="BF1082" i="1"/>
  <c r="Z1082" i="1" s="1"/>
  <c r="I1897" i="1"/>
  <c r="BF1897" i="1"/>
  <c r="AB1897" i="1" s="1"/>
  <c r="BF2274" i="1"/>
  <c r="AB2274" i="1" s="1"/>
  <c r="AU2274" i="1"/>
  <c r="I2274" i="1"/>
  <c r="BG659" i="1"/>
  <c r="AC659" i="1" s="1"/>
  <c r="AU683" i="1"/>
  <c r="BA683" i="1" s="1"/>
  <c r="AV732" i="1"/>
  <c r="BG732" i="1"/>
  <c r="J732" i="1"/>
  <c r="K833" i="1"/>
  <c r="F53" i="2" s="1"/>
  <c r="I53" i="2" s="1"/>
  <c r="AV1064" i="1"/>
  <c r="BG1064" i="1"/>
  <c r="AA1064" i="1" s="1"/>
  <c r="BF1250" i="1"/>
  <c r="AB1250" i="1" s="1"/>
  <c r="I1250" i="1"/>
  <c r="BF1269" i="1"/>
  <c r="AB1269" i="1" s="1"/>
  <c r="AU1269" i="1"/>
  <c r="I1896" i="1"/>
  <c r="BF1896" i="1"/>
  <c r="AB1896" i="1" s="1"/>
  <c r="BF1900" i="1"/>
  <c r="AB1900" i="1" s="1"/>
  <c r="AU1900" i="1"/>
  <c r="AT1900" i="1" s="1"/>
  <c r="AV1903" i="1"/>
  <c r="BG1903" i="1"/>
  <c r="AC1903" i="1" s="1"/>
  <c r="J1903" i="1"/>
  <c r="J2059" i="1"/>
  <c r="BG2059" i="1"/>
  <c r="AC2059" i="1" s="1"/>
  <c r="AV2059" i="1"/>
  <c r="AU2338" i="1"/>
  <c r="BA2338" i="1" s="1"/>
  <c r="BF2338" i="1"/>
  <c r="AB2338" i="1" s="1"/>
  <c r="I2338" i="1"/>
  <c r="BG2774" i="1"/>
  <c r="AE2774" i="1" s="1"/>
  <c r="AU437" i="1"/>
  <c r="BF649" i="1"/>
  <c r="AB649" i="1" s="1"/>
  <c r="AU1259" i="1"/>
  <c r="BF1259" i="1"/>
  <c r="AB1259" i="1" s="1"/>
  <c r="BG1269" i="1"/>
  <c r="AC1269" i="1" s="1"/>
  <c r="AV1269" i="1"/>
  <c r="AT1269" i="1" s="1"/>
  <c r="BG1601" i="1"/>
  <c r="AA1601" i="1" s="1"/>
  <c r="AU1897" i="1"/>
  <c r="AV1901" i="1"/>
  <c r="BA1901" i="1" s="1"/>
  <c r="BG1901" i="1"/>
  <c r="AC1901" i="1" s="1"/>
  <c r="J1901" i="1"/>
  <c r="BG2338" i="1"/>
  <c r="AC2338" i="1" s="1"/>
  <c r="J2338" i="1"/>
  <c r="M2435" i="1"/>
  <c r="G130" i="2" s="1"/>
  <c r="J2577" i="1"/>
  <c r="AV2689" i="1"/>
  <c r="J2689" i="1"/>
  <c r="BG2689" i="1"/>
  <c r="AE2689" i="1" s="1"/>
  <c r="BF2739" i="1"/>
  <c r="Z2739" i="1" s="1"/>
  <c r="AU2739" i="1"/>
  <c r="BF2270" i="1"/>
  <c r="AB2270" i="1" s="1"/>
  <c r="I2270" i="1"/>
  <c r="AV2597" i="1"/>
  <c r="BG2597" i="1"/>
  <c r="AE2597" i="1" s="1"/>
  <c r="AV245" i="1"/>
  <c r="J659" i="1"/>
  <c r="I683" i="1"/>
  <c r="AV1238" i="1"/>
  <c r="J1238" i="1"/>
  <c r="I1252" i="1"/>
  <c r="AU1252" i="1"/>
  <c r="AV1753" i="1"/>
  <c r="BG1753" i="1"/>
  <c r="AC1753" i="1" s="1"/>
  <c r="AJ2436" i="1"/>
  <c r="AS2435" i="1" s="1"/>
  <c r="K2435" i="1"/>
  <c r="F130" i="2" s="1"/>
  <c r="I130" i="2" s="1"/>
  <c r="AV124" i="1"/>
  <c r="BA124" i="1" s="1"/>
  <c r="AV409" i="1"/>
  <c r="BA409" i="1" s="1"/>
  <c r="J683" i="1"/>
  <c r="BG1252" i="1"/>
  <c r="AV1252" i="1"/>
  <c r="BA1252" i="1" s="1"/>
  <c r="AU1886" i="1"/>
  <c r="BF1886" i="1"/>
  <c r="AB1886" i="1" s="1"/>
  <c r="AU2537" i="1"/>
  <c r="BA2537" i="1" s="1"/>
  <c r="BF2537" i="1"/>
  <c r="Z2537" i="1" s="1"/>
  <c r="AV1217" i="1"/>
  <c r="BA1217" i="1" s="1"/>
  <c r="BG1228" i="1"/>
  <c r="AC1228" i="1" s="1"/>
  <c r="J1228" i="1"/>
  <c r="I1269" i="1"/>
  <c r="AQ1297" i="1"/>
  <c r="AU1315" i="1"/>
  <c r="BF1315" i="1"/>
  <c r="AB1315" i="1" s="1"/>
  <c r="I1315" i="1"/>
  <c r="BD1606" i="1"/>
  <c r="M1605" i="1"/>
  <c r="G81" i="2" s="1"/>
  <c r="BF394" i="1"/>
  <c r="Z394" i="1" s="1"/>
  <c r="AU394" i="1"/>
  <c r="BG414" i="1"/>
  <c r="AA414" i="1" s="1"/>
  <c r="BG1238" i="1"/>
  <c r="AC1238" i="1" s="1"/>
  <c r="BF1252" i="1"/>
  <c r="J1269" i="1"/>
  <c r="J1335" i="1"/>
  <c r="BF1712" i="1"/>
  <c r="I1712" i="1"/>
  <c r="BG1818" i="1"/>
  <c r="AC1818" i="1" s="1"/>
  <c r="AV1820" i="1"/>
  <c r="BG124" i="1"/>
  <c r="AA124" i="1" s="1"/>
  <c r="J1252" i="1"/>
  <c r="I1259" i="1"/>
  <c r="BF1306" i="1"/>
  <c r="AB1306" i="1" s="1"/>
  <c r="I1306" i="1"/>
  <c r="J1753" i="1"/>
  <c r="AU1814" i="1"/>
  <c r="BF1814" i="1"/>
  <c r="AB1814" i="1" s="1"/>
  <c r="AU1876" i="1"/>
  <c r="BA1876" i="1" s="1"/>
  <c r="BF1876" i="1"/>
  <c r="AB1876" i="1" s="1"/>
  <c r="AU1990" i="1"/>
  <c r="AU2714" i="1"/>
  <c r="AT2714" i="1" s="1"/>
  <c r="I2714" i="1"/>
  <c r="BF2714" i="1"/>
  <c r="Z2714" i="1" s="1"/>
  <c r="I2739" i="1"/>
  <c r="AV375" i="1"/>
  <c r="BG375" i="1"/>
  <c r="AA375" i="1" s="1"/>
  <c r="AU1850" i="1"/>
  <c r="AT1850" i="1" s="1"/>
  <c r="BF1850" i="1"/>
  <c r="AB1850" i="1" s="1"/>
  <c r="I2079" i="1"/>
  <c r="AU2079" i="1"/>
  <c r="BG2345" i="1"/>
  <c r="AC2345" i="1" s="1"/>
  <c r="J2345" i="1"/>
  <c r="J2368" i="1"/>
  <c r="BG2368" i="1"/>
  <c r="BG202" i="1"/>
  <c r="AC202" i="1" s="1"/>
  <c r="J202" i="1"/>
  <c r="J201" i="1" s="1"/>
  <c r="E26" i="2" s="1"/>
  <c r="BG177" i="1"/>
  <c r="AC177" i="1" s="1"/>
  <c r="J177" i="1"/>
  <c r="I649" i="1"/>
  <c r="I1671" i="1"/>
  <c r="AU1671" i="1"/>
  <c r="BF1749" i="1"/>
  <c r="AB1749" i="1" s="1"/>
  <c r="AU1749" i="1"/>
  <c r="BA1749" i="1" s="1"/>
  <c r="AU1819" i="1"/>
  <c r="I1819" i="1"/>
  <c r="BA1900" i="1"/>
  <c r="I2250" i="1"/>
  <c r="BF2250" i="1"/>
  <c r="AB2250" i="1" s="1"/>
  <c r="BF23" i="1"/>
  <c r="AB23" i="1" s="1"/>
  <c r="AV177" i="1"/>
  <c r="BA177" i="1" s="1"/>
  <c r="I1082" i="1"/>
  <c r="K1512" i="1"/>
  <c r="F76" i="2" s="1"/>
  <c r="I76" i="2" s="1"/>
  <c r="AJ1513" i="1"/>
  <c r="AS1512" i="1" s="1"/>
  <c r="AU566" i="1"/>
  <c r="I1900" i="1"/>
  <c r="AV1953" i="1"/>
  <c r="BG1953" i="1"/>
  <c r="J1953" i="1"/>
  <c r="AU2250" i="1"/>
  <c r="AU2645" i="1"/>
  <c r="BF2645" i="1"/>
  <c r="AD2645" i="1" s="1"/>
  <c r="BF124" i="1"/>
  <c r="Z124" i="1" s="1"/>
  <c r="AV1935" i="1"/>
  <c r="BG2201" i="1"/>
  <c r="AA2201" i="1" s="1"/>
  <c r="AV2201" i="1"/>
  <c r="I2242" i="1"/>
  <c r="BF2242" i="1"/>
  <c r="AB2242" i="1" s="1"/>
  <c r="AU2242" i="1"/>
  <c r="AT2242" i="1" s="1"/>
  <c r="BF2720" i="1"/>
  <c r="Z2720" i="1" s="1"/>
  <c r="AU2720" i="1"/>
  <c r="BG2722" i="1"/>
  <c r="AA2722" i="1" s="1"/>
  <c r="AV2722" i="1"/>
  <c r="I2737" i="1"/>
  <c r="BD193" i="1"/>
  <c r="M192" i="1"/>
  <c r="G24" i="2" s="1"/>
  <c r="AU65" i="1"/>
  <c r="I65" i="1"/>
  <c r="I375" i="1"/>
  <c r="BF375" i="1"/>
  <c r="Z375" i="1" s="1"/>
  <c r="J414" i="1"/>
  <c r="I910" i="1"/>
  <c r="BF910" i="1"/>
  <c r="Z910" i="1" s="1"/>
  <c r="BG960" i="1"/>
  <c r="AA960" i="1" s="1"/>
  <c r="J960" i="1"/>
  <c r="BG1217" i="1"/>
  <c r="AC1217" i="1" s="1"/>
  <c r="AT1620" i="1"/>
  <c r="BG1624" i="1"/>
  <c r="AA1624" i="1" s="1"/>
  <c r="J1624" i="1"/>
  <c r="AU1626" i="1"/>
  <c r="BF1626" i="1"/>
  <c r="Z1626" i="1" s="1"/>
  <c r="I1875" i="1"/>
  <c r="BF1875" i="1"/>
  <c r="AB1875" i="1" s="1"/>
  <c r="BG1931" i="1"/>
  <c r="AC1931" i="1" s="1"/>
  <c r="BG1935" i="1"/>
  <c r="AC1935" i="1" s="1"/>
  <c r="J2714" i="1"/>
  <c r="BG2714" i="1"/>
  <c r="AA2714" i="1" s="1"/>
  <c r="AU1641" i="1"/>
  <c r="BA1641" i="1" s="1"/>
  <c r="BF1641" i="1"/>
  <c r="Z1641" i="1" s="1"/>
  <c r="BF1302" i="1"/>
  <c r="AB1302" i="1" s="1"/>
  <c r="I1302" i="1"/>
  <c r="BG2192" i="1"/>
  <c r="AA2192" i="1" s="1"/>
  <c r="AV2192" i="1"/>
  <c r="BG1129" i="1"/>
  <c r="AC1129" i="1" s="1"/>
  <c r="J1129" i="1"/>
  <c r="BF1702" i="1"/>
  <c r="Z1702" i="1" s="1"/>
  <c r="I1702" i="1"/>
  <c r="AV2307" i="1"/>
  <c r="BG2307" i="1"/>
  <c r="AC2307" i="1" s="1"/>
  <c r="AU897" i="1"/>
  <c r="AU1651" i="1"/>
  <c r="AT1651" i="1" s="1"/>
  <c r="AV1706" i="1"/>
  <c r="BG1706" i="1"/>
  <c r="AA1706" i="1" s="1"/>
  <c r="BF2318" i="1"/>
  <c r="AB2318" i="1" s="1"/>
  <c r="AU2318" i="1"/>
  <c r="AV274" i="1"/>
  <c r="BG265" i="1"/>
  <c r="AA265" i="1" s="1"/>
  <c r="J265" i="1"/>
  <c r="BG369" i="1"/>
  <c r="AA369" i="1" s="1"/>
  <c r="AV369" i="1"/>
  <c r="AU1298" i="1"/>
  <c r="I1298" i="1"/>
  <c r="AV1921" i="1"/>
  <c r="BG1921" i="1"/>
  <c r="AC1921" i="1" s="1"/>
  <c r="AU1965" i="1"/>
  <c r="AU2182" i="1"/>
  <c r="BF2182" i="1"/>
  <c r="Z2182" i="1" s="1"/>
  <c r="AV2306" i="1"/>
  <c r="AQ789" i="1"/>
  <c r="BF1102" i="1"/>
  <c r="Z1102" i="1" s="1"/>
  <c r="I1102" i="1"/>
  <c r="AV1293" i="1"/>
  <c r="BG274" i="1"/>
  <c r="AA274" i="1" s="1"/>
  <c r="J375" i="1"/>
  <c r="AR2144" i="1"/>
  <c r="J2192" i="1"/>
  <c r="J2628" i="1"/>
  <c r="BF1137" i="1"/>
  <c r="AB1137" i="1" s="1"/>
  <c r="I1137" i="1"/>
  <c r="AU1137" i="1"/>
  <c r="BG1702" i="1"/>
  <c r="AA1702" i="1" s="1"/>
  <c r="J1702" i="1"/>
  <c r="AU2632" i="1"/>
  <c r="AT1014" i="1"/>
  <c r="BG1289" i="1"/>
  <c r="AC1289" i="1" s="1"/>
  <c r="J1289" i="1"/>
  <c r="BG1291" i="1"/>
  <c r="AC1291" i="1" s="1"/>
  <c r="J1291" i="1"/>
  <c r="AV1702" i="1"/>
  <c r="BF1780" i="1"/>
  <c r="AB1780" i="1" s="1"/>
  <c r="AU1792" i="1"/>
  <c r="BF1792" i="1"/>
  <c r="AB1792" i="1" s="1"/>
  <c r="I1792" i="1"/>
  <c r="AQ2144" i="1"/>
  <c r="AU2180" i="1"/>
  <c r="I2180" i="1"/>
  <c r="BF2180" i="1"/>
  <c r="Z2180" i="1" s="1"/>
  <c r="AV2182" i="1"/>
  <c r="BG2182" i="1"/>
  <c r="AA2182" i="1" s="1"/>
  <c r="BF2297" i="1"/>
  <c r="AB2297" i="1" s="1"/>
  <c r="AU2297" i="1"/>
  <c r="I2297" i="1"/>
  <c r="BF2759" i="1"/>
  <c r="Z2759" i="1" s="1"/>
  <c r="I2759" i="1"/>
  <c r="I2758" i="1" s="1"/>
  <c r="D145" i="2" s="1"/>
  <c r="AU2759" i="1"/>
  <c r="BG263" i="1"/>
  <c r="AA263" i="1" s="1"/>
  <c r="BG267" i="1"/>
  <c r="AA267" i="1" s="1"/>
  <c r="AV1289" i="1"/>
  <c r="I1626" i="1"/>
  <c r="AV1694" i="1"/>
  <c r="BG1694" i="1"/>
  <c r="AA1694" i="1" s="1"/>
  <c r="AU1908" i="1"/>
  <c r="BF1908" i="1"/>
  <c r="AB1908" i="1" s="1"/>
  <c r="AV1913" i="1"/>
  <c r="BG1913" i="1"/>
  <c r="AC1913" i="1" s="1"/>
  <c r="AU238" i="1"/>
  <c r="I238" i="1"/>
  <c r="AU768" i="1"/>
  <c r="BA768" i="1" s="1"/>
  <c r="BF768" i="1"/>
  <c r="AB768" i="1" s="1"/>
  <c r="AU1102" i="1"/>
  <c r="AT1102" i="1" s="1"/>
  <c r="I1129" i="1"/>
  <c r="BG1137" i="1"/>
  <c r="AC1137" i="1" s="1"/>
  <c r="BG1293" i="1"/>
  <c r="AC1293" i="1" s="1"/>
  <c r="BG1641" i="1"/>
  <c r="AA1641" i="1" s="1"/>
  <c r="I1651" i="1"/>
  <c r="BF1690" i="1"/>
  <c r="Z1690" i="1" s="1"/>
  <c r="I1690" i="1"/>
  <c r="AU1690" i="1"/>
  <c r="I1965" i="1"/>
  <c r="I2291" i="1"/>
  <c r="AU2291" i="1"/>
  <c r="J2306" i="1"/>
  <c r="AR2428" i="1"/>
  <c r="AV2591" i="1"/>
  <c r="J2591" i="1"/>
  <c r="I2612" i="1"/>
  <c r="I2632" i="1"/>
  <c r="AQ2351" i="1"/>
  <c r="BF2465" i="1"/>
  <c r="AD2465" i="1" s="1"/>
  <c r="AU2465" i="1"/>
  <c r="AU2073" i="1"/>
  <c r="I2073" i="1"/>
  <c r="J2139" i="1"/>
  <c r="BG2139" i="1"/>
  <c r="AC2139" i="1" s="1"/>
  <c r="AR2351" i="1"/>
  <c r="BG2465" i="1"/>
  <c r="AE2465" i="1" s="1"/>
  <c r="AV2465" i="1"/>
  <c r="BF2519" i="1"/>
  <c r="AD2519" i="1" s="1"/>
  <c r="I2519" i="1"/>
  <c r="AV86" i="1"/>
  <c r="AQ1417" i="1"/>
  <c r="AV1792" i="1"/>
  <c r="AT1792" i="1" s="1"/>
  <c r="AU2699" i="1"/>
  <c r="AT2699" i="1" s="1"/>
  <c r="BF2699" i="1"/>
  <c r="AD2699" i="1" s="1"/>
  <c r="AV1669" i="1"/>
  <c r="I1725" i="1"/>
  <c r="AU1725" i="1"/>
  <c r="AJ2357" i="1"/>
  <c r="AS2356" i="1" s="1"/>
  <c r="K2356" i="1"/>
  <c r="F121" i="2" s="1"/>
  <c r="I121" i="2" s="1"/>
  <c r="BG2759" i="1"/>
  <c r="AA2759" i="1" s="1"/>
  <c r="J2759" i="1"/>
  <c r="J2758" i="1" s="1"/>
  <c r="E145" i="2" s="1"/>
  <c r="AV2759" i="1"/>
  <c r="AU430" i="1"/>
  <c r="BA430" i="1" s="1"/>
  <c r="BF430" i="1"/>
  <c r="Z430" i="1" s="1"/>
  <c r="I430" i="1"/>
  <c r="BG1715" i="1"/>
  <c r="AA1715" i="1" s="1"/>
  <c r="J1715" i="1"/>
  <c r="AR1326" i="1"/>
  <c r="AV1715" i="1"/>
  <c r="AV1721" i="1"/>
  <c r="BG1721" i="1"/>
  <c r="AA1721" i="1" s="1"/>
  <c r="BG1723" i="1"/>
  <c r="AA1723" i="1" s="1"/>
  <c r="AV1723" i="1"/>
  <c r="AR1938" i="1"/>
  <c r="AV2566" i="1"/>
  <c r="BG2566" i="1"/>
  <c r="AA2566" i="1" s="1"/>
  <c r="BA333" i="1"/>
  <c r="AT933" i="1"/>
  <c r="AR1249" i="1"/>
  <c r="AV2117" i="1"/>
  <c r="K427" i="1"/>
  <c r="F38" i="2" s="1"/>
  <c r="I38" i="2" s="1"/>
  <c r="AJ428" i="1"/>
  <c r="AS427" i="1" s="1"/>
  <c r="I2630" i="1"/>
  <c r="AU2630" i="1"/>
  <c r="BF2630" i="1"/>
  <c r="AD2630" i="1" s="1"/>
  <c r="AU134" i="1"/>
  <c r="BA134" i="1" s="1"/>
  <c r="BF134" i="1"/>
  <c r="Z134" i="1" s="1"/>
  <c r="I134" i="1"/>
  <c r="AV282" i="1"/>
  <c r="J282" i="1"/>
  <c r="AV283" i="1"/>
  <c r="BF621" i="1"/>
  <c r="AB621" i="1" s="1"/>
  <c r="AU621" i="1"/>
  <c r="BA621" i="1" s="1"/>
  <c r="I621" i="1"/>
  <c r="BF627" i="1"/>
  <c r="I627" i="1"/>
  <c r="AU627" i="1"/>
  <c r="BF1046" i="1"/>
  <c r="Z1046" i="1" s="1"/>
  <c r="AU1046" i="1"/>
  <c r="BA1046" i="1" s="1"/>
  <c r="AV2070" i="1"/>
  <c r="J2070" i="1"/>
  <c r="BG2070" i="1"/>
  <c r="AC2070" i="1" s="1"/>
  <c r="BF182" i="1"/>
  <c r="AB182" i="1" s="1"/>
  <c r="I182" i="1"/>
  <c r="I181" i="1" s="1"/>
  <c r="D21" i="2" s="1"/>
  <c r="BG621" i="1"/>
  <c r="AC621" i="1" s="1"/>
  <c r="AV621" i="1"/>
  <c r="J621" i="1"/>
  <c r="BF1659" i="1"/>
  <c r="Z1659" i="1" s="1"/>
  <c r="AU1659" i="1"/>
  <c r="AT1659" i="1" s="1"/>
  <c r="AV2068" i="1"/>
  <c r="J2068" i="1"/>
  <c r="AV182" i="1"/>
  <c r="J182" i="1"/>
  <c r="J181" i="1" s="1"/>
  <c r="E21" i="2" s="1"/>
  <c r="BG182" i="1"/>
  <c r="AC182" i="1" s="1"/>
  <c r="BG276" i="1"/>
  <c r="AA276" i="1" s="1"/>
  <c r="BG1659" i="1"/>
  <c r="AA1659" i="1" s="1"/>
  <c r="J1659" i="1"/>
  <c r="AV1659" i="1"/>
  <c r="I1911" i="1"/>
  <c r="BF1911" i="1"/>
  <c r="AB1911" i="1" s="1"/>
  <c r="AU1911" i="1"/>
  <c r="BG23" i="1"/>
  <c r="AC23" i="1" s="1"/>
  <c r="J23" i="1"/>
  <c r="AV36" i="1"/>
  <c r="J36" i="1"/>
  <c r="J35" i="1" s="1"/>
  <c r="E15" i="2" s="1"/>
  <c r="BG36" i="1"/>
  <c r="AC36" i="1" s="1"/>
  <c r="AQ1408" i="1"/>
  <c r="BG957" i="1"/>
  <c r="AA957" i="1" s="1"/>
  <c r="AV957" i="1"/>
  <c r="BA957" i="1" s="1"/>
  <c r="BF1248" i="1"/>
  <c r="I1248" i="1"/>
  <c r="AU1248" i="1"/>
  <c r="AT124" i="1"/>
  <c r="AV1361" i="1"/>
  <c r="BG1361" i="1"/>
  <c r="AC1361" i="1" s="1"/>
  <c r="J1361" i="1"/>
  <c r="AV1322" i="1"/>
  <c r="J1322" i="1"/>
  <c r="BG1322" i="1"/>
  <c r="AC1322" i="1" s="1"/>
  <c r="BG1542" i="1"/>
  <c r="AC1542" i="1" s="1"/>
  <c r="J1542" i="1"/>
  <c r="J1515" i="1" s="1"/>
  <c r="E77" i="2" s="1"/>
  <c r="BG1315" i="1"/>
  <c r="AC1315" i="1" s="1"/>
  <c r="J1315" i="1"/>
  <c r="AU1860" i="1"/>
  <c r="AT1860" i="1" s="1"/>
  <c r="BF1860" i="1"/>
  <c r="AB1860" i="1" s="1"/>
  <c r="I2081" i="1"/>
  <c r="AU2081" i="1"/>
  <c r="BF2081" i="1"/>
  <c r="AB2081" i="1" s="1"/>
  <c r="AV1671" i="1"/>
  <c r="BG1671" i="1"/>
  <c r="AA1671" i="1" s="1"/>
  <c r="BF1171" i="1"/>
  <c r="AB1171" i="1" s="1"/>
  <c r="AU1171" i="1"/>
  <c r="BA1171" i="1" s="1"/>
  <c r="I1171" i="1"/>
  <c r="J1248" i="1"/>
  <c r="AV1248" i="1"/>
  <c r="BG1248" i="1"/>
  <c r="I1816" i="1"/>
  <c r="AU1816" i="1"/>
  <c r="BF1816" i="1"/>
  <c r="AB1816" i="1" s="1"/>
  <c r="BF1995" i="1"/>
  <c r="Z1995" i="1" s="1"/>
  <c r="I1995" i="1"/>
  <c r="AU1995" i="1"/>
  <c r="M1079" i="1"/>
  <c r="G62" i="2" s="1"/>
  <c r="BD1082" i="1"/>
  <c r="AU1324" i="1"/>
  <c r="BA1324" i="1" s="1"/>
  <c r="I1324" i="1"/>
  <c r="BF1324" i="1"/>
  <c r="AU397" i="1"/>
  <c r="BA397" i="1" s="1"/>
  <c r="BF397" i="1"/>
  <c r="Z397" i="1" s="1"/>
  <c r="I397" i="1"/>
  <c r="BF1404" i="1"/>
  <c r="AB1404" i="1" s="1"/>
  <c r="AU1404" i="1"/>
  <c r="I1404" i="1"/>
  <c r="BG1804" i="1"/>
  <c r="AC1804" i="1" s="1"/>
  <c r="J1804" i="1"/>
  <c r="BF1806" i="1"/>
  <c r="AB1806" i="1" s="1"/>
  <c r="I1806" i="1"/>
  <c r="BG1816" i="1"/>
  <c r="AC1816" i="1" s="1"/>
  <c r="J1816" i="1"/>
  <c r="AV1816" i="1"/>
  <c r="AU1992" i="1"/>
  <c r="BF1992" i="1"/>
  <c r="Z1992" i="1" s="1"/>
  <c r="I1992" i="1"/>
  <c r="BG1995" i="1"/>
  <c r="AA1995" i="1" s="1"/>
  <c r="J1995" i="1"/>
  <c r="AV1995" i="1"/>
  <c r="AU2589" i="1"/>
  <c r="BF2589" i="1"/>
  <c r="Z2589" i="1" s="1"/>
  <c r="I2589" i="1"/>
  <c r="AU1271" i="1"/>
  <c r="BF1271" i="1"/>
  <c r="AB1271" i="1" s="1"/>
  <c r="BG2585" i="1"/>
  <c r="J2585" i="1"/>
  <c r="BF278" i="1"/>
  <c r="Z278" i="1" s="1"/>
  <c r="I278" i="1"/>
  <c r="I629" i="1"/>
  <c r="BF629" i="1"/>
  <c r="AB629" i="1" s="1"/>
  <c r="AU629" i="1"/>
  <c r="AV1315" i="1"/>
  <c r="BG2072" i="1"/>
  <c r="AC2072" i="1" s="1"/>
  <c r="AV2072" i="1"/>
  <c r="BG604" i="1"/>
  <c r="AC604" i="1" s="1"/>
  <c r="J604" i="1"/>
  <c r="AV2012" i="1"/>
  <c r="BG2012" i="1"/>
  <c r="AA2012" i="1" s="1"/>
  <c r="J2012" i="1"/>
  <c r="BG394" i="1"/>
  <c r="AA394" i="1" s="1"/>
  <c r="J394" i="1"/>
  <c r="AV394" i="1"/>
  <c r="AU2203" i="1"/>
  <c r="I2203" i="1"/>
  <c r="BF2203" i="1"/>
  <c r="Z2203" i="1" s="1"/>
  <c r="BF432" i="1"/>
  <c r="Z432" i="1" s="1"/>
  <c r="I432" i="1"/>
  <c r="AU432" i="1"/>
  <c r="AV1974" i="1"/>
  <c r="BG1974" i="1"/>
  <c r="AA1974" i="1" s="1"/>
  <c r="J1974" i="1"/>
  <c r="AU2008" i="1"/>
  <c r="BF2008" i="1"/>
  <c r="Z2008" i="1" s="1"/>
  <c r="I2008" i="1"/>
  <c r="K424" i="1"/>
  <c r="F37" i="2" s="1"/>
  <c r="I37" i="2" s="1"/>
  <c r="AV1978" i="1"/>
  <c r="BG1978" i="1"/>
  <c r="AA1978" i="1" s="1"/>
  <c r="AU2507" i="1"/>
  <c r="I2507" i="1"/>
  <c r="BF2507" i="1"/>
  <c r="Z2507" i="1" s="1"/>
  <c r="BG2194" i="1"/>
  <c r="AA2194" i="1" s="1"/>
  <c r="J2194" i="1"/>
  <c r="BG2499" i="1"/>
  <c r="AE2499" i="1" s="1"/>
  <c r="J2499" i="1"/>
  <c r="AU2697" i="1"/>
  <c r="BF2697" i="1"/>
  <c r="AD2697" i="1" s="1"/>
  <c r="AU2708" i="1"/>
  <c r="BF2708" i="1"/>
  <c r="Z2708" i="1" s="1"/>
  <c r="J296" i="1"/>
  <c r="AV406" i="1"/>
  <c r="AU507" i="1"/>
  <c r="AU645" i="1"/>
  <c r="BF645" i="1"/>
  <c r="AB645" i="1" s="1"/>
  <c r="I645" i="1"/>
  <c r="BG714" i="1"/>
  <c r="AC714" i="1" s="1"/>
  <c r="M789" i="1"/>
  <c r="G51" i="2" s="1"/>
  <c r="BF873" i="1"/>
  <c r="Z873" i="1" s="1"/>
  <c r="I873" i="1"/>
  <c r="AU1277" i="1"/>
  <c r="AU1445" i="1"/>
  <c r="I1445" i="1"/>
  <c r="BF1445" i="1"/>
  <c r="AB1445" i="1" s="1"/>
  <c r="BG1611" i="1"/>
  <c r="AA1611" i="1" s="1"/>
  <c r="AR1737" i="1"/>
  <c r="AU1747" i="1"/>
  <c r="BF1747" i="1"/>
  <c r="AB1747" i="1" s="1"/>
  <c r="BF1824" i="1"/>
  <c r="AB1824" i="1" s="1"/>
  <c r="I1824" i="1"/>
  <c r="BG1835" i="1"/>
  <c r="AC1835" i="1" s="1"/>
  <c r="AV1835" i="1"/>
  <c r="BG1860" i="1"/>
  <c r="AC1860" i="1" s="1"/>
  <c r="BF1885" i="1"/>
  <c r="AB1885" i="1" s="1"/>
  <c r="I1885" i="1"/>
  <c r="BG2149" i="1"/>
  <c r="AA2149" i="1" s="1"/>
  <c r="J2149" i="1"/>
  <c r="AV2149" i="1"/>
  <c r="AV2151" i="1"/>
  <c r="BA2151" i="1" s="1"/>
  <c r="J2151" i="1"/>
  <c r="BG2250" i="1"/>
  <c r="AC2250" i="1" s="1"/>
  <c r="AV2250" i="1"/>
  <c r="BF2255" i="1"/>
  <c r="I2255" i="1"/>
  <c r="AU2255" i="1"/>
  <c r="AU2262" i="1"/>
  <c r="BF2262" i="1"/>
  <c r="AB2262" i="1" s="1"/>
  <c r="BF2314" i="1"/>
  <c r="AB2314" i="1" s="1"/>
  <c r="AV2362" i="1"/>
  <c r="BG2362" i="1"/>
  <c r="J2362" i="1"/>
  <c r="I2426" i="1"/>
  <c r="M189" i="1"/>
  <c r="G23" i="2" s="1"/>
  <c r="BF360" i="1"/>
  <c r="Z360" i="1" s="1"/>
  <c r="I434" i="1"/>
  <c r="BF434" i="1"/>
  <c r="Z434" i="1" s="1"/>
  <c r="BF470" i="1"/>
  <c r="Z470" i="1" s="1"/>
  <c r="AV507" i="1"/>
  <c r="AV573" i="1"/>
  <c r="BG573" i="1"/>
  <c r="AA573" i="1" s="1"/>
  <c r="J573" i="1"/>
  <c r="AU665" i="1"/>
  <c r="BA665" i="1" s="1"/>
  <c r="BF665" i="1"/>
  <c r="BF734" i="1"/>
  <c r="AB734" i="1" s="1"/>
  <c r="I734" i="1"/>
  <c r="AQ844" i="1"/>
  <c r="I863" i="1"/>
  <c r="BF863" i="1"/>
  <c r="AD863" i="1" s="1"/>
  <c r="BF907" i="1"/>
  <c r="Z907" i="1" s="1"/>
  <c r="AU907" i="1"/>
  <c r="BF972" i="1"/>
  <c r="Z972" i="1" s="1"/>
  <c r="I972" i="1"/>
  <c r="I1277" i="1"/>
  <c r="AV1277" i="1"/>
  <c r="BF1412" i="1"/>
  <c r="AB1412" i="1" s="1"/>
  <c r="BG1415" i="1"/>
  <c r="J1415" i="1"/>
  <c r="J1445" i="1"/>
  <c r="BG1445" i="1"/>
  <c r="AC1445" i="1" s="1"/>
  <c r="AU1458" i="1"/>
  <c r="AU1727" i="1"/>
  <c r="AU1821" i="1"/>
  <c r="BG1824" i="1"/>
  <c r="AC1824" i="1" s="1"/>
  <c r="J1824" i="1"/>
  <c r="J1826" i="1"/>
  <c r="BG1826" i="1"/>
  <c r="AC1826" i="1" s="1"/>
  <c r="J1860" i="1"/>
  <c r="BG1885" i="1"/>
  <c r="AC1885" i="1" s="1"/>
  <c r="J1885" i="1"/>
  <c r="AV1885" i="1"/>
  <c r="BA1885" i="1" s="1"/>
  <c r="BF2145" i="1"/>
  <c r="Z2145" i="1" s="1"/>
  <c r="BG2159" i="1"/>
  <c r="AA2159" i="1" s="1"/>
  <c r="J2159" i="1"/>
  <c r="AV2230" i="1"/>
  <c r="AT2230" i="1" s="1"/>
  <c r="BG2230" i="1"/>
  <c r="AC2230" i="1" s="1"/>
  <c r="J2230" i="1"/>
  <c r="AV2232" i="1"/>
  <c r="J2232" i="1"/>
  <c r="BG2232" i="1"/>
  <c r="AC2232" i="1" s="1"/>
  <c r="BG2431" i="1"/>
  <c r="AA2431" i="1" s="1"/>
  <c r="BF2087" i="1"/>
  <c r="AB2087" i="1" s="1"/>
  <c r="AU2087" i="1"/>
  <c r="AV1675" i="1"/>
  <c r="J1863" i="1"/>
  <c r="AV1863" i="1"/>
  <c r="BG2089" i="1"/>
  <c r="AC2089" i="1" s="1"/>
  <c r="J2089" i="1"/>
  <c r="AV2089" i="1"/>
  <c r="AT2089" i="1" s="1"/>
  <c r="J2095" i="1"/>
  <c r="AV2095" i="1"/>
  <c r="BG2095" i="1"/>
  <c r="AC2095" i="1" s="1"/>
  <c r="BG2143" i="1"/>
  <c r="AC2143" i="1" s="1"/>
  <c r="I2240" i="1"/>
  <c r="BF2240" i="1"/>
  <c r="AB2240" i="1" s="1"/>
  <c r="AU2314" i="1"/>
  <c r="AT2314" i="1" s="1"/>
  <c r="AV2320" i="1"/>
  <c r="BA2320" i="1" s="1"/>
  <c r="J2320" i="1"/>
  <c r="BG2320" i="1"/>
  <c r="AC2320" i="1" s="1"/>
  <c r="AV2674" i="1"/>
  <c r="J2674" i="1"/>
  <c r="BG2674" i="1"/>
  <c r="AE2674" i="1" s="1"/>
  <c r="AV1407" i="1"/>
  <c r="J1407" i="1"/>
  <c r="BD1574" i="1"/>
  <c r="M1573" i="1"/>
  <c r="G79" i="2" s="1"/>
  <c r="I1624" i="1"/>
  <c r="BF1624" i="1"/>
  <c r="Z1624" i="1" s="1"/>
  <c r="AU1624" i="1"/>
  <c r="BG2145" i="1"/>
  <c r="AA2145" i="1" s="1"/>
  <c r="AV2145" i="1"/>
  <c r="BA2145" i="1" s="1"/>
  <c r="AU2362" i="1"/>
  <c r="BF2362" i="1"/>
  <c r="BF1738" i="1"/>
  <c r="Z1738" i="1" s="1"/>
  <c r="I1738" i="1"/>
  <c r="AU1738" i="1"/>
  <c r="AR742" i="1"/>
  <c r="BG904" i="1"/>
  <c r="AA904" i="1" s="1"/>
  <c r="AV904" i="1"/>
  <c r="BF984" i="1"/>
  <c r="Z984" i="1" s="1"/>
  <c r="AU984" i="1"/>
  <c r="BA984" i="1" s="1"/>
  <c r="J1177" i="1"/>
  <c r="AV1177" i="1"/>
  <c r="BA1177" i="1" s="1"/>
  <c r="AV1279" i="1"/>
  <c r="BA1279" i="1" s="1"/>
  <c r="BG1279" i="1"/>
  <c r="AC1279" i="1" s="1"/>
  <c r="AU1285" i="1"/>
  <c r="BA1285" i="1" s="1"/>
  <c r="BF1285" i="1"/>
  <c r="AB1285" i="1" s="1"/>
  <c r="I1285" i="1"/>
  <c r="I1412" i="1"/>
  <c r="BF1766" i="1"/>
  <c r="AB1766" i="1" s="1"/>
  <c r="I1766" i="1"/>
  <c r="AU1770" i="1"/>
  <c r="BF1770" i="1"/>
  <c r="AB1770" i="1" s="1"/>
  <c r="J1786" i="1"/>
  <c r="BG1786" i="1"/>
  <c r="AC1786" i="1" s="1"/>
  <c r="AV1786" i="1"/>
  <c r="BA1786" i="1" s="1"/>
  <c r="I1821" i="1"/>
  <c r="J1876" i="1"/>
  <c r="BG1876" i="1"/>
  <c r="AC1876" i="1" s="1"/>
  <c r="BF1878" i="1"/>
  <c r="AB1878" i="1" s="1"/>
  <c r="I1918" i="1"/>
  <c r="BG2151" i="1"/>
  <c r="AA2151" i="1" s="1"/>
  <c r="BF2230" i="1"/>
  <c r="AB2230" i="1" s="1"/>
  <c r="BF2545" i="1"/>
  <c r="Z2545" i="1" s="1"/>
  <c r="I2545" i="1"/>
  <c r="BF2551" i="1"/>
  <c r="Z2551" i="1" s="1"/>
  <c r="AU2551" i="1"/>
  <c r="BF2733" i="1"/>
  <c r="AD2733" i="1" s="1"/>
  <c r="J2735" i="1"/>
  <c r="AV2735" i="1"/>
  <c r="AU2743" i="1"/>
  <c r="I2743" i="1"/>
  <c r="BF2085" i="1"/>
  <c r="AB2085" i="1" s="1"/>
  <c r="I2085" i="1"/>
  <c r="BG2507" i="1"/>
  <c r="AA2507" i="1" s="1"/>
  <c r="AV2507" i="1"/>
  <c r="AV2645" i="1"/>
  <c r="J2645" i="1"/>
  <c r="BG2645" i="1"/>
  <c r="AE2645" i="1" s="1"/>
  <c r="AV2075" i="1"/>
  <c r="BG2075" i="1"/>
  <c r="AC2075" i="1" s="1"/>
  <c r="AV2083" i="1"/>
  <c r="J2083" i="1"/>
  <c r="AU2095" i="1"/>
  <c r="BF2095" i="1"/>
  <c r="AB2095" i="1" s="1"/>
  <c r="AU2431" i="1"/>
  <c r="I2431" i="1"/>
  <c r="BG1915" i="1"/>
  <c r="AC1915" i="1" s="1"/>
  <c r="J1915" i="1"/>
  <c r="BG2115" i="1"/>
  <c r="AC2115" i="1" s="1"/>
  <c r="J2115" i="1"/>
  <c r="AV2115" i="1"/>
  <c r="AQ2155" i="1"/>
  <c r="J2322" i="1"/>
  <c r="BG2322" i="1"/>
  <c r="AC2322" i="1" s="1"/>
  <c r="AV2322" i="1"/>
  <c r="J356" i="1"/>
  <c r="BF446" i="1"/>
  <c r="Z446" i="1" s="1"/>
  <c r="AU446" i="1"/>
  <c r="AU2225" i="1"/>
  <c r="I2708" i="1"/>
  <c r="BG507" i="1"/>
  <c r="AA507" i="1" s="1"/>
  <c r="BG1277" i="1"/>
  <c r="AC1277" i="1" s="1"/>
  <c r="J1694" i="1"/>
  <c r="BG1766" i="1"/>
  <c r="AC1766" i="1" s="1"/>
  <c r="J1766" i="1"/>
  <c r="I2151" i="1"/>
  <c r="M2207" i="1"/>
  <c r="G113" i="2" s="1"/>
  <c r="I2230" i="1"/>
  <c r="AU2272" i="1"/>
  <c r="BF2272" i="1"/>
  <c r="AB2272" i="1" s="1"/>
  <c r="AU2462" i="1"/>
  <c r="BF2462" i="1"/>
  <c r="Z2462" i="1" s="1"/>
  <c r="AV2531" i="1"/>
  <c r="BG2531" i="1"/>
  <c r="AE2531" i="1" s="1"/>
  <c r="J2531" i="1"/>
  <c r="AV2539" i="1"/>
  <c r="AT2539" i="1" s="1"/>
  <c r="J2539" i="1"/>
  <c r="BF2558" i="1"/>
  <c r="Z2558" i="1" s="1"/>
  <c r="I2558" i="1"/>
  <c r="AU2558" i="1"/>
  <c r="I2733" i="1"/>
  <c r="AU2741" i="1"/>
  <c r="BF2741" i="1"/>
  <c r="Z2741" i="1" s="1"/>
  <c r="I2741" i="1"/>
  <c r="I91" i="1"/>
  <c r="BG91" i="1"/>
  <c r="AA91" i="1" s="1"/>
  <c r="AU106" i="1"/>
  <c r="I161" i="1"/>
  <c r="BF161" i="1"/>
  <c r="AQ172" i="1"/>
  <c r="AV220" i="1"/>
  <c r="BA220" i="1" s="1"/>
  <c r="J220" i="1"/>
  <c r="I245" i="1"/>
  <c r="BF245" i="1"/>
  <c r="Z245" i="1" s="1"/>
  <c r="J362" i="1"/>
  <c r="AU373" i="1"/>
  <c r="J409" i="1"/>
  <c r="AU422" i="1"/>
  <c r="I422" i="1"/>
  <c r="BF422" i="1"/>
  <c r="Z422" i="1" s="1"/>
  <c r="AV588" i="1"/>
  <c r="BF1177" i="1"/>
  <c r="AB1177" i="1" s="1"/>
  <c r="BG1189" i="1"/>
  <c r="AC1189" i="1" s="1"/>
  <c r="AV1189" i="1"/>
  <c r="BA1189" i="1" s="1"/>
  <c r="AQ1515" i="1"/>
  <c r="AU1766" i="1"/>
  <c r="BA1766" i="1" s="1"/>
  <c r="BG1959" i="1"/>
  <c r="AV1959" i="1"/>
  <c r="J1959" i="1"/>
  <c r="AR2030" i="1"/>
  <c r="AU2033" i="1"/>
  <c r="I2033" i="1"/>
  <c r="AU2039" i="1"/>
  <c r="BF2039" i="1"/>
  <c r="Z2039" i="1" s="1"/>
  <c r="I2039" i="1"/>
  <c r="I2258" i="1"/>
  <c r="I2262" i="1"/>
  <c r="BG2523" i="1"/>
  <c r="AE2523" i="1" s="1"/>
  <c r="J2523" i="1"/>
  <c r="AU2545" i="1"/>
  <c r="AV2558" i="1"/>
  <c r="BG2558" i="1"/>
  <c r="AA2558" i="1" s="1"/>
  <c r="J2558" i="1"/>
  <c r="J2722" i="1"/>
  <c r="BG2735" i="1"/>
  <c r="AE2735" i="1" s="1"/>
  <c r="M2165" i="1"/>
  <c r="G108" i="2" s="1"/>
  <c r="BD2166" i="1"/>
  <c r="BG2638" i="1"/>
  <c r="AE2638" i="1" s="1"/>
  <c r="J2638" i="1"/>
  <c r="BF1863" i="1"/>
  <c r="AB1863" i="1" s="1"/>
  <c r="I1863" i="1"/>
  <c r="AU1863" i="1"/>
  <c r="BF2089" i="1"/>
  <c r="AB2089" i="1" s="1"/>
  <c r="I2089" i="1"/>
  <c r="AU2316" i="1"/>
  <c r="I2316" i="1"/>
  <c r="AU2352" i="1"/>
  <c r="BF2352" i="1"/>
  <c r="Z2352" i="1" s="1"/>
  <c r="AV831" i="1"/>
  <c r="J831" i="1"/>
  <c r="J830" i="1" s="1"/>
  <c r="E52" i="2" s="1"/>
  <c r="AV1612" i="1"/>
  <c r="J1612" i="1"/>
  <c r="BF1917" i="1"/>
  <c r="AB1917" i="1" s="1"/>
  <c r="I1917" i="1"/>
  <c r="AU1917" i="1"/>
  <c r="AU1920" i="1"/>
  <c r="BF1920" i="1"/>
  <c r="AB1920" i="1" s="1"/>
  <c r="AU2085" i="1"/>
  <c r="J2208" i="1"/>
  <c r="BG2208" i="1"/>
  <c r="AC2208" i="1" s="1"/>
  <c r="AV2208" i="1"/>
  <c r="BF71" i="1"/>
  <c r="Z71" i="1" s="1"/>
  <c r="AU71" i="1"/>
  <c r="M379" i="1"/>
  <c r="G33" i="2" s="1"/>
  <c r="BD382" i="1"/>
  <c r="BG397" i="1"/>
  <c r="AA397" i="1" s="1"/>
  <c r="BG344" i="1"/>
  <c r="J406" i="1"/>
  <c r="BG470" i="1"/>
  <c r="AA470" i="1" s="1"/>
  <c r="AV1879" i="1"/>
  <c r="J1879" i="1"/>
  <c r="BG1897" i="1"/>
  <c r="AC1897" i="1" s="1"/>
  <c r="J1897" i="1"/>
  <c r="AV1897" i="1"/>
  <c r="BF2151" i="1"/>
  <c r="Z2151" i="1" s="1"/>
  <c r="BF2225" i="1"/>
  <c r="AB2225" i="1" s="1"/>
  <c r="I71" i="1"/>
  <c r="BF409" i="1"/>
  <c r="Z409" i="1" s="1"/>
  <c r="AR427" i="1"/>
  <c r="BG665" i="1"/>
  <c r="BG1285" i="1"/>
  <c r="AC1285" i="1" s="1"/>
  <c r="J1285" i="1"/>
  <c r="I1727" i="1"/>
  <c r="AV1770" i="1"/>
  <c r="J1770" i="1"/>
  <c r="BF1959" i="1"/>
  <c r="I1959" i="1"/>
  <c r="AU1959" i="1"/>
  <c r="J2250" i="1"/>
  <c r="J91" i="1"/>
  <c r="AU167" i="1"/>
  <c r="BF167" i="1"/>
  <c r="AR172" i="1"/>
  <c r="AU230" i="1"/>
  <c r="AU350" i="1"/>
  <c r="AU414" i="1"/>
  <c r="AT414" i="1" s="1"/>
  <c r="AV741" i="1"/>
  <c r="BG741" i="1"/>
  <c r="J741" i="1"/>
  <c r="I855" i="1"/>
  <c r="AU855" i="1"/>
  <c r="AU917" i="1"/>
  <c r="BF933" i="1"/>
  <c r="Z933" i="1" s="1"/>
  <c r="I933" i="1"/>
  <c r="BG999" i="1"/>
  <c r="AA999" i="1" s="1"/>
  <c r="J999" i="1"/>
  <c r="AV999" i="1"/>
  <c r="BF1283" i="1"/>
  <c r="AB1283" i="1" s="1"/>
  <c r="AR1515" i="1"/>
  <c r="AU1758" i="1"/>
  <c r="AV1766" i="1"/>
  <c r="BG1770" i="1"/>
  <c r="AC1770" i="1" s="1"/>
  <c r="AV2029" i="1"/>
  <c r="AT2029" i="1" s="1"/>
  <c r="BG2029" i="1"/>
  <c r="AA2029" i="1" s="1"/>
  <c r="J2029" i="1"/>
  <c r="BF2037" i="1"/>
  <c r="Z2037" i="1" s="1"/>
  <c r="AU2037" i="1"/>
  <c r="I2037" i="1"/>
  <c r="AV2177" i="1"/>
  <c r="BG2177" i="1"/>
  <c r="AA2177" i="1" s="1"/>
  <c r="BF2276" i="1"/>
  <c r="I2276" i="1"/>
  <c r="BF2439" i="1"/>
  <c r="AD2439" i="1" s="1"/>
  <c r="BF2452" i="1"/>
  <c r="Z2452" i="1" s="1"/>
  <c r="I2452" i="1"/>
  <c r="AU2452" i="1"/>
  <c r="BF2539" i="1"/>
  <c r="Z2539" i="1" s="1"/>
  <c r="BF2743" i="1"/>
  <c r="AD2743" i="1" s="1"/>
  <c r="BF2103" i="1"/>
  <c r="AB2103" i="1" s="1"/>
  <c r="I2103" i="1"/>
  <c r="AU2103" i="1"/>
  <c r="BG2132" i="1"/>
  <c r="AC2132" i="1" s="1"/>
  <c r="AV2132" i="1"/>
  <c r="AV296" i="1"/>
  <c r="AT296" i="1" s="1"/>
  <c r="BG1614" i="1"/>
  <c r="AA1614" i="1" s="1"/>
  <c r="J1614" i="1"/>
  <c r="BG1850" i="1"/>
  <c r="AC1850" i="1" s="1"/>
  <c r="J1850" i="1"/>
  <c r="BG1939" i="1"/>
  <c r="AA1939" i="1" s="1"/>
  <c r="J1939" i="1"/>
  <c r="J1938" i="1" s="1"/>
  <c r="E96" i="2" s="1"/>
  <c r="J2223" i="1"/>
  <c r="AV2223" i="1"/>
  <c r="AV65" i="1"/>
  <c r="BG65" i="1"/>
  <c r="AA65" i="1" s="1"/>
  <c r="BF562" i="1"/>
  <c r="Z562" i="1" s="1"/>
  <c r="I562" i="1"/>
  <c r="BG1609" i="1"/>
  <c r="AA1609" i="1" s="1"/>
  <c r="AV1677" i="1"/>
  <c r="AV2087" i="1"/>
  <c r="BG2240" i="1"/>
  <c r="AC2240" i="1" s="1"/>
  <c r="AV2240" i="1"/>
  <c r="AT2240" i="1" s="1"/>
  <c r="I2710" i="1"/>
  <c r="BG154" i="1"/>
  <c r="AA154" i="1" s="1"/>
  <c r="J154" i="1"/>
  <c r="I507" i="1"/>
  <c r="I1177" i="1"/>
  <c r="AU1774" i="1"/>
  <c r="I1774" i="1"/>
  <c r="BF1774" i="1"/>
  <c r="AB1774" i="1" s="1"/>
  <c r="J2431" i="1"/>
  <c r="J333" i="1"/>
  <c r="BF346" i="1"/>
  <c r="J470" i="1"/>
  <c r="AV515" i="1"/>
  <c r="BG515" i="1"/>
  <c r="AA515" i="1" s="1"/>
  <c r="BG362" i="1"/>
  <c r="AA362" i="1" s="1"/>
  <c r="I446" i="1"/>
  <c r="AU253" i="1"/>
  <c r="BF253" i="1"/>
  <c r="Z253" i="1" s="1"/>
  <c r="BG261" i="1"/>
  <c r="AA261" i="1" s="1"/>
  <c r="AV261" i="1"/>
  <c r="AS366" i="1"/>
  <c r="BF373" i="1"/>
  <c r="Z373" i="1" s="1"/>
  <c r="J661" i="1"/>
  <c r="I917" i="1"/>
  <c r="I984" i="1"/>
  <c r="BF1189" i="1"/>
  <c r="AB1189" i="1" s="1"/>
  <c r="AV1259" i="1"/>
  <c r="J1259" i="1"/>
  <c r="J1279" i="1"/>
  <c r="AV2035" i="1"/>
  <c r="AT2035" i="1" s="1"/>
  <c r="BG2035" i="1"/>
  <c r="AA2035" i="1" s="1"/>
  <c r="J2035" i="1"/>
  <c r="BF2188" i="1"/>
  <c r="Z2188" i="1" s="1"/>
  <c r="I2188" i="1"/>
  <c r="BG2287" i="1"/>
  <c r="AC2287" i="1" s="1"/>
  <c r="J2287" i="1"/>
  <c r="AV2287" i="1"/>
  <c r="AT2287" i="1" s="1"/>
  <c r="I2439" i="1"/>
  <c r="BF2491" i="1"/>
  <c r="AD2491" i="1" s="1"/>
  <c r="I2491" i="1"/>
  <c r="I2521" i="1"/>
  <c r="BF2521" i="1"/>
  <c r="AD2521" i="1" s="1"/>
  <c r="BG2539" i="1"/>
  <c r="AA2539" i="1" s="1"/>
  <c r="I2551" i="1"/>
  <c r="BG53" i="1"/>
  <c r="AA53" i="1" s="1"/>
  <c r="J53" i="1"/>
  <c r="J360" i="1"/>
  <c r="BG360" i="1"/>
  <c r="AA360" i="1" s="1"/>
  <c r="I470" i="1"/>
  <c r="J631" i="1"/>
  <c r="J714" i="1"/>
  <c r="AU873" i="1"/>
  <c r="AV907" i="1"/>
  <c r="AT907" i="1" s="1"/>
  <c r="BG907" i="1"/>
  <c r="AA907" i="1" s="1"/>
  <c r="AU1279" i="1"/>
  <c r="BF1279" i="1"/>
  <c r="AB1279" i="1" s="1"/>
  <c r="J2129" i="1"/>
  <c r="I2223" i="1"/>
  <c r="I2326" i="1"/>
  <c r="BF106" i="1"/>
  <c r="Z106" i="1" s="1"/>
  <c r="I97" i="1"/>
  <c r="I124" i="1"/>
  <c r="AV167" i="1"/>
  <c r="I205" i="1"/>
  <c r="BF414" i="1"/>
  <c r="Z414" i="1" s="1"/>
  <c r="AU597" i="1"/>
  <c r="AT597" i="1" s="1"/>
  <c r="BF597" i="1"/>
  <c r="BF599" i="1"/>
  <c r="AB599" i="1" s="1"/>
  <c r="AU599" i="1"/>
  <c r="BG674" i="1"/>
  <c r="AC674" i="1" s="1"/>
  <c r="J674" i="1"/>
  <c r="AU810" i="1"/>
  <c r="I810" i="1"/>
  <c r="BG1306" i="1"/>
  <c r="AC1306" i="1" s="1"/>
  <c r="J1306" i="1"/>
  <c r="I1585" i="1"/>
  <c r="AU1585" i="1"/>
  <c r="AV1649" i="1"/>
  <c r="J1649" i="1"/>
  <c r="BF1758" i="1"/>
  <c r="AB1758" i="1" s="1"/>
  <c r="M2176" i="1"/>
  <c r="G111" i="2" s="1"/>
  <c r="BG2279" i="1"/>
  <c r="AC2279" i="1" s="1"/>
  <c r="J2279" i="1"/>
  <c r="AV2279" i="1"/>
  <c r="AU2289" i="1"/>
  <c r="BF2289" i="1"/>
  <c r="AB2289" i="1" s="1"/>
  <c r="I2539" i="1"/>
  <c r="BG2680" i="1"/>
  <c r="AE2680" i="1" s="1"/>
  <c r="J2680" i="1"/>
  <c r="AV2680" i="1"/>
  <c r="BG50" i="1"/>
  <c r="AA50" i="1" s="1"/>
  <c r="J50" i="1"/>
  <c r="AU831" i="1"/>
  <c r="I831" i="1"/>
  <c r="I830" i="1" s="1"/>
  <c r="D52" i="2" s="1"/>
  <c r="BG1033" i="1"/>
  <c r="AA1033" i="1" s="1"/>
  <c r="J1033" i="1"/>
  <c r="AV1681" i="1"/>
  <c r="J1681" i="1"/>
  <c r="BG2513" i="1"/>
  <c r="AE2513" i="1" s="1"/>
  <c r="AV2513" i="1"/>
  <c r="AU2597" i="1"/>
  <c r="BF2597" i="1"/>
  <c r="AD2597" i="1" s="1"/>
  <c r="BG2640" i="1"/>
  <c r="AE2640" i="1" s="1"/>
  <c r="J2640" i="1"/>
  <c r="AU1407" i="1"/>
  <c r="BF1407" i="1"/>
  <c r="I1407" i="1"/>
  <c r="J1951" i="1"/>
  <c r="BG1951" i="1"/>
  <c r="AV2354" i="1"/>
  <c r="BG2595" i="1"/>
  <c r="AE2595" i="1" s="1"/>
  <c r="AV2595" i="1"/>
  <c r="AV1841" i="1"/>
  <c r="J1841" i="1"/>
  <c r="AV2129" i="1"/>
  <c r="BF2426" i="1"/>
  <c r="Z2426" i="1" s="1"/>
  <c r="I2503" i="1"/>
  <c r="J2087" i="1"/>
  <c r="AT23" i="1"/>
  <c r="J167" i="1"/>
  <c r="AV271" i="1"/>
  <c r="BA271" i="1" s="1"/>
  <c r="J597" i="1"/>
  <c r="BG597" i="1"/>
  <c r="AU674" i="1"/>
  <c r="AT674" i="1" s="1"/>
  <c r="BG762" i="1"/>
  <c r="AC762" i="1" s="1"/>
  <c r="BF957" i="1"/>
  <c r="Z957" i="1" s="1"/>
  <c r="I957" i="1"/>
  <c r="BA1014" i="1"/>
  <c r="AV1129" i="1"/>
  <c r="AT1129" i="1" s="1"/>
  <c r="AV1267" i="1"/>
  <c r="AU1302" i="1"/>
  <c r="AU1306" i="1"/>
  <c r="AT1306" i="1" s="1"/>
  <c r="BF1571" i="1"/>
  <c r="Z1571" i="1" s="1"/>
  <c r="I1571" i="1"/>
  <c r="AU1571" i="1"/>
  <c r="AV1645" i="1"/>
  <c r="BF1655" i="1"/>
  <c r="Z1655" i="1" s="1"/>
  <c r="AU1655" i="1"/>
  <c r="AU1712" i="1"/>
  <c r="M1737" i="1"/>
  <c r="G88" i="2" s="1"/>
  <c r="BF2000" i="1"/>
  <c r="Z2000" i="1" s="1"/>
  <c r="AU2000" i="1"/>
  <c r="AU2188" i="1"/>
  <c r="BF2196" i="1"/>
  <c r="Z2196" i="1" s="1"/>
  <c r="I2196" i="1"/>
  <c r="AU2196" i="1"/>
  <c r="AV2198" i="1"/>
  <c r="BG2198" i="1"/>
  <c r="AA2198" i="1" s="1"/>
  <c r="AV2309" i="1"/>
  <c r="J2481" i="1"/>
  <c r="AV2481" i="1"/>
  <c r="BG2483" i="1"/>
  <c r="AE2483" i="1" s="1"/>
  <c r="J2483" i="1"/>
  <c r="AU2491" i="1"/>
  <c r="BA2491" i="1" s="1"/>
  <c r="AV2577" i="1"/>
  <c r="BG2579" i="1"/>
  <c r="J2579" i="1"/>
  <c r="BG2583" i="1"/>
  <c r="AV2583" i="1"/>
  <c r="AR436" i="1"/>
  <c r="AV1806" i="1"/>
  <c r="BG1806" i="1"/>
  <c r="AC1806" i="1" s="1"/>
  <c r="AU1957" i="1"/>
  <c r="BA1957" i="1" s="1"/>
  <c r="BF1957" i="1"/>
  <c r="AV2004" i="1"/>
  <c r="BG2004" i="1"/>
  <c r="AA2004" i="1" s="1"/>
  <c r="I2046" i="1"/>
  <c r="AU2046" i="1"/>
  <c r="M2428" i="1"/>
  <c r="G129" i="2" s="1"/>
  <c r="I2660" i="1"/>
  <c r="AU2660" i="1"/>
  <c r="AT2660" i="1" s="1"/>
  <c r="AJ1574" i="1"/>
  <c r="AS1573" i="1" s="1"/>
  <c r="AV1655" i="1"/>
  <c r="AV1778" i="1"/>
  <c r="AT1778" i="1" s="1"/>
  <c r="BF2042" i="1"/>
  <c r="Z2042" i="1" s="1"/>
  <c r="AU2042" i="1"/>
  <c r="AV2203" i="1"/>
  <c r="BF2287" i="1"/>
  <c r="AB2287" i="1" s="1"/>
  <c r="I2287" i="1"/>
  <c r="AU2336" i="1"/>
  <c r="BF2336" i="1"/>
  <c r="AB2336" i="1" s="1"/>
  <c r="AU2749" i="1"/>
  <c r="BF2749" i="1"/>
  <c r="Z2749" i="1" s="1"/>
  <c r="BG1738" i="1"/>
  <c r="AA1738" i="1" s="1"/>
  <c r="J1738" i="1"/>
  <c r="J1747" i="1"/>
  <c r="AV1747" i="1"/>
  <c r="AU2216" i="1"/>
  <c r="I2216" i="1"/>
  <c r="BF2219" i="1"/>
  <c r="AB2219" i="1" s="1"/>
  <c r="I2219" i="1"/>
  <c r="BG2326" i="1"/>
  <c r="AC2326" i="1" s="1"/>
  <c r="AV2326" i="1"/>
  <c r="BG2607" i="1"/>
  <c r="AE2607" i="1" s="1"/>
  <c r="J2607" i="1"/>
  <c r="J245" i="1"/>
  <c r="M343" i="1"/>
  <c r="G29" i="2" s="1"/>
  <c r="BF437" i="1"/>
  <c r="Z437" i="1" s="1"/>
  <c r="I566" i="1"/>
  <c r="BF573" i="1"/>
  <c r="Z573" i="1" s="1"/>
  <c r="I857" i="1"/>
  <c r="I897" i="1"/>
  <c r="AV1744" i="1"/>
  <c r="BG1744" i="1"/>
  <c r="AA1744" i="1" s="1"/>
  <c r="I1780" i="1"/>
  <c r="AU1866" i="1"/>
  <c r="I1866" i="1"/>
  <c r="BF1866" i="1"/>
  <c r="AB1866" i="1" s="1"/>
  <c r="BG1869" i="1"/>
  <c r="AC1869" i="1" s="1"/>
  <c r="AV1869" i="1"/>
  <c r="J1894" i="1"/>
  <c r="BG1926" i="1"/>
  <c r="AC1926" i="1" s="1"/>
  <c r="AV1926" i="1"/>
  <c r="AV1961" i="1"/>
  <c r="J1961" i="1"/>
  <c r="J2011" i="1"/>
  <c r="AS2030" i="1"/>
  <c r="I2099" i="1"/>
  <c r="BG2216" i="1"/>
  <c r="AC2216" i="1" s="1"/>
  <c r="J2216" i="1"/>
  <c r="BF2220" i="1"/>
  <c r="AB2220" i="1" s="1"/>
  <c r="AU2220" i="1"/>
  <c r="BG2299" i="1"/>
  <c r="AC2299" i="1" s="1"/>
  <c r="AV2299" i="1"/>
  <c r="I2318" i="1"/>
  <c r="I2345" i="1"/>
  <c r="AU2345" i="1"/>
  <c r="BA2345" i="1" s="1"/>
  <c r="J2552" i="1"/>
  <c r="BF2599" i="1"/>
  <c r="Z2599" i="1" s="1"/>
  <c r="AU2599" i="1"/>
  <c r="AV2607" i="1"/>
  <c r="AV2609" i="1"/>
  <c r="J2660" i="1"/>
  <c r="I416" i="1"/>
  <c r="BG683" i="1"/>
  <c r="AC683" i="1" s="1"/>
  <c r="AQ1120" i="1"/>
  <c r="I1249" i="1"/>
  <c r="D68" i="2" s="1"/>
  <c r="BA1585" i="1"/>
  <c r="AV1661" i="1"/>
  <c r="AT1661" i="1" s="1"/>
  <c r="AU1702" i="1"/>
  <c r="AU1704" i="1"/>
  <c r="I1704" i="1"/>
  <c r="I1714" i="1"/>
  <c r="I1735" i="1"/>
  <c r="AV1738" i="1"/>
  <c r="AV1866" i="1"/>
  <c r="J1866" i="1"/>
  <c r="BG1866" i="1"/>
  <c r="AC1866" i="1" s="1"/>
  <c r="BF1944" i="1"/>
  <c r="Z1944" i="1" s="1"/>
  <c r="I1944" i="1"/>
  <c r="I1943" i="1" s="1"/>
  <c r="D97" i="2" s="1"/>
  <c r="I2171" i="1"/>
  <c r="BF2171" i="1"/>
  <c r="Z2171" i="1" s="1"/>
  <c r="AU2219" i="1"/>
  <c r="BA2219" i="1" s="1"/>
  <c r="I2283" i="1"/>
  <c r="I2336" i="1"/>
  <c r="BG2385" i="1"/>
  <c r="AA2385" i="1" s="1"/>
  <c r="J2385" i="1"/>
  <c r="AU2391" i="1"/>
  <c r="I2391" i="1"/>
  <c r="BF2391" i="1"/>
  <c r="Z2391" i="1" s="1"/>
  <c r="I2511" i="1"/>
  <c r="BF2595" i="1"/>
  <c r="AD2595" i="1" s="1"/>
  <c r="J2599" i="1"/>
  <c r="AV2599" i="1"/>
  <c r="BA2599" i="1" s="1"/>
  <c r="I2749" i="1"/>
  <c r="I2748" i="1" s="1"/>
  <c r="D143" i="2" s="1"/>
  <c r="I1715" i="1"/>
  <c r="AU1715" i="1"/>
  <c r="BG1944" i="1"/>
  <c r="AA1944" i="1" s="1"/>
  <c r="J1944" i="1"/>
  <c r="I2072" i="1"/>
  <c r="BF2072" i="1"/>
  <c r="AB2072" i="1" s="1"/>
  <c r="AV2113" i="1"/>
  <c r="BA2113" i="1" s="1"/>
  <c r="J2113" i="1"/>
  <c r="AU2115" i="1"/>
  <c r="AT2115" i="1" s="1"/>
  <c r="BF2115" i="1"/>
  <c r="AB2115" i="1" s="1"/>
  <c r="BF2216" i="1"/>
  <c r="AB2216" i="1" s="1"/>
  <c r="BG2262" i="1"/>
  <c r="AC2262" i="1" s="1"/>
  <c r="AV2391" i="1"/>
  <c r="BG2391" i="1"/>
  <c r="AA2391" i="1" s="1"/>
  <c r="BG2416" i="1"/>
  <c r="AA2416" i="1" s="1"/>
  <c r="J2416" i="1"/>
  <c r="BG2519" i="1"/>
  <c r="AE2519" i="1" s="1"/>
  <c r="J2519" i="1"/>
  <c r="BG2609" i="1"/>
  <c r="AE2609" i="1" s="1"/>
  <c r="BF2612" i="1"/>
  <c r="AD2612" i="1" s="1"/>
  <c r="I2059" i="1"/>
  <c r="I2537" i="1"/>
  <c r="J2566" i="1"/>
  <c r="AQ2751" i="1"/>
  <c r="BF1990" i="1"/>
  <c r="Z1990" i="1" s="1"/>
  <c r="I2473" i="1"/>
  <c r="K1568" i="1"/>
  <c r="F78" i="2" s="1"/>
  <c r="I78" i="2" s="1"/>
  <c r="AV2002" i="1"/>
  <c r="AT2002" i="1" s="1"/>
  <c r="AU2310" i="1"/>
  <c r="AV2403" i="1"/>
  <c r="BG2458" i="1"/>
  <c r="AE2458" i="1" s="1"/>
  <c r="BA551" i="1"/>
  <c r="J269" i="1"/>
  <c r="BA306" i="1"/>
  <c r="BG352" i="1"/>
  <c r="I400" i="1"/>
  <c r="AU400" i="1"/>
  <c r="I536" i="1"/>
  <c r="AU536" i="1"/>
  <c r="J570" i="1"/>
  <c r="AV570" i="1"/>
  <c r="J651" i="1"/>
  <c r="BG651" i="1"/>
  <c r="AC651" i="1" s="1"/>
  <c r="AU653" i="1"/>
  <c r="AT653" i="1" s="1"/>
  <c r="I845" i="1"/>
  <c r="AU845" i="1"/>
  <c r="J865" i="1"/>
  <c r="BF867" i="1"/>
  <c r="AD867" i="1" s="1"/>
  <c r="J910" i="1"/>
  <c r="AV910" i="1"/>
  <c r="AT910" i="1" s="1"/>
  <c r="J1234" i="1"/>
  <c r="AV1240" i="1"/>
  <c r="J1240" i="1"/>
  <c r="J1324" i="1"/>
  <c r="BF1335" i="1"/>
  <c r="AB1335" i="1" s="1"/>
  <c r="AU1335" i="1"/>
  <c r="I1415" i="1"/>
  <c r="AU1618" i="1"/>
  <c r="J1634" i="1"/>
  <c r="AV1634" i="1"/>
  <c r="AU1733" i="1"/>
  <c r="I1733" i="1"/>
  <c r="BG1751" i="1"/>
  <c r="AC1751" i="1" s="1"/>
  <c r="AV1751" i="1"/>
  <c r="AV1795" i="1"/>
  <c r="BG1795" i="1"/>
  <c r="AC1795" i="1" s="1"/>
  <c r="AV1927" i="1"/>
  <c r="AV1946" i="1"/>
  <c r="AU1966" i="1"/>
  <c r="BG2037" i="1"/>
  <c r="AA2037" i="1" s="1"/>
  <c r="J2037" i="1"/>
  <c r="BG2123" i="1"/>
  <c r="AC2123" i="1" s="1"/>
  <c r="J2123" i="1"/>
  <c r="AV2330" i="1"/>
  <c r="BF2334" i="1"/>
  <c r="AB2334" i="1" s="1"/>
  <c r="AU2334" i="1"/>
  <c r="BF2379" i="1"/>
  <c r="Z2379" i="1" s="1"/>
  <c r="AU2379" i="1"/>
  <c r="J205" i="1"/>
  <c r="AT306" i="1"/>
  <c r="BD367" i="1"/>
  <c r="M366" i="1"/>
  <c r="G32" i="2" s="1"/>
  <c r="J385" i="1"/>
  <c r="AV437" i="1"/>
  <c r="AQ436" i="1"/>
  <c r="BG570" i="1"/>
  <c r="AA570" i="1" s="1"/>
  <c r="BF653" i="1"/>
  <c r="AB653" i="1" s="1"/>
  <c r="AV657" i="1"/>
  <c r="AT657" i="1" s="1"/>
  <c r="J657" i="1"/>
  <c r="BG657" i="1"/>
  <c r="AC657" i="1" s="1"/>
  <c r="AS733" i="1"/>
  <c r="I749" i="1"/>
  <c r="AV897" i="1"/>
  <c r="AQ916" i="1"/>
  <c r="BA1094" i="1"/>
  <c r="J1110" i="1"/>
  <c r="AV1261" i="1"/>
  <c r="BG1265" i="1"/>
  <c r="AC1265" i="1" s="1"/>
  <c r="AV1265" i="1"/>
  <c r="J1265" i="1"/>
  <c r="AU1418" i="1"/>
  <c r="BF1418" i="1"/>
  <c r="AB1418" i="1" s="1"/>
  <c r="I1418" i="1"/>
  <c r="AV1511" i="1"/>
  <c r="AR1636" i="1"/>
  <c r="BG1647" i="1"/>
  <c r="AA1647" i="1" s="1"/>
  <c r="AU1699" i="1"/>
  <c r="BF1699" i="1"/>
  <c r="Z1699" i="1" s="1"/>
  <c r="AU944" i="1"/>
  <c r="BF944" i="1"/>
  <c r="Z944" i="1" s="1"/>
  <c r="AV1275" i="1"/>
  <c r="BG1275" i="1"/>
  <c r="AC1275" i="1" s="1"/>
  <c r="AS1326" i="1"/>
  <c r="AU1708" i="1"/>
  <c r="BF1708" i="1"/>
  <c r="Z1708" i="1" s="1"/>
  <c r="I1708" i="1"/>
  <c r="BG1907" i="1"/>
  <c r="AC1907" i="1" s="1"/>
  <c r="J1907" i="1"/>
  <c r="AV1907" i="1"/>
  <c r="J2116" i="1"/>
  <c r="AV2116" i="1"/>
  <c r="BG2116" i="1"/>
  <c r="AC2116" i="1" s="1"/>
  <c r="AV2414" i="1"/>
  <c r="BG2414" i="1"/>
  <c r="AA2414" i="1" s="1"/>
  <c r="BF2621" i="1"/>
  <c r="AD2621" i="1" s="1"/>
  <c r="I2621" i="1"/>
  <c r="AU2621" i="1"/>
  <c r="AV115" i="1"/>
  <c r="J115" i="1"/>
  <c r="AU173" i="1"/>
  <c r="AV411" i="1"/>
  <c r="BG411" i="1"/>
  <c r="AA411" i="1" s="1"/>
  <c r="AU570" i="1"/>
  <c r="BF570" i="1"/>
  <c r="Z570" i="1" s="1"/>
  <c r="I570" i="1"/>
  <c r="I670" i="1"/>
  <c r="AU670" i="1"/>
  <c r="BG790" i="1"/>
  <c r="AC790" i="1" s="1"/>
  <c r="J790" i="1"/>
  <c r="AV790" i="1"/>
  <c r="J869" i="1"/>
  <c r="AV869" i="1"/>
  <c r="AT869" i="1" s="1"/>
  <c r="AV1112" i="1"/>
  <c r="J1112" i="1"/>
  <c r="AV1324" i="1"/>
  <c r="AV1571" i="1"/>
  <c r="BA1571" i="1" s="1"/>
  <c r="AU1776" i="1"/>
  <c r="BF1776" i="1"/>
  <c r="AB1776" i="1" s="1"/>
  <c r="K102" i="1"/>
  <c r="F17" i="2" s="1"/>
  <c r="I17" i="2" s="1"/>
  <c r="AU165" i="1"/>
  <c r="AV400" i="1"/>
  <c r="BA400" i="1" s="1"/>
  <c r="BF641" i="1"/>
  <c r="BF1265" i="1"/>
  <c r="AB1265" i="1" s="1"/>
  <c r="I1265" i="1"/>
  <c r="AU1265" i="1"/>
  <c r="BF1729" i="1"/>
  <c r="Z1729" i="1" s="1"/>
  <c r="I1817" i="1"/>
  <c r="BF1817" i="1"/>
  <c r="AB1817" i="1" s="1"/>
  <c r="K1916" i="1"/>
  <c r="F95" i="2" s="1"/>
  <c r="I95" i="2" s="1"/>
  <c r="I1927" i="1"/>
  <c r="BD1939" i="1"/>
  <c r="M1938" i="1"/>
  <c r="G96" i="2" s="1"/>
  <c r="AU2021" i="1"/>
  <c r="BF2021" i="1"/>
  <c r="Z2021" i="1" s="1"/>
  <c r="I2021" i="1"/>
  <c r="AU2023" i="1"/>
  <c r="I2023" i="1"/>
  <c r="BF2023" i="1"/>
  <c r="Z2023" i="1" s="1"/>
  <c r="AV2103" i="1"/>
  <c r="J2103" i="1"/>
  <c r="BG2103" i="1"/>
  <c r="AC2103" i="1" s="1"/>
  <c r="AU2305" i="1"/>
  <c r="AT2305" i="1" s="1"/>
  <c r="BF2305" i="1"/>
  <c r="AB2305" i="1" s="1"/>
  <c r="I2305" i="1"/>
  <c r="BG2334" i="1"/>
  <c r="AC2334" i="1" s="1"/>
  <c r="AV2334" i="1"/>
  <c r="J2334" i="1"/>
  <c r="AV2336" i="1"/>
  <c r="BG2336" i="1"/>
  <c r="AC2336" i="1" s="1"/>
  <c r="J2336" i="1"/>
  <c r="BF2560" i="1"/>
  <c r="Z2560" i="1" s="1"/>
  <c r="AU2560" i="1"/>
  <c r="I2560" i="1"/>
  <c r="I61" i="1"/>
  <c r="J157" i="1"/>
  <c r="BF165" i="1"/>
  <c r="AJ190" i="1"/>
  <c r="AS189" i="1" s="1"/>
  <c r="K189" i="1"/>
  <c r="F23" i="2" s="1"/>
  <c r="I23" i="2" s="1"/>
  <c r="BF205" i="1"/>
  <c r="Z205" i="1" s="1"/>
  <c r="AU263" i="1"/>
  <c r="BA263" i="1" s="1"/>
  <c r="BF263" i="1"/>
  <c r="Z263" i="1" s="1"/>
  <c r="I348" i="1"/>
  <c r="I425" i="1"/>
  <c r="I424" i="1" s="1"/>
  <c r="D37" i="2" s="1"/>
  <c r="AV446" i="1"/>
  <c r="J446" i="1"/>
  <c r="AR575" i="1"/>
  <c r="I643" i="1"/>
  <c r="AV643" i="1"/>
  <c r="I703" i="1"/>
  <c r="AU703" i="1"/>
  <c r="BF749" i="1"/>
  <c r="AB749" i="1" s="1"/>
  <c r="AU762" i="1"/>
  <c r="AT762" i="1" s="1"/>
  <c r="BF762" i="1"/>
  <c r="AB762" i="1" s="1"/>
  <c r="BG897" i="1"/>
  <c r="AA897" i="1" s="1"/>
  <c r="BG901" i="1"/>
  <c r="AA901" i="1" s="1"/>
  <c r="J901" i="1"/>
  <c r="BF1092" i="1"/>
  <c r="Z1092" i="1" s="1"/>
  <c r="AT1094" i="1"/>
  <c r="I1194" i="1"/>
  <c r="BG1240" i="1"/>
  <c r="AC1240" i="1" s="1"/>
  <c r="AV1246" i="1"/>
  <c r="BA1246" i="1" s="1"/>
  <c r="BG1246" i="1"/>
  <c r="AC1246" i="1" s="1"/>
  <c r="AU1311" i="1"/>
  <c r="AT1311" i="1" s="1"/>
  <c r="I1335" i="1"/>
  <c r="AV1606" i="1"/>
  <c r="J1606" i="1"/>
  <c r="J1605" i="1" s="1"/>
  <c r="E81" i="2" s="1"/>
  <c r="AQ1608" i="1"/>
  <c r="BF1622" i="1"/>
  <c r="Z1622" i="1" s="1"/>
  <c r="I1622" i="1"/>
  <c r="AU1622" i="1"/>
  <c r="BF1669" i="1"/>
  <c r="Z1669" i="1" s="1"/>
  <c r="I1669" i="1"/>
  <c r="AU1669" i="1"/>
  <c r="AT1669" i="1" s="1"/>
  <c r="BG1685" i="1"/>
  <c r="AA1685" i="1" s="1"/>
  <c r="J1685" i="1"/>
  <c r="AU1718" i="1"/>
  <c r="BA1718" i="1" s="1"/>
  <c r="BF1733" i="1"/>
  <c r="Z1733" i="1" s="1"/>
  <c r="I1778" i="1"/>
  <c r="BF1778" i="1"/>
  <c r="AB1778" i="1" s="1"/>
  <c r="J1828" i="1"/>
  <c r="BF1839" i="1"/>
  <c r="AB1839" i="1" s="1"/>
  <c r="I1839" i="1"/>
  <c r="AU1839" i="1"/>
  <c r="AT1839" i="1" s="1"/>
  <c r="AU1909" i="1"/>
  <c r="BG1911" i="1"/>
  <c r="AC1911" i="1" s="1"/>
  <c r="AV1911" i="1"/>
  <c r="BA1911" i="1" s="1"/>
  <c r="AU1951" i="1"/>
  <c r="BF1951" i="1"/>
  <c r="AU1970" i="1"/>
  <c r="I1970" i="1"/>
  <c r="BF1970" i="1"/>
  <c r="Z1970" i="1" s="1"/>
  <c r="BF2025" i="1"/>
  <c r="Z2025" i="1" s="1"/>
  <c r="AU2028" i="1"/>
  <c r="I2028" i="1"/>
  <c r="BF2028" i="1"/>
  <c r="Z2028" i="1" s="1"/>
  <c r="AV2105" i="1"/>
  <c r="BG2105" i="1"/>
  <c r="AC2105" i="1" s="1"/>
  <c r="J2105" i="1"/>
  <c r="BG2134" i="1"/>
  <c r="AC2134" i="1" s="1"/>
  <c r="AV2134" i="1"/>
  <c r="AT2134" i="1" s="1"/>
  <c r="J2134" i="1"/>
  <c r="BF2135" i="1"/>
  <c r="AB2135" i="1" s="1"/>
  <c r="I2135" i="1"/>
  <c r="AU2135" i="1"/>
  <c r="I2379" i="1"/>
  <c r="BA2389" i="1"/>
  <c r="AT2389" i="1"/>
  <c r="J2475" i="1"/>
  <c r="BG2475" i="1"/>
  <c r="AE2475" i="1" s="1"/>
  <c r="AV2543" i="1"/>
  <c r="BA2543" i="1" s="1"/>
  <c r="J2543" i="1"/>
  <c r="BG2543" i="1"/>
  <c r="AA2543" i="1" s="1"/>
  <c r="BG2654" i="1"/>
  <c r="AA2654" i="1" s="1"/>
  <c r="AV2654" i="1"/>
  <c r="AT2654" i="1" s="1"/>
  <c r="J2654" i="1"/>
  <c r="BG2752" i="1"/>
  <c r="AC2752" i="1" s="1"/>
  <c r="J2752" i="1"/>
  <c r="J2754" i="1"/>
  <c r="AV2754" i="1"/>
  <c r="BG41" i="1"/>
  <c r="AA41" i="1" s="1"/>
  <c r="AU43" i="1"/>
  <c r="BG44" i="1"/>
  <c r="AA44" i="1" s="1"/>
  <c r="J44" i="1"/>
  <c r="J61" i="1"/>
  <c r="I86" i="1"/>
  <c r="AU86" i="1"/>
  <c r="BG159" i="1"/>
  <c r="AV159" i="1"/>
  <c r="J159" i="1"/>
  <c r="BG165" i="1"/>
  <c r="K192" i="1"/>
  <c r="F24" i="2" s="1"/>
  <c r="I24" i="2" s="1"/>
  <c r="AJ196" i="1"/>
  <c r="AS192" i="1" s="1"/>
  <c r="AU199" i="1"/>
  <c r="I257" i="1"/>
  <c r="AV322" i="1"/>
  <c r="AT322" i="1" s="1"/>
  <c r="AV387" i="1"/>
  <c r="AQ413" i="1"/>
  <c r="I515" i="1"/>
  <c r="BF515" i="1"/>
  <c r="Z515" i="1" s="1"/>
  <c r="I551" i="1"/>
  <c r="AQ575" i="1"/>
  <c r="J643" i="1"/>
  <c r="AV645" i="1"/>
  <c r="BG645" i="1"/>
  <c r="AC645" i="1" s="1"/>
  <c r="J645" i="1"/>
  <c r="BF661" i="1"/>
  <c r="AB661" i="1" s="1"/>
  <c r="AU661" i="1"/>
  <c r="BG703" i="1"/>
  <c r="AC703" i="1" s="1"/>
  <c r="AV703" i="1"/>
  <c r="BG734" i="1"/>
  <c r="AC734" i="1" s="1"/>
  <c r="BG749" i="1"/>
  <c r="AC749" i="1" s="1"/>
  <c r="J845" i="1"/>
  <c r="BF845" i="1"/>
  <c r="Z845" i="1" s="1"/>
  <c r="AU860" i="1"/>
  <c r="BF860" i="1"/>
  <c r="BF875" i="1"/>
  <c r="Z875" i="1" s="1"/>
  <c r="AU875" i="1"/>
  <c r="I875" i="1"/>
  <c r="AU901" i="1"/>
  <c r="J1194" i="1"/>
  <c r="BF1194" i="1"/>
  <c r="AB1194" i="1" s="1"/>
  <c r="AV1206" i="1"/>
  <c r="AR1253" i="1"/>
  <c r="I1291" i="1"/>
  <c r="AV1445" i="1"/>
  <c r="BA1445" i="1" s="1"/>
  <c r="J1620" i="1"/>
  <c r="BF1620" i="1"/>
  <c r="Z1620" i="1" s="1"/>
  <c r="AU1687" i="1"/>
  <c r="BF1687" i="1"/>
  <c r="I1687" i="1"/>
  <c r="I1699" i="1"/>
  <c r="AU1820" i="1"/>
  <c r="BA1820" i="1" s="1"/>
  <c r="BF1831" i="1"/>
  <c r="AB1831" i="1" s="1"/>
  <c r="AU1890" i="1"/>
  <c r="AT1890" i="1" s="1"/>
  <c r="I1890" i="1"/>
  <c r="BF1890" i="1"/>
  <c r="AB1890" i="1" s="1"/>
  <c r="AV1970" i="1"/>
  <c r="J1970" i="1"/>
  <c r="BG1970" i="1"/>
  <c r="AA1970" i="1" s="1"/>
  <c r="AU2201" i="1"/>
  <c r="BF2201" i="1"/>
  <c r="Z2201" i="1" s="1"/>
  <c r="J2220" i="1"/>
  <c r="AV2220" i="1"/>
  <c r="AV2235" i="1"/>
  <c r="BG2235" i="1"/>
  <c r="AC2235" i="1" s="1"/>
  <c r="J2235" i="1"/>
  <c r="AU2285" i="1"/>
  <c r="BF2285" i="1"/>
  <c r="AB2285" i="1" s="1"/>
  <c r="BF2306" i="1"/>
  <c r="AB2306" i="1" s="1"/>
  <c r="AU2306" i="1"/>
  <c r="I2481" i="1"/>
  <c r="AU2481" i="1"/>
  <c r="BF2481" i="1"/>
  <c r="AD2481" i="1" s="1"/>
  <c r="AV2752" i="1"/>
  <c r="AV44" i="1"/>
  <c r="AT44" i="1" s="1"/>
  <c r="AU159" i="1"/>
  <c r="I199" i="1"/>
  <c r="I198" i="1" s="1"/>
  <c r="D25" i="2" s="1"/>
  <c r="AV199" i="1"/>
  <c r="AU210" i="1"/>
  <c r="AU280" i="1"/>
  <c r="AV373" i="1"/>
  <c r="BF551" i="1"/>
  <c r="Z551" i="1" s="1"/>
  <c r="AU576" i="1"/>
  <c r="BA576" i="1" s="1"/>
  <c r="I576" i="1"/>
  <c r="BF576" i="1"/>
  <c r="AB576" i="1" s="1"/>
  <c r="AU631" i="1"/>
  <c r="AT631" i="1" s="1"/>
  <c r="BF724" i="1"/>
  <c r="AB724" i="1" s="1"/>
  <c r="I724" i="1"/>
  <c r="BG845" i="1"/>
  <c r="AA845" i="1" s="1"/>
  <c r="K859" i="1"/>
  <c r="F55" i="2" s="1"/>
  <c r="I55" i="2" s="1"/>
  <c r="AV860" i="1"/>
  <c r="J860" i="1"/>
  <c r="J859" i="1" s="1"/>
  <c r="E55" i="2" s="1"/>
  <c r="M872" i="1"/>
  <c r="G58" i="2" s="1"/>
  <c r="BG875" i="1"/>
  <c r="AA875" i="1" s="1"/>
  <c r="AV875" i="1"/>
  <c r="J875" i="1"/>
  <c r="AV901" i="1"/>
  <c r="AS1253" i="1"/>
  <c r="BF1379" i="1"/>
  <c r="AB1379" i="1" s="1"/>
  <c r="AU1379" i="1"/>
  <c r="I1379" i="1"/>
  <c r="J1458" i="1"/>
  <c r="AV1458" i="1"/>
  <c r="BA1458" i="1" s="1"/>
  <c r="AU1606" i="1"/>
  <c r="BG1620" i="1"/>
  <c r="AA1620" i="1" s="1"/>
  <c r="I1663" i="1"/>
  <c r="I1683" i="1"/>
  <c r="BF1685" i="1"/>
  <c r="Z1685" i="1" s="1"/>
  <c r="BG1687" i="1"/>
  <c r="AV1687" i="1"/>
  <c r="J1687" i="1"/>
  <c r="J1712" i="1"/>
  <c r="AV1712" i="1"/>
  <c r="J1890" i="1"/>
  <c r="AV1890" i="1"/>
  <c r="BF1913" i="1"/>
  <c r="AB1913" i="1" s="1"/>
  <c r="I1913" i="1"/>
  <c r="AU1913" i="1"/>
  <c r="BF1997" i="1"/>
  <c r="Z1997" i="1" s="1"/>
  <c r="AU1997" i="1"/>
  <c r="BA1997" i="1" s="1"/>
  <c r="AV2055" i="1"/>
  <c r="BG2055" i="1"/>
  <c r="AC2055" i="1" s="1"/>
  <c r="J2055" i="1"/>
  <c r="BF2057" i="1"/>
  <c r="AB2057" i="1" s="1"/>
  <c r="AU2057" i="1"/>
  <c r="AU2091" i="1"/>
  <c r="BF2091" i="1"/>
  <c r="AB2091" i="1" s="1"/>
  <c r="AV2285" i="1"/>
  <c r="BG2285" i="1"/>
  <c r="AC2285" i="1" s="1"/>
  <c r="AV2452" i="1"/>
  <c r="J2452" i="1"/>
  <c r="BG2452" i="1"/>
  <c r="AA2452" i="1" s="1"/>
  <c r="I2456" i="1"/>
  <c r="BF2456" i="1"/>
  <c r="AD2456" i="1" s="1"/>
  <c r="AU2456" i="1"/>
  <c r="AV2475" i="1"/>
  <c r="AT2475" i="1" s="1"/>
  <c r="AV2477" i="1"/>
  <c r="BA2477" i="1" s="1"/>
  <c r="BG2477" i="1"/>
  <c r="AE2477" i="1" s="1"/>
  <c r="BF2479" i="1"/>
  <c r="AD2479" i="1" s="1"/>
  <c r="I2479" i="1"/>
  <c r="AU2479" i="1"/>
  <c r="BA2519" i="1"/>
  <c r="AT2519" i="1"/>
  <c r="BG2754" i="1"/>
  <c r="AC2754" i="1" s="1"/>
  <c r="BF61" i="1"/>
  <c r="Z61" i="1" s="1"/>
  <c r="I159" i="1"/>
  <c r="J199" i="1"/>
  <c r="J198" i="1" s="1"/>
  <c r="E25" i="2" s="1"/>
  <c r="I210" i="1"/>
  <c r="AV210" i="1"/>
  <c r="AV280" i="1"/>
  <c r="J322" i="1"/>
  <c r="BA360" i="1"/>
  <c r="AQ359" i="1"/>
  <c r="J387" i="1"/>
  <c r="BG446" i="1"/>
  <c r="AA446" i="1" s="1"/>
  <c r="AU515" i="1"/>
  <c r="AR532" i="1"/>
  <c r="BF582" i="1"/>
  <c r="AB582" i="1" s="1"/>
  <c r="I582" i="1"/>
  <c r="AU582" i="1"/>
  <c r="AU604" i="1"/>
  <c r="AT604" i="1" s="1"/>
  <c r="AV631" i="1"/>
  <c r="AV661" i="1"/>
  <c r="I672" i="1"/>
  <c r="BF703" i="1"/>
  <c r="AB703" i="1" s="1"/>
  <c r="BF741" i="1"/>
  <c r="AU741" i="1"/>
  <c r="AT741" i="1" s="1"/>
  <c r="I741" i="1"/>
  <c r="K830" i="1"/>
  <c r="F52" i="2" s="1"/>
  <c r="I52" i="2" s="1"/>
  <c r="I901" i="1"/>
  <c r="AV1053" i="1"/>
  <c r="J1053" i="1"/>
  <c r="I1094" i="1"/>
  <c r="M1120" i="1"/>
  <c r="G64" i="2" s="1"/>
  <c r="I1311" i="1"/>
  <c r="AV1379" i="1"/>
  <c r="J1379" i="1"/>
  <c r="I1606" i="1"/>
  <c r="I1605" i="1" s="1"/>
  <c r="D81" i="2" s="1"/>
  <c r="I1685" i="1"/>
  <c r="AU1713" i="1"/>
  <c r="BF1713" i="1"/>
  <c r="Z1713" i="1" s="1"/>
  <c r="I1718" i="1"/>
  <c r="I1717" i="1" s="1"/>
  <c r="D86" i="2" s="1"/>
  <c r="AV1758" i="1"/>
  <c r="BG1758" i="1"/>
  <c r="AC1758" i="1" s="1"/>
  <c r="J1758" i="1"/>
  <c r="BF1762" i="1"/>
  <c r="AB1762" i="1" s="1"/>
  <c r="I1762" i="1"/>
  <c r="AU1762" i="1"/>
  <c r="AV1976" i="1"/>
  <c r="BA1976" i="1" s="1"/>
  <c r="BG1976" i="1"/>
  <c r="AA1976" i="1" s="1"/>
  <c r="AS2155" i="1"/>
  <c r="J2366" i="1"/>
  <c r="BG2366" i="1"/>
  <c r="AV2366" i="1"/>
  <c r="BG2479" i="1"/>
  <c r="AE2479" i="1" s="1"/>
  <c r="AV2479" i="1"/>
  <c r="J2479" i="1"/>
  <c r="AR2588" i="1"/>
  <c r="I385" i="1"/>
  <c r="AU385" i="1"/>
  <c r="BA385" i="1" s="1"/>
  <c r="BF107" i="1"/>
  <c r="Z107" i="1" s="1"/>
  <c r="I107" i="1"/>
  <c r="BF781" i="1"/>
  <c r="AB781" i="1" s="1"/>
  <c r="I781" i="1"/>
  <c r="BG1080" i="1"/>
  <c r="AA1080" i="1" s="1"/>
  <c r="J1080" i="1"/>
  <c r="AV1080" i="1"/>
  <c r="BG1404" i="1"/>
  <c r="AC1404" i="1" s="1"/>
  <c r="J1404" i="1"/>
  <c r="I1679" i="1"/>
  <c r="AU1679" i="1"/>
  <c r="BF1679" i="1"/>
  <c r="Z1679" i="1" s="1"/>
  <c r="BG1823" i="1"/>
  <c r="AC1823" i="1" s="1"/>
  <c r="AV1823" i="1"/>
  <c r="I1852" i="1"/>
  <c r="BF1852" i="1"/>
  <c r="AB1852" i="1" s="1"/>
  <c r="BF2372" i="1"/>
  <c r="AU2372" i="1"/>
  <c r="BA2372" i="1" s="1"/>
  <c r="I2372" i="1"/>
  <c r="AU2409" i="1"/>
  <c r="I2409" i="1"/>
  <c r="BF2409" i="1"/>
  <c r="AV26" i="1"/>
  <c r="BG26" i="1"/>
  <c r="AC26" i="1" s="1"/>
  <c r="AU787" i="1"/>
  <c r="I787" i="1"/>
  <c r="BF787" i="1"/>
  <c r="AV867" i="1"/>
  <c r="BA867" i="1" s="1"/>
  <c r="BG867" i="1"/>
  <c r="AE867" i="1" s="1"/>
  <c r="I1647" i="1"/>
  <c r="AU1647" i="1"/>
  <c r="BA1647" i="1" s="1"/>
  <c r="J1852" i="1"/>
  <c r="AV1852" i="1"/>
  <c r="AU107" i="1"/>
  <c r="BA107" i="1" s="1"/>
  <c r="J352" i="1"/>
  <c r="AV627" i="1"/>
  <c r="J627" i="1"/>
  <c r="AU781" i="1"/>
  <c r="AV944" i="1"/>
  <c r="BG944" i="1"/>
  <c r="AA944" i="1" s="1"/>
  <c r="J944" i="1"/>
  <c r="AV1287" i="1"/>
  <c r="BG1287" i="1"/>
  <c r="AC1287" i="1" s="1"/>
  <c r="J1287" i="1"/>
  <c r="AV1404" i="1"/>
  <c r="I1634" i="1"/>
  <c r="AU1634" i="1"/>
  <c r="BF1634" i="1"/>
  <c r="AU36" i="1"/>
  <c r="I36" i="1"/>
  <c r="BG122" i="1"/>
  <c r="AA122" i="1" s="1"/>
  <c r="J122" i="1"/>
  <c r="AV122" i="1"/>
  <c r="AV173" i="1"/>
  <c r="J80" i="1"/>
  <c r="I173" i="1"/>
  <c r="BG346" i="1"/>
  <c r="I369" i="1"/>
  <c r="AU369" i="1"/>
  <c r="BA369" i="1" s="1"/>
  <c r="AV402" i="1"/>
  <c r="J402" i="1"/>
  <c r="AV536" i="1"/>
  <c r="AU1092" i="1"/>
  <c r="AU1261" i="1"/>
  <c r="J1511" i="1"/>
  <c r="AV165" i="1"/>
  <c r="J173" i="1"/>
  <c r="J172" i="1" s="1"/>
  <c r="E20" i="2" s="1"/>
  <c r="BF385" i="1"/>
  <c r="Z385" i="1" s="1"/>
  <c r="J437" i="1"/>
  <c r="BG551" i="1"/>
  <c r="AA551" i="1" s="1"/>
  <c r="J551" i="1"/>
  <c r="BG627" i="1"/>
  <c r="AV629" i="1"/>
  <c r="BG629" i="1"/>
  <c r="AC629" i="1" s="1"/>
  <c r="BF655" i="1"/>
  <c r="AB655" i="1" s="1"/>
  <c r="AU655" i="1"/>
  <c r="J734" i="1"/>
  <c r="AV749" i="1"/>
  <c r="BA749" i="1" s="1"/>
  <c r="BF869" i="1"/>
  <c r="AD869" i="1" s="1"/>
  <c r="J1261" i="1"/>
  <c r="AV1415" i="1"/>
  <c r="AU1574" i="1"/>
  <c r="BF1574" i="1"/>
  <c r="Z1574" i="1" s="1"/>
  <c r="I1574" i="1"/>
  <c r="I1573" i="1" s="1"/>
  <c r="D79" i="2" s="1"/>
  <c r="BF1618" i="1"/>
  <c r="Z1618" i="1" s="1"/>
  <c r="BG1634" i="1"/>
  <c r="I1661" i="1"/>
  <c r="AV1709" i="1"/>
  <c r="BG1709" i="1"/>
  <c r="AA1709" i="1" s="1"/>
  <c r="BG1800" i="1"/>
  <c r="AC1800" i="1" s="1"/>
  <c r="AV1800" i="1"/>
  <c r="J1800" i="1"/>
  <c r="I1804" i="1"/>
  <c r="AU1804" i="1"/>
  <c r="BA1804" i="1" s="1"/>
  <c r="AV1817" i="1"/>
  <c r="J1817" i="1"/>
  <c r="BG1817" i="1"/>
  <c r="AC1817" i="1" s="1"/>
  <c r="J1831" i="1"/>
  <c r="AV1831" i="1"/>
  <c r="J1946" i="1"/>
  <c r="I1966" i="1"/>
  <c r="BF2015" i="1"/>
  <c r="Z2015" i="1" s="1"/>
  <c r="AU2015" i="1"/>
  <c r="I2015" i="1"/>
  <c r="AV2037" i="1"/>
  <c r="BG2314" i="1"/>
  <c r="AC2314" i="1" s="1"/>
  <c r="J2314" i="1"/>
  <c r="J653" i="1"/>
  <c r="BG653" i="1"/>
  <c r="AC653" i="1" s="1"/>
  <c r="BF670" i="1"/>
  <c r="AB670" i="1" s="1"/>
  <c r="AJ790" i="1"/>
  <c r="AS789" i="1" s="1"/>
  <c r="K789" i="1"/>
  <c r="F51" i="2" s="1"/>
  <c r="I51" i="2" s="1"/>
  <c r="I869" i="1"/>
  <c r="BG869" i="1"/>
  <c r="AE869" i="1" s="1"/>
  <c r="AR916" i="1"/>
  <c r="BG1094" i="1"/>
  <c r="AA1094" i="1" s="1"/>
  <c r="J1094" i="1"/>
  <c r="BG1112" i="1"/>
  <c r="AA1112" i="1" s="1"/>
  <c r="AV1194" i="1"/>
  <c r="BA1194" i="1" s="1"/>
  <c r="BF1206" i="1"/>
  <c r="AB1206" i="1" s="1"/>
  <c r="I1206" i="1"/>
  <c r="AU1206" i="1"/>
  <c r="BG1311" i="1"/>
  <c r="AC1311" i="1" s="1"/>
  <c r="J1311" i="1"/>
  <c r="AU1351" i="1"/>
  <c r="BA1351" i="1" s="1"/>
  <c r="BF1351" i="1"/>
  <c r="AB1351" i="1" s="1"/>
  <c r="AV1418" i="1"/>
  <c r="BG1418" i="1"/>
  <c r="AC1418" i="1" s="1"/>
  <c r="AV1574" i="1"/>
  <c r="BG1574" i="1"/>
  <c r="AA1574" i="1" s="1"/>
  <c r="BA1620" i="1"/>
  <c r="J1647" i="1"/>
  <c r="BG1651" i="1"/>
  <c r="AA1651" i="1" s="1"/>
  <c r="J1651" i="1"/>
  <c r="J1661" i="1"/>
  <c r="AU1663" i="1"/>
  <c r="AU1683" i="1"/>
  <c r="AU1817" i="1"/>
  <c r="AV1819" i="1"/>
  <c r="AT1819" i="1" s="1"/>
  <c r="BG1819" i="1"/>
  <c r="AC1819" i="1" s="1"/>
  <c r="J1819" i="1"/>
  <c r="BG1828" i="1"/>
  <c r="J1920" i="1"/>
  <c r="AV1920" i="1"/>
  <c r="BG2015" i="1"/>
  <c r="AA2015" i="1" s="1"/>
  <c r="J2015" i="1"/>
  <c r="AV2017" i="1"/>
  <c r="J2017" i="1"/>
  <c r="BG2017" i="1"/>
  <c r="AA2017" i="1" s="1"/>
  <c r="BG2019" i="1"/>
  <c r="AA2019" i="1" s="1"/>
  <c r="J2019" i="1"/>
  <c r="AV2019" i="1"/>
  <c r="BD2357" i="1"/>
  <c r="M2356" i="1"/>
  <c r="G121" i="2" s="1"/>
  <c r="AV2749" i="1"/>
  <c r="J2749" i="1"/>
  <c r="J2748" i="1" s="1"/>
  <c r="E143" i="2" s="1"/>
  <c r="BF36" i="1"/>
  <c r="AB36" i="1" s="1"/>
  <c r="AV61" i="1"/>
  <c r="BA61" i="1" s="1"/>
  <c r="J210" i="1"/>
  <c r="AU267" i="1"/>
  <c r="I267" i="1"/>
  <c r="BF1094" i="1"/>
  <c r="Z1094" i="1" s="1"/>
  <c r="BF280" i="1"/>
  <c r="Z280" i="1" s="1"/>
  <c r="BF283" i="1"/>
  <c r="Z283" i="1" s="1"/>
  <c r="I283" i="1"/>
  <c r="AQ366" i="1"/>
  <c r="BG418" i="1"/>
  <c r="AA418" i="1" s="1"/>
  <c r="AV418" i="1"/>
  <c r="J418" i="1"/>
  <c r="K561" i="1"/>
  <c r="F41" i="2" s="1"/>
  <c r="I41" i="2" s="1"/>
  <c r="M575" i="1"/>
  <c r="G42" i="2" s="1"/>
  <c r="BF631" i="1"/>
  <c r="AB631" i="1" s="1"/>
  <c r="K667" i="1"/>
  <c r="F46" i="2" s="1"/>
  <c r="I46" i="2" s="1"/>
  <c r="J863" i="1"/>
  <c r="AV863" i="1"/>
  <c r="AT863" i="1" s="1"/>
  <c r="AR962" i="1"/>
  <c r="BF1187" i="1"/>
  <c r="AB1187" i="1" s="1"/>
  <c r="AU1187" i="1"/>
  <c r="BG1256" i="1"/>
  <c r="AC1256" i="1" s="1"/>
  <c r="J1256" i="1"/>
  <c r="AV1256" i="1"/>
  <c r="BG1281" i="1"/>
  <c r="AC1281" i="1" s="1"/>
  <c r="AV1281" i="1"/>
  <c r="AV1283" i="1"/>
  <c r="BA1283" i="1" s="1"/>
  <c r="J1283" i="1"/>
  <c r="BG1283" i="1"/>
  <c r="AC1283" i="1" s="1"/>
  <c r="J1298" i="1"/>
  <c r="BG1298" i="1"/>
  <c r="AC1298" i="1" s="1"/>
  <c r="AV1298" i="1"/>
  <c r="AT1298" i="1" s="1"/>
  <c r="AV1318" i="1"/>
  <c r="J1318" i="1"/>
  <c r="BG1318" i="1"/>
  <c r="AC1318" i="1" s="1"/>
  <c r="BG1409" i="1"/>
  <c r="AC1409" i="1" s="1"/>
  <c r="AV1409" i="1"/>
  <c r="J1409" i="1"/>
  <c r="AJ1569" i="1"/>
  <c r="AS1568" i="1" s="1"/>
  <c r="BG1606" i="1"/>
  <c r="BG1639" i="1"/>
  <c r="AA1639" i="1" s="1"/>
  <c r="J1639" i="1"/>
  <c r="J1810" i="1"/>
  <c r="BG1810" i="1"/>
  <c r="AC1810" i="1" s="1"/>
  <c r="AV1810" i="1"/>
  <c r="BA1810" i="1" s="1"/>
  <c r="AV1821" i="1"/>
  <c r="BG1821" i="1"/>
  <c r="AC1821" i="1" s="1"/>
  <c r="J1821" i="1"/>
  <c r="AV1846" i="1"/>
  <c r="BG1846" i="1"/>
  <c r="AC1846" i="1" s="1"/>
  <c r="J1846" i="1"/>
  <c r="AV1865" i="1"/>
  <c r="BA1865" i="1" s="1"/>
  <c r="J1865" i="1"/>
  <c r="BG1865" i="1"/>
  <c r="AC1865" i="1" s="1"/>
  <c r="BF1879" i="1"/>
  <c r="AB1879" i="1" s="1"/>
  <c r="I1879" i="1"/>
  <c r="AU1879" i="1"/>
  <c r="BF1902" i="1"/>
  <c r="AB1902" i="1" s="1"/>
  <c r="AU1902" i="1"/>
  <c r="I1902" i="1"/>
  <c r="AV1932" i="1"/>
  <c r="AU1933" i="1"/>
  <c r="I1933" i="1"/>
  <c r="BF1933" i="1"/>
  <c r="AB1933" i="1" s="1"/>
  <c r="BG1934" i="1"/>
  <c r="AC1934" i="1" s="1"/>
  <c r="AV1934" i="1"/>
  <c r="M1948" i="1"/>
  <c r="G98" i="2" s="1"/>
  <c r="J2033" i="1"/>
  <c r="BG2033" i="1"/>
  <c r="AA2033" i="1" s="1"/>
  <c r="K2050" i="1"/>
  <c r="F105" i="2" s="1"/>
  <c r="I105" i="2" s="1"/>
  <c r="BG2079" i="1"/>
  <c r="AC2079" i="1" s="1"/>
  <c r="AV2079" i="1"/>
  <c r="J2079" i="1"/>
  <c r="M2227" i="1"/>
  <c r="G115" i="2" s="1"/>
  <c r="BD2232" i="1"/>
  <c r="BF2246" i="1"/>
  <c r="AB2246" i="1" s="1"/>
  <c r="AU2246" i="1"/>
  <c r="I2246" i="1"/>
  <c r="AV2248" i="1"/>
  <c r="BA2248" i="1" s="1"/>
  <c r="J2248" i="1"/>
  <c r="BG187" i="1"/>
  <c r="AC187" i="1" s="1"/>
  <c r="J187" i="1"/>
  <c r="J186" i="1" s="1"/>
  <c r="E22" i="2" s="1"/>
  <c r="BF490" i="1"/>
  <c r="Z490" i="1" s="1"/>
  <c r="AU490" i="1"/>
  <c r="I490" i="1"/>
  <c r="BG566" i="1"/>
  <c r="AA566" i="1" s="1"/>
  <c r="AV566" i="1"/>
  <c r="BA566" i="1" s="1"/>
  <c r="J566" i="1"/>
  <c r="AU1238" i="1"/>
  <c r="BF1238" i="1"/>
  <c r="AB1238" i="1" s="1"/>
  <c r="I1238" i="1"/>
  <c r="BF1645" i="1"/>
  <c r="Z1645" i="1" s="1"/>
  <c r="AU1645" i="1"/>
  <c r="J1870" i="1"/>
  <c r="BG1870" i="1"/>
  <c r="AC1870" i="1" s="1"/>
  <c r="AV1870" i="1"/>
  <c r="J107" i="1"/>
  <c r="BG107" i="1"/>
  <c r="AA107" i="1" s="1"/>
  <c r="AV269" i="1"/>
  <c r="AV346" i="1"/>
  <c r="AT346" i="1" s="1"/>
  <c r="I1112" i="1"/>
  <c r="AU1112" i="1"/>
  <c r="AV1774" i="1"/>
  <c r="AU57" i="1"/>
  <c r="AV497" i="1"/>
  <c r="BG497" i="1"/>
  <c r="AA497" i="1" s="1"/>
  <c r="J497" i="1"/>
  <c r="AU1240" i="1"/>
  <c r="I1240" i="1"/>
  <c r="BA1250" i="1"/>
  <c r="AT1250" i="1"/>
  <c r="AV1628" i="1"/>
  <c r="BG1628" i="1"/>
  <c r="AA1628" i="1" s="1"/>
  <c r="AV1793" i="1"/>
  <c r="AT1793" i="1" s="1"/>
  <c r="BG1793" i="1"/>
  <c r="AC1793" i="1" s="1"/>
  <c r="J1793" i="1"/>
  <c r="AV80" i="1"/>
  <c r="J536" i="1"/>
  <c r="I641" i="1"/>
  <c r="I1118" i="1"/>
  <c r="BF1118" i="1"/>
  <c r="Z1118" i="1" s="1"/>
  <c r="J1275" i="1"/>
  <c r="J1571" i="1"/>
  <c r="BF1647" i="1"/>
  <c r="Z1647" i="1" s="1"/>
  <c r="J1867" i="1"/>
  <c r="BG1927" i="1"/>
  <c r="AC1927" i="1" s="1"/>
  <c r="BF2014" i="1"/>
  <c r="Z2014" i="1" s="1"/>
  <c r="I2014" i="1"/>
  <c r="BF2019" i="1"/>
  <c r="Z2019" i="1" s="1"/>
  <c r="I2019" i="1"/>
  <c r="AU2019" i="1"/>
  <c r="BG2330" i="1"/>
  <c r="AC2330" i="1" s="1"/>
  <c r="BF2387" i="1"/>
  <c r="Z2387" i="1" s="1"/>
  <c r="I2387" i="1"/>
  <c r="AU2387" i="1"/>
  <c r="J2581" i="1"/>
  <c r="BG2581" i="1"/>
  <c r="I157" i="1"/>
  <c r="AU261" i="1"/>
  <c r="BF261" i="1"/>
  <c r="Z261" i="1" s="1"/>
  <c r="I306" i="1"/>
  <c r="AU348" i="1"/>
  <c r="BG385" i="1"/>
  <c r="AA385" i="1" s="1"/>
  <c r="AU556" i="1"/>
  <c r="I556" i="1"/>
  <c r="BF556" i="1"/>
  <c r="Z556" i="1" s="1"/>
  <c r="AU643" i="1"/>
  <c r="AV981" i="1"/>
  <c r="BG981" i="1"/>
  <c r="AA981" i="1" s="1"/>
  <c r="J981" i="1"/>
  <c r="K1120" i="1"/>
  <c r="F64" i="2" s="1"/>
  <c r="I64" i="2" s="1"/>
  <c r="BD1236" i="1"/>
  <c r="M1235" i="1"/>
  <c r="G67" i="2" s="1"/>
  <c r="AV1242" i="1"/>
  <c r="BG1242" i="1"/>
  <c r="AC1242" i="1" s="1"/>
  <c r="AU1291" i="1"/>
  <c r="AU1293" i="1"/>
  <c r="I1293" i="1"/>
  <c r="BF1661" i="1"/>
  <c r="Z1661" i="1" s="1"/>
  <c r="BG1718" i="1"/>
  <c r="AA1718" i="1" s="1"/>
  <c r="J1718" i="1"/>
  <c r="J1717" i="1" s="1"/>
  <c r="E86" i="2" s="1"/>
  <c r="AV1735" i="1"/>
  <c r="BG1735" i="1"/>
  <c r="AA1735" i="1" s="1"/>
  <c r="AU1831" i="1"/>
  <c r="BG1909" i="1"/>
  <c r="AV1909" i="1"/>
  <c r="AT1909" i="1" s="1"/>
  <c r="BG2503" i="1"/>
  <c r="AE2503" i="1" s="1"/>
  <c r="AV2503" i="1"/>
  <c r="BF2543" i="1"/>
  <c r="Z2543" i="1" s="1"/>
  <c r="I2543" i="1"/>
  <c r="AU2656" i="1"/>
  <c r="I2656" i="1"/>
  <c r="BF2656" i="1"/>
  <c r="Z2656" i="1" s="1"/>
  <c r="I2754" i="1"/>
  <c r="BF2754" i="1"/>
  <c r="AB2754" i="1" s="1"/>
  <c r="AU2754" i="1"/>
  <c r="BA2754" i="1" s="1"/>
  <c r="BG306" i="1"/>
  <c r="AA306" i="1" s="1"/>
  <c r="I43" i="1"/>
  <c r="AR102" i="1"/>
  <c r="J373" i="1"/>
  <c r="J432" i="1"/>
  <c r="AV432" i="1"/>
  <c r="AT432" i="1" s="1"/>
  <c r="BF610" i="1"/>
  <c r="AB610" i="1" s="1"/>
  <c r="AU610" i="1"/>
  <c r="BG730" i="1"/>
  <c r="AC730" i="1" s="1"/>
  <c r="J730" i="1"/>
  <c r="AV730" i="1"/>
  <c r="BF1256" i="1"/>
  <c r="AB1256" i="1" s="1"/>
  <c r="I1256" i="1"/>
  <c r="AU1256" i="1"/>
  <c r="AU1318" i="1"/>
  <c r="BF1318" i="1"/>
  <c r="AB1318" i="1" s="1"/>
  <c r="AV1808" i="1"/>
  <c r="BG1808" i="1"/>
  <c r="AC1808" i="1" s="1"/>
  <c r="BF1820" i="1"/>
  <c r="AB1820" i="1" s="1"/>
  <c r="AU1934" i="1"/>
  <c r="BF1934" i="1"/>
  <c r="AB1934" i="1" s="1"/>
  <c r="I1934" i="1"/>
  <c r="AU2485" i="1"/>
  <c r="BF2485" i="1"/>
  <c r="AD2485" i="1" s="1"/>
  <c r="BG2487" i="1"/>
  <c r="AE2487" i="1" s="1"/>
  <c r="J2487" i="1"/>
  <c r="AV2611" i="1"/>
  <c r="BG2611" i="1"/>
  <c r="AE2611" i="1" s="1"/>
  <c r="J2611" i="1"/>
  <c r="AU97" i="1"/>
  <c r="AV267" i="1"/>
  <c r="BG280" i="1"/>
  <c r="AA280" i="1" s="1"/>
  <c r="AR343" i="1"/>
  <c r="AR366" i="1"/>
  <c r="BF380" i="1"/>
  <c r="Z380" i="1" s="1"/>
  <c r="AU380" i="1"/>
  <c r="AU635" i="1"/>
  <c r="AU639" i="1"/>
  <c r="I639" i="1"/>
  <c r="AV879" i="1"/>
  <c r="BF886" i="1"/>
  <c r="Z886" i="1" s="1"/>
  <c r="I886" i="1"/>
  <c r="AU1064" i="1"/>
  <c r="BF1064" i="1"/>
  <c r="Z1064" i="1" s="1"/>
  <c r="AQ1079" i="1"/>
  <c r="BG1187" i="1"/>
  <c r="AC1187" i="1" s="1"/>
  <c r="J1187" i="1"/>
  <c r="AV1187" i="1"/>
  <c r="AQ1235" i="1"/>
  <c r="BF1397" i="1"/>
  <c r="AB1397" i="1" s="1"/>
  <c r="I1397" i="1"/>
  <c r="M1515" i="1"/>
  <c r="G77" i="2" s="1"/>
  <c r="AU1601" i="1"/>
  <c r="I1601" i="1"/>
  <c r="AU1639" i="1"/>
  <c r="K1737" i="1"/>
  <c r="F88" i="2" s="1"/>
  <c r="I88" i="2" s="1"/>
  <c r="AV1896" i="1"/>
  <c r="J1896" i="1"/>
  <c r="BG1896" i="1"/>
  <c r="AC1896" i="1" s="1"/>
  <c r="BG1902" i="1"/>
  <c r="AC1902" i="1" s="1"/>
  <c r="J1902" i="1"/>
  <c r="AV1902" i="1"/>
  <c r="AV1914" i="1"/>
  <c r="BA1914" i="1" s="1"/>
  <c r="BG1914" i="1"/>
  <c r="AC1914" i="1" s="1"/>
  <c r="J1914" i="1"/>
  <c r="AV1933" i="1"/>
  <c r="BG1933" i="1"/>
  <c r="AC1933" i="1" s="1"/>
  <c r="J1933" i="1"/>
  <c r="BF1936" i="1"/>
  <c r="I1936" i="1"/>
  <c r="AU1936" i="1"/>
  <c r="BF2114" i="1"/>
  <c r="AB2114" i="1" s="1"/>
  <c r="I2114" i="1"/>
  <c r="AU2114" i="1"/>
  <c r="AV2205" i="1"/>
  <c r="BA2205" i="1" s="1"/>
  <c r="BG2205" i="1"/>
  <c r="AA2205" i="1" s="1"/>
  <c r="J2205" i="1"/>
  <c r="M13" i="1"/>
  <c r="G12" i="2" s="1"/>
  <c r="M22" i="1"/>
  <c r="G13" i="2" s="1"/>
  <c r="AJ106" i="1"/>
  <c r="AU182" i="1"/>
  <c r="AU283" i="1"/>
  <c r="BD344" i="1"/>
  <c r="AS359" i="1"/>
  <c r="J379" i="1"/>
  <c r="E33" i="2" s="1"/>
  <c r="BG432" i="1"/>
  <c r="AA432" i="1" s="1"/>
  <c r="I665" i="1"/>
  <c r="AV747" i="1"/>
  <c r="J768" i="1"/>
  <c r="M859" i="1"/>
  <c r="G55" i="2" s="1"/>
  <c r="BD860" i="1"/>
  <c r="J879" i="1"/>
  <c r="BA933" i="1"/>
  <c r="AQ962" i="1"/>
  <c r="AR1235" i="1"/>
  <c r="K1408" i="1"/>
  <c r="F74" i="2" s="1"/>
  <c r="I74" i="2" s="1"/>
  <c r="AU1409" i="1"/>
  <c r="AV1412" i="1"/>
  <c r="AT1412" i="1" s="1"/>
  <c r="BG1412" i="1"/>
  <c r="AC1412" i="1" s="1"/>
  <c r="J1412" i="1"/>
  <c r="AU1611" i="1"/>
  <c r="AV1639" i="1"/>
  <c r="AU1673" i="1"/>
  <c r="BF1673" i="1"/>
  <c r="Z1673" i="1" s="1"/>
  <c r="BF1675" i="1"/>
  <c r="Z1675" i="1" s="1"/>
  <c r="I1675" i="1"/>
  <c r="AU1675" i="1"/>
  <c r="J1814" i="1"/>
  <c r="BG1814" i="1"/>
  <c r="AC1814" i="1" s="1"/>
  <c r="AV1814" i="1"/>
  <c r="AU1896" i="1"/>
  <c r="AT1896" i="1" s="1"/>
  <c r="AU1904" i="1"/>
  <c r="I1904" i="1"/>
  <c r="J1932" i="1"/>
  <c r="AV1936" i="1"/>
  <c r="BG1936" i="1"/>
  <c r="J1936" i="1"/>
  <c r="I1997" i="1"/>
  <c r="AV2033" i="1"/>
  <c r="AV2061" i="1"/>
  <c r="BG2061" i="1"/>
  <c r="AC2061" i="1" s="1"/>
  <c r="J2061" i="1"/>
  <c r="I2091" i="1"/>
  <c r="BF33" i="1"/>
  <c r="AB33" i="1" s="1"/>
  <c r="I33" i="1"/>
  <c r="I32" i="1" s="1"/>
  <c r="D14" i="2" s="1"/>
  <c r="AU33" i="1"/>
  <c r="BF163" i="1"/>
  <c r="I163" i="1"/>
  <c r="BF271" i="1"/>
  <c r="Z271" i="1" s="1"/>
  <c r="I271" i="1"/>
  <c r="BG890" i="1"/>
  <c r="AA890" i="1" s="1"/>
  <c r="J890" i="1"/>
  <c r="AV890" i="1"/>
  <c r="AU1275" i="1"/>
  <c r="I1275" i="1"/>
  <c r="BF1275" i="1"/>
  <c r="AB1275" i="1" s="1"/>
  <c r="I411" i="1"/>
  <c r="BF411" i="1"/>
  <c r="Z411" i="1" s="1"/>
  <c r="AU497" i="1"/>
  <c r="BF497" i="1"/>
  <c r="Z497" i="1" s="1"/>
  <c r="I497" i="1"/>
  <c r="AV865" i="1"/>
  <c r="AV972" i="1"/>
  <c r="BA972" i="1" s="1"/>
  <c r="J972" i="1"/>
  <c r="AV1729" i="1"/>
  <c r="AT1729" i="1" s="1"/>
  <c r="BG1729" i="1"/>
  <c r="AA1729" i="1" s="1"/>
  <c r="AU2376" i="1"/>
  <c r="I2376" i="1"/>
  <c r="I2375" i="1" s="1"/>
  <c r="D124" i="2" s="1"/>
  <c r="BF2376" i="1"/>
  <c r="Z2376" i="1" s="1"/>
  <c r="BG2411" i="1"/>
  <c r="AC2411" i="1" s="1"/>
  <c r="AV2411" i="1"/>
  <c r="J2411" i="1"/>
  <c r="AU2680" i="1"/>
  <c r="I2680" i="1"/>
  <c r="BF2680" i="1"/>
  <c r="AD2680" i="1" s="1"/>
  <c r="BF2718" i="1"/>
  <c r="Z2718" i="1" s="1"/>
  <c r="AU2718" i="1"/>
  <c r="I2718" i="1"/>
  <c r="BG2720" i="1"/>
  <c r="AA2720" i="1" s="1"/>
  <c r="AV2720" i="1"/>
  <c r="AT2720" i="1" s="1"/>
  <c r="J2720" i="1"/>
  <c r="BF251" i="1"/>
  <c r="Z251" i="1" s="1"/>
  <c r="AU251" i="1"/>
  <c r="AV1110" i="1"/>
  <c r="BF1157" i="1"/>
  <c r="I1157" i="1"/>
  <c r="AU1157" i="1"/>
  <c r="BA1157" i="1" s="1"/>
  <c r="J1708" i="1"/>
  <c r="AV1708" i="1"/>
  <c r="BG1708" i="1"/>
  <c r="AA1708" i="1" s="1"/>
  <c r="BF1751" i="1"/>
  <c r="AB1751" i="1" s="1"/>
  <c r="I1751" i="1"/>
  <c r="AU1751" i="1"/>
  <c r="BA1751" i="1" s="1"/>
  <c r="AU1852" i="1"/>
  <c r="BG1917" i="1"/>
  <c r="AC1917" i="1" s="1"/>
  <c r="J1917" i="1"/>
  <c r="AU1927" i="1"/>
  <c r="BA1927" i="1" s="1"/>
  <c r="AV1966" i="1"/>
  <c r="BA1966" i="1" s="1"/>
  <c r="BG1966" i="1"/>
  <c r="AA1966" i="1" s="1"/>
  <c r="J1966" i="1"/>
  <c r="BG2360" i="1"/>
  <c r="J2360" i="1"/>
  <c r="AU2648" i="1"/>
  <c r="BF2648" i="1"/>
  <c r="I2648" i="1"/>
  <c r="AV57" i="1"/>
  <c r="J26" i="1"/>
  <c r="I57" i="1"/>
  <c r="J400" i="1"/>
  <c r="AR748" i="1"/>
  <c r="BF912" i="1"/>
  <c r="Z912" i="1" s="1"/>
  <c r="I912" i="1"/>
  <c r="I1261" i="1"/>
  <c r="AU1415" i="1"/>
  <c r="J1729" i="1"/>
  <c r="BG1774" i="1"/>
  <c r="AC1774" i="1" s="1"/>
  <c r="BF1793" i="1"/>
  <c r="AB1793" i="1" s="1"/>
  <c r="AV1917" i="1"/>
  <c r="BG1928" i="1"/>
  <c r="AC1928" i="1" s="1"/>
  <c r="J1928" i="1"/>
  <c r="AV1992" i="1"/>
  <c r="BG1992" i="1"/>
  <c r="AA1992" i="1" s="1"/>
  <c r="AU2068" i="1"/>
  <c r="BF2068" i="1"/>
  <c r="AB2068" i="1" s="1"/>
  <c r="AV2332" i="1"/>
  <c r="BG2332" i="1"/>
  <c r="AC2332" i="1" s="1"/>
  <c r="J2332" i="1"/>
  <c r="BF2745" i="1"/>
  <c r="AD2745" i="1" s="1"/>
  <c r="AU2745" i="1"/>
  <c r="I2745" i="1"/>
  <c r="J306" i="1"/>
  <c r="BF322" i="1"/>
  <c r="Z322" i="1" s="1"/>
  <c r="AR359" i="1"/>
  <c r="BF418" i="1"/>
  <c r="Z418" i="1" s="1"/>
  <c r="AU418" i="1"/>
  <c r="BF525" i="1"/>
  <c r="Z525" i="1" s="1"/>
  <c r="I525" i="1"/>
  <c r="AU525" i="1"/>
  <c r="AU879" i="1"/>
  <c r="I879" i="1"/>
  <c r="BG1610" i="1"/>
  <c r="AA1610" i="1" s="1"/>
  <c r="J1610" i="1"/>
  <c r="I1692" i="1"/>
  <c r="AU1692" i="1"/>
  <c r="BG1725" i="1"/>
  <c r="AA1725" i="1" s="1"/>
  <c r="AV1725" i="1"/>
  <c r="BA1725" i="1" s="1"/>
  <c r="J1725" i="1"/>
  <c r="BF1810" i="1"/>
  <c r="AB1810" i="1" s="1"/>
  <c r="I1810" i="1"/>
  <c r="I1865" i="1"/>
  <c r="BF1865" i="1"/>
  <c r="AB1865" i="1" s="1"/>
  <c r="I1978" i="1"/>
  <c r="AU1978" i="1"/>
  <c r="BF1978" i="1"/>
  <c r="Z1978" i="1" s="1"/>
  <c r="BF2113" i="1"/>
  <c r="AB2113" i="1" s="1"/>
  <c r="I2113" i="1"/>
  <c r="AV2156" i="1"/>
  <c r="J2156" i="1"/>
  <c r="BG2156" i="1"/>
  <c r="AA2156" i="1" s="1"/>
  <c r="AJ2177" i="1"/>
  <c r="AS2176" i="1" s="1"/>
  <c r="K2176" i="1"/>
  <c r="F111" i="2" s="1"/>
  <c r="I111" i="2" s="1"/>
  <c r="BG2489" i="1"/>
  <c r="AE2489" i="1" s="1"/>
  <c r="J2489" i="1"/>
  <c r="AV2489" i="1"/>
  <c r="BA2489" i="1" s="1"/>
  <c r="BG2712" i="1"/>
  <c r="AA2712" i="1" s="1"/>
  <c r="J2712" i="1"/>
  <c r="AV2712" i="1"/>
  <c r="AU202" i="1"/>
  <c r="BF202" i="1"/>
  <c r="AB202" i="1" s="1"/>
  <c r="AV2460" i="1"/>
  <c r="AV2462" i="1"/>
  <c r="BG2462" i="1"/>
  <c r="AA2462" i="1" s="1"/>
  <c r="J2462" i="1"/>
  <c r="AV2485" i="1"/>
  <c r="J2485" i="1"/>
  <c r="BG2485" i="1"/>
  <c r="AE2485" i="1" s="1"/>
  <c r="BF2554" i="1"/>
  <c r="Z2554" i="1" s="1"/>
  <c r="I2554" i="1"/>
  <c r="I154" i="1"/>
  <c r="AU154" i="1"/>
  <c r="AT154" i="1" s="1"/>
  <c r="BF187" i="1"/>
  <c r="AB187" i="1" s="1"/>
  <c r="I187" i="1"/>
  <c r="I186" i="1" s="1"/>
  <c r="D22" i="2" s="1"/>
  <c r="I202" i="1"/>
  <c r="I201" i="1" s="1"/>
  <c r="D26" i="2" s="1"/>
  <c r="BF267" i="1"/>
  <c r="Z267" i="1" s="1"/>
  <c r="BG282" i="1"/>
  <c r="AA282" i="1" s="1"/>
  <c r="AT352" i="1"/>
  <c r="BF382" i="1"/>
  <c r="Z382" i="1" s="1"/>
  <c r="I382" i="1"/>
  <c r="I379" i="1" s="1"/>
  <c r="D33" i="2" s="1"/>
  <c r="AU382" i="1"/>
  <c r="I409" i="1"/>
  <c r="AV422" i="1"/>
  <c r="J422" i="1"/>
  <c r="J665" i="1"/>
  <c r="AQ748" i="1"/>
  <c r="AU886" i="1"/>
  <c r="AU890" i="1"/>
  <c r="I890" i="1"/>
  <c r="I1080" i="1"/>
  <c r="BF1080" i="1"/>
  <c r="Z1080" i="1" s="1"/>
  <c r="AU1080" i="1"/>
  <c r="AV1228" i="1"/>
  <c r="J1281" i="1"/>
  <c r="BF1298" i="1"/>
  <c r="AB1298" i="1" s="1"/>
  <c r="AU1397" i="1"/>
  <c r="I1409" i="1"/>
  <c r="I1611" i="1"/>
  <c r="AV1673" i="1"/>
  <c r="BG1673" i="1"/>
  <c r="AA1673" i="1" s="1"/>
  <c r="J1673" i="1"/>
  <c r="AV1705" i="1"/>
  <c r="BG1705" i="1"/>
  <c r="AA1705" i="1" s="1"/>
  <c r="AV1740" i="1"/>
  <c r="BF1815" i="1"/>
  <c r="AB1815" i="1" s="1"/>
  <c r="AU1815" i="1"/>
  <c r="AJ1841" i="1"/>
  <c r="AS1830" i="1" s="1"/>
  <c r="K1830" i="1"/>
  <c r="F92" i="2" s="1"/>
  <c r="I92" i="2" s="1"/>
  <c r="BF1869" i="1"/>
  <c r="AB1869" i="1" s="1"/>
  <c r="AU1869" i="1"/>
  <c r="AU1870" i="1"/>
  <c r="BF1870" i="1"/>
  <c r="AB1870" i="1" s="1"/>
  <c r="I1870" i="1"/>
  <c r="BG1879" i="1"/>
  <c r="AC1879" i="1" s="1"/>
  <c r="J1904" i="1"/>
  <c r="AV1904" i="1"/>
  <c r="BF1982" i="1"/>
  <c r="Z1982" i="1" s="1"/>
  <c r="AU1982" i="1"/>
  <c r="J2081" i="1"/>
  <c r="AV2081" i="1"/>
  <c r="AT2081" i="1" s="1"/>
  <c r="BG2081" i="1"/>
  <c r="AC2081" i="1" s="1"/>
  <c r="J2182" i="1"/>
  <c r="BG2248" i="1"/>
  <c r="AC2248" i="1" s="1"/>
  <c r="BG2460" i="1"/>
  <c r="AE2460" i="1" s="1"/>
  <c r="AV1699" i="1"/>
  <c r="BG1699" i="1"/>
  <c r="AA1699" i="1" s="1"/>
  <c r="AV1762" i="1"/>
  <c r="BG1762" i="1"/>
  <c r="AC1762" i="1" s="1"/>
  <c r="J1762" i="1"/>
  <c r="AU1784" i="1"/>
  <c r="I1784" i="1"/>
  <c r="BF1784" i="1"/>
  <c r="AB1784" i="1" s="1"/>
  <c r="AV1858" i="1"/>
  <c r="J1858" i="1"/>
  <c r="AV1886" i="1"/>
  <c r="BG1886" i="1"/>
  <c r="AC1886" i="1" s="1"/>
  <c r="BG2023" i="1"/>
  <c r="AA2023" i="1" s="1"/>
  <c r="AV2023" i="1"/>
  <c r="J2023" i="1"/>
  <c r="BF2097" i="1"/>
  <c r="AB2097" i="1" s="1"/>
  <c r="I2097" i="1"/>
  <c r="J2130" i="1"/>
  <c r="BG2130" i="1"/>
  <c r="AC2130" i="1" s="1"/>
  <c r="BF2131" i="1"/>
  <c r="AB2131" i="1" s="1"/>
  <c r="I2131" i="1"/>
  <c r="AU2131" i="1"/>
  <c r="BA2131" i="1" s="1"/>
  <c r="AU2139" i="1"/>
  <c r="BF2139" i="1"/>
  <c r="AB2139" i="1" s="1"/>
  <c r="AV2210" i="1"/>
  <c r="J2210" i="1"/>
  <c r="BG2210" i="1"/>
  <c r="AC2210" i="1" s="1"/>
  <c r="AU2226" i="1"/>
  <c r="BF2226" i="1"/>
  <c r="AB2226" i="1" s="1"/>
  <c r="I2226" i="1"/>
  <c r="AU2228" i="1"/>
  <c r="BF2228" i="1"/>
  <c r="AB2228" i="1" s="1"/>
  <c r="AU2307" i="1"/>
  <c r="BF2307" i="1"/>
  <c r="AB2307" i="1" s="1"/>
  <c r="I2307" i="1"/>
  <c r="BG2387" i="1"/>
  <c r="AA2387" i="1" s="1"/>
  <c r="AV2387" i="1"/>
  <c r="J2387" i="1"/>
  <c r="BG2554" i="1"/>
  <c r="AA2554" i="1" s="1"/>
  <c r="J2554" i="1"/>
  <c r="BG2589" i="1"/>
  <c r="AA2589" i="1" s="1"/>
  <c r="J2589" i="1"/>
  <c r="AV2589" i="1"/>
  <c r="M102" i="1"/>
  <c r="G17" i="2" s="1"/>
  <c r="AQ343" i="1"/>
  <c r="K359" i="1"/>
  <c r="F31" i="2" s="1"/>
  <c r="I31" i="2" s="1"/>
  <c r="AQ532" i="1"/>
  <c r="AR667" i="1"/>
  <c r="AR1120" i="1"/>
  <c r="BF1211" i="1"/>
  <c r="AB1211" i="1" s="1"/>
  <c r="AU1211" i="1"/>
  <c r="K1235" i="1"/>
  <c r="F67" i="2" s="1"/>
  <c r="I67" i="2" s="1"/>
  <c r="M1417" i="1"/>
  <c r="G75" i="2" s="1"/>
  <c r="BD1418" i="1"/>
  <c r="AQ1636" i="1"/>
  <c r="AR1845" i="1"/>
  <c r="AU1907" i="1"/>
  <c r="I1907" i="1"/>
  <c r="BG1969" i="1"/>
  <c r="AA1969" i="1" s="1"/>
  <c r="AV1969" i="1"/>
  <c r="AT1969" i="1" s="1"/>
  <c r="AV2130" i="1"/>
  <c r="BF2134" i="1"/>
  <c r="AB2134" i="1" s="1"/>
  <c r="I2134" i="1"/>
  <c r="BF2194" i="1"/>
  <c r="Z2194" i="1" s="1"/>
  <c r="AU2194" i="1"/>
  <c r="BA2194" i="1" s="1"/>
  <c r="AV2226" i="1"/>
  <c r="BG2226" i="1"/>
  <c r="AC2226" i="1" s="1"/>
  <c r="J2226" i="1"/>
  <c r="AV2554" i="1"/>
  <c r="BG2739" i="1"/>
  <c r="AA2739" i="1" s="1"/>
  <c r="J2739" i="1"/>
  <c r="AV2739" i="1"/>
  <c r="BF657" i="1"/>
  <c r="AB657" i="1" s="1"/>
  <c r="AV670" i="1"/>
  <c r="J670" i="1"/>
  <c r="J667" i="1" s="1"/>
  <c r="E46" i="2" s="1"/>
  <c r="I730" i="1"/>
  <c r="AU743" i="1"/>
  <c r="BA743" i="1" s="1"/>
  <c r="BF743" i="1"/>
  <c r="AB743" i="1" s="1"/>
  <c r="K748" i="1"/>
  <c r="F50" i="2" s="1"/>
  <c r="I50" i="2" s="1"/>
  <c r="AR872" i="1"/>
  <c r="BF1100" i="1"/>
  <c r="Z1100" i="1" s="1"/>
  <c r="BG1118" i="1"/>
  <c r="AA1118" i="1" s="1"/>
  <c r="BG1320" i="1"/>
  <c r="AC1320" i="1" s="1"/>
  <c r="AV1320" i="1"/>
  <c r="J1351" i="1"/>
  <c r="J1611" i="1"/>
  <c r="J1645" i="1"/>
  <c r="AU1657" i="1"/>
  <c r="BF1657" i="1"/>
  <c r="Z1657" i="1" s="1"/>
  <c r="J1665" i="1"/>
  <c r="BG1665" i="1"/>
  <c r="AA1665" i="1" s="1"/>
  <c r="J1675" i="1"/>
  <c r="BG1679" i="1"/>
  <c r="AA1679" i="1" s="1"/>
  <c r="AV1679" i="1"/>
  <c r="I1749" i="1"/>
  <c r="AU1768" i="1"/>
  <c r="AT1768" i="1" s="1"/>
  <c r="BF1768" i="1"/>
  <c r="AB1768" i="1" s="1"/>
  <c r="BF1786" i="1"/>
  <c r="AB1786" i="1" s="1"/>
  <c r="J1869" i="1"/>
  <c r="AU1924" i="1"/>
  <c r="AT1924" i="1" s="1"/>
  <c r="BF1924" i="1"/>
  <c r="AB1924" i="1" s="1"/>
  <c r="I1924" i="1"/>
  <c r="AU1930" i="1"/>
  <c r="BF1930" i="1"/>
  <c r="AB1930" i="1" s="1"/>
  <c r="AV1941" i="1"/>
  <c r="BG1941" i="1"/>
  <c r="AA1941" i="1" s="1"/>
  <c r="I1969" i="1"/>
  <c r="BF1969" i="1"/>
  <c r="Z1969" i="1" s="1"/>
  <c r="AV1986" i="1"/>
  <c r="J1986" i="1"/>
  <c r="BG2006" i="1"/>
  <c r="AA2006" i="1" s="1"/>
  <c r="AV2006" i="1"/>
  <c r="BF2010" i="1"/>
  <c r="Z2010" i="1" s="1"/>
  <c r="I2010" i="1"/>
  <c r="AU2051" i="1"/>
  <c r="I2051" i="1"/>
  <c r="I2142" i="1"/>
  <c r="AU2142" i="1"/>
  <c r="AU2232" i="1"/>
  <c r="I2232" i="1"/>
  <c r="AQ2234" i="1"/>
  <c r="AV2252" i="1"/>
  <c r="BG2252" i="1"/>
  <c r="AC2252" i="1" s="1"/>
  <c r="BG2593" i="1"/>
  <c r="AA2593" i="1" s="1"/>
  <c r="J2593" i="1"/>
  <c r="I2654" i="1"/>
  <c r="AU2694" i="1"/>
  <c r="BF2694" i="1"/>
  <c r="AD2694" i="1" s="1"/>
  <c r="I2694" i="1"/>
  <c r="BG2695" i="1"/>
  <c r="AE2695" i="1" s="1"/>
  <c r="J2695" i="1"/>
  <c r="AV2697" i="1"/>
  <c r="J2743" i="1"/>
  <c r="AV2743" i="1"/>
  <c r="BG2135" i="1"/>
  <c r="AC2135" i="1" s="1"/>
  <c r="AV2135" i="1"/>
  <c r="AU2198" i="1"/>
  <c r="BF2198" i="1"/>
  <c r="Z2198" i="1" s="1"/>
  <c r="AU2252" i="1"/>
  <c r="BF2252" i="1"/>
  <c r="AB2252" i="1" s="1"/>
  <c r="J2439" i="1"/>
  <c r="AV2439" i="1"/>
  <c r="BA2439" i="1" s="1"/>
  <c r="BG2439" i="1"/>
  <c r="AE2439" i="1" s="1"/>
  <c r="BG2535" i="1"/>
  <c r="AA2535" i="1" s="1"/>
  <c r="AV2535" i="1"/>
  <c r="BA2535" i="1" s="1"/>
  <c r="J2575" i="1"/>
  <c r="AV2575" i="1"/>
  <c r="BG2575" i="1"/>
  <c r="BF2577" i="1"/>
  <c r="I2577" i="1"/>
  <c r="AU2577" i="1"/>
  <c r="AU2593" i="1"/>
  <c r="BA2593" i="1" s="1"/>
  <c r="BF2593" i="1"/>
  <c r="Z2593" i="1" s="1"/>
  <c r="BG2656" i="1"/>
  <c r="AA2656" i="1" s="1"/>
  <c r="AV2656" i="1"/>
  <c r="J2656" i="1"/>
  <c r="AU50" i="1"/>
  <c r="AT50" i="1" s="1"/>
  <c r="BF50" i="1"/>
  <c r="Z50" i="1" s="1"/>
  <c r="AQ192" i="1"/>
  <c r="BG404" i="1"/>
  <c r="AA404" i="1" s="1"/>
  <c r="J404" i="1"/>
  <c r="K628" i="1"/>
  <c r="F44" i="2" s="1"/>
  <c r="I44" i="2" s="1"/>
  <c r="AQ22" i="1"/>
  <c r="I50" i="1"/>
  <c r="I230" i="1"/>
  <c r="J271" i="1"/>
  <c r="BG283" i="1"/>
  <c r="AA283" i="1" s="1"/>
  <c r="AV344" i="1"/>
  <c r="I360" i="1"/>
  <c r="AQ384" i="1"/>
  <c r="BG460" i="1"/>
  <c r="AA460" i="1" s="1"/>
  <c r="J460" i="1"/>
  <c r="AV533" i="1"/>
  <c r="AT533" i="1" s="1"/>
  <c r="J533" i="1"/>
  <c r="I599" i="1"/>
  <c r="AV639" i="1"/>
  <c r="I657" i="1"/>
  <c r="AV857" i="1"/>
  <c r="J857" i="1"/>
  <c r="BG1046" i="1"/>
  <c r="AA1046" i="1" s="1"/>
  <c r="J1046" i="1"/>
  <c r="I1100" i="1"/>
  <c r="J1118" i="1"/>
  <c r="J1250" i="1"/>
  <c r="BG1250" i="1"/>
  <c r="AC1250" i="1" s="1"/>
  <c r="BA1269" i="1"/>
  <c r="BG1351" i="1"/>
  <c r="AC1351" i="1" s="1"/>
  <c r="I1458" i="1"/>
  <c r="AV1657" i="1"/>
  <c r="J1657" i="1"/>
  <c r="J1707" i="1"/>
  <c r="BF1725" i="1"/>
  <c r="Z1725" i="1" s="1"/>
  <c r="J1749" i="1"/>
  <c r="BG1749" i="1"/>
  <c r="AC1749" i="1" s="1"/>
  <c r="BG1768" i="1"/>
  <c r="AC1768" i="1" s="1"/>
  <c r="J1768" i="1"/>
  <c r="I1786" i="1"/>
  <c r="AU1874" i="1"/>
  <c r="I1874" i="1"/>
  <c r="BF1874" i="1"/>
  <c r="AB1874" i="1" s="1"/>
  <c r="BF1907" i="1"/>
  <c r="AB1907" i="1" s="1"/>
  <c r="J1908" i="1"/>
  <c r="AV1908" i="1"/>
  <c r="BG1924" i="1"/>
  <c r="AC1924" i="1" s="1"/>
  <c r="J1924" i="1"/>
  <c r="BG1929" i="1"/>
  <c r="AC1929" i="1" s="1"/>
  <c r="J1929" i="1"/>
  <c r="AQ1964" i="1"/>
  <c r="J1969" i="1"/>
  <c r="AV2048" i="1"/>
  <c r="BG2048" i="1"/>
  <c r="AA2048" i="1" s="1"/>
  <c r="J2048" i="1"/>
  <c r="BG2068" i="1"/>
  <c r="AC2068" i="1" s="1"/>
  <c r="BF2101" i="1"/>
  <c r="AB2101" i="1" s="1"/>
  <c r="I2101" i="1"/>
  <c r="AU2101" i="1"/>
  <c r="I2139" i="1"/>
  <c r="BG2141" i="1"/>
  <c r="AC2141" i="1" s="1"/>
  <c r="J2141" i="1"/>
  <c r="AR2155" i="1"/>
  <c r="I2194" i="1"/>
  <c r="AU2237" i="1"/>
  <c r="BF2237" i="1"/>
  <c r="AB2237" i="1" s="1"/>
  <c r="I2237" i="1"/>
  <c r="BF2349" i="1"/>
  <c r="AB2349" i="1" s="1"/>
  <c r="AU2349" i="1"/>
  <c r="AT2349" i="1" s="1"/>
  <c r="I2349" i="1"/>
  <c r="BF2579" i="1"/>
  <c r="I2579" i="1"/>
  <c r="AU2579" i="1"/>
  <c r="BF2616" i="1"/>
  <c r="AD2616" i="1" s="1"/>
  <c r="I2616" i="1"/>
  <c r="BF2654" i="1"/>
  <c r="Z2654" i="1" s="1"/>
  <c r="BF1986" i="1"/>
  <c r="Z1986" i="1" s="1"/>
  <c r="AU1986" i="1"/>
  <c r="BG2028" i="1"/>
  <c r="AA2028" i="1" s="1"/>
  <c r="AV2028" i="1"/>
  <c r="J2028" i="1"/>
  <c r="BG2114" i="1"/>
  <c r="AC2114" i="1" s="1"/>
  <c r="AV2114" i="1"/>
  <c r="AQ35" i="1"/>
  <c r="AR22" i="1"/>
  <c r="I177" i="1"/>
  <c r="AU177" i="1"/>
  <c r="AV382" i="1"/>
  <c r="AQ427" i="1"/>
  <c r="AV562" i="1"/>
  <c r="BA562" i="1" s="1"/>
  <c r="J562" i="1"/>
  <c r="AU588" i="1"/>
  <c r="J639" i="1"/>
  <c r="AS667" i="1"/>
  <c r="AU732" i="1"/>
  <c r="BF732" i="1"/>
  <c r="BF834" i="1"/>
  <c r="Z834" i="1" s="1"/>
  <c r="I834" i="1"/>
  <c r="I833" i="1" s="1"/>
  <c r="D53" i="2" s="1"/>
  <c r="AR844" i="1"/>
  <c r="AT960" i="1"/>
  <c r="BG1171" i="1"/>
  <c r="AC1171" i="1" s="1"/>
  <c r="J1171" i="1"/>
  <c r="I1211" i="1"/>
  <c r="AU1471" i="1"/>
  <c r="AT1471" i="1" s="1"/>
  <c r="I1471" i="1"/>
  <c r="BF1542" i="1"/>
  <c r="AB1542" i="1" s="1"/>
  <c r="AU1542" i="1"/>
  <c r="BA1542" i="1" s="1"/>
  <c r="M1608" i="1"/>
  <c r="G83" i="2" s="1"/>
  <c r="BA1624" i="1"/>
  <c r="AT1624" i="1"/>
  <c r="BG1655" i="1"/>
  <c r="AA1655" i="1" s="1"/>
  <c r="AQ1737" i="1"/>
  <c r="BG1790" i="1"/>
  <c r="AC1790" i="1" s="1"/>
  <c r="AV1790" i="1"/>
  <c r="AU1823" i="1"/>
  <c r="BF1823" i="1"/>
  <c r="AB1823" i="1" s="1"/>
  <c r="I1823" i="1"/>
  <c r="BF1892" i="1"/>
  <c r="AB1892" i="1" s="1"/>
  <c r="I1892" i="1"/>
  <c r="AR1964" i="1"/>
  <c r="I1986" i="1"/>
  <c r="BG2101" i="1"/>
  <c r="AC2101" i="1" s="1"/>
  <c r="AV2101" i="1"/>
  <c r="AU2143" i="1"/>
  <c r="BA2143" i="1" s="1"/>
  <c r="I2143" i="1"/>
  <c r="BF2143" i="1"/>
  <c r="AB2143" i="1" s="1"/>
  <c r="M2168" i="1"/>
  <c r="G109" i="2" s="1"/>
  <c r="AV2352" i="1"/>
  <c r="J2352" i="1"/>
  <c r="BG2352" i="1"/>
  <c r="AA2352" i="1" s="1"/>
  <c r="AV2537" i="1"/>
  <c r="BG2537" i="1"/>
  <c r="AA2537" i="1" s="1"/>
  <c r="I2593" i="1"/>
  <c r="AQ1193" i="1"/>
  <c r="AR1608" i="1"/>
  <c r="AU1721" i="1"/>
  <c r="BF1721" i="1"/>
  <c r="Z1721" i="1" s="1"/>
  <c r="I1926" i="1"/>
  <c r="AU1926" i="1"/>
  <c r="I1980" i="1"/>
  <c r="AU1980" i="1"/>
  <c r="BF2063" i="1"/>
  <c r="AB2063" i="1" s="1"/>
  <c r="AU2063" i="1"/>
  <c r="BG2091" i="1"/>
  <c r="AC2091" i="1" s="1"/>
  <c r="J2091" i="1"/>
  <c r="AU2136" i="1"/>
  <c r="I2136" i="1"/>
  <c r="BG2138" i="1"/>
  <c r="AC2138" i="1" s="1"/>
  <c r="AV2138" i="1"/>
  <c r="AR2168" i="1"/>
  <c r="BF2208" i="1"/>
  <c r="AB2208" i="1" s="1"/>
  <c r="AU2208" i="1"/>
  <c r="BF2546" i="1"/>
  <c r="Z2546" i="1" s="1"/>
  <c r="I2546" i="1"/>
  <c r="AU2546" i="1"/>
  <c r="AU2642" i="1"/>
  <c r="I2642" i="1"/>
  <c r="BF2644" i="1"/>
  <c r="AD2644" i="1" s="1"/>
  <c r="I2644" i="1"/>
  <c r="AU2644" i="1"/>
  <c r="AU2668" i="1"/>
  <c r="BA2668" i="1" s="1"/>
  <c r="BF2668" i="1"/>
  <c r="AD2668" i="1" s="1"/>
  <c r="I2668" i="1"/>
  <c r="BF2726" i="1"/>
  <c r="Z2726" i="1" s="1"/>
  <c r="I2726" i="1"/>
  <c r="AU2726" i="1"/>
  <c r="BF2762" i="1"/>
  <c r="AU2762" i="1"/>
  <c r="I2762" i="1"/>
  <c r="AR40" i="1"/>
  <c r="AT134" i="1"/>
  <c r="AQ733" i="1"/>
  <c r="BF904" i="1"/>
  <c r="Z904" i="1" s="1"/>
  <c r="AU904" i="1"/>
  <c r="M1249" i="1"/>
  <c r="G68" i="2" s="1"/>
  <c r="AQ1584" i="1"/>
  <c r="BF1614" i="1"/>
  <c r="Z1614" i="1" s="1"/>
  <c r="I1614" i="1"/>
  <c r="BG1714" i="1"/>
  <c r="AA1714" i="1" s="1"/>
  <c r="J1714" i="1"/>
  <c r="AU1796" i="1"/>
  <c r="BF1796" i="1"/>
  <c r="BF1856" i="1"/>
  <c r="AB1856" i="1" s="1"/>
  <c r="I1856" i="1"/>
  <c r="AQ1845" i="1"/>
  <c r="AV1892" i="1"/>
  <c r="BG1893" i="1"/>
  <c r="AC1893" i="1" s="1"/>
  <c r="J1893" i="1"/>
  <c r="AV1893" i="1"/>
  <c r="AV1951" i="1"/>
  <c r="BF1968" i="1"/>
  <c r="Z1968" i="1" s="1"/>
  <c r="AU1968" i="1"/>
  <c r="I1968" i="1"/>
  <c r="AV1980" i="1"/>
  <c r="BG1980" i="1"/>
  <c r="AA1980" i="1" s="1"/>
  <c r="BG2039" i="1"/>
  <c r="AA2039" i="1" s="1"/>
  <c r="AV2039" i="1"/>
  <c r="J2039" i="1"/>
  <c r="BG2063" i="1"/>
  <c r="AC2063" i="1" s="1"/>
  <c r="J2063" i="1"/>
  <c r="AV2136" i="1"/>
  <c r="J2136" i="1"/>
  <c r="BG2136" i="1"/>
  <c r="AC2136" i="1" s="1"/>
  <c r="BG2171" i="1"/>
  <c r="AA2171" i="1" s="1"/>
  <c r="J2171" i="1"/>
  <c r="AV2171" i="1"/>
  <c r="AJ2235" i="1"/>
  <c r="K2234" i="1"/>
  <c r="F116" i="2" s="1"/>
  <c r="I116" i="2" s="1"/>
  <c r="BF2299" i="1"/>
  <c r="AB2299" i="1" s="1"/>
  <c r="AU2299" i="1"/>
  <c r="I2299" i="1"/>
  <c r="AV2368" i="1"/>
  <c r="AT2523" i="1"/>
  <c r="BA2523" i="1"/>
  <c r="I2531" i="1"/>
  <c r="AU2531" i="1"/>
  <c r="AR2603" i="1"/>
  <c r="AV2640" i="1"/>
  <c r="AQ1394" i="1"/>
  <c r="AQ102" i="1"/>
  <c r="K343" i="1"/>
  <c r="F29" i="2" s="1"/>
  <c r="I29" i="2" s="1"/>
  <c r="M628" i="1"/>
  <c r="G44" i="2" s="1"/>
  <c r="AQ642" i="1"/>
  <c r="AR673" i="1"/>
  <c r="I1189" i="1"/>
  <c r="AV1542" i="1"/>
  <c r="AR1568" i="1"/>
  <c r="J1601" i="1"/>
  <c r="AU1714" i="1"/>
  <c r="AT1714" i="1" s="1"/>
  <c r="BA1747" i="1"/>
  <c r="AU1824" i="1"/>
  <c r="AT1824" i="1" s="1"/>
  <c r="AU1858" i="1"/>
  <c r="BF1858" i="1"/>
  <c r="AB1858" i="1" s="1"/>
  <c r="I1858" i="1"/>
  <c r="J1892" i="1"/>
  <c r="AU1918" i="1"/>
  <c r="I1919" i="1"/>
  <c r="BF1919" i="1"/>
  <c r="AB1919" i="1" s="1"/>
  <c r="AU1919" i="1"/>
  <c r="AU1935" i="1"/>
  <c r="AR1948" i="1"/>
  <c r="BG2042" i="1"/>
  <c r="AA2042" i="1" s="1"/>
  <c r="J2042" i="1"/>
  <c r="AV2042" i="1"/>
  <c r="AU2171" i="1"/>
  <c r="BD2235" i="1"/>
  <c r="M2234" i="1"/>
  <c r="G116" i="2" s="1"/>
  <c r="AU2330" i="1"/>
  <c r="BF2330" i="1"/>
  <c r="AB2330" i="1" s="1"/>
  <c r="AU2360" i="1"/>
  <c r="BF2360" i="1"/>
  <c r="BG2447" i="1"/>
  <c r="AA2447" i="1" s="1"/>
  <c r="J2447" i="1"/>
  <c r="BG2467" i="1"/>
  <c r="AE2467" i="1" s="1"/>
  <c r="AV2467" i="1"/>
  <c r="BA2467" i="1" s="1"/>
  <c r="J2467" i="1"/>
  <c r="BG2495" i="1"/>
  <c r="AE2495" i="1" s="1"/>
  <c r="AV2495" i="1"/>
  <c r="BF2499" i="1"/>
  <c r="AD2499" i="1" s="1"/>
  <c r="AU2499" i="1"/>
  <c r="BA2499" i="1" s="1"/>
  <c r="AQ1249" i="1"/>
  <c r="M1297" i="1"/>
  <c r="G71" i="2" s="1"/>
  <c r="AR1689" i="1"/>
  <c r="I1753" i="1"/>
  <c r="AU1753" i="1"/>
  <c r="BA1753" i="1" s="1"/>
  <c r="AU1811" i="1"/>
  <c r="BA1811" i="1" s="1"/>
  <c r="BF1811" i="1"/>
  <c r="AB1811" i="1" s="1"/>
  <c r="AU1880" i="1"/>
  <c r="BF1880" i="1"/>
  <c r="AB1880" i="1" s="1"/>
  <c r="I1880" i="1"/>
  <c r="BF1881" i="1"/>
  <c r="AB1881" i="1" s="1"/>
  <c r="AU1881" i="1"/>
  <c r="BA1881" i="1" s="1"/>
  <c r="BG1919" i="1"/>
  <c r="AC1919" i="1" s="1"/>
  <c r="AV1919" i="1"/>
  <c r="AV2025" i="1"/>
  <c r="BA2025" i="1" s="1"/>
  <c r="J2025" i="1"/>
  <c r="AV2131" i="1"/>
  <c r="J2131" i="1"/>
  <c r="BG2131" i="1"/>
  <c r="AC2131" i="1" s="1"/>
  <c r="BF2147" i="1"/>
  <c r="Z2147" i="1" s="1"/>
  <c r="I2147" i="1"/>
  <c r="AQ2207" i="1"/>
  <c r="AU2239" i="1"/>
  <c r="I2239" i="1"/>
  <c r="BF2239" i="1"/>
  <c r="AB2239" i="1" s="1"/>
  <c r="BG2255" i="1"/>
  <c r="AV2255" i="1"/>
  <c r="J2255" i="1"/>
  <c r="BG2318" i="1"/>
  <c r="AC2318" i="1" s="1"/>
  <c r="J2318" i="1"/>
  <c r="AV2318" i="1"/>
  <c r="BF2381" i="1"/>
  <c r="Z2381" i="1" s="1"/>
  <c r="AU2381" i="1"/>
  <c r="BF2407" i="1"/>
  <c r="AB2407" i="1" s="1"/>
  <c r="AU2407" i="1"/>
  <c r="AU2501" i="1"/>
  <c r="I2501" i="1"/>
  <c r="BF2570" i="1"/>
  <c r="Z2570" i="1" s="1"/>
  <c r="I2570" i="1"/>
  <c r="BF2604" i="1"/>
  <c r="AD2604" i="1" s="1"/>
  <c r="AU2604" i="1"/>
  <c r="BG2644" i="1"/>
  <c r="AE2644" i="1" s="1"/>
  <c r="J2644" i="1"/>
  <c r="AV2644" i="1"/>
  <c r="BF1835" i="1"/>
  <c r="AB1835" i="1" s="1"/>
  <c r="I1835" i="1"/>
  <c r="BG1881" i="1"/>
  <c r="AC1881" i="1" s="1"/>
  <c r="J1881" i="1"/>
  <c r="J2026" i="1"/>
  <c r="BG2026" i="1"/>
  <c r="AA2026" i="1" s="1"/>
  <c r="AR2179" i="1"/>
  <c r="AV2291" i="1"/>
  <c r="J2291" i="1"/>
  <c r="BG2291" i="1"/>
  <c r="AC2291" i="1" s="1"/>
  <c r="AV2381" i="1"/>
  <c r="J2381" i="1"/>
  <c r="AV2407" i="1"/>
  <c r="J2407" i="1"/>
  <c r="BG2570" i="1"/>
  <c r="AA2570" i="1" s="1"/>
  <c r="J2570" i="1"/>
  <c r="AR1746" i="1"/>
  <c r="AR1943" i="1"/>
  <c r="M2041" i="1"/>
  <c r="G104" i="2" s="1"/>
  <c r="BD2046" i="1"/>
  <c r="AV2053" i="1"/>
  <c r="BG2053" i="1"/>
  <c r="AC2053" i="1" s="1"/>
  <c r="J2053" i="1"/>
  <c r="BG2219" i="1"/>
  <c r="AC2219" i="1" s="1"/>
  <c r="J2219" i="1"/>
  <c r="J2228" i="1"/>
  <c r="BG2228" i="1"/>
  <c r="AC2228" i="1" s="1"/>
  <c r="BG2297" i="1"/>
  <c r="AC2297" i="1" s="1"/>
  <c r="AV2297" i="1"/>
  <c r="J2297" i="1"/>
  <c r="BF2322" i="1"/>
  <c r="AB2322" i="1" s="1"/>
  <c r="AU2322" i="1"/>
  <c r="I2322" i="1"/>
  <c r="BF2429" i="1"/>
  <c r="Z2429" i="1" s="1"/>
  <c r="AU2429" i="1"/>
  <c r="BG2491" i="1"/>
  <c r="AE2491" i="1" s="1"/>
  <c r="J2491" i="1"/>
  <c r="AV2573" i="1"/>
  <c r="BG2573" i="1"/>
  <c r="AU2607" i="1"/>
  <c r="I2607" i="1"/>
  <c r="BG2701" i="1"/>
  <c r="AE2701" i="1" s="1"/>
  <c r="AV2701" i="1"/>
  <c r="BG2702" i="1"/>
  <c r="AE2702" i="1" s="1"/>
  <c r="J2702" i="1"/>
  <c r="AV2702" i="1"/>
  <c r="AT2702" i="1" s="1"/>
  <c r="BF2705" i="1"/>
  <c r="Z2705" i="1" s="1"/>
  <c r="I2705" i="1"/>
  <c r="AU2705" i="1"/>
  <c r="AV2762" i="1"/>
  <c r="J2762" i="1"/>
  <c r="J2761" i="1" s="1"/>
  <c r="BG2762" i="1"/>
  <c r="AU2764" i="1"/>
  <c r="BF2764" i="1"/>
  <c r="I2764" i="1"/>
  <c r="AQ1943" i="1"/>
  <c r="BF1961" i="1"/>
  <c r="I1961" i="1"/>
  <c r="AU1961" i="1"/>
  <c r="BG2000" i="1"/>
  <c r="AA2000" i="1" s="1"/>
  <c r="J2000" i="1"/>
  <c r="AV2000" i="1"/>
  <c r="BF2119" i="1"/>
  <c r="AB2119" i="1" s="1"/>
  <c r="I2119" i="1"/>
  <c r="AU2119" i="1"/>
  <c r="K2165" i="1"/>
  <c r="F108" i="2" s="1"/>
  <c r="I108" i="2" s="1"/>
  <c r="AJ2166" i="1"/>
  <c r="AS2165" i="1" s="1"/>
  <c r="AV2190" i="1"/>
  <c r="J2190" i="1"/>
  <c r="BG2190" i="1"/>
  <c r="AA2190" i="1" s="1"/>
  <c r="BG2270" i="1"/>
  <c r="AC2270" i="1" s="1"/>
  <c r="J2270" i="1"/>
  <c r="AV2283" i="1"/>
  <c r="J2283" i="1"/>
  <c r="AR2402" i="1"/>
  <c r="K2413" i="1"/>
  <c r="F128" i="2" s="1"/>
  <c r="I128" i="2" s="1"/>
  <c r="AJ2418" i="1"/>
  <c r="BF2447" i="1"/>
  <c r="Z2447" i="1" s="1"/>
  <c r="AU2447" i="1"/>
  <c r="BA2447" i="1" s="1"/>
  <c r="I2447" i="1"/>
  <c r="AU2449" i="1"/>
  <c r="BA2449" i="1" s="1"/>
  <c r="I2449" i="1"/>
  <c r="BG2630" i="1"/>
  <c r="AE2630" i="1" s="1"/>
  <c r="AV2630" i="1"/>
  <c r="BF2674" i="1"/>
  <c r="AD2674" i="1" s="1"/>
  <c r="AU2674" i="1"/>
  <c r="I2674" i="1"/>
  <c r="AQ1891" i="1"/>
  <c r="BG1982" i="1"/>
  <c r="AA1982" i="1" s="1"/>
  <c r="AV1982" i="1"/>
  <c r="BF2026" i="1"/>
  <c r="Z2026" i="1" s="1"/>
  <c r="I2026" i="1"/>
  <c r="AU2064" i="1"/>
  <c r="BF2064" i="1"/>
  <c r="AB2064" i="1" s="1"/>
  <c r="AV2097" i="1"/>
  <c r="AT2097" i="1" s="1"/>
  <c r="J2097" i="1"/>
  <c r="AU2111" i="1"/>
  <c r="AT2111" i="1" s="1"/>
  <c r="I2111" i="1"/>
  <c r="BF2248" i="1"/>
  <c r="AB2248" i="1" s="1"/>
  <c r="I2248" i="1"/>
  <c r="BG2372" i="1"/>
  <c r="AV2372" i="1"/>
  <c r="J2372" i="1"/>
  <c r="AU2533" i="1"/>
  <c r="BF2533" i="1"/>
  <c r="AD2533" i="1" s="1"/>
  <c r="BF2535" i="1"/>
  <c r="Z2535" i="1" s="1"/>
  <c r="I2535" i="1"/>
  <c r="BG2617" i="1"/>
  <c r="AE2617" i="1" s="1"/>
  <c r="J2617" i="1"/>
  <c r="AV2617" i="1"/>
  <c r="BF2634" i="1"/>
  <c r="AD2634" i="1" s="1"/>
  <c r="AU2634" i="1"/>
  <c r="I2638" i="1"/>
  <c r="AU2638" i="1"/>
  <c r="AT2638" i="1" s="1"/>
  <c r="BG2710" i="1"/>
  <c r="AA2710" i="1" s="1"/>
  <c r="J2710" i="1"/>
  <c r="AU2712" i="1"/>
  <c r="BF2712" i="1"/>
  <c r="Z2712" i="1" s="1"/>
  <c r="BF2735" i="1"/>
  <c r="AD2735" i="1" s="1"/>
  <c r="AU2735" i="1"/>
  <c r="I2735" i="1"/>
  <c r="K2144" i="1"/>
  <c r="F106" i="2" s="1"/>
  <c r="I106" i="2" s="1"/>
  <c r="BG2274" i="1"/>
  <c r="AC2274" i="1" s="1"/>
  <c r="AV2274" i="1"/>
  <c r="BG2389" i="1"/>
  <c r="AA2389" i="1" s="1"/>
  <c r="J2389" i="1"/>
  <c r="AQ2603" i="1"/>
  <c r="BG2616" i="1"/>
  <c r="AE2616" i="1" s="1"/>
  <c r="AV2616" i="1"/>
  <c r="AT2616" i="1" s="1"/>
  <c r="BF2722" i="1"/>
  <c r="Z2722" i="1" s="1"/>
  <c r="AU2722" i="1"/>
  <c r="BA2722" i="1" s="1"/>
  <c r="BF2752" i="1"/>
  <c r="AB2752" i="1" s="1"/>
  <c r="AU2752" i="1"/>
  <c r="AQ2761" i="1"/>
  <c r="J1998" i="1"/>
  <c r="BG2057" i="1"/>
  <c r="AC2057" i="1" s="1"/>
  <c r="AV2057" i="1"/>
  <c r="AR2218" i="1"/>
  <c r="AV2376" i="1"/>
  <c r="BG2376" i="1"/>
  <c r="AA2376" i="1" s="1"/>
  <c r="J2376" i="1"/>
  <c r="J2375" i="1" s="1"/>
  <c r="E124" i="2" s="1"/>
  <c r="AQ2413" i="1"/>
  <c r="BG2456" i="1"/>
  <c r="AE2456" i="1" s="1"/>
  <c r="AV2456" i="1"/>
  <c r="BG2604" i="1"/>
  <c r="AE2604" i="1" s="1"/>
  <c r="J2604" i="1"/>
  <c r="I2606" i="1"/>
  <c r="BF2606" i="1"/>
  <c r="AD2606" i="1" s="1"/>
  <c r="AV2648" i="1"/>
  <c r="BG2648" i="1"/>
  <c r="I2685" i="1"/>
  <c r="BF2685" i="1"/>
  <c r="AD2685" i="1" s="1"/>
  <c r="AU2685" i="1"/>
  <c r="BG2726" i="1"/>
  <c r="AA2726" i="1" s="1"/>
  <c r="J2726" i="1"/>
  <c r="AV2726" i="1"/>
  <c r="AQ2030" i="1"/>
  <c r="AT2066" i="1"/>
  <c r="AV2121" i="1"/>
  <c r="BG2121" i="1"/>
  <c r="AC2121" i="1" s="1"/>
  <c r="AQ2168" i="1"/>
  <c r="AU2177" i="1"/>
  <c r="BF2177" i="1"/>
  <c r="Z2177" i="1" s="1"/>
  <c r="M2179" i="1"/>
  <c r="G112" i="2" s="1"/>
  <c r="AV2221" i="1"/>
  <c r="BG2221" i="1"/>
  <c r="AV2242" i="1"/>
  <c r="J2242" i="1"/>
  <c r="BG2258" i="1"/>
  <c r="AC2258" i="1" s="1"/>
  <c r="AV2258" i="1"/>
  <c r="BF2320" i="1"/>
  <c r="AB2320" i="1" s="1"/>
  <c r="I2320" i="1"/>
  <c r="AR2313" i="1"/>
  <c r="BG2511" i="1"/>
  <c r="AE2511" i="1" s="1"/>
  <c r="AV2511" i="1"/>
  <c r="I2523" i="1"/>
  <c r="BF2523" i="1"/>
  <c r="AD2523" i="1" s="1"/>
  <c r="AU2566" i="1"/>
  <c r="AT2566" i="1" s="1"/>
  <c r="I2566" i="1"/>
  <c r="J2606" i="1"/>
  <c r="AV2606" i="1"/>
  <c r="AU2619" i="1"/>
  <c r="BA2619" i="1" s="1"/>
  <c r="I2619" i="1"/>
  <c r="AV2683" i="1"/>
  <c r="J2683" i="1"/>
  <c r="BG2683" i="1"/>
  <c r="AE2683" i="1" s="1"/>
  <c r="BG2685" i="1"/>
  <c r="AE2685" i="1" s="1"/>
  <c r="AV2685" i="1"/>
  <c r="BG2741" i="1"/>
  <c r="AA2741" i="1" s="1"/>
  <c r="J2741" i="1"/>
  <c r="AQ1938" i="1"/>
  <c r="I1957" i="1"/>
  <c r="I2115" i="1"/>
  <c r="BF2132" i="1"/>
  <c r="AB2132" i="1" s="1"/>
  <c r="AU2132" i="1"/>
  <c r="AV2139" i="1"/>
  <c r="BA2192" i="1"/>
  <c r="J2221" i="1"/>
  <c r="AV2289" i="1"/>
  <c r="J2289" i="1"/>
  <c r="BG2289" i="1"/>
  <c r="AC2289" i="1" s="1"/>
  <c r="J2299" i="1"/>
  <c r="AU2418" i="1"/>
  <c r="BG2420" i="1"/>
  <c r="AA2420" i="1" s="1"/>
  <c r="J2420" i="1"/>
  <c r="AV2436" i="1"/>
  <c r="BG2436" i="1"/>
  <c r="J2436" i="1"/>
  <c r="J2435" i="1" s="1"/>
  <c r="E130" i="2" s="1"/>
  <c r="AV2579" i="1"/>
  <c r="AU2606" i="1"/>
  <c r="J2619" i="1"/>
  <c r="AV2619" i="1"/>
  <c r="AV2652" i="1"/>
  <c r="J2652" i="1"/>
  <c r="AV2666" i="1"/>
  <c r="BG2682" i="1"/>
  <c r="AE2682" i="1" s="1"/>
  <c r="J2691" i="1"/>
  <c r="AV2691" i="1"/>
  <c r="AV2741" i="1"/>
  <c r="I2752" i="1"/>
  <c r="BF2774" i="1"/>
  <c r="AD2774" i="1" s="1"/>
  <c r="AU2774" i="1"/>
  <c r="I2756" i="1"/>
  <c r="AU2756" i="1"/>
  <c r="I2389" i="1"/>
  <c r="BF2389" i="1"/>
  <c r="Z2389" i="1" s="1"/>
  <c r="AQ2428" i="1"/>
  <c r="AU2525" i="1"/>
  <c r="BF2525" i="1"/>
  <c r="AD2525" i="1" s="1"/>
  <c r="AV2529" i="1"/>
  <c r="BG2529" i="1"/>
  <c r="AE2529" i="1" s="1"/>
  <c r="BF2676" i="1"/>
  <c r="AD2676" i="1" s="1"/>
  <c r="I2676" i="1"/>
  <c r="AU2676" i="1"/>
  <c r="BA2676" i="1" s="1"/>
  <c r="I2678" i="1"/>
  <c r="BF2678" i="1"/>
  <c r="AD2678" i="1" s="1"/>
  <c r="AV2694" i="1"/>
  <c r="AQ2771" i="1"/>
  <c r="BG2349" i="1"/>
  <c r="AC2349" i="1" s="1"/>
  <c r="J2349" i="1"/>
  <c r="AV2560" i="1"/>
  <c r="BG2560" i="1"/>
  <c r="AA2560" i="1" s="1"/>
  <c r="AV2624" i="1"/>
  <c r="BG2624" i="1"/>
  <c r="AE2624" i="1" s="1"/>
  <c r="J2624" i="1"/>
  <c r="AV2262" i="1"/>
  <c r="BF2364" i="1"/>
  <c r="AU2364" i="1"/>
  <c r="AQ2395" i="1"/>
  <c r="AV2542" i="1"/>
  <c r="BF2562" i="1"/>
  <c r="Z2562" i="1" s="1"/>
  <c r="AU2562" i="1"/>
  <c r="BA2562" i="1" s="1"/>
  <c r="I2562" i="1"/>
  <c r="I2652" i="1"/>
  <c r="AU2652" i="1"/>
  <c r="BG2728" i="1"/>
  <c r="AA2728" i="1" s="1"/>
  <c r="J2728" i="1"/>
  <c r="BF2776" i="1"/>
  <c r="AD2776" i="1" s="1"/>
  <c r="I2776" i="1"/>
  <c r="AR2234" i="1"/>
  <c r="BG2424" i="1"/>
  <c r="AA2424" i="1" s="1"/>
  <c r="AV2424" i="1"/>
  <c r="AV2525" i="1"/>
  <c r="BG2525" i="1"/>
  <c r="AE2525" i="1" s="1"/>
  <c r="J2525" i="1"/>
  <c r="AR2771" i="1"/>
  <c r="J2198" i="1"/>
  <c r="I2272" i="1"/>
  <c r="J2309" i="1"/>
  <c r="AU2368" i="1"/>
  <c r="I2368" i="1"/>
  <c r="AR2413" i="1"/>
  <c r="AU2549" i="1"/>
  <c r="BF2549" i="1"/>
  <c r="Z2549" i="1" s="1"/>
  <c r="I2702" i="1"/>
  <c r="BF2702" i="1"/>
  <c r="AD2702" i="1" s="1"/>
  <c r="AU2702" i="1"/>
  <c r="BG2678" i="1"/>
  <c r="AE2678" i="1" s="1"/>
  <c r="J2678" i="1"/>
  <c r="AV2678" i="1"/>
  <c r="AT2678" i="1" s="1"/>
  <c r="AR2378" i="1"/>
  <c r="J2465" i="1"/>
  <c r="J2473" i="1"/>
  <c r="I2505" i="1"/>
  <c r="BG2628" i="1"/>
  <c r="AE2628" i="1" s="1"/>
  <c r="AQ2359" i="1"/>
  <c r="AV2385" i="1"/>
  <c r="BG2481" i="1"/>
  <c r="AE2481" i="1" s="1"/>
  <c r="AU2737" i="1"/>
  <c r="AR2766" i="1"/>
  <c r="E12" i="2"/>
  <c r="K2218" i="1"/>
  <c r="F114" i="2" s="1"/>
  <c r="I114" i="2" s="1"/>
  <c r="AJ2219" i="1"/>
  <c r="AS2218" i="1" s="1"/>
  <c r="BG2400" i="1"/>
  <c r="AV2400" i="1"/>
  <c r="J2400" i="1"/>
  <c r="AS35" i="1"/>
  <c r="K40" i="1"/>
  <c r="F16" i="2" s="1"/>
  <c r="I16" i="2" s="1"/>
  <c r="I41" i="1"/>
  <c r="AU41" i="1"/>
  <c r="BD106" i="1"/>
  <c r="AU157" i="1"/>
  <c r="BF220" i="1"/>
  <c r="Z220" i="1" s="1"/>
  <c r="I333" i="1"/>
  <c r="AT333" i="1"/>
  <c r="AU428" i="1"/>
  <c r="AV434" i="1"/>
  <c r="BA434" i="1" s="1"/>
  <c r="BG434" i="1"/>
  <c r="AA434" i="1" s="1"/>
  <c r="J434" i="1"/>
  <c r="M532" i="1"/>
  <c r="G40" i="2" s="1"/>
  <c r="I533" i="1"/>
  <c r="BF533" i="1"/>
  <c r="Z533" i="1" s="1"/>
  <c r="J542" i="1"/>
  <c r="AV582" i="1"/>
  <c r="BA582" i="1" s="1"/>
  <c r="BG582" i="1"/>
  <c r="AC582" i="1" s="1"/>
  <c r="AR628" i="1"/>
  <c r="BG633" i="1"/>
  <c r="AC633" i="1" s="1"/>
  <c r="AV637" i="1"/>
  <c r="J637" i="1"/>
  <c r="BF668" i="1"/>
  <c r="AB668" i="1" s="1"/>
  <c r="AQ673" i="1"/>
  <c r="BD743" i="1"/>
  <c r="M742" i="1"/>
  <c r="G49" i="2" s="1"/>
  <c r="I745" i="1"/>
  <c r="AV745" i="1"/>
  <c r="M748" i="1"/>
  <c r="G50" i="2" s="1"/>
  <c r="AU774" i="1"/>
  <c r="M962" i="1"/>
  <c r="G61" i="2" s="1"/>
  <c r="BG1121" i="1"/>
  <c r="AC1121" i="1" s="1"/>
  <c r="AV1121" i="1"/>
  <c r="AT1121" i="1" s="1"/>
  <c r="J1121" i="1"/>
  <c r="AV1383" i="1"/>
  <c r="J1383" i="1"/>
  <c r="BG1491" i="1"/>
  <c r="AC1491" i="1" s="1"/>
  <c r="AV1491" i="1"/>
  <c r="AV1569" i="1"/>
  <c r="BG1569" i="1"/>
  <c r="AA1569" i="1" s="1"/>
  <c r="J1569" i="1"/>
  <c r="J1632" i="1"/>
  <c r="AU1632" i="1"/>
  <c r="AJ1663" i="1"/>
  <c r="M1757" i="1"/>
  <c r="G90" i="2" s="1"/>
  <c r="BD1760" i="1"/>
  <c r="M1891" i="1"/>
  <c r="G94" i="2" s="1"/>
  <c r="I1932" i="1"/>
  <c r="BF2212" i="1"/>
  <c r="AB2212" i="1" s="1"/>
  <c r="AU2212" i="1"/>
  <c r="BD2354" i="1"/>
  <c r="M2351" i="1"/>
  <c r="G120" i="2" s="1"/>
  <c r="I2400" i="1"/>
  <c r="AU2400" i="1"/>
  <c r="BF14" i="1"/>
  <c r="AB14" i="1" s="1"/>
  <c r="AU14" i="1"/>
  <c r="M40" i="1"/>
  <c r="G16" i="2" s="1"/>
  <c r="BA44" i="1"/>
  <c r="I122" i="1"/>
  <c r="AU122" i="1"/>
  <c r="AV157" i="1"/>
  <c r="AV161" i="1"/>
  <c r="BA161" i="1" s="1"/>
  <c r="J161" i="1"/>
  <c r="AU207" i="1"/>
  <c r="BF207" i="1"/>
  <c r="Z207" i="1" s="1"/>
  <c r="AJ230" i="1"/>
  <c r="AV253" i="1"/>
  <c r="BF265" i="1"/>
  <c r="Z265" i="1" s="1"/>
  <c r="I265" i="1"/>
  <c r="BG668" i="1"/>
  <c r="AC668" i="1" s="1"/>
  <c r="BF738" i="1"/>
  <c r="AB738" i="1" s="1"/>
  <c r="I738" i="1"/>
  <c r="AU738" i="1"/>
  <c r="J745" i="1"/>
  <c r="AU999" i="1"/>
  <c r="BF999" i="1"/>
  <c r="Z999" i="1" s="1"/>
  <c r="BG1018" i="1"/>
  <c r="AA1018" i="1" s="1"/>
  <c r="AJ1228" i="1"/>
  <c r="BD1250" i="1"/>
  <c r="BF1327" i="1"/>
  <c r="AB1327" i="1" s="1"/>
  <c r="AU1327" i="1"/>
  <c r="BD1597" i="1"/>
  <c r="M1584" i="1"/>
  <c r="G80" i="2" s="1"/>
  <c r="K1608" i="1"/>
  <c r="BF1609" i="1"/>
  <c r="Z1609" i="1" s="1"/>
  <c r="AU1609" i="1"/>
  <c r="I1609" i="1"/>
  <c r="BD1611" i="1"/>
  <c r="AV1632" i="1"/>
  <c r="BG1731" i="1"/>
  <c r="AA1731" i="1" s="1"/>
  <c r="AV1731" i="1"/>
  <c r="J1731" i="1"/>
  <c r="AJ1747" i="1"/>
  <c r="K1746" i="1"/>
  <c r="F89" i="2" s="1"/>
  <c r="I89" i="2" s="1"/>
  <c r="BG1755" i="1"/>
  <c r="J1755" i="1"/>
  <c r="AV1854" i="1"/>
  <c r="BG1854" i="1"/>
  <c r="AC1854" i="1" s="1"/>
  <c r="J1854" i="1"/>
  <c r="AJ1860" i="1"/>
  <c r="BF1898" i="1"/>
  <c r="AB1898" i="1" s="1"/>
  <c r="BF1899" i="1"/>
  <c r="AB1899" i="1" s="1"/>
  <c r="AU1899" i="1"/>
  <c r="I1899" i="1"/>
  <c r="AU1932" i="1"/>
  <c r="BF1939" i="1"/>
  <c r="Z1939" i="1" s="1"/>
  <c r="I1939" i="1"/>
  <c r="AU1939" i="1"/>
  <c r="BF1941" i="1"/>
  <c r="Z1941" i="1" s="1"/>
  <c r="AU1941" i="1"/>
  <c r="I1941" i="1"/>
  <c r="BG2119" i="1"/>
  <c r="AC2119" i="1" s="1"/>
  <c r="AV2119" i="1"/>
  <c r="J2119" i="1"/>
  <c r="AV2212" i="1"/>
  <c r="J2212" i="1"/>
  <c r="K2395" i="1"/>
  <c r="F126" i="2" s="1"/>
  <c r="I126" i="2" s="1"/>
  <c r="AJ2400" i="1"/>
  <c r="AS2395" i="1" s="1"/>
  <c r="AV599" i="1"/>
  <c r="BG599" i="1"/>
  <c r="AC599" i="1" s="1"/>
  <c r="BD960" i="1"/>
  <c r="M916" i="1"/>
  <c r="G60" i="2" s="1"/>
  <c r="AJ1194" i="1"/>
  <c r="K1193" i="1"/>
  <c r="F66" i="2" s="1"/>
  <c r="I66" i="2" s="1"/>
  <c r="AV1796" i="1"/>
  <c r="J1796" i="1"/>
  <c r="BG1796" i="1"/>
  <c r="AV2010" i="1"/>
  <c r="BG2010" i="1"/>
  <c r="AA2010" i="1" s="1"/>
  <c r="J2010" i="1"/>
  <c r="M673" i="1"/>
  <c r="G47" i="2" s="1"/>
  <c r="BD674" i="1"/>
  <c r="BF955" i="1"/>
  <c r="Z955" i="1" s="1"/>
  <c r="AU955" i="1"/>
  <c r="I955" i="1"/>
  <c r="BF2031" i="1"/>
  <c r="Z2031" i="1" s="1"/>
  <c r="I2031" i="1"/>
  <c r="AU2031" i="1"/>
  <c r="K22" i="1"/>
  <c r="F13" i="2" s="1"/>
  <c r="I13" i="2" s="1"/>
  <c r="I38" i="1"/>
  <c r="J43" i="1"/>
  <c r="BA115" i="1"/>
  <c r="AT115" i="1"/>
  <c r="K273" i="1"/>
  <c r="F28" i="2" s="1"/>
  <c r="I28" i="2" s="1"/>
  <c r="AV787" i="1"/>
  <c r="I922" i="1"/>
  <c r="AU1200" i="1"/>
  <c r="BF1200" i="1"/>
  <c r="AB1200" i="1" s="1"/>
  <c r="I1200" i="1"/>
  <c r="K1689" i="1"/>
  <c r="F85" i="2" s="1"/>
  <c r="I85" i="2" s="1"/>
  <c r="AU1760" i="1"/>
  <c r="BF1760" i="1"/>
  <c r="AB1760" i="1" s="1"/>
  <c r="AU1953" i="1"/>
  <c r="I1953" i="1"/>
  <c r="BF1953" i="1"/>
  <c r="AV29" i="1"/>
  <c r="J142" i="1"/>
  <c r="AU163" i="1"/>
  <c r="AJ210" i="1"/>
  <c r="AR273" i="1"/>
  <c r="I354" i="1"/>
  <c r="AR413" i="1"/>
  <c r="I633" i="1"/>
  <c r="AJ875" i="1"/>
  <c r="AS872" i="1" s="1"/>
  <c r="AV1100" i="1"/>
  <c r="AT1100" i="1" s="1"/>
  <c r="BF1273" i="1"/>
  <c r="AB1273" i="1" s="1"/>
  <c r="AU1273" i="1"/>
  <c r="I1273" i="1"/>
  <c r="J1780" i="1"/>
  <c r="J97" i="1"/>
  <c r="J238" i="1"/>
  <c r="AU377" i="1"/>
  <c r="AU651" i="1"/>
  <c r="BF651" i="1"/>
  <c r="AB651" i="1" s="1"/>
  <c r="BF1165" i="1"/>
  <c r="AB1165" i="1" s="1"/>
  <c r="I1165" i="1"/>
  <c r="BF2636" i="1"/>
  <c r="AD2636" i="1" s="1"/>
  <c r="AU2636" i="1"/>
  <c r="I2636" i="1"/>
  <c r="K35" i="1"/>
  <c r="F15" i="2" s="1"/>
  <c r="I15" i="2" s="1"/>
  <c r="BF115" i="1"/>
  <c r="Z115" i="1" s="1"/>
  <c r="AU152" i="1"/>
  <c r="M204" i="1"/>
  <c r="G27" i="2" s="1"/>
  <c r="AU274" i="1"/>
  <c r="I274" i="1"/>
  <c r="AV377" i="1"/>
  <c r="AV416" i="1"/>
  <c r="BG416" i="1"/>
  <c r="AA416" i="1" s="1"/>
  <c r="J416" i="1"/>
  <c r="I668" i="1"/>
  <c r="AT683" i="1"/>
  <c r="M1099" i="1"/>
  <c r="G63" i="2" s="1"/>
  <c r="BD1100" i="1"/>
  <c r="AJ1614" i="1"/>
  <c r="I1760" i="1"/>
  <c r="AJ1764" i="1"/>
  <c r="AJ2628" i="1"/>
  <c r="K2623" i="1"/>
  <c r="F137" i="2" s="1"/>
  <c r="I137" i="2" s="1"/>
  <c r="BF53" i="1"/>
  <c r="Z53" i="1" s="1"/>
  <c r="AU53" i="1"/>
  <c r="AV152" i="1"/>
  <c r="AV238" i="1"/>
  <c r="I406" i="1"/>
  <c r="AU1018" i="1"/>
  <c r="AJ1189" i="1"/>
  <c r="AS1158" i="1" s="1"/>
  <c r="C28" i="3"/>
  <c r="F28" i="3" s="1"/>
  <c r="BF296" i="1"/>
  <c r="Z296" i="1" s="1"/>
  <c r="K366" i="1"/>
  <c r="AS561" i="1"/>
  <c r="I651" i="1"/>
  <c r="AQ667" i="1"/>
  <c r="AV736" i="1"/>
  <c r="BA736" i="1" s="1"/>
  <c r="J736" i="1"/>
  <c r="AU1165" i="1"/>
  <c r="K1249" i="1"/>
  <c r="F68" i="2" s="1"/>
  <c r="I68" i="2" s="1"/>
  <c r="AJ1250" i="1"/>
  <c r="AS1249" i="1" s="1"/>
  <c r="AU2130" i="1"/>
  <c r="BF2130" i="1"/>
  <c r="AB2130" i="1" s="1"/>
  <c r="I2130" i="1"/>
  <c r="BG2212" i="1"/>
  <c r="AC2212" i="1" s="1"/>
  <c r="AU2324" i="1"/>
  <c r="BF2324" i="1"/>
  <c r="AB2324" i="1" s="1"/>
  <c r="I2324" i="1"/>
  <c r="BG371" i="1"/>
  <c r="AA371" i="1" s="1"/>
  <c r="AV371" i="1"/>
  <c r="J371" i="1"/>
  <c r="BF390" i="1"/>
  <c r="Z390" i="1" s="1"/>
  <c r="I390" i="1"/>
  <c r="AV425" i="1"/>
  <c r="BG425" i="1"/>
  <c r="AA425" i="1" s="1"/>
  <c r="J425" i="1"/>
  <c r="J424" i="1" s="1"/>
  <c r="E37" i="2" s="1"/>
  <c r="BG455" i="1"/>
  <c r="AA455" i="1" s="1"/>
  <c r="AV455" i="1"/>
  <c r="BG886" i="1"/>
  <c r="AA886" i="1" s="1"/>
  <c r="AV886" i="1"/>
  <c r="J886" i="1"/>
  <c r="BF2093" i="1"/>
  <c r="AB2093" i="1" s="1"/>
  <c r="AU2093" i="1"/>
  <c r="I2093" i="1"/>
  <c r="AU344" i="1"/>
  <c r="BF344" i="1"/>
  <c r="BF564" i="1"/>
  <c r="Z564" i="1" s="1"/>
  <c r="AU564" i="1"/>
  <c r="BG595" i="1"/>
  <c r="AC595" i="1" s="1"/>
  <c r="AV595" i="1"/>
  <c r="AT595" i="1" s="1"/>
  <c r="J595" i="1"/>
  <c r="BD845" i="1"/>
  <c r="M844" i="1"/>
  <c r="G54" i="2" s="1"/>
  <c r="AV922" i="1"/>
  <c r="AT922" i="1" s="1"/>
  <c r="BG922" i="1"/>
  <c r="AA922" i="1" s="1"/>
  <c r="AJ1458" i="1"/>
  <c r="BF1710" i="1"/>
  <c r="Z1710" i="1" s="1"/>
  <c r="I1710" i="1"/>
  <c r="AU1710" i="1"/>
  <c r="AV1764" i="1"/>
  <c r="BG1764" i="1"/>
  <c r="AC1764" i="1" s="1"/>
  <c r="AJ2008" i="1"/>
  <c r="J163" i="1"/>
  <c r="AQ396" i="1"/>
  <c r="AV564" i="1"/>
  <c r="BG564" i="1"/>
  <c r="AA564" i="1" s="1"/>
  <c r="BG955" i="1"/>
  <c r="AA955" i="1" s="1"/>
  <c r="AV955" i="1"/>
  <c r="J955" i="1"/>
  <c r="AJ1157" i="1"/>
  <c r="AS1120" i="1" s="1"/>
  <c r="BG1710" i="1"/>
  <c r="AA1710" i="1" s="1"/>
  <c r="J1710" i="1"/>
  <c r="AV1710" i="1"/>
  <c r="AU29" i="1"/>
  <c r="AQ273" i="1"/>
  <c r="J354" i="1"/>
  <c r="BG354" i="1"/>
  <c r="AV354" i="1"/>
  <c r="AR396" i="1"/>
  <c r="J455" i="1"/>
  <c r="BA912" i="1"/>
  <c r="AT912" i="1"/>
  <c r="AV1692" i="1"/>
  <c r="BG1692" i="1"/>
  <c r="AA1692" i="1" s="1"/>
  <c r="J1692" i="1"/>
  <c r="I115" i="1"/>
  <c r="AV251" i="1"/>
  <c r="BG251" i="1"/>
  <c r="AA251" i="1" s="1"/>
  <c r="AU354" i="1"/>
  <c r="I377" i="1"/>
  <c r="J390" i="1"/>
  <c r="BG390" i="1"/>
  <c r="AA390" i="1" s="1"/>
  <c r="I755" i="1"/>
  <c r="AU963" i="1"/>
  <c r="I963" i="1"/>
  <c r="AV1200" i="1"/>
  <c r="J1200" i="1"/>
  <c r="BG1200" i="1"/>
  <c r="AC1200" i="1" s="1"/>
  <c r="M1262" i="1"/>
  <c r="G70" i="2" s="1"/>
  <c r="AV1905" i="1"/>
  <c r="BG1905" i="1"/>
  <c r="AC1905" i="1" s="1"/>
  <c r="J1905" i="1"/>
  <c r="AV97" i="1"/>
  <c r="AV163" i="1"/>
  <c r="I296" i="1"/>
  <c r="AV367" i="1"/>
  <c r="BG367" i="1"/>
  <c r="AA367" i="1" s="1"/>
  <c r="J377" i="1"/>
  <c r="J490" i="1"/>
  <c r="AU633" i="1"/>
  <c r="AV755" i="1"/>
  <c r="BG834" i="1"/>
  <c r="AA834" i="1" s="1"/>
  <c r="AV834" i="1"/>
  <c r="AT834" i="1" s="1"/>
  <c r="AJ897" i="1"/>
  <c r="AS896" i="1" s="1"/>
  <c r="K896" i="1"/>
  <c r="F59" i="2" s="1"/>
  <c r="I59" i="2" s="1"/>
  <c r="BF914" i="1"/>
  <c r="Z914" i="1" s="1"/>
  <c r="AU914" i="1"/>
  <c r="I914" i="1"/>
  <c r="BG1431" i="1"/>
  <c r="AC1431" i="1" s="1"/>
  <c r="AV1431" i="1"/>
  <c r="J1431" i="1"/>
  <c r="AJ1780" i="1"/>
  <c r="AQ40" i="1"/>
  <c r="I152" i="1"/>
  <c r="I196" i="1"/>
  <c r="I192" i="1" s="1"/>
  <c r="D24" i="2" s="1"/>
  <c r="AU663" i="1"/>
  <c r="BF663" i="1"/>
  <c r="AB663" i="1" s="1"/>
  <c r="AV668" i="1"/>
  <c r="AT668" i="1" s="1"/>
  <c r="BG914" i="1"/>
  <c r="AA914" i="1" s="1"/>
  <c r="J914" i="1"/>
  <c r="AV914" i="1"/>
  <c r="AV1397" i="1"/>
  <c r="BG1618" i="1"/>
  <c r="AA1618" i="1" s="1"/>
  <c r="AV1618" i="1"/>
  <c r="AV1760" i="1"/>
  <c r="BA23" i="1"/>
  <c r="J152" i="1"/>
  <c r="AU190" i="1"/>
  <c r="AU196" i="1"/>
  <c r="J367" i="1"/>
  <c r="AU406" i="1"/>
  <c r="BG428" i="1"/>
  <c r="AA428" i="1" s="1"/>
  <c r="AV428" i="1"/>
  <c r="AV490" i="1"/>
  <c r="AV774" i="1"/>
  <c r="BG774" i="1"/>
  <c r="AC774" i="1" s="1"/>
  <c r="I1018" i="1"/>
  <c r="I1159" i="1"/>
  <c r="AU1254" i="1"/>
  <c r="BF1254" i="1"/>
  <c r="AB1254" i="1" s="1"/>
  <c r="I1254" i="1"/>
  <c r="AJ1397" i="1"/>
  <c r="AS1394" i="1" s="1"/>
  <c r="K1394" i="1"/>
  <c r="F73" i="2" s="1"/>
  <c r="I73" i="2" s="1"/>
  <c r="J1760" i="1"/>
  <c r="AV71" i="1"/>
  <c r="J190" i="1"/>
  <c r="J189" i="1" s="1"/>
  <c r="AQ204" i="1"/>
  <c r="AU282" i="1"/>
  <c r="BF282" i="1"/>
  <c r="Z282" i="1" s="1"/>
  <c r="I282" i="1"/>
  <c r="AS532" i="1"/>
  <c r="AQ628" i="1"/>
  <c r="AJ683" i="1"/>
  <c r="AS673" i="1" s="1"/>
  <c r="K673" i="1"/>
  <c r="F47" i="2" s="1"/>
  <c r="I47" i="2" s="1"/>
  <c r="K742" i="1"/>
  <c r="F49" i="2" s="1"/>
  <c r="I49" i="2" s="1"/>
  <c r="AJ743" i="1"/>
  <c r="I774" i="1"/>
  <c r="J1018" i="1"/>
  <c r="BF1121" i="1"/>
  <c r="AB1121" i="1" s="1"/>
  <c r="I1121" i="1"/>
  <c r="BF1159" i="1"/>
  <c r="AB1159" i="1" s="1"/>
  <c r="AV1254" i="1"/>
  <c r="BG1254" i="1"/>
  <c r="AC1254" i="1" s="1"/>
  <c r="BF1267" i="1"/>
  <c r="AB1267" i="1" s="1"/>
  <c r="AU1267" i="1"/>
  <c r="I1267" i="1"/>
  <c r="AU1569" i="1"/>
  <c r="BF1569" i="1"/>
  <c r="Z1569" i="1" s="1"/>
  <c r="I1569" i="1"/>
  <c r="BD1718" i="1"/>
  <c r="M1717" i="1"/>
  <c r="G86" i="2" s="1"/>
  <c r="K1757" i="1"/>
  <c r="F90" i="2" s="1"/>
  <c r="I90" i="2" s="1"/>
  <c r="M1799" i="1"/>
  <c r="G91" i="2" s="1"/>
  <c r="AR1891" i="1"/>
  <c r="AJ173" i="1"/>
  <c r="AS172" i="1" s="1"/>
  <c r="K172" i="1"/>
  <c r="K384" i="1"/>
  <c r="F34" i="2" s="1"/>
  <c r="I34" i="2" s="1"/>
  <c r="AJ385" i="1"/>
  <c r="AS384" i="1" s="1"/>
  <c r="AJ416" i="1"/>
  <c r="AS413" i="1" s="1"/>
  <c r="I718" i="1"/>
  <c r="BF736" i="1"/>
  <c r="AB736" i="1" s="1"/>
  <c r="AU1154" i="1"/>
  <c r="BF1154" i="1"/>
  <c r="AB1154" i="1" s="1"/>
  <c r="I1154" i="1"/>
  <c r="AU1322" i="1"/>
  <c r="BF1322" i="1"/>
  <c r="AB1322" i="1" s="1"/>
  <c r="AJ1599" i="1"/>
  <c r="K1584" i="1"/>
  <c r="F80" i="2" s="1"/>
  <c r="I80" i="2" s="1"/>
  <c r="AV1626" i="1"/>
  <c r="BG1626" i="1"/>
  <c r="AA1626" i="1" s="1"/>
  <c r="J1626" i="1"/>
  <c r="BF1653" i="1"/>
  <c r="Z1653" i="1" s="1"/>
  <c r="AU1653" i="1"/>
  <c r="I1653" i="1"/>
  <c r="BF1923" i="1"/>
  <c r="AB1923" i="1" s="1"/>
  <c r="AU1923" i="1"/>
  <c r="I1923" i="1"/>
  <c r="AJ33" i="1"/>
  <c r="AS32" i="1" s="1"/>
  <c r="AJ57" i="1"/>
  <c r="AS40" i="1" s="1"/>
  <c r="I80" i="1"/>
  <c r="AU187" i="1"/>
  <c r="BG230" i="1"/>
  <c r="AA230" i="1" s="1"/>
  <c r="AV230" i="1"/>
  <c r="AJ253" i="1"/>
  <c r="BF274" i="1"/>
  <c r="Z274" i="1" s="1"/>
  <c r="AJ278" i="1"/>
  <c r="AS273" i="1" s="1"/>
  <c r="BG364" i="1"/>
  <c r="AA364" i="1" s="1"/>
  <c r="AV364" i="1"/>
  <c r="AT364" i="1" s="1"/>
  <c r="BG637" i="1"/>
  <c r="AC637" i="1" s="1"/>
  <c r="BG647" i="1"/>
  <c r="AC647" i="1" s="1"/>
  <c r="J647" i="1"/>
  <c r="AU659" i="1"/>
  <c r="I659" i="1"/>
  <c r="BF659" i="1"/>
  <c r="AB659" i="1" s="1"/>
  <c r="J718" i="1"/>
  <c r="AV718" i="1"/>
  <c r="AT718" i="1" s="1"/>
  <c r="K733" i="1"/>
  <c r="F48" i="2" s="1"/>
  <c r="I48" i="2" s="1"/>
  <c r="BG736" i="1"/>
  <c r="AC736" i="1" s="1"/>
  <c r="J873" i="1"/>
  <c r="M896" i="1"/>
  <c r="G59" i="2" s="1"/>
  <c r="BD901" i="1"/>
  <c r="BF1304" i="1"/>
  <c r="AB1304" i="1" s="1"/>
  <c r="I1304" i="1"/>
  <c r="AU1304" i="1"/>
  <c r="BG1383" i="1"/>
  <c r="AC1383" i="1" s="1"/>
  <c r="BF1393" i="1"/>
  <c r="AU1393" i="1"/>
  <c r="I1393" i="1"/>
  <c r="J1491" i="1"/>
  <c r="BD1513" i="1"/>
  <c r="M1512" i="1"/>
  <c r="G76" i="2" s="1"/>
  <c r="BF1695" i="1"/>
  <c r="Z1695" i="1" s="1"/>
  <c r="AU1695" i="1"/>
  <c r="BF1857" i="1"/>
  <c r="AB1857" i="1" s="1"/>
  <c r="I1857" i="1"/>
  <c r="AU1857" i="1"/>
  <c r="BF41" i="1"/>
  <c r="Z41" i="1" s="1"/>
  <c r="BF44" i="1"/>
  <c r="Z44" i="1" s="1"/>
  <c r="AT91" i="1"/>
  <c r="BA91" i="1"/>
  <c r="BF103" i="1"/>
  <c r="Z103" i="1" s="1"/>
  <c r="I103" i="1"/>
  <c r="AQ156" i="1"/>
  <c r="M172" i="1"/>
  <c r="AV187" i="1"/>
  <c r="M198" i="1"/>
  <c r="G25" i="2" s="1"/>
  <c r="I207" i="1"/>
  <c r="AV207" i="1"/>
  <c r="BG257" i="1"/>
  <c r="AA257" i="1" s="1"/>
  <c r="J257" i="1"/>
  <c r="AV257" i="1"/>
  <c r="BA257" i="1" s="1"/>
  <c r="AJ348" i="1"/>
  <c r="AS343" i="1" s="1"/>
  <c r="K413" i="1"/>
  <c r="F36" i="2" s="1"/>
  <c r="I36" i="2" s="1"/>
  <c r="K436" i="1"/>
  <c r="F39" i="2" s="1"/>
  <c r="I39" i="2" s="1"/>
  <c r="AJ446" i="1"/>
  <c r="AS436" i="1" s="1"/>
  <c r="M561" i="1"/>
  <c r="G41" i="2" s="1"/>
  <c r="AU647" i="1"/>
  <c r="AJ869" i="1"/>
  <c r="AS862" i="1" s="1"/>
  <c r="AV873" i="1"/>
  <c r="AQ896" i="1"/>
  <c r="BG1304" i="1"/>
  <c r="AC1304" i="1" s="1"/>
  <c r="AV1304" i="1"/>
  <c r="J1304" i="1"/>
  <c r="I1322" i="1"/>
  <c r="I1327" i="1"/>
  <c r="AU1361" i="1"/>
  <c r="BF1361" i="1"/>
  <c r="AB1361" i="1" s="1"/>
  <c r="BG1393" i="1"/>
  <c r="AV1393" i="1"/>
  <c r="AU1516" i="1"/>
  <c r="BF1516" i="1"/>
  <c r="AB1516" i="1" s="1"/>
  <c r="I1516" i="1"/>
  <c r="I1515" i="1" s="1"/>
  <c r="D77" i="2" s="1"/>
  <c r="AJ1645" i="1"/>
  <c r="BF1706" i="1"/>
  <c r="Z1706" i="1" s="1"/>
  <c r="AU1706" i="1"/>
  <c r="I1706" i="1"/>
  <c r="BF1740" i="1"/>
  <c r="Z1740" i="1" s="1"/>
  <c r="I1740" i="1"/>
  <c r="AU1740" i="1"/>
  <c r="AJ1880" i="1"/>
  <c r="J1930" i="1"/>
  <c r="AV1930" i="1"/>
  <c r="BF2200" i="1"/>
  <c r="Z2200" i="1" s="1"/>
  <c r="AU2200" i="1"/>
  <c r="I2200" i="1"/>
  <c r="I2212" i="1"/>
  <c r="J1100" i="1"/>
  <c r="BF542" i="1"/>
  <c r="Z542" i="1" s="1"/>
  <c r="AU542" i="1"/>
  <c r="AV190" i="1"/>
  <c r="BG33" i="1"/>
  <c r="AC33" i="1" s="1"/>
  <c r="AV33" i="1"/>
  <c r="BG103" i="1"/>
  <c r="AA103" i="1" s="1"/>
  <c r="AV103" i="1"/>
  <c r="AT103" i="1" s="1"/>
  <c r="AR156" i="1"/>
  <c r="J169" i="1"/>
  <c r="J207" i="1"/>
  <c r="J230" i="1"/>
  <c r="BG278" i="1"/>
  <c r="AA278" i="1" s="1"/>
  <c r="AV278" i="1"/>
  <c r="BA278" i="1" s="1"/>
  <c r="J278" i="1"/>
  <c r="BF306" i="1"/>
  <c r="Z306" i="1" s="1"/>
  <c r="BF387" i="1"/>
  <c r="Z387" i="1" s="1"/>
  <c r="AU387" i="1"/>
  <c r="BF480" i="1"/>
  <c r="Z480" i="1" s="1"/>
  <c r="AU480" i="1"/>
  <c r="I480" i="1"/>
  <c r="K575" i="1"/>
  <c r="F42" i="2" s="1"/>
  <c r="I42" i="2" s="1"/>
  <c r="M642" i="1"/>
  <c r="G45" i="2" s="1"/>
  <c r="AV647" i="1"/>
  <c r="AJ653" i="1"/>
  <c r="BF718" i="1"/>
  <c r="AB718" i="1" s="1"/>
  <c r="AU1114" i="1"/>
  <c r="BF1114" i="1"/>
  <c r="Z1114" i="1" s="1"/>
  <c r="BF1116" i="1"/>
  <c r="Z1116" i="1" s="1"/>
  <c r="I1116" i="1"/>
  <c r="BF1236" i="1"/>
  <c r="AB1236" i="1" s="1"/>
  <c r="I1236" i="1"/>
  <c r="AU1236" i="1"/>
  <c r="AT1458" i="1"/>
  <c r="AJ1690" i="1"/>
  <c r="AU1696" i="1"/>
  <c r="BF1696" i="1"/>
  <c r="Z1696" i="1" s="1"/>
  <c r="AQ1830" i="1"/>
  <c r="AJ1876" i="1"/>
  <c r="AJ2129" i="1"/>
  <c r="BG2303" i="1"/>
  <c r="AC2303" i="1" s="1"/>
  <c r="AV2303" i="1"/>
  <c r="J2303" i="1"/>
  <c r="AV420" i="1"/>
  <c r="BG420" i="1"/>
  <c r="AA420" i="1" s="1"/>
  <c r="AV1104" i="1"/>
  <c r="BG1104" i="1"/>
  <c r="AA1104" i="1" s="1"/>
  <c r="J1104" i="1"/>
  <c r="BD1415" i="1"/>
  <c r="M1408" i="1"/>
  <c r="G74" i="2" s="1"/>
  <c r="BG1690" i="1"/>
  <c r="AA1690" i="1" s="1"/>
  <c r="AV1690" i="1"/>
  <c r="AU1764" i="1"/>
  <c r="BF1764" i="1"/>
  <c r="AB1764" i="1" s="1"/>
  <c r="BG38" i="1"/>
  <c r="AC38" i="1" s="1"/>
  <c r="AV38" i="1"/>
  <c r="J599" i="1"/>
  <c r="AJ1291" i="1"/>
  <c r="AT1315" i="1"/>
  <c r="AJ1511" i="1"/>
  <c r="BD1951" i="1"/>
  <c r="I29" i="1"/>
  <c r="AJ182" i="1"/>
  <c r="AS181" i="1" s="1"/>
  <c r="J193" i="1"/>
  <c r="AU390" i="1"/>
  <c r="AU460" i="1"/>
  <c r="I460" i="1"/>
  <c r="J912" i="1"/>
  <c r="BD1194" i="1"/>
  <c r="M1193" i="1"/>
  <c r="G66" i="2" s="1"/>
  <c r="J1690" i="1"/>
  <c r="BF1707" i="1"/>
  <c r="Z1707" i="1" s="1"/>
  <c r="AU1707" i="1"/>
  <c r="AV1780" i="1"/>
  <c r="BA1780" i="1" s="1"/>
  <c r="AJ1822" i="1"/>
  <c r="AR1994" i="1"/>
  <c r="AJ2533" i="1"/>
  <c r="J29" i="1"/>
  <c r="AU38" i="1"/>
  <c r="AV43" i="1"/>
  <c r="AT43" i="1" s="1"/>
  <c r="BG142" i="1"/>
  <c r="AA142" i="1" s="1"/>
  <c r="M181" i="1"/>
  <c r="G21" i="2" s="1"/>
  <c r="BD182" i="1"/>
  <c r="BG193" i="1"/>
  <c r="AC193" i="1" s="1"/>
  <c r="K198" i="1"/>
  <c r="F25" i="2" s="1"/>
  <c r="I25" i="2" s="1"/>
  <c r="AJ199" i="1"/>
  <c r="AS198" i="1" s="1"/>
  <c r="J420" i="1"/>
  <c r="J787" i="1"/>
  <c r="AU1223" i="1"/>
  <c r="BF1223" i="1"/>
  <c r="AB1223" i="1" s="1"/>
  <c r="I1223" i="1"/>
  <c r="AT2072" i="1"/>
  <c r="BA2072" i="1"/>
  <c r="J106" i="1"/>
  <c r="BA734" i="1"/>
  <c r="AU755" i="1"/>
  <c r="AJ787" i="1"/>
  <c r="K1099" i="1"/>
  <c r="F63" i="2" s="1"/>
  <c r="I63" i="2" s="1"/>
  <c r="AJ1100" i="1"/>
  <c r="AS1099" i="1" s="1"/>
  <c r="BF1110" i="1"/>
  <c r="Z1110" i="1" s="1"/>
  <c r="AU1110" i="1"/>
  <c r="BF1228" i="1"/>
  <c r="AB1228" i="1" s="1"/>
  <c r="AU1228" i="1"/>
  <c r="I1228" i="1"/>
  <c r="AV1704" i="1"/>
  <c r="BG1704" i="1"/>
  <c r="AA1704" i="1" s="1"/>
  <c r="J1704" i="1"/>
  <c r="D12" i="2"/>
  <c r="AJ142" i="1"/>
  <c r="K204" i="1"/>
  <c r="F27" i="2" s="1"/>
  <c r="I27" i="2" s="1"/>
  <c r="J564" i="1"/>
  <c r="J633" i="1"/>
  <c r="J755" i="1"/>
  <c r="BF922" i="1"/>
  <c r="Z922" i="1" s="1"/>
  <c r="K1079" i="1"/>
  <c r="F62" i="2" s="1"/>
  <c r="I62" i="2" s="1"/>
  <c r="AJ1092" i="1"/>
  <c r="AS1079" i="1" s="1"/>
  <c r="AV1159" i="1"/>
  <c r="BA1159" i="1" s="1"/>
  <c r="BG1159" i="1"/>
  <c r="AC1159" i="1" s="1"/>
  <c r="BG1273" i="1"/>
  <c r="AC1273" i="1" s="1"/>
  <c r="AV1273" i="1"/>
  <c r="J1273" i="1"/>
  <c r="J1764" i="1"/>
  <c r="AV1813" i="1"/>
  <c r="AV106" i="1"/>
  <c r="M273" i="1"/>
  <c r="G28" i="2" s="1"/>
  <c r="I367" i="1"/>
  <c r="AQ561" i="1"/>
  <c r="AV672" i="1"/>
  <c r="BG672" i="1"/>
  <c r="I1110" i="1"/>
  <c r="BG1165" i="1"/>
  <c r="AC1165" i="1" s="1"/>
  <c r="AV1165" i="1"/>
  <c r="J1165" i="1"/>
  <c r="J1397" i="1"/>
  <c r="BG1898" i="1"/>
  <c r="AC1898" i="1" s="1"/>
  <c r="AV1898" i="1"/>
  <c r="BA1898" i="1" s="1"/>
  <c r="AV2636" i="1"/>
  <c r="BG2636" i="1"/>
  <c r="AE2636" i="1" s="1"/>
  <c r="J2636" i="1"/>
  <c r="C27" i="3"/>
  <c r="I44" i="1"/>
  <c r="I190" i="1"/>
  <c r="I189" i="1" s="1"/>
  <c r="J196" i="1"/>
  <c r="AU367" i="1"/>
  <c r="BF460" i="1"/>
  <c r="Z460" i="1" s="1"/>
  <c r="K532" i="1"/>
  <c r="F40" i="2" s="1"/>
  <c r="I40" i="2" s="1"/>
  <c r="BD629" i="1"/>
  <c r="BG663" i="1"/>
  <c r="AC663" i="1" s="1"/>
  <c r="AV663" i="1"/>
  <c r="J834" i="1"/>
  <c r="J833" i="1" s="1"/>
  <c r="E53" i="2" s="1"/>
  <c r="BG912" i="1"/>
  <c r="AA912" i="1" s="1"/>
  <c r="J1813" i="1"/>
  <c r="K2155" i="1"/>
  <c r="F107" i="2" s="1"/>
  <c r="I107" i="2" s="1"/>
  <c r="BG2449" i="1"/>
  <c r="AA2449" i="1" s="1"/>
  <c r="J2449" i="1"/>
  <c r="AV2469" i="1"/>
  <c r="BG2469" i="1"/>
  <c r="AE2469" i="1" s="1"/>
  <c r="J2469" i="1"/>
  <c r="J71" i="1"/>
  <c r="AV196" i="1"/>
  <c r="I220" i="1"/>
  <c r="I428" i="1"/>
  <c r="BG542" i="1"/>
  <c r="AA542" i="1" s="1"/>
  <c r="AU672" i="1"/>
  <c r="AU745" i="1"/>
  <c r="J1159" i="1"/>
  <c r="AU1383" i="1"/>
  <c r="BF1383" i="1"/>
  <c r="AB1383" i="1" s="1"/>
  <c r="I1632" i="1"/>
  <c r="AJ1824" i="1"/>
  <c r="I1898" i="1"/>
  <c r="BF1949" i="1"/>
  <c r="AU1949" i="1"/>
  <c r="I1949" i="1"/>
  <c r="AJ1980" i="1"/>
  <c r="AV1988" i="1"/>
  <c r="J1988" i="1"/>
  <c r="BG1988" i="1"/>
  <c r="AA1988" i="1" s="1"/>
  <c r="AV14" i="1"/>
  <c r="BG14" i="1"/>
  <c r="AC14" i="1" s="1"/>
  <c r="AJ26" i="1"/>
  <c r="AS22" i="1" s="1"/>
  <c r="BF169" i="1"/>
  <c r="AU169" i="1"/>
  <c r="J253" i="1"/>
  <c r="BF333" i="1"/>
  <c r="Z333" i="1" s="1"/>
  <c r="BF364" i="1"/>
  <c r="Z364" i="1" s="1"/>
  <c r="I364" i="1"/>
  <c r="AU402" i="1"/>
  <c r="I402" i="1"/>
  <c r="K642" i="1"/>
  <c r="F45" i="2" s="1"/>
  <c r="I45" i="2" s="1"/>
  <c r="AJ645" i="1"/>
  <c r="I736" i="1"/>
  <c r="BG738" i="1"/>
  <c r="AC738" i="1" s="1"/>
  <c r="J738" i="1"/>
  <c r="AV738" i="1"/>
  <c r="AJ745" i="1"/>
  <c r="BF892" i="1"/>
  <c r="Z892" i="1" s="1"/>
  <c r="I892" i="1"/>
  <c r="AU892" i="1"/>
  <c r="J1254" i="1"/>
  <c r="BG1327" i="1"/>
  <c r="AC1327" i="1" s="1"/>
  <c r="AV1327" i="1"/>
  <c r="J1327" i="1"/>
  <c r="AJ1618" i="1"/>
  <c r="BF1848" i="1"/>
  <c r="AB1848" i="1" s="1"/>
  <c r="AU1848" i="1"/>
  <c r="I1848" i="1"/>
  <c r="AJ2203" i="1"/>
  <c r="J57" i="1"/>
  <c r="AU80" i="1"/>
  <c r="BF142" i="1"/>
  <c r="Z142" i="1" s="1"/>
  <c r="AU142" i="1"/>
  <c r="AJ169" i="1"/>
  <c r="AS156" i="1" s="1"/>
  <c r="BG169" i="1"/>
  <c r="M186" i="1"/>
  <c r="G22" i="2" s="1"/>
  <c r="BD187" i="1"/>
  <c r="AJ261" i="1"/>
  <c r="BG348" i="1"/>
  <c r="AV348" i="1"/>
  <c r="J364" i="1"/>
  <c r="BF371" i="1"/>
  <c r="Z371" i="1" s="1"/>
  <c r="AU371" i="1"/>
  <c r="K379" i="1"/>
  <c r="F33" i="2" s="1"/>
  <c r="I33" i="2" s="1"/>
  <c r="AJ380" i="1"/>
  <c r="AS379" i="1" s="1"/>
  <c r="BF402" i="1"/>
  <c r="Z402" i="1" s="1"/>
  <c r="M413" i="1"/>
  <c r="G36" i="2" s="1"/>
  <c r="BF420" i="1"/>
  <c r="Z420" i="1" s="1"/>
  <c r="AU420" i="1"/>
  <c r="I420" i="1"/>
  <c r="BF455" i="1"/>
  <c r="Z455" i="1" s="1"/>
  <c r="AU455" i="1"/>
  <c r="AV610" i="1"/>
  <c r="BG610" i="1"/>
  <c r="AC610" i="1" s="1"/>
  <c r="J610" i="1"/>
  <c r="I647" i="1"/>
  <c r="K844" i="1"/>
  <c r="F54" i="2" s="1"/>
  <c r="I54" i="2" s="1"/>
  <c r="AJ845" i="1"/>
  <c r="AS844" i="1" s="1"/>
  <c r="AQ862" i="1"/>
  <c r="AS916" i="1"/>
  <c r="BA960" i="1"/>
  <c r="AU1104" i="1"/>
  <c r="BF1104" i="1"/>
  <c r="Z1104" i="1" s="1"/>
  <c r="AV1114" i="1"/>
  <c r="BG1114" i="1"/>
  <c r="AA1114" i="1" s="1"/>
  <c r="J1114" i="1"/>
  <c r="BG1116" i="1"/>
  <c r="AA1116" i="1" s="1"/>
  <c r="AV1116" i="1"/>
  <c r="BA1116" i="1" s="1"/>
  <c r="J1116" i="1"/>
  <c r="AJ1211" i="1"/>
  <c r="BG1236" i="1"/>
  <c r="AC1236" i="1" s="1"/>
  <c r="AV1236" i="1"/>
  <c r="J1236" i="1"/>
  <c r="AU1242" i="1"/>
  <c r="BF1242" i="1"/>
  <c r="AB1242" i="1" s="1"/>
  <c r="I1242" i="1"/>
  <c r="AR1262" i="1"/>
  <c r="AV1291" i="1"/>
  <c r="BG1696" i="1"/>
  <c r="AA1696" i="1" s="1"/>
  <c r="AV1696" i="1"/>
  <c r="BG1883" i="1"/>
  <c r="AV1883" i="1"/>
  <c r="J1883" i="1"/>
  <c r="BG2085" i="1"/>
  <c r="AC2085" i="1" s="1"/>
  <c r="AV2085" i="1"/>
  <c r="J2085" i="1"/>
  <c r="M436" i="1"/>
  <c r="G39" i="2" s="1"/>
  <c r="BD437" i="1"/>
  <c r="AR561" i="1"/>
  <c r="AJ599" i="1"/>
  <c r="AS598" i="1" s="1"/>
  <c r="K598" i="1"/>
  <c r="F43" i="2" s="1"/>
  <c r="I43" i="2" s="1"/>
  <c r="AJ762" i="1"/>
  <c r="BD863" i="1"/>
  <c r="M862" i="1"/>
  <c r="G56" i="2" s="1"/>
  <c r="AV1154" i="1"/>
  <c r="BG1154" i="1"/>
  <c r="AC1154" i="1" s="1"/>
  <c r="AV1223" i="1"/>
  <c r="J1223" i="1"/>
  <c r="AJ1265" i="1"/>
  <c r="K1262" i="1"/>
  <c r="F70" i="2" s="1"/>
  <c r="I70" i="2" s="1"/>
  <c r="AJ1601" i="1"/>
  <c r="K1720" i="1"/>
  <c r="F87" i="2" s="1"/>
  <c r="I87" i="2" s="1"/>
  <c r="AJ1723" i="1"/>
  <c r="BF1883" i="1"/>
  <c r="AU1883" i="1"/>
  <c r="BF1888" i="1"/>
  <c r="AB1888" i="1" s="1"/>
  <c r="I1888" i="1"/>
  <c r="AU1888" i="1"/>
  <c r="BG2064" i="1"/>
  <c r="AC2064" i="1" s="1"/>
  <c r="AV2064" i="1"/>
  <c r="J2064" i="1"/>
  <c r="BF2149" i="1"/>
  <c r="Z2149" i="1" s="1"/>
  <c r="AU2149" i="1"/>
  <c r="BG2266" i="1"/>
  <c r="AC2266" i="1" s="1"/>
  <c r="AV2266" i="1"/>
  <c r="J2266" i="1"/>
  <c r="AU269" i="1"/>
  <c r="I269" i="1"/>
  <c r="AR384" i="1"/>
  <c r="AV480" i="1"/>
  <c r="BG480" i="1"/>
  <c r="AA480" i="1" s="1"/>
  <c r="M833" i="1"/>
  <c r="G53" i="2" s="1"/>
  <c r="BD834" i="1"/>
  <c r="BF865" i="1"/>
  <c r="AD865" i="1" s="1"/>
  <c r="AU865" i="1"/>
  <c r="AU1287" i="1"/>
  <c r="I1287" i="1"/>
  <c r="BF1287" i="1"/>
  <c r="AB1287" i="1" s="1"/>
  <c r="AU1309" i="1"/>
  <c r="BF1309" i="1"/>
  <c r="AB1309" i="1" s="1"/>
  <c r="BG1653" i="1"/>
  <c r="AA1653" i="1" s="1"/>
  <c r="AV1653" i="1"/>
  <c r="J1653" i="1"/>
  <c r="BD1738" i="1"/>
  <c r="AJ1792" i="1"/>
  <c r="BF1794" i="1"/>
  <c r="AB1794" i="1" s="1"/>
  <c r="AU1794" i="1"/>
  <c r="I1794" i="1"/>
  <c r="AJ1869" i="1"/>
  <c r="AJ1918" i="1"/>
  <c r="AJ2057" i="1"/>
  <c r="BD2147" i="1"/>
  <c r="M2144" i="1"/>
  <c r="G106" i="2" s="1"/>
  <c r="BG2379" i="1"/>
  <c r="AA2379" i="1" s="1"/>
  <c r="AV2379" i="1"/>
  <c r="J2379" i="1"/>
  <c r="AV2433" i="1"/>
  <c r="BG2433" i="1"/>
  <c r="AA2433" i="1" s="1"/>
  <c r="J2433" i="1"/>
  <c r="BF2611" i="1"/>
  <c r="AD2611" i="1" s="1"/>
  <c r="AU2611" i="1"/>
  <c r="I2611" i="1"/>
  <c r="K13" i="1"/>
  <c r="BF26" i="1"/>
  <c r="AB26" i="1" s="1"/>
  <c r="AU26" i="1"/>
  <c r="M156" i="1"/>
  <c r="G18" i="2" s="1"/>
  <c r="BF257" i="1"/>
  <c r="Z257" i="1" s="1"/>
  <c r="AT360" i="1"/>
  <c r="K396" i="1"/>
  <c r="F35" i="2" s="1"/>
  <c r="I35" i="2" s="1"/>
  <c r="AS396" i="1"/>
  <c r="AU416" i="1"/>
  <c r="AU425" i="1"/>
  <c r="AV460" i="1"/>
  <c r="AT551" i="1"/>
  <c r="I637" i="1"/>
  <c r="AU637" i="1"/>
  <c r="BD790" i="1"/>
  <c r="AR862" i="1"/>
  <c r="AU877" i="1"/>
  <c r="BF877" i="1"/>
  <c r="Z877" i="1" s="1"/>
  <c r="J963" i="1"/>
  <c r="AV1082" i="1"/>
  <c r="BA1082" i="1" s="1"/>
  <c r="BG1082" i="1"/>
  <c r="AA1082" i="1" s="1"/>
  <c r="J1154" i="1"/>
  <c r="AU1191" i="1"/>
  <c r="BF1191" i="1"/>
  <c r="I1191" i="1"/>
  <c r="BG1223" i="1"/>
  <c r="AC1223" i="1" s="1"/>
  <c r="AQ1262" i="1"/>
  <c r="AV1309" i="1"/>
  <c r="BG1309" i="1"/>
  <c r="AC1309" i="1" s="1"/>
  <c r="J1309" i="1"/>
  <c r="I1431" i="1"/>
  <c r="AU1431" i="1"/>
  <c r="AV1595" i="1"/>
  <c r="BA1595" i="1" s="1"/>
  <c r="J1595" i="1"/>
  <c r="BG1595" i="1"/>
  <c r="AA1595" i="1" s="1"/>
  <c r="AT1614" i="1"/>
  <c r="AV1622" i="1"/>
  <c r="BG1622" i="1"/>
  <c r="AA1622" i="1" s="1"/>
  <c r="AJ1626" i="1"/>
  <c r="BG1794" i="1"/>
  <c r="AC1794" i="1" s="1"/>
  <c r="AV1794" i="1"/>
  <c r="J1794" i="1"/>
  <c r="AJ1814" i="1"/>
  <c r="K1799" i="1"/>
  <c r="F91" i="2" s="1"/>
  <c r="I91" i="2" s="1"/>
  <c r="I1883" i="1"/>
  <c r="AV1965" i="1"/>
  <c r="AT1965" i="1" s="1"/>
  <c r="J1965" i="1"/>
  <c r="AR2041" i="1"/>
  <c r="AV2051" i="1"/>
  <c r="J2051" i="1"/>
  <c r="BG2051" i="1"/>
  <c r="AC2051" i="1" s="1"/>
  <c r="BD2057" i="1"/>
  <c r="M2050" i="1"/>
  <c r="G105" i="2" s="1"/>
  <c r="BF2117" i="1"/>
  <c r="AB2117" i="1" s="1"/>
  <c r="AU2117" i="1"/>
  <c r="BF2169" i="1"/>
  <c r="Z2169" i="1" s="1"/>
  <c r="AU2169" i="1"/>
  <c r="I2169" i="1"/>
  <c r="BD390" i="1"/>
  <c r="M384" i="1"/>
  <c r="G34" i="2" s="1"/>
  <c r="AS575" i="1"/>
  <c r="AQ598" i="1"/>
  <c r="AV641" i="1"/>
  <c r="AT641" i="1" s="1"/>
  <c r="J641" i="1"/>
  <c r="BG641" i="1"/>
  <c r="AJ649" i="1"/>
  <c r="BG655" i="1"/>
  <c r="AC655" i="1" s="1"/>
  <c r="AV655" i="1"/>
  <c r="BF694" i="1"/>
  <c r="AB694" i="1" s="1"/>
  <c r="AU694" i="1"/>
  <c r="AQ742" i="1"/>
  <c r="AV810" i="1"/>
  <c r="BA810" i="1" s="1"/>
  <c r="J810" i="1"/>
  <c r="J789" i="1" s="1"/>
  <c r="E51" i="2" s="1"/>
  <c r="I865" i="1"/>
  <c r="AV877" i="1"/>
  <c r="J877" i="1"/>
  <c r="BG877" i="1"/>
  <c r="AA877" i="1" s="1"/>
  <c r="K962" i="1"/>
  <c r="F61" i="2" s="1"/>
  <c r="I61" i="2" s="1"/>
  <c r="AJ963" i="1"/>
  <c r="AU981" i="1"/>
  <c r="BG1157" i="1"/>
  <c r="J1157" i="1"/>
  <c r="AV1191" i="1"/>
  <c r="BG1191" i="1"/>
  <c r="J1191" i="1"/>
  <c r="BF1244" i="1"/>
  <c r="AB1244" i="1" s="1"/>
  <c r="AU1244" i="1"/>
  <c r="I1244" i="1"/>
  <c r="AU1616" i="1"/>
  <c r="BF1616" i="1"/>
  <c r="Z1616" i="1" s="1"/>
  <c r="I1616" i="1"/>
  <c r="AU1818" i="1"/>
  <c r="BF1818" i="1"/>
  <c r="AB1818" i="1" s="1"/>
  <c r="I1818" i="1"/>
  <c r="AU1846" i="1"/>
  <c r="BF1846" i="1"/>
  <c r="AB1846" i="1" s="1"/>
  <c r="BG2169" i="1"/>
  <c r="AA2169" i="1" s="1"/>
  <c r="AV2169" i="1"/>
  <c r="J2169" i="1"/>
  <c r="BF2235" i="1"/>
  <c r="AB2235" i="1" s="1"/>
  <c r="AU2235" i="1"/>
  <c r="BF193" i="1"/>
  <c r="AB193" i="1" s="1"/>
  <c r="AU193" i="1"/>
  <c r="AT202" i="1"/>
  <c r="BA202" i="1"/>
  <c r="AR204" i="1"/>
  <c r="AV265" i="1"/>
  <c r="BA265" i="1" s="1"/>
  <c r="BG333" i="1"/>
  <c r="AA333" i="1" s="1"/>
  <c r="M359" i="1"/>
  <c r="AV380" i="1"/>
  <c r="BG380" i="1"/>
  <c r="AA380" i="1" s="1"/>
  <c r="J480" i="1"/>
  <c r="BG525" i="1"/>
  <c r="AA525" i="1" s="1"/>
  <c r="AV525" i="1"/>
  <c r="BF568" i="1"/>
  <c r="Z568" i="1" s="1"/>
  <c r="AU568" i="1"/>
  <c r="I568" i="1"/>
  <c r="AR598" i="1"/>
  <c r="BG694" i="1"/>
  <c r="AC694" i="1" s="1"/>
  <c r="AV694" i="1"/>
  <c r="J694" i="1"/>
  <c r="M830" i="1"/>
  <c r="G52" i="2" s="1"/>
  <c r="BD831" i="1"/>
  <c r="AV917" i="1"/>
  <c r="BG917" i="1"/>
  <c r="AA917" i="1" s="1"/>
  <c r="AV963" i="1"/>
  <c r="I981" i="1"/>
  <c r="AR1099" i="1"/>
  <c r="AV1211" i="1"/>
  <c r="BG1211" i="1"/>
  <c r="AC1211" i="1" s="1"/>
  <c r="J1242" i="1"/>
  <c r="BG1244" i="1"/>
  <c r="AC1244" i="1" s="1"/>
  <c r="AV1244" i="1"/>
  <c r="J1244" i="1"/>
  <c r="I1281" i="1"/>
  <c r="AU1281" i="1"/>
  <c r="AV1300" i="1"/>
  <c r="BG1300" i="1"/>
  <c r="AC1300" i="1" s="1"/>
  <c r="K1417" i="1"/>
  <c r="F75" i="2" s="1"/>
  <c r="I75" i="2" s="1"/>
  <c r="AJ2028" i="1"/>
  <c r="BA2089" i="1"/>
  <c r="AT2219" i="1"/>
  <c r="BG2224" i="1"/>
  <c r="AC2224" i="1" s="1"/>
  <c r="AV2224" i="1"/>
  <c r="J2224" i="1"/>
  <c r="BF2527" i="1"/>
  <c r="AD2527" i="1" s="1"/>
  <c r="AU2527" i="1"/>
  <c r="I2527" i="1"/>
  <c r="BF2541" i="1"/>
  <c r="Z2541" i="1" s="1"/>
  <c r="AU2541" i="1"/>
  <c r="I2541" i="1"/>
  <c r="M427" i="1"/>
  <c r="G38" i="2" s="1"/>
  <c r="BG724" i="1"/>
  <c r="AC724" i="1" s="1"/>
  <c r="J724" i="1"/>
  <c r="BF1087" i="1"/>
  <c r="Z1087" i="1" s="1"/>
  <c r="AU1087" i="1"/>
  <c r="I1087" i="1"/>
  <c r="BF1610" i="1"/>
  <c r="Z1610" i="1" s="1"/>
  <c r="AU1610" i="1"/>
  <c r="BF1355" i="1"/>
  <c r="AB1355" i="1" s="1"/>
  <c r="I1355" i="1"/>
  <c r="AQ1799" i="1"/>
  <c r="I1826" i="1"/>
  <c r="M1845" i="1"/>
  <c r="G93" i="2" s="1"/>
  <c r="BF2393" i="1"/>
  <c r="Z2393" i="1" s="1"/>
  <c r="AU2393" i="1"/>
  <c r="I2393" i="1"/>
  <c r="AJ2570" i="1"/>
  <c r="BF2682" i="1"/>
  <c r="AD2682" i="1" s="1"/>
  <c r="I2682" i="1"/>
  <c r="AU2682" i="1"/>
  <c r="AU276" i="1"/>
  <c r="I322" i="1"/>
  <c r="I346" i="1"/>
  <c r="BA352" i="1"/>
  <c r="I362" i="1"/>
  <c r="J411" i="1"/>
  <c r="BD425" i="1"/>
  <c r="BD428" i="1"/>
  <c r="AV568" i="1"/>
  <c r="AT576" i="1"/>
  <c r="AR642" i="1"/>
  <c r="I732" i="1"/>
  <c r="M733" i="1"/>
  <c r="G48" i="2" s="1"/>
  <c r="BG743" i="1"/>
  <c r="AC743" i="1" s="1"/>
  <c r="J743" i="1"/>
  <c r="I790" i="1"/>
  <c r="I789" i="1" s="1"/>
  <c r="D51" i="2" s="1"/>
  <c r="I867" i="1"/>
  <c r="AQ872" i="1"/>
  <c r="AR896" i="1"/>
  <c r="J919" i="1"/>
  <c r="AU919" i="1"/>
  <c r="BG1108" i="1"/>
  <c r="AA1108" i="1" s="1"/>
  <c r="AV1108" i="1"/>
  <c r="J1108" i="1"/>
  <c r="BD1165" i="1"/>
  <c r="M1158" i="1"/>
  <c r="G65" i="2" s="1"/>
  <c r="AU1183" i="1"/>
  <c r="I1183" i="1"/>
  <c r="AJ1240" i="1"/>
  <c r="AS1235" i="1" s="1"/>
  <c r="J1246" i="1"/>
  <c r="I1263" i="1"/>
  <c r="I1283" i="1"/>
  <c r="AU1355" i="1"/>
  <c r="J1400" i="1"/>
  <c r="J1471" i="1"/>
  <c r="AU1649" i="1"/>
  <c r="BF1649" i="1"/>
  <c r="Z1649" i="1" s="1"/>
  <c r="I1649" i="1"/>
  <c r="I1700" i="1"/>
  <c r="AU1700" i="1"/>
  <c r="AV1784" i="1"/>
  <c r="AR1799" i="1"/>
  <c r="BG1822" i="1"/>
  <c r="AC1822" i="1" s="1"/>
  <c r="AV1822" i="1"/>
  <c r="BF1867" i="1"/>
  <c r="AB1867" i="1" s="1"/>
  <c r="AU1867" i="1"/>
  <c r="I1867" i="1"/>
  <c r="AV1872" i="1"/>
  <c r="J1872" i="1"/>
  <c r="AU1928" i="1"/>
  <c r="I1928" i="1"/>
  <c r="BF1928" i="1"/>
  <c r="AB1928" i="1" s="1"/>
  <c r="AJ1939" i="1"/>
  <c r="AS1938" i="1" s="1"/>
  <c r="K1938" i="1"/>
  <c r="F96" i="2" s="1"/>
  <c r="I96" i="2" s="1"/>
  <c r="AJ2021" i="1"/>
  <c r="AJ2051" i="1"/>
  <c r="BF2186" i="1"/>
  <c r="Z2186" i="1" s="1"/>
  <c r="AU2186" i="1"/>
  <c r="I2186" i="1"/>
  <c r="AQ2218" i="1"/>
  <c r="BG2246" i="1"/>
  <c r="AC2246" i="1" s="1"/>
  <c r="AV2246" i="1"/>
  <c r="J2246" i="1"/>
  <c r="K2257" i="1"/>
  <c r="F117" i="2" s="1"/>
  <c r="I117" i="2" s="1"/>
  <c r="AJ2258" i="1"/>
  <c r="AJ2340" i="1"/>
  <c r="BG2344" i="1"/>
  <c r="AC2344" i="1" s="1"/>
  <c r="AV2344" i="1"/>
  <c r="BA2344" i="1" s="1"/>
  <c r="J2344" i="1"/>
  <c r="AV2533" i="1"/>
  <c r="BG2533" i="1"/>
  <c r="AE2533" i="1" s="1"/>
  <c r="J2533" i="1"/>
  <c r="AU2552" i="1"/>
  <c r="BF2552" i="1"/>
  <c r="Z2552" i="1" s="1"/>
  <c r="BF2601" i="1"/>
  <c r="AD2601" i="1" s="1"/>
  <c r="AU2601" i="1"/>
  <c r="I2601" i="1"/>
  <c r="BF2658" i="1"/>
  <c r="AD2658" i="1" s="1"/>
  <c r="AU2658" i="1"/>
  <c r="I2658" i="1"/>
  <c r="I714" i="1"/>
  <c r="AT855" i="1"/>
  <c r="BA855" i="1"/>
  <c r="BG1087" i="1"/>
  <c r="AA1087" i="1" s="1"/>
  <c r="AV1087" i="1"/>
  <c r="J1087" i="1"/>
  <c r="I1234" i="1"/>
  <c r="BF1597" i="1"/>
  <c r="Z1597" i="1" s="1"/>
  <c r="AU1597" i="1"/>
  <c r="I1597" i="1"/>
  <c r="AJ1606" i="1"/>
  <c r="AS1605" i="1" s="1"/>
  <c r="BG1643" i="1"/>
  <c r="AA1643" i="1" s="1"/>
  <c r="AV1643" i="1"/>
  <c r="J1643" i="1"/>
  <c r="AT1665" i="1"/>
  <c r="BA1665" i="1"/>
  <c r="AJ1675" i="1"/>
  <c r="AJ1755" i="1"/>
  <c r="AQ1757" i="1"/>
  <c r="AQ1916" i="1"/>
  <c r="BD1982" i="1"/>
  <c r="M1981" i="1"/>
  <c r="G101" i="2" s="1"/>
  <c r="AV1984" i="1"/>
  <c r="BG1984" i="1"/>
  <c r="AA1984" i="1" s="1"/>
  <c r="J1984" i="1"/>
  <c r="AU2004" i="1"/>
  <c r="BF2004" i="1"/>
  <c r="Z2004" i="1" s="1"/>
  <c r="I2004" i="1"/>
  <c r="K2041" i="1"/>
  <c r="F104" i="2" s="1"/>
  <c r="I104" i="2" s="1"/>
  <c r="AV2357" i="1"/>
  <c r="BG2357" i="1"/>
  <c r="AA2357" i="1" s="1"/>
  <c r="J2357" i="1"/>
  <c r="J2356" i="1" s="1"/>
  <c r="E121" i="2" s="1"/>
  <c r="BD2403" i="1"/>
  <c r="M2402" i="1"/>
  <c r="G127" i="2" s="1"/>
  <c r="AV2509" i="1"/>
  <c r="J2509" i="1"/>
  <c r="I23" i="1"/>
  <c r="J41" i="1"/>
  <c r="K156" i="1"/>
  <c r="F18" i="2" s="1"/>
  <c r="I18" i="2" s="1"/>
  <c r="I167" i="1"/>
  <c r="J397" i="1"/>
  <c r="J635" i="1"/>
  <c r="AV724" i="1"/>
  <c r="BA724" i="1" s="1"/>
  <c r="AU747" i="1"/>
  <c r="I747" i="1"/>
  <c r="J781" i="1"/>
  <c r="AV781" i="1"/>
  <c r="AV892" i="1"/>
  <c r="AT984" i="1"/>
  <c r="AQ1099" i="1"/>
  <c r="AV1263" i="1"/>
  <c r="AT1263" i="1" s="1"/>
  <c r="BG1263" i="1"/>
  <c r="AC1263" i="1" s="1"/>
  <c r="AR1417" i="1"/>
  <c r="AU1628" i="1"/>
  <c r="BF1628" i="1"/>
  <c r="Z1628" i="1" s="1"/>
  <c r="I1665" i="1"/>
  <c r="BF1723" i="1"/>
  <c r="Z1723" i="1" s="1"/>
  <c r="I1723" i="1"/>
  <c r="AU1822" i="1"/>
  <c r="BF1822" i="1"/>
  <c r="AB1822" i="1" s="1"/>
  <c r="I1822" i="1"/>
  <c r="AU1872" i="1"/>
  <c r="BF1872" i="1"/>
  <c r="AB1872" i="1" s="1"/>
  <c r="BF1974" i="1"/>
  <c r="Z1974" i="1" s="1"/>
  <c r="AU1974" i="1"/>
  <c r="J2046" i="1"/>
  <c r="AU2053" i="1"/>
  <c r="I2053" i="1"/>
  <c r="BF2053" i="1"/>
  <c r="AB2053" i="1" s="1"/>
  <c r="AV2276" i="1"/>
  <c r="AT2276" i="1" s="1"/>
  <c r="J2276" i="1"/>
  <c r="BG2276" i="1"/>
  <c r="AJ2411" i="1"/>
  <c r="AU245" i="1"/>
  <c r="I263" i="1"/>
  <c r="J276" i="1"/>
  <c r="AU356" i="1"/>
  <c r="AU404" i="1"/>
  <c r="AU411" i="1"/>
  <c r="AV556" i="1"/>
  <c r="BG556" i="1"/>
  <c r="AA556" i="1" s="1"/>
  <c r="AU573" i="1"/>
  <c r="I615" i="1"/>
  <c r="AU615" i="1"/>
  <c r="AV649" i="1"/>
  <c r="BA649" i="1" s="1"/>
  <c r="J649" i="1"/>
  <c r="BF714" i="1"/>
  <c r="AB714" i="1" s="1"/>
  <c r="AU790" i="1"/>
  <c r="J867" i="1"/>
  <c r="AV919" i="1"/>
  <c r="AV1183" i="1"/>
  <c r="BG1183" i="1"/>
  <c r="AC1183" i="1" s="1"/>
  <c r="AU1234" i="1"/>
  <c r="J1263" i="1"/>
  <c r="AT1283" i="1"/>
  <c r="AR1297" i="1"/>
  <c r="BF1313" i="1"/>
  <c r="AB1313" i="1" s="1"/>
  <c r="AU1313" i="1"/>
  <c r="J1355" i="1"/>
  <c r="AV1355" i="1"/>
  <c r="AR1394" i="1"/>
  <c r="I1628" i="1"/>
  <c r="BF1667" i="1"/>
  <c r="Z1667" i="1" s="1"/>
  <c r="AU1667" i="1"/>
  <c r="I1667" i="1"/>
  <c r="J1683" i="1"/>
  <c r="AV1683" i="1"/>
  <c r="J1698" i="1"/>
  <c r="J1700" i="1"/>
  <c r="AV1700" i="1"/>
  <c r="AU1723" i="1"/>
  <c r="I1729" i="1"/>
  <c r="AU1744" i="1"/>
  <c r="I1744" i="1"/>
  <c r="BF1744" i="1"/>
  <c r="Z1744" i="1" s="1"/>
  <c r="BF1837" i="1"/>
  <c r="AB1837" i="1" s="1"/>
  <c r="AU1837" i="1"/>
  <c r="I1837" i="1"/>
  <c r="AJ1866" i="1"/>
  <c r="AU1921" i="1"/>
  <c r="BF1921" i="1"/>
  <c r="AB1921" i="1" s="1"/>
  <c r="I1925" i="1"/>
  <c r="AU1925" i="1"/>
  <c r="AV2046" i="1"/>
  <c r="AU2075" i="1"/>
  <c r="BF2075" i="1"/>
  <c r="AB2075" i="1" s="1"/>
  <c r="I2075" i="1"/>
  <c r="K2168" i="1"/>
  <c r="F109" i="2" s="1"/>
  <c r="I109" i="2" s="1"/>
  <c r="AJ2171" i="1"/>
  <c r="AS2168" i="1" s="1"/>
  <c r="BG2186" i="1"/>
  <c r="AA2186" i="1" s="1"/>
  <c r="AV2186" i="1"/>
  <c r="J2186" i="1"/>
  <c r="BF2254" i="1"/>
  <c r="AB2254" i="1" s="1"/>
  <c r="AU2254" i="1"/>
  <c r="I2254" i="1"/>
  <c r="BG2364" i="1"/>
  <c r="AV2364" i="1"/>
  <c r="J2364" i="1"/>
  <c r="AJ2387" i="1"/>
  <c r="AS2378" i="1" s="1"/>
  <c r="BG2509" i="1"/>
  <c r="AA2509" i="1" s="1"/>
  <c r="BG2601" i="1"/>
  <c r="AE2601" i="1" s="1"/>
  <c r="AV2601" i="1"/>
  <c r="J2601" i="1"/>
  <c r="AT714" i="1"/>
  <c r="BA714" i="1"/>
  <c r="AR1408" i="1"/>
  <c r="BG1798" i="1"/>
  <c r="AC1798" i="1" s="1"/>
  <c r="AV1798" i="1"/>
  <c r="J1798" i="1"/>
  <c r="AT1826" i="1"/>
  <c r="BA1826" i="1"/>
  <c r="I356" i="1"/>
  <c r="J568" i="1"/>
  <c r="AT734" i="1"/>
  <c r="BG984" i="1"/>
  <c r="AA984" i="1" s="1"/>
  <c r="J984" i="1"/>
  <c r="AV635" i="1"/>
  <c r="AV205" i="1"/>
  <c r="BA205" i="1" s="1"/>
  <c r="J263" i="1"/>
  <c r="BA322" i="1"/>
  <c r="AV356" i="1"/>
  <c r="AU362" i="1"/>
  <c r="AU375" i="1"/>
  <c r="M396" i="1"/>
  <c r="G35" i="2" s="1"/>
  <c r="AV404" i="1"/>
  <c r="AT470" i="1"/>
  <c r="J515" i="1"/>
  <c r="J615" i="1"/>
  <c r="AV615" i="1"/>
  <c r="I762" i="1"/>
  <c r="K862" i="1"/>
  <c r="F56" i="2" s="1"/>
  <c r="I56" i="2" s="1"/>
  <c r="J957" i="1"/>
  <c r="AJ972" i="1"/>
  <c r="AU1118" i="1"/>
  <c r="AV1234" i="1"/>
  <c r="BF1263" i="1"/>
  <c r="AB1263" i="1" s="1"/>
  <c r="AU1296" i="1"/>
  <c r="BF1296" i="1"/>
  <c r="I1296" i="1"/>
  <c r="BG1313" i="1"/>
  <c r="AC1313" i="1" s="1"/>
  <c r="J1313" i="1"/>
  <c r="AT1335" i="1"/>
  <c r="BG1400" i="1"/>
  <c r="AC1400" i="1" s="1"/>
  <c r="BF1513" i="1"/>
  <c r="AB1513" i="1" s="1"/>
  <c r="AU1513" i="1"/>
  <c r="I1513" i="1"/>
  <c r="I1512" i="1" s="1"/>
  <c r="D76" i="2" s="1"/>
  <c r="BF1599" i="1"/>
  <c r="Z1599" i="1" s="1"/>
  <c r="AU1599" i="1"/>
  <c r="BF1665" i="1"/>
  <c r="Z1665" i="1" s="1"/>
  <c r="BG1667" i="1"/>
  <c r="AA1667" i="1" s="1"/>
  <c r="AV1667" i="1"/>
  <c r="J1667" i="1"/>
  <c r="AQ1689" i="1"/>
  <c r="AU1694" i="1"/>
  <c r="BF1694" i="1"/>
  <c r="Z1694" i="1" s="1"/>
  <c r="AV1698" i="1"/>
  <c r="AT1698" i="1" s="1"/>
  <c r="AU1705" i="1"/>
  <c r="I1705" i="1"/>
  <c r="AJ1768" i="1"/>
  <c r="J1784" i="1"/>
  <c r="AJ1815" i="1"/>
  <c r="BF1826" i="1"/>
  <c r="AB1826" i="1" s="1"/>
  <c r="BG1837" i="1"/>
  <c r="AC1837" i="1" s="1"/>
  <c r="AV1837" i="1"/>
  <c r="J1837" i="1"/>
  <c r="BF1873" i="1"/>
  <c r="AB1873" i="1" s="1"/>
  <c r="AU1873" i="1"/>
  <c r="I1873" i="1"/>
  <c r="I1974" i="1"/>
  <c r="AJ2244" i="1"/>
  <c r="BG2254" i="1"/>
  <c r="AC2254" i="1" s="1"/>
  <c r="AV2254" i="1"/>
  <c r="J2254" i="1"/>
  <c r="AJ2318" i="1"/>
  <c r="K2313" i="1"/>
  <c r="F119" i="2" s="1"/>
  <c r="I119" i="2" s="1"/>
  <c r="I2344" i="1"/>
  <c r="BG2505" i="1"/>
  <c r="AE2505" i="1" s="1"/>
  <c r="AV2505" i="1"/>
  <c r="J2505" i="1"/>
  <c r="I2552" i="1"/>
  <c r="AU2581" i="1"/>
  <c r="BF2581" i="1"/>
  <c r="I2581" i="1"/>
  <c r="AJ1298" i="1"/>
  <c r="AS1297" i="1" s="1"/>
  <c r="K1297" i="1"/>
  <c r="F71" i="2" s="1"/>
  <c r="I71" i="2" s="1"/>
  <c r="BF1643" i="1"/>
  <c r="Z1643" i="1" s="1"/>
  <c r="AU1643" i="1"/>
  <c r="I1643" i="1"/>
  <c r="BA1659" i="1"/>
  <c r="AU1833" i="1"/>
  <c r="I1833" i="1"/>
  <c r="AV1857" i="1"/>
  <c r="BG1857" i="1"/>
  <c r="AC1857" i="1" s="1"/>
  <c r="J1857" i="1"/>
  <c r="AJ1982" i="1"/>
  <c r="AS1981" i="1" s="1"/>
  <c r="K1981" i="1"/>
  <c r="F101" i="2" s="1"/>
  <c r="I101" i="2" s="1"/>
  <c r="BG1990" i="1"/>
  <c r="AA1990" i="1" s="1"/>
  <c r="AV1990" i="1"/>
  <c r="AV1997" i="1"/>
  <c r="BG1997" i="1"/>
  <c r="AA1997" i="1" s="1"/>
  <c r="AR2050" i="1"/>
  <c r="AV2073" i="1"/>
  <c r="AT2073" i="1" s="1"/>
  <c r="J2073" i="1"/>
  <c r="AV2244" i="1"/>
  <c r="BG2244" i="1"/>
  <c r="AC2244" i="1" s="1"/>
  <c r="AJ2307" i="1"/>
  <c r="BG2308" i="1"/>
  <c r="AC2308" i="1" s="1"/>
  <c r="AV2308" i="1"/>
  <c r="J2308" i="1"/>
  <c r="AU2357" i="1"/>
  <c r="BF2357" i="1"/>
  <c r="Z2357" i="1" s="1"/>
  <c r="I352" i="1"/>
  <c r="I404" i="1"/>
  <c r="J892" i="1"/>
  <c r="I919" i="1"/>
  <c r="BF1108" i="1"/>
  <c r="Z1108" i="1" s="1"/>
  <c r="AU1108" i="1"/>
  <c r="I1108" i="1"/>
  <c r="I1246" i="1"/>
  <c r="BF276" i="1"/>
  <c r="Z276" i="1" s="1"/>
  <c r="BF352" i="1"/>
  <c r="J556" i="1"/>
  <c r="J588" i="1"/>
  <c r="AS628" i="1"/>
  <c r="AR733" i="1"/>
  <c r="I743" i="1"/>
  <c r="J907" i="1"/>
  <c r="K916" i="1"/>
  <c r="F60" i="2" s="1"/>
  <c r="I60" i="2" s="1"/>
  <c r="I1046" i="1"/>
  <c r="BG1092" i="1"/>
  <c r="AA1092" i="1" s="1"/>
  <c r="AV1092" i="1"/>
  <c r="K1158" i="1"/>
  <c r="F65" i="2" s="1"/>
  <c r="I65" i="2" s="1"/>
  <c r="AR1158" i="1"/>
  <c r="BF1185" i="1"/>
  <c r="AB1185" i="1" s="1"/>
  <c r="AU1185" i="1"/>
  <c r="I1185" i="1"/>
  <c r="J1206" i="1"/>
  <c r="BF1246" i="1"/>
  <c r="AB1246" i="1" s="1"/>
  <c r="AV1296" i="1"/>
  <c r="BG1296" i="1"/>
  <c r="J1296" i="1"/>
  <c r="AU1300" i="1"/>
  <c r="BF1300" i="1"/>
  <c r="AB1300" i="1" s="1"/>
  <c r="M1394" i="1"/>
  <c r="G73" i="2" s="1"/>
  <c r="BG1471" i="1"/>
  <c r="AC1471" i="1" s="1"/>
  <c r="K1515" i="1"/>
  <c r="F77" i="2" s="1"/>
  <c r="I77" i="2" s="1"/>
  <c r="AJ1542" i="1"/>
  <c r="AS1515" i="1" s="1"/>
  <c r="BG1599" i="1"/>
  <c r="AA1599" i="1" s="1"/>
  <c r="AV1599" i="1"/>
  <c r="BA1614" i="1"/>
  <c r="J1679" i="1"/>
  <c r="BF1731" i="1"/>
  <c r="Z1731" i="1" s="1"/>
  <c r="AU1731" i="1"/>
  <c r="I1731" i="1"/>
  <c r="BF1772" i="1"/>
  <c r="AB1772" i="1" s="1"/>
  <c r="AU1772" i="1"/>
  <c r="I1772" i="1"/>
  <c r="AJ1784" i="1"/>
  <c r="BF1813" i="1"/>
  <c r="AB1813" i="1" s="1"/>
  <c r="AU1813" i="1"/>
  <c r="I1872" i="1"/>
  <c r="BF1877" i="1"/>
  <c r="AB1877" i="1" s="1"/>
  <c r="I1877" i="1"/>
  <c r="AU1877" i="1"/>
  <c r="AJ1911" i="1"/>
  <c r="BD2171" i="1"/>
  <c r="BF2224" i="1"/>
  <c r="AB2224" i="1" s="1"/>
  <c r="AU2224" i="1"/>
  <c r="I2224" i="1"/>
  <c r="BA2230" i="1"/>
  <c r="AU2264" i="1"/>
  <c r="BF2264" i="1"/>
  <c r="AB2264" i="1" s="1"/>
  <c r="I2264" i="1"/>
  <c r="BF2344" i="1"/>
  <c r="AB2344" i="1" s="1"/>
  <c r="BA2349" i="1"/>
  <c r="AJ2489" i="1"/>
  <c r="AU2529" i="1"/>
  <c r="I2529" i="1"/>
  <c r="BG1695" i="1"/>
  <c r="AA1695" i="1" s="1"/>
  <c r="AV1695" i="1"/>
  <c r="J1695" i="1"/>
  <c r="AU1788" i="1"/>
  <c r="BF1788" i="1"/>
  <c r="AB1788" i="1" s="1"/>
  <c r="AU1800" i="1"/>
  <c r="BF1800" i="1"/>
  <c r="AB1800" i="1" s="1"/>
  <c r="AU1828" i="1"/>
  <c r="I1828" i="1"/>
  <c r="AV1833" i="1"/>
  <c r="BG1833" i="1"/>
  <c r="AC1833" i="1" s="1"/>
  <c r="AV1874" i="1"/>
  <c r="BG1874" i="1"/>
  <c r="AC1874" i="1" s="1"/>
  <c r="AJ1912" i="1"/>
  <c r="BG1923" i="1"/>
  <c r="AC1923" i="1" s="1"/>
  <c r="J1923" i="1"/>
  <c r="BF1998" i="1"/>
  <c r="Z1998" i="1" s="1"/>
  <c r="AU1998" i="1"/>
  <c r="I1998" i="1"/>
  <c r="AQ1994" i="1"/>
  <c r="AU2214" i="1"/>
  <c r="BF2214" i="1"/>
  <c r="BF2416" i="1"/>
  <c r="Z2416" i="1" s="1"/>
  <c r="AU2416" i="1"/>
  <c r="I2416" i="1"/>
  <c r="AU2441" i="1"/>
  <c r="BF2441" i="1"/>
  <c r="Z2441" i="1" s="1"/>
  <c r="I2441" i="1"/>
  <c r="BF2443" i="1"/>
  <c r="AD2443" i="1" s="1"/>
  <c r="I2443" i="1"/>
  <c r="AJ2756" i="1"/>
  <c r="BG1616" i="1"/>
  <c r="AA1616" i="1" s="1"/>
  <c r="AV1616" i="1"/>
  <c r="J1616" i="1"/>
  <c r="M1689" i="1"/>
  <c r="G85" i="2" s="1"/>
  <c r="BD1690" i="1"/>
  <c r="AU1711" i="1"/>
  <c r="BF1711" i="1"/>
  <c r="Z1711" i="1" s="1"/>
  <c r="I1711" i="1"/>
  <c r="M1720" i="1"/>
  <c r="G87" i="2" s="1"/>
  <c r="BG1733" i="1"/>
  <c r="AA1733" i="1" s="1"/>
  <c r="AV1733" i="1"/>
  <c r="AQ1746" i="1"/>
  <c r="BA1768" i="1"/>
  <c r="AV1788" i="1"/>
  <c r="BG1788" i="1"/>
  <c r="AC1788" i="1" s="1"/>
  <c r="AU1808" i="1"/>
  <c r="I1808" i="1"/>
  <c r="I1811" i="1"/>
  <c r="BG1856" i="1"/>
  <c r="AC1856" i="1" s="1"/>
  <c r="AV1856" i="1"/>
  <c r="J1856" i="1"/>
  <c r="AJ1961" i="1"/>
  <c r="AS1948" i="1" s="1"/>
  <c r="AJ2087" i="1"/>
  <c r="BF2107" i="1"/>
  <c r="AB2107" i="1" s="1"/>
  <c r="AU2107" i="1"/>
  <c r="I2107" i="1"/>
  <c r="AJ2113" i="1"/>
  <c r="AU2116" i="1"/>
  <c r="BF2116" i="1"/>
  <c r="AB2116" i="1" s="1"/>
  <c r="AV2188" i="1"/>
  <c r="J2188" i="1"/>
  <c r="BG2188" i="1"/>
  <c r="AA2188" i="1" s="1"/>
  <c r="BD2201" i="1"/>
  <c r="I2214" i="1"/>
  <c r="BG2214" i="1"/>
  <c r="AV2214" i="1"/>
  <c r="BG2281" i="1"/>
  <c r="AC2281" i="1" s="1"/>
  <c r="AV2281" i="1"/>
  <c r="AJ2320" i="1"/>
  <c r="M2438" i="1"/>
  <c r="G131" i="2" s="1"/>
  <c r="BG2441" i="1"/>
  <c r="AA2441" i="1" s="1"/>
  <c r="J2441" i="1"/>
  <c r="AV2441" i="1"/>
  <c r="BF2689" i="1"/>
  <c r="AD2689" i="1" s="1"/>
  <c r="I2689" i="1"/>
  <c r="AJ2710" i="1"/>
  <c r="K2707" i="1"/>
  <c r="BG1302" i="1"/>
  <c r="AC1302" i="1" s="1"/>
  <c r="AV1302" i="1"/>
  <c r="BF1320" i="1"/>
  <c r="AB1320" i="1" s="1"/>
  <c r="AU1320" i="1"/>
  <c r="I1320" i="1"/>
  <c r="BF1400" i="1"/>
  <c r="AB1400" i="1" s="1"/>
  <c r="AU1400" i="1"/>
  <c r="BA1471" i="1"/>
  <c r="AV1516" i="1"/>
  <c r="BG1516" i="1"/>
  <c r="AC1516" i="1" s="1"/>
  <c r="BG1711" i="1"/>
  <c r="AA1711" i="1" s="1"/>
  <c r="AV1711" i="1"/>
  <c r="J1711" i="1"/>
  <c r="I1788" i="1"/>
  <c r="J1811" i="1"/>
  <c r="AV1815" i="1"/>
  <c r="BG1815" i="1"/>
  <c r="AC1815" i="1" s="1"/>
  <c r="BF1862" i="1"/>
  <c r="AB1862" i="1" s="1"/>
  <c r="AU1862" i="1"/>
  <c r="I1862" i="1"/>
  <c r="J1874" i="1"/>
  <c r="AV1877" i="1"/>
  <c r="I1909" i="1"/>
  <c r="AV1923" i="1"/>
  <c r="BF2012" i="1"/>
  <c r="Z2012" i="1" s="1"/>
  <c r="AU2012" i="1"/>
  <c r="I2012" i="1"/>
  <c r="AU2017" i="1"/>
  <c r="BF2017" i="1"/>
  <c r="Z2017" i="1" s="1"/>
  <c r="I2017" i="1"/>
  <c r="BF2070" i="1"/>
  <c r="AB2070" i="1" s="1"/>
  <c r="AU2070" i="1"/>
  <c r="I2070" i="1"/>
  <c r="BG2107" i="1"/>
  <c r="AC2107" i="1" s="1"/>
  <c r="AV2107" i="1"/>
  <c r="J2107" i="1"/>
  <c r="AU2109" i="1"/>
  <c r="BF2109" i="1"/>
  <c r="AB2109" i="1" s="1"/>
  <c r="I2109" i="1"/>
  <c r="I2116" i="1"/>
  <c r="I2159" i="1"/>
  <c r="AU2166" i="1"/>
  <c r="BF2166" i="1"/>
  <c r="J2214" i="1"/>
  <c r="AJ2349" i="1"/>
  <c r="AU2443" i="1"/>
  <c r="AU2703" i="1"/>
  <c r="BF2703" i="1"/>
  <c r="Z2703" i="1" s="1"/>
  <c r="I2703" i="1"/>
  <c r="BA1708" i="1"/>
  <c r="AJ1710" i="1"/>
  <c r="AV1727" i="1"/>
  <c r="BG1727" i="1"/>
  <c r="AA1727" i="1" s="1"/>
  <c r="I1800" i="1"/>
  <c r="AU1802" i="1"/>
  <c r="I1802" i="1"/>
  <c r="BF1828" i="1"/>
  <c r="J1833" i="1"/>
  <c r="AJ1854" i="1"/>
  <c r="J1877" i="1"/>
  <c r="BG1895" i="1"/>
  <c r="AC1895" i="1" s="1"/>
  <c r="AV1895" i="1"/>
  <c r="J1895" i="1"/>
  <c r="BF1929" i="1"/>
  <c r="AB1929" i="1" s="1"/>
  <c r="AU1929" i="1"/>
  <c r="I1929" i="1"/>
  <c r="BF1988" i="1"/>
  <c r="Z1988" i="1" s="1"/>
  <c r="AU1988" i="1"/>
  <c r="I1988" i="1"/>
  <c r="BG2008" i="1"/>
  <c r="AA2008" i="1" s="1"/>
  <c r="AV2008" i="1"/>
  <c r="BF2077" i="1"/>
  <c r="AB2077" i="1" s="1"/>
  <c r="AU2077" i="1"/>
  <c r="I2077" i="1"/>
  <c r="AV2109" i="1"/>
  <c r="J2109" i="1"/>
  <c r="BF2123" i="1"/>
  <c r="AB2123" i="1" s="1"/>
  <c r="AU2123" i="1"/>
  <c r="AU2159" i="1"/>
  <c r="BG2166" i="1"/>
  <c r="AV2166" i="1"/>
  <c r="AU2244" i="1"/>
  <c r="BF2244" i="1"/>
  <c r="AB2244" i="1" s="1"/>
  <c r="BD2279" i="1"/>
  <c r="M2278" i="1"/>
  <c r="G118" i="2" s="1"/>
  <c r="AU2509" i="1"/>
  <c r="BF2509" i="1"/>
  <c r="Z2509" i="1" s="1"/>
  <c r="I2509" i="1"/>
  <c r="AU2689" i="1"/>
  <c r="AJ2702" i="1"/>
  <c r="BF1984" i="1"/>
  <c r="Z1984" i="1" s="1"/>
  <c r="AU1984" i="1"/>
  <c r="BG2014" i="1"/>
  <c r="AA2014" i="1" s="1"/>
  <c r="AV2014" i="1"/>
  <c r="AT2014" i="1" s="1"/>
  <c r="AQ2050" i="1"/>
  <c r="BF2125" i="1"/>
  <c r="AB2125" i="1" s="1"/>
  <c r="AU2125" i="1"/>
  <c r="I2125" i="1"/>
  <c r="BG2147" i="1"/>
  <c r="AA2147" i="1" s="1"/>
  <c r="AV2147" i="1"/>
  <c r="AT2147" i="1" s="1"/>
  <c r="J2147" i="1"/>
  <c r="AU2153" i="1"/>
  <c r="I2153" i="1"/>
  <c r="M2155" i="1"/>
  <c r="G107" i="2" s="1"/>
  <c r="BD2159" i="1"/>
  <c r="AT2270" i="1"/>
  <c r="BF2308" i="1"/>
  <c r="AB2308" i="1" s="1"/>
  <c r="AU2308" i="1"/>
  <c r="I2308" i="1"/>
  <c r="BD2416" i="1"/>
  <c r="M2413" i="1"/>
  <c r="G128" i="2" s="1"/>
  <c r="AJ2634" i="1"/>
  <c r="BG2703" i="1"/>
  <c r="AA2703" i="1" s="1"/>
  <c r="J2703" i="1"/>
  <c r="AV2703" i="1"/>
  <c r="AJ2712" i="1"/>
  <c r="AJ1770" i="1"/>
  <c r="BF1798" i="1"/>
  <c r="AB1798" i="1" s="1"/>
  <c r="AU1798" i="1"/>
  <c r="AU1841" i="1"/>
  <c r="I1841" i="1"/>
  <c r="K1845" i="1"/>
  <c r="F93" i="2" s="1"/>
  <c r="I93" i="2" s="1"/>
  <c r="BG1848" i="1"/>
  <c r="AC1848" i="1" s="1"/>
  <c r="AV1848" i="1"/>
  <c r="J1848" i="1"/>
  <c r="BG1862" i="1"/>
  <c r="AC1862" i="1" s="1"/>
  <c r="AV1862" i="1"/>
  <c r="J1862" i="1"/>
  <c r="BG1899" i="1"/>
  <c r="AC1899" i="1" s="1"/>
  <c r="AV1899" i="1"/>
  <c r="AV1925" i="1"/>
  <c r="BG1925" i="1"/>
  <c r="AC1925" i="1" s="1"/>
  <c r="BG2031" i="1"/>
  <c r="AA2031" i="1" s="1"/>
  <c r="AV2031" i="1"/>
  <c r="AU2048" i="1"/>
  <c r="I2048" i="1"/>
  <c r="BF2048" i="1"/>
  <c r="Z2048" i="1" s="1"/>
  <c r="M2257" i="1"/>
  <c r="G117" i="2" s="1"/>
  <c r="BF2266" i="1"/>
  <c r="AB2266" i="1" s="1"/>
  <c r="AU2266" i="1"/>
  <c r="I2266" i="1"/>
  <c r="AU2396" i="1"/>
  <c r="BF2396" i="1"/>
  <c r="Z2396" i="1" s="1"/>
  <c r="I2396" i="1"/>
  <c r="AJ2426" i="1"/>
  <c r="BG2443" i="1"/>
  <c r="AE2443" i="1" s="1"/>
  <c r="AV2443" i="1"/>
  <c r="J2443" i="1"/>
  <c r="BF2556" i="1"/>
  <c r="Z2556" i="1" s="1"/>
  <c r="AU2556" i="1"/>
  <c r="I2556" i="1"/>
  <c r="M2588" i="1"/>
  <c r="BF2693" i="1"/>
  <c r="AD2693" i="1" s="1"/>
  <c r="AU2693" i="1"/>
  <c r="I2693" i="1"/>
  <c r="AJ2697" i="1"/>
  <c r="AU1603" i="1"/>
  <c r="BF1603" i="1"/>
  <c r="Z1603" i="1" s="1"/>
  <c r="AJ1727" i="1"/>
  <c r="AU1742" i="1"/>
  <c r="I1742" i="1"/>
  <c r="M1746" i="1"/>
  <c r="G89" i="2" s="1"/>
  <c r="AR1757" i="1"/>
  <c r="I1798" i="1"/>
  <c r="BD1835" i="1"/>
  <c r="M1830" i="1"/>
  <c r="G92" i="2" s="1"/>
  <c r="AV1888" i="1"/>
  <c r="I1895" i="1"/>
  <c r="AU1895" i="1"/>
  <c r="I1905" i="1"/>
  <c r="AU1905" i="1"/>
  <c r="M1916" i="1"/>
  <c r="G95" i="2" s="1"/>
  <c r="BD1917" i="1"/>
  <c r="AR1916" i="1"/>
  <c r="AJ1920" i="1"/>
  <c r="AJ1944" i="1"/>
  <c r="AS1943" i="1" s="1"/>
  <c r="K1943" i="1"/>
  <c r="F97" i="2" s="1"/>
  <c r="I97" i="2" s="1"/>
  <c r="AV1944" i="1"/>
  <c r="BA1944" i="1" s="1"/>
  <c r="BG1949" i="1"/>
  <c r="AV1949" i="1"/>
  <c r="BF1955" i="1"/>
  <c r="AU1955" i="1"/>
  <c r="BG1998" i="1"/>
  <c r="AA1998" i="1" s="1"/>
  <c r="J2031" i="1"/>
  <c r="BF2044" i="1"/>
  <c r="Z2044" i="1" s="1"/>
  <c r="AU2044" i="1"/>
  <c r="I2044" i="1"/>
  <c r="AV2077" i="1"/>
  <c r="J2077" i="1"/>
  <c r="BG2077" i="1"/>
  <c r="AC2077" i="1" s="1"/>
  <c r="AJ2117" i="1"/>
  <c r="AU2140" i="1"/>
  <c r="BF2140" i="1"/>
  <c r="AB2140" i="1" s="1"/>
  <c r="BG2200" i="1"/>
  <c r="AA2200" i="1" s="1"/>
  <c r="AV2200" i="1"/>
  <c r="J2200" i="1"/>
  <c r="AQ2227" i="1"/>
  <c r="AV2324" i="1"/>
  <c r="J2324" i="1"/>
  <c r="AU2383" i="1"/>
  <c r="BF2383" i="1"/>
  <c r="Z2383" i="1" s="1"/>
  <c r="I2383" i="1"/>
  <c r="AU2414" i="1"/>
  <c r="BF2414" i="1"/>
  <c r="Z2414" i="1" s="1"/>
  <c r="I2414" i="1"/>
  <c r="AV2521" i="1"/>
  <c r="AT2521" i="1" s="1"/>
  <c r="J2521" i="1"/>
  <c r="BG2562" i="1"/>
  <c r="AA2562" i="1" s="1"/>
  <c r="AV2562" i="1"/>
  <c r="J2562" i="1"/>
  <c r="BF2591" i="1"/>
  <c r="Z2591" i="1" s="1"/>
  <c r="AU2591" i="1"/>
  <c r="I2591" i="1"/>
  <c r="M598" i="1"/>
  <c r="G43" i="2" s="1"/>
  <c r="AR1079" i="1"/>
  <c r="AQ1158" i="1"/>
  <c r="K1253" i="1"/>
  <c r="F69" i="2" s="1"/>
  <c r="I69" i="2" s="1"/>
  <c r="K1326" i="1"/>
  <c r="F72" i="2" s="1"/>
  <c r="I72" i="2" s="1"/>
  <c r="AR1584" i="1"/>
  <c r="AV1603" i="1"/>
  <c r="BG1603" i="1"/>
  <c r="AA1603" i="1" s="1"/>
  <c r="J1603" i="1"/>
  <c r="AT1637" i="1"/>
  <c r="I1641" i="1"/>
  <c r="AQ1720" i="1"/>
  <c r="J1740" i="1"/>
  <c r="AV1742" i="1"/>
  <c r="J1742" i="1"/>
  <c r="AV1776" i="1"/>
  <c r="BG1776" i="1"/>
  <c r="AC1776" i="1" s="1"/>
  <c r="J1802" i="1"/>
  <c r="J1818" i="1"/>
  <c r="BF1841" i="1"/>
  <c r="AB1841" i="1" s="1"/>
  <c r="BF1843" i="1"/>
  <c r="AB1843" i="1" s="1"/>
  <c r="AU1843" i="1"/>
  <c r="I1850" i="1"/>
  <c r="AU1903" i="1"/>
  <c r="I1903" i="1"/>
  <c r="J1949" i="1"/>
  <c r="I1955" i="1"/>
  <c r="AJ1965" i="1"/>
  <c r="K1964" i="1"/>
  <c r="AV1967" i="1"/>
  <c r="BG1967" i="1"/>
  <c r="AA1967" i="1" s="1"/>
  <c r="BF1972" i="1"/>
  <c r="Z1972" i="1" s="1"/>
  <c r="AU1972" i="1"/>
  <c r="M1994" i="1"/>
  <c r="G102" i="2" s="1"/>
  <c r="AU2011" i="1"/>
  <c r="BF2011" i="1"/>
  <c r="Z2011" i="1" s="1"/>
  <c r="K2030" i="1"/>
  <c r="F103" i="2" s="1"/>
  <c r="I103" i="2" s="1"/>
  <c r="AU2061" i="1"/>
  <c r="BF2061" i="1"/>
  <c r="AB2061" i="1" s="1"/>
  <c r="AJ2064" i="1"/>
  <c r="AU2083" i="1"/>
  <c r="BF2083" i="1"/>
  <c r="AB2083" i="1" s="1"/>
  <c r="I2083" i="1"/>
  <c r="AJ2153" i="1"/>
  <c r="AS2144" i="1" s="1"/>
  <c r="AU2221" i="1"/>
  <c r="BF2221" i="1"/>
  <c r="BG2237" i="1"/>
  <c r="AC2237" i="1" s="1"/>
  <c r="AV2237" i="1"/>
  <c r="J2237" i="1"/>
  <c r="AU2436" i="1"/>
  <c r="I2436" i="1"/>
  <c r="I2435" i="1" s="1"/>
  <c r="D130" i="2" s="1"/>
  <c r="BF2436" i="1"/>
  <c r="AU2624" i="1"/>
  <c r="BF2624" i="1"/>
  <c r="AD2624" i="1" s="1"/>
  <c r="AU1395" i="1"/>
  <c r="BF1395" i="1"/>
  <c r="AB1395" i="1" s="1"/>
  <c r="J1513" i="1"/>
  <c r="J1512" i="1" s="1"/>
  <c r="E76" i="2" s="1"/>
  <c r="I1603" i="1"/>
  <c r="AU1612" i="1"/>
  <c r="BF1612" i="1"/>
  <c r="Z1612" i="1" s="1"/>
  <c r="BF1630" i="1"/>
  <c r="Z1630" i="1" s="1"/>
  <c r="AU1630" i="1"/>
  <c r="I1630" i="1"/>
  <c r="I1677" i="1"/>
  <c r="AU1681" i="1"/>
  <c r="I1681" i="1"/>
  <c r="AU1709" i="1"/>
  <c r="BF1709" i="1"/>
  <c r="Z1709" i="1" s="1"/>
  <c r="AR1720" i="1"/>
  <c r="AS1737" i="1"/>
  <c r="J1772" i="1"/>
  <c r="I1776" i="1"/>
  <c r="AU1806" i="1"/>
  <c r="BG1843" i="1"/>
  <c r="AC1843" i="1" s="1"/>
  <c r="AV1843" i="1"/>
  <c r="J1843" i="1"/>
  <c r="J1873" i="1"/>
  <c r="AV1878" i="1"/>
  <c r="BA1878" i="1" s="1"/>
  <c r="J1878" i="1"/>
  <c r="BF1906" i="1"/>
  <c r="AB1906" i="1" s="1"/>
  <c r="AU1906" i="1"/>
  <c r="I1906" i="1"/>
  <c r="AU1915" i="1"/>
  <c r="I1915" i="1"/>
  <c r="BD1944" i="1"/>
  <c r="M1943" i="1"/>
  <c r="G97" i="2" s="1"/>
  <c r="K1948" i="1"/>
  <c r="F98" i="2" s="1"/>
  <c r="I98" i="2" s="1"/>
  <c r="I1967" i="1"/>
  <c r="AV1972" i="1"/>
  <c r="BG1972" i="1"/>
  <c r="AA1972" i="1" s="1"/>
  <c r="J1972" i="1"/>
  <c r="BG2021" i="1"/>
  <c r="AA2021" i="1" s="1"/>
  <c r="AV2021" i="1"/>
  <c r="AU2105" i="1"/>
  <c r="BF2105" i="1"/>
  <c r="AB2105" i="1" s="1"/>
  <c r="I2105" i="1"/>
  <c r="I2138" i="1"/>
  <c r="AU2268" i="1"/>
  <c r="BF2268" i="1"/>
  <c r="AB2268" i="1" s="1"/>
  <c r="AJ2305" i="1"/>
  <c r="BD2360" i="1"/>
  <c r="M2359" i="1"/>
  <c r="G122" i="2" s="1"/>
  <c r="AJ2366" i="1"/>
  <c r="AV2501" i="1"/>
  <c r="BG2501" i="1"/>
  <c r="AE2501" i="1" s="1"/>
  <c r="J2501" i="1"/>
  <c r="AJ2525" i="1"/>
  <c r="AQ2572" i="1"/>
  <c r="BF2646" i="1"/>
  <c r="AD2646" i="1" s="1"/>
  <c r="AU2646" i="1"/>
  <c r="I2646" i="1"/>
  <c r="I635" i="1"/>
  <c r="M667" i="1"/>
  <c r="G46" i="2" s="1"/>
  <c r="K872" i="1"/>
  <c r="I907" i="1"/>
  <c r="BF1033" i="1"/>
  <c r="Z1033" i="1" s="1"/>
  <c r="AU1033" i="1"/>
  <c r="I1033" i="1"/>
  <c r="BG1185" i="1"/>
  <c r="AC1185" i="1" s="1"/>
  <c r="AV1185" i="1"/>
  <c r="J1185" i="1"/>
  <c r="AQ1253" i="1"/>
  <c r="J1267" i="1"/>
  <c r="I1279" i="1"/>
  <c r="J1320" i="1"/>
  <c r="M1326" i="1"/>
  <c r="G72" i="2" s="1"/>
  <c r="BD1327" i="1"/>
  <c r="I1395" i="1"/>
  <c r="AV1395" i="1"/>
  <c r="BG1395" i="1"/>
  <c r="AC1395" i="1" s="1"/>
  <c r="AV1513" i="1"/>
  <c r="AV1610" i="1"/>
  <c r="AV1630" i="1"/>
  <c r="J1630" i="1"/>
  <c r="M1636" i="1"/>
  <c r="G84" i="2" s="1"/>
  <c r="I1659" i="1"/>
  <c r="J1663" i="1"/>
  <c r="AV1663" i="1"/>
  <c r="J1677" i="1"/>
  <c r="AU1677" i="1"/>
  <c r="AV1707" i="1"/>
  <c r="AV1772" i="1"/>
  <c r="J1776" i="1"/>
  <c r="AV1782" i="1"/>
  <c r="AT1782" i="1" s="1"/>
  <c r="J1782" i="1"/>
  <c r="AU1795" i="1"/>
  <c r="I1795" i="1"/>
  <c r="AR1830" i="1"/>
  <c r="AU1854" i="1"/>
  <c r="BF1854" i="1"/>
  <c r="AB1854" i="1" s="1"/>
  <c r="AV1873" i="1"/>
  <c r="I1878" i="1"/>
  <c r="AT1881" i="1"/>
  <c r="BG1906" i="1"/>
  <c r="AC1906" i="1" s="1"/>
  <c r="AV1906" i="1"/>
  <c r="J1906" i="1"/>
  <c r="BG1918" i="1"/>
  <c r="AC1918" i="1" s="1"/>
  <c r="AV1918" i="1"/>
  <c r="AV1939" i="1"/>
  <c r="AU1946" i="1"/>
  <c r="BF1946" i="1"/>
  <c r="Z1946" i="1" s="1"/>
  <c r="M1964" i="1"/>
  <c r="J1967" i="1"/>
  <c r="AU1967" i="1"/>
  <c r="I1972" i="1"/>
  <c r="BD1995" i="1"/>
  <c r="I2000" i="1"/>
  <c r="AJ2042" i="1"/>
  <c r="AS2041" i="1" s="1"/>
  <c r="BA2066" i="1"/>
  <c r="AJ2099" i="1"/>
  <c r="I2129" i="1"/>
  <c r="AU2129" i="1"/>
  <c r="J2138" i="1"/>
  <c r="AU2138" i="1"/>
  <c r="I2140" i="1"/>
  <c r="E111" i="2"/>
  <c r="BG2180" i="1"/>
  <c r="AA2180" i="1" s="1"/>
  <c r="AV2180" i="1"/>
  <c r="BA2180" i="1" s="1"/>
  <c r="AU2233" i="1"/>
  <c r="BF2233" i="1"/>
  <c r="AB2233" i="1" s="1"/>
  <c r="I2233" i="1"/>
  <c r="AV2268" i="1"/>
  <c r="BG2268" i="1"/>
  <c r="AC2268" i="1" s="1"/>
  <c r="K2278" i="1"/>
  <c r="F118" i="2" s="1"/>
  <c r="I118" i="2" s="1"/>
  <c r="AJ2279" i="1"/>
  <c r="BF2281" i="1"/>
  <c r="AB2281" i="1" s="1"/>
  <c r="AU2281" i="1"/>
  <c r="BG2324" i="1"/>
  <c r="AC2324" i="1" s="1"/>
  <c r="AU2422" i="1"/>
  <c r="BF2422" i="1"/>
  <c r="Z2422" i="1" s="1"/>
  <c r="I2422" i="1"/>
  <c r="AV2570" i="1"/>
  <c r="AT2570" i="1" s="1"/>
  <c r="AR2572" i="1"/>
  <c r="K2572" i="1"/>
  <c r="F133" i="2" s="1"/>
  <c r="I133" i="2" s="1"/>
  <c r="AJ2577" i="1"/>
  <c r="AS2572" i="1" s="1"/>
  <c r="I2624" i="1"/>
  <c r="BF2626" i="1"/>
  <c r="AD2626" i="1" s="1"/>
  <c r="AU2626" i="1"/>
  <c r="I2626" i="1"/>
  <c r="AJ2029" i="1"/>
  <c r="AU2190" i="1"/>
  <c r="BF2190" i="1"/>
  <c r="Z2190" i="1" s="1"/>
  <c r="AJ2208" i="1"/>
  <c r="K2207" i="1"/>
  <c r="F113" i="2" s="1"/>
  <c r="I113" i="2" s="1"/>
  <c r="BF2229" i="1"/>
  <c r="AB2229" i="1" s="1"/>
  <c r="AU2229" i="1"/>
  <c r="I2229" i="1"/>
  <c r="AQ2257" i="1"/>
  <c r="AU2332" i="1"/>
  <c r="I2332" i="1"/>
  <c r="BF2332" i="1"/>
  <c r="AB2332" i="1" s="1"/>
  <c r="AU2370" i="1"/>
  <c r="BF2370" i="1"/>
  <c r="AJ2691" i="1"/>
  <c r="K2655" i="1"/>
  <c r="F138" i="2" s="1"/>
  <c r="I138" i="2" s="1"/>
  <c r="BG2693" i="1"/>
  <c r="AE2693" i="1" s="1"/>
  <c r="AV2693" i="1"/>
  <c r="J2693" i="1"/>
  <c r="BG2705" i="1"/>
  <c r="AA2705" i="1" s="1"/>
  <c r="AV2705" i="1"/>
  <c r="J2705" i="1"/>
  <c r="M1253" i="1"/>
  <c r="G69" i="2" s="1"/>
  <c r="I1271" i="1"/>
  <c r="I1318" i="1"/>
  <c r="I1351" i="1"/>
  <c r="AS1408" i="1"/>
  <c r="I1657" i="1"/>
  <c r="J1671" i="1"/>
  <c r="J1795" i="1"/>
  <c r="J1808" i="1"/>
  <c r="AJ1897" i="1"/>
  <c r="AJ1908" i="1"/>
  <c r="I1914" i="1"/>
  <c r="BF1922" i="1"/>
  <c r="AB1922" i="1" s="1"/>
  <c r="AU1922" i="1"/>
  <c r="I1951" i="1"/>
  <c r="J1978" i="1"/>
  <c r="AQ1981" i="1"/>
  <c r="AV2163" i="1"/>
  <c r="BA2163" i="1" s="1"/>
  <c r="J2163" i="1"/>
  <c r="AJ2182" i="1"/>
  <c r="AJ2228" i="1"/>
  <c r="AS2227" i="1" s="1"/>
  <c r="K2227" i="1"/>
  <c r="F115" i="2" s="1"/>
  <c r="I115" i="2" s="1"/>
  <c r="BG2229" i="1"/>
  <c r="AC2229" i="1" s="1"/>
  <c r="AV2229" i="1"/>
  <c r="J2229" i="1"/>
  <c r="AR2257" i="1"/>
  <c r="AU2340" i="1"/>
  <c r="I2340" i="1"/>
  <c r="AV2370" i="1"/>
  <c r="BG2370" i="1"/>
  <c r="J2370" i="1"/>
  <c r="AJ2505" i="1"/>
  <c r="AV2546" i="1"/>
  <c r="BG2546" i="1"/>
  <c r="AA2546" i="1" s="1"/>
  <c r="J2546" i="1"/>
  <c r="I1289" i="1"/>
  <c r="J1597" i="1"/>
  <c r="J1609" i="1"/>
  <c r="J1706" i="1"/>
  <c r="AV1880" i="1"/>
  <c r="BG1880" i="1"/>
  <c r="AC1880" i="1" s="1"/>
  <c r="I1893" i="1"/>
  <c r="AU1912" i="1"/>
  <c r="BF1912" i="1"/>
  <c r="AB1912" i="1" s="1"/>
  <c r="BG1922" i="1"/>
  <c r="AC1922" i="1" s="1"/>
  <c r="AV1922" i="1"/>
  <c r="J1922" i="1"/>
  <c r="AR1981" i="1"/>
  <c r="I2006" i="1"/>
  <c r="BF2055" i="1"/>
  <c r="AB2055" i="1" s="1"/>
  <c r="AU2055" i="1"/>
  <c r="I2055" i="1"/>
  <c r="J2093" i="1"/>
  <c r="J2125" i="1"/>
  <c r="AV2125" i="1"/>
  <c r="BF2184" i="1"/>
  <c r="Z2184" i="1" s="1"/>
  <c r="AU2184" i="1"/>
  <c r="I2184" i="1"/>
  <c r="I2190" i="1"/>
  <c r="BG2196" i="1"/>
  <c r="AA2196" i="1" s="1"/>
  <c r="AV2196" i="1"/>
  <c r="AU2301" i="1"/>
  <c r="BF2301" i="1"/>
  <c r="AB2301" i="1" s="1"/>
  <c r="BF2328" i="1"/>
  <c r="AB2328" i="1" s="1"/>
  <c r="AU2328" i="1"/>
  <c r="AJ2352" i="1"/>
  <c r="AS2351" i="1" s="1"/>
  <c r="K2351" i="1"/>
  <c r="F120" i="2" s="1"/>
  <c r="I120" i="2" s="1"/>
  <c r="AV2409" i="1"/>
  <c r="BG2409" i="1"/>
  <c r="J2409" i="1"/>
  <c r="AU2454" i="1"/>
  <c r="BF2454" i="1"/>
  <c r="Z2454" i="1" s="1"/>
  <c r="BA2648" i="1"/>
  <c r="J904" i="1"/>
  <c r="J1064" i="1"/>
  <c r="AR1193" i="1"/>
  <c r="AU1289" i="1"/>
  <c r="AQ1326" i="1"/>
  <c r="J1418" i="1"/>
  <c r="J1574" i="1"/>
  <c r="J1573" i="1" s="1"/>
  <c r="E79" i="2" s="1"/>
  <c r="AV1597" i="1"/>
  <c r="I1620" i="1"/>
  <c r="K1636" i="1"/>
  <c r="F84" i="2" s="1"/>
  <c r="I84" i="2" s="1"/>
  <c r="AV1685" i="1"/>
  <c r="AT1685" i="1" s="1"/>
  <c r="I1713" i="1"/>
  <c r="I1721" i="1"/>
  <c r="J1751" i="1"/>
  <c r="AU1755" i="1"/>
  <c r="BF1755" i="1"/>
  <c r="I1770" i="1"/>
  <c r="I1793" i="1"/>
  <c r="AU1893" i="1"/>
  <c r="AV1912" i="1"/>
  <c r="BG1912" i="1"/>
  <c r="AC1912" i="1" s="1"/>
  <c r="AV1955" i="1"/>
  <c r="J2006" i="1"/>
  <c r="AU2006" i="1"/>
  <c r="J2044" i="1"/>
  <c r="AV2044" i="1"/>
  <c r="AV2093" i="1"/>
  <c r="J2142" i="1"/>
  <c r="AV2142" i="1"/>
  <c r="BG2184" i="1"/>
  <c r="AA2184" i="1" s="1"/>
  <c r="AV2184" i="1"/>
  <c r="J2184" i="1"/>
  <c r="AJ2216" i="1"/>
  <c r="AV2225" i="1"/>
  <c r="J2225" i="1"/>
  <c r="BG2225" i="1"/>
  <c r="AC2225" i="1" s="1"/>
  <c r="AV2301" i="1"/>
  <c r="BG2301" i="1"/>
  <c r="AC2301" i="1" s="1"/>
  <c r="BF2303" i="1"/>
  <c r="AB2303" i="1" s="1"/>
  <c r="AU2303" i="1"/>
  <c r="I2303" i="1"/>
  <c r="M2313" i="1"/>
  <c r="G119" i="2" s="1"/>
  <c r="BG2328" i="1"/>
  <c r="AC2328" i="1" s="1"/>
  <c r="AV2328" i="1"/>
  <c r="J2328" i="1"/>
  <c r="AR2395" i="1"/>
  <c r="BD2431" i="1"/>
  <c r="AU2433" i="1"/>
  <c r="BF2433" i="1"/>
  <c r="Z2433" i="1" s="1"/>
  <c r="I2433" i="1"/>
  <c r="AV2454" i="1"/>
  <c r="J2454" i="1"/>
  <c r="BG2454" i="1"/>
  <c r="AA2454" i="1" s="1"/>
  <c r="AU2662" i="1"/>
  <c r="BF2662" i="1"/>
  <c r="AD2662" i="1" s="1"/>
  <c r="I2662" i="1"/>
  <c r="I18" i="4"/>
  <c r="I27" i="4"/>
  <c r="BA1931" i="1"/>
  <c r="AT1931" i="1"/>
  <c r="AT1976" i="1"/>
  <c r="AU2173" i="1"/>
  <c r="BF2173" i="1"/>
  <c r="Z2173" i="1" s="1"/>
  <c r="AQ2179" i="1"/>
  <c r="AR2207" i="1"/>
  <c r="AU2312" i="1"/>
  <c r="BF2312" i="1"/>
  <c r="AB2312" i="1" s="1"/>
  <c r="AV2316" i="1"/>
  <c r="BG2316" i="1"/>
  <c r="AC2316" i="1" s="1"/>
  <c r="J2316" i="1"/>
  <c r="AV2340" i="1"/>
  <c r="BG2340" i="1"/>
  <c r="AC2340" i="1" s="1"/>
  <c r="AV2383" i="1"/>
  <c r="BG2383" i="1"/>
  <c r="AA2383" i="1" s="1"/>
  <c r="J2383" i="1"/>
  <c r="AV2396" i="1"/>
  <c r="BG2396" i="1"/>
  <c r="AA2396" i="1" s="1"/>
  <c r="J2396" i="1"/>
  <c r="AV2422" i="1"/>
  <c r="BG2422" i="1"/>
  <c r="AA2422" i="1" s="1"/>
  <c r="J2422" i="1"/>
  <c r="AT2452" i="1"/>
  <c r="AT2483" i="1"/>
  <c r="BA2483" i="1"/>
  <c r="BD2604" i="1"/>
  <c r="M2603" i="1"/>
  <c r="G136" i="2" s="1"/>
  <c r="AJ2616" i="1"/>
  <c r="BG2662" i="1"/>
  <c r="AE2662" i="1" s="1"/>
  <c r="AV2662" i="1"/>
  <c r="J2662" i="1"/>
  <c r="BF2664" i="1"/>
  <c r="AD2664" i="1" s="1"/>
  <c r="I2664" i="1"/>
  <c r="AU2664" i="1"/>
  <c r="AJ2752" i="1"/>
  <c r="K2751" i="1"/>
  <c r="F144" i="2" s="1"/>
  <c r="I144" i="2" s="1"/>
  <c r="AU2127" i="1"/>
  <c r="I2127" i="1"/>
  <c r="BF2127" i="1"/>
  <c r="AB2127" i="1" s="1"/>
  <c r="AU2156" i="1"/>
  <c r="BF2156" i="1"/>
  <c r="Z2156" i="1" s="1"/>
  <c r="AV2173" i="1"/>
  <c r="BG2173" i="1"/>
  <c r="AA2173" i="1" s="1"/>
  <c r="M2218" i="1"/>
  <c r="G114" i="2" s="1"/>
  <c r="BF2260" i="1"/>
  <c r="AB2260" i="1" s="1"/>
  <c r="AU2260" i="1"/>
  <c r="I2260" i="1"/>
  <c r="AV2312" i="1"/>
  <c r="BG2312" i="1"/>
  <c r="AC2312" i="1" s="1"/>
  <c r="J2312" i="1"/>
  <c r="AU2497" i="1"/>
  <c r="BF2497" i="1"/>
  <c r="AD2497" i="1" s="1"/>
  <c r="I2497" i="1"/>
  <c r="AQ2623" i="1"/>
  <c r="BG2664" i="1"/>
  <c r="AE2664" i="1" s="1"/>
  <c r="AV2664" i="1"/>
  <c r="J2664" i="1"/>
  <c r="BG2737" i="1"/>
  <c r="AE2737" i="1" s="1"/>
  <c r="AV2737" i="1"/>
  <c r="AJ2741" i="1"/>
  <c r="J1735" i="1"/>
  <c r="I1747" i="1"/>
  <c r="I1814" i="1"/>
  <c r="J1823" i="1"/>
  <c r="J1886" i="1"/>
  <c r="AU1894" i="1"/>
  <c r="I1894" i="1"/>
  <c r="I1901" i="1"/>
  <c r="I1908" i="1"/>
  <c r="J1931" i="1"/>
  <c r="K1994" i="1"/>
  <c r="F102" i="2" s="1"/>
  <c r="I102" i="2" s="1"/>
  <c r="BG2099" i="1"/>
  <c r="AC2099" i="1" s="1"/>
  <c r="AV2099" i="1"/>
  <c r="BA2099" i="1" s="1"/>
  <c r="I2156" i="1"/>
  <c r="AU2210" i="1"/>
  <c r="BF2210" i="1"/>
  <c r="AB2210" i="1" s="1"/>
  <c r="BD2219" i="1"/>
  <c r="BG2260" i="1"/>
  <c r="AC2260" i="1" s="1"/>
  <c r="AV2260" i="1"/>
  <c r="J2260" i="1"/>
  <c r="AU2293" i="1"/>
  <c r="BF2293" i="1"/>
  <c r="AB2293" i="1" s="1"/>
  <c r="K2402" i="1"/>
  <c r="F127" i="2" s="1"/>
  <c r="I127" i="2" s="1"/>
  <c r="AJ2403" i="1"/>
  <c r="AU2405" i="1"/>
  <c r="BF2405" i="1"/>
  <c r="AB2405" i="1" s="1"/>
  <c r="BG2418" i="1"/>
  <c r="AA2418" i="1" s="1"/>
  <c r="AV2418" i="1"/>
  <c r="M2451" i="1"/>
  <c r="G132" i="2" s="1"/>
  <c r="AV2497" i="1"/>
  <c r="BG2497" i="1"/>
  <c r="AE2497" i="1" s="1"/>
  <c r="J2497" i="1"/>
  <c r="AJ2537" i="1"/>
  <c r="BF2547" i="1"/>
  <c r="Z2547" i="1" s="1"/>
  <c r="AU2547" i="1"/>
  <c r="I2547" i="1"/>
  <c r="AR2623" i="1"/>
  <c r="AQ2655" i="1"/>
  <c r="M2655" i="1"/>
  <c r="G138" i="2" s="1"/>
  <c r="BF2724" i="1"/>
  <c r="Z2724" i="1" s="1"/>
  <c r="AU2724" i="1"/>
  <c r="I2724" i="1"/>
  <c r="BD2741" i="1"/>
  <c r="M2730" i="1"/>
  <c r="G141" i="2" s="1"/>
  <c r="I1768" i="1"/>
  <c r="J1835" i="1"/>
  <c r="AU1835" i="1"/>
  <c r="I1860" i="1"/>
  <c r="AV1867" i="1"/>
  <c r="I1881" i="1"/>
  <c r="K1891" i="1"/>
  <c r="F94" i="2" s="1"/>
  <c r="I94" i="2" s="1"/>
  <c r="AU1892" i="1"/>
  <c r="AV1929" i="1"/>
  <c r="I1935" i="1"/>
  <c r="J1992" i="1"/>
  <c r="AU2026" i="1"/>
  <c r="AQ2041" i="1"/>
  <c r="I2087" i="1"/>
  <c r="I2095" i="1"/>
  <c r="J2121" i="1"/>
  <c r="I2173" i="1"/>
  <c r="I2210" i="1"/>
  <c r="AV2216" i="1"/>
  <c r="BG2239" i="1"/>
  <c r="AC2239" i="1" s="1"/>
  <c r="AV2239" i="1"/>
  <c r="AV2293" i="1"/>
  <c r="BG2293" i="1"/>
  <c r="AC2293" i="1" s="1"/>
  <c r="J2340" i="1"/>
  <c r="AV2405" i="1"/>
  <c r="BG2405" i="1"/>
  <c r="AC2405" i="1" s="1"/>
  <c r="AQ2402" i="1"/>
  <c r="AV2547" i="1"/>
  <c r="BG2547" i="1"/>
  <c r="AA2547" i="1" s="1"/>
  <c r="J2547" i="1"/>
  <c r="AJ2611" i="1"/>
  <c r="AJ2759" i="1"/>
  <c r="AS2758" i="1" s="1"/>
  <c r="K2758" i="1"/>
  <c r="F145" i="2" s="1"/>
  <c r="I145" i="2" s="1"/>
  <c r="M2030" i="1"/>
  <c r="G103" i="2" s="1"/>
  <c r="BG2153" i="1"/>
  <c r="AA2153" i="1" s="1"/>
  <c r="AV2153" i="1"/>
  <c r="K2179" i="1"/>
  <c r="F112" i="2" s="1"/>
  <c r="I112" i="2" s="1"/>
  <c r="AT2180" i="1"/>
  <c r="AR2227" i="1"/>
  <c r="AJ2237" i="1"/>
  <c r="K2378" i="1"/>
  <c r="F125" i="2" s="1"/>
  <c r="I125" i="2" s="1"/>
  <c r="AJ2449" i="1"/>
  <c r="BF2463" i="1"/>
  <c r="AD2463" i="1" s="1"/>
  <c r="AU2463" i="1"/>
  <c r="I2463" i="1"/>
  <c r="AJ2743" i="1"/>
  <c r="AQ1948" i="1"/>
  <c r="AJ2370" i="1"/>
  <c r="AJ2443" i="1"/>
  <c r="K2438" i="1"/>
  <c r="F131" i="2" s="1"/>
  <c r="I131" i="2" s="1"/>
  <c r="AJ2462" i="1"/>
  <c r="BG2551" i="1"/>
  <c r="AA2551" i="1" s="1"/>
  <c r="AV2551" i="1"/>
  <c r="AT2551" i="1" s="1"/>
  <c r="AU2573" i="1"/>
  <c r="BF2573" i="1"/>
  <c r="J1934" i="1"/>
  <c r="I2035" i="1"/>
  <c r="I2068" i="1"/>
  <c r="AV2272" i="1"/>
  <c r="BG2272" i="1"/>
  <c r="AC2272" i="1" s="1"/>
  <c r="AQ2313" i="1"/>
  <c r="AU2347" i="1"/>
  <c r="BF2347" i="1"/>
  <c r="AB2347" i="1" s="1"/>
  <c r="K2359" i="1"/>
  <c r="F122" i="2" s="1"/>
  <c r="I122" i="2" s="1"/>
  <c r="AJ2362" i="1"/>
  <c r="M2378" i="1"/>
  <c r="BD2379" i="1"/>
  <c r="AQ2438" i="1"/>
  <c r="BF2487" i="1"/>
  <c r="AD2487" i="1" s="1"/>
  <c r="AU2487" i="1"/>
  <c r="I2487" i="1"/>
  <c r="I2640" i="1"/>
  <c r="AU2666" i="1"/>
  <c r="BF2666" i="1"/>
  <c r="AD2666" i="1" s="1"/>
  <c r="BF2687" i="1"/>
  <c r="Z2687" i="1" s="1"/>
  <c r="AU2687" i="1"/>
  <c r="I2687" i="1"/>
  <c r="BF2701" i="1"/>
  <c r="AD2701" i="1" s="1"/>
  <c r="AU2701" i="1"/>
  <c r="I2701" i="1"/>
  <c r="AJ2774" i="1"/>
  <c r="K2771" i="1"/>
  <c r="F148" i="2" s="1"/>
  <c r="I148" i="2" s="1"/>
  <c r="AV2776" i="1"/>
  <c r="BG2776" i="1"/>
  <c r="AE2776" i="1" s="1"/>
  <c r="J2776" i="1"/>
  <c r="AV1894" i="1"/>
  <c r="AV1915" i="1"/>
  <c r="I2025" i="1"/>
  <c r="BD2031" i="1"/>
  <c r="I2042" i="1"/>
  <c r="J2072" i="1"/>
  <c r="I2132" i="1"/>
  <c r="BF2136" i="1"/>
  <c r="AB2136" i="1" s="1"/>
  <c r="I2141" i="1"/>
  <c r="AU2141" i="1"/>
  <c r="J2143" i="1"/>
  <c r="J2153" i="1"/>
  <c r="I2205" i="1"/>
  <c r="BD2208" i="1"/>
  <c r="AU2223" i="1"/>
  <c r="J2305" i="1"/>
  <c r="J2307" i="1"/>
  <c r="AV2347" i="1"/>
  <c r="BG2347" i="1"/>
  <c r="AC2347" i="1" s="1"/>
  <c r="I2403" i="1"/>
  <c r="AU2403" i="1"/>
  <c r="AJ2431" i="1"/>
  <c r="AS2428" i="1" s="1"/>
  <c r="K2428" i="1"/>
  <c r="F129" i="2" s="1"/>
  <c r="I129" i="2" s="1"/>
  <c r="AU2469" i="1"/>
  <c r="BF2469" i="1"/>
  <c r="AD2469" i="1" s="1"/>
  <c r="J2551" i="1"/>
  <c r="AU2568" i="1"/>
  <c r="BF2568" i="1"/>
  <c r="Z2568" i="1" s="1"/>
  <c r="I2568" i="1"/>
  <c r="I2573" i="1"/>
  <c r="K2603" i="1"/>
  <c r="F136" i="2" s="1"/>
  <c r="I136" i="2" s="1"/>
  <c r="AJ2604" i="1"/>
  <c r="BG2621" i="1"/>
  <c r="AE2621" i="1" s="1"/>
  <c r="AV2621" i="1"/>
  <c r="AT2621" i="1" s="1"/>
  <c r="J2621" i="1"/>
  <c r="AU2640" i="1"/>
  <c r="I2666" i="1"/>
  <c r="BG2687" i="1"/>
  <c r="AA2687" i="1" s="1"/>
  <c r="J2687" i="1"/>
  <c r="AV2687" i="1"/>
  <c r="AR2730" i="1"/>
  <c r="AV2264" i="1"/>
  <c r="J2264" i="1"/>
  <c r="AJ2272" i="1"/>
  <c r="AJ2285" i="1"/>
  <c r="BF2295" i="1"/>
  <c r="AB2295" i="1" s="1"/>
  <c r="AU2295" i="1"/>
  <c r="I2295" i="1"/>
  <c r="AJ2376" i="1"/>
  <c r="AS2375" i="1" s="1"/>
  <c r="K2375" i="1"/>
  <c r="AR2438" i="1"/>
  <c r="BG2471" i="1"/>
  <c r="AE2471" i="1" s="1"/>
  <c r="AV2471" i="1"/>
  <c r="J2471" i="1"/>
  <c r="AV2545" i="1"/>
  <c r="BG2545" i="1"/>
  <c r="AA2545" i="1" s="1"/>
  <c r="J2545" i="1"/>
  <c r="BF2564" i="1"/>
  <c r="Z2564" i="1" s="1"/>
  <c r="AU2564" i="1"/>
  <c r="BG2626" i="1"/>
  <c r="AE2626" i="1" s="1"/>
  <c r="AV2626" i="1"/>
  <c r="J2626" i="1"/>
  <c r="AR2655" i="1"/>
  <c r="BF2772" i="1"/>
  <c r="AD2772" i="1" s="1"/>
  <c r="AU2772" i="1"/>
  <c r="I2772" i="1"/>
  <c r="I2771" i="1" s="1"/>
  <c r="D148" i="2" s="1"/>
  <c r="J2127" i="1"/>
  <c r="I2145" i="1"/>
  <c r="I2198" i="1"/>
  <c r="BG2295" i="1"/>
  <c r="AC2295" i="1" s="1"/>
  <c r="AV2295" i="1"/>
  <c r="J2295" i="1"/>
  <c r="AJ2316" i="1"/>
  <c r="BG2342" i="1"/>
  <c r="AC2342" i="1" s="1"/>
  <c r="AV2342" i="1"/>
  <c r="BG2398" i="1"/>
  <c r="AA2398" i="1" s="1"/>
  <c r="AV2398" i="1"/>
  <c r="AU2445" i="1"/>
  <c r="BF2445" i="1"/>
  <c r="AD2445" i="1" s="1"/>
  <c r="BG2564" i="1"/>
  <c r="AA2564" i="1" s="1"/>
  <c r="AV2564" i="1"/>
  <c r="J2564" i="1"/>
  <c r="AU2672" i="1"/>
  <c r="I2672" i="1"/>
  <c r="AV2772" i="1"/>
  <c r="J2772" i="1"/>
  <c r="BG2772" i="1"/>
  <c r="AE2772" i="1" s="1"/>
  <c r="J2145" i="1"/>
  <c r="AV2233" i="1"/>
  <c r="I2354" i="1"/>
  <c r="J2393" i="1"/>
  <c r="J2414" i="1"/>
  <c r="AV2445" i="1"/>
  <c r="J2445" i="1"/>
  <c r="BG2445" i="1"/>
  <c r="AE2445" i="1" s="1"/>
  <c r="K2451" i="1"/>
  <c r="F132" i="2" s="1"/>
  <c r="I132" i="2" s="1"/>
  <c r="AJ2456" i="1"/>
  <c r="AU2458" i="1"/>
  <c r="I2458" i="1"/>
  <c r="I2513" i="1"/>
  <c r="AU2517" i="1"/>
  <c r="BF2517" i="1"/>
  <c r="AD2517" i="1" s="1"/>
  <c r="I2542" i="1"/>
  <c r="AV2646" i="1"/>
  <c r="AU2716" i="1"/>
  <c r="I2716" i="1"/>
  <c r="BF2716" i="1"/>
  <c r="AD2716" i="1" s="1"/>
  <c r="AV2091" i="1"/>
  <c r="AV2127" i="1"/>
  <c r="I2182" i="1"/>
  <c r="I2192" i="1"/>
  <c r="J2233" i="1"/>
  <c r="J2240" i="1"/>
  <c r="AJ2252" i="1"/>
  <c r="BG2264" i="1"/>
  <c r="AC2264" i="1" s="1"/>
  <c r="AQ2278" i="1"/>
  <c r="AR2278" i="1"/>
  <c r="I2334" i="1"/>
  <c r="AT2338" i="1"/>
  <c r="I2342" i="1"/>
  <c r="AU2342" i="1"/>
  <c r="J2354" i="1"/>
  <c r="J2351" i="1" s="1"/>
  <c r="E120" i="2" s="1"/>
  <c r="AU2354" i="1"/>
  <c r="AQ2378" i="1"/>
  <c r="AV2393" i="1"/>
  <c r="I2398" i="1"/>
  <c r="AU2398" i="1"/>
  <c r="I2424" i="1"/>
  <c r="AU2424" i="1"/>
  <c r="BG2429" i="1"/>
  <c r="AA2429" i="1" s="1"/>
  <c r="AV2429" i="1"/>
  <c r="J2429" i="1"/>
  <c r="I2462" i="1"/>
  <c r="AJ2477" i="1"/>
  <c r="I2489" i="1"/>
  <c r="AU2493" i="1"/>
  <c r="BF2493" i="1"/>
  <c r="AD2493" i="1" s="1"/>
  <c r="I2493" i="1"/>
  <c r="J2513" i="1"/>
  <c r="AU2513" i="1"/>
  <c r="AV2517" i="1"/>
  <c r="J2517" i="1"/>
  <c r="BG2517" i="1"/>
  <c r="AE2517" i="1" s="1"/>
  <c r="J2529" i="1"/>
  <c r="J2537" i="1"/>
  <c r="J2542" i="1"/>
  <c r="AU2542" i="1"/>
  <c r="J2646" i="1"/>
  <c r="AU2710" i="1"/>
  <c r="BG2716" i="1"/>
  <c r="AE2716" i="1" s="1"/>
  <c r="AV2716" i="1"/>
  <c r="J2716" i="1"/>
  <c r="AV2764" i="1"/>
  <c r="BG2764" i="1"/>
  <c r="BG2463" i="1"/>
  <c r="AE2463" i="1" s="1"/>
  <c r="AV2463" i="1"/>
  <c r="AV2493" i="1"/>
  <c r="BG2493" i="1"/>
  <c r="AE2493" i="1" s="1"/>
  <c r="BG2527" i="1"/>
  <c r="AE2527" i="1" s="1"/>
  <c r="AV2527" i="1"/>
  <c r="AQ2588" i="1"/>
  <c r="BG2724" i="1"/>
  <c r="AA2724" i="1" s="1"/>
  <c r="AV2724" i="1"/>
  <c r="J2724" i="1"/>
  <c r="AQ2451" i="1"/>
  <c r="AJ2501" i="1"/>
  <c r="I2583" i="1"/>
  <c r="AV2612" i="1"/>
  <c r="AT2612" i="1" s="1"/>
  <c r="J2612" i="1"/>
  <c r="BG2731" i="1"/>
  <c r="AE2731" i="1" s="1"/>
  <c r="AV2731" i="1"/>
  <c r="AV2778" i="1"/>
  <c r="BG2778" i="1"/>
  <c r="AE2778" i="1" s="1"/>
  <c r="J2778" i="1"/>
  <c r="I2228" i="1"/>
  <c r="I2252" i="1"/>
  <c r="I2285" i="1"/>
  <c r="AR2451" i="1"/>
  <c r="J2527" i="1"/>
  <c r="J2535" i="1"/>
  <c r="J2556" i="1"/>
  <c r="J2583" i="1"/>
  <c r="AS2588" i="1"/>
  <c r="I2604" i="1"/>
  <c r="BF2692" i="1"/>
  <c r="AD2692" i="1" s="1"/>
  <c r="AU2692" i="1"/>
  <c r="I2692" i="1"/>
  <c r="J2252" i="1"/>
  <c r="J2258" i="1"/>
  <c r="AU2258" i="1"/>
  <c r="J2285" i="1"/>
  <c r="AT2285" i="1"/>
  <c r="J2326" i="1"/>
  <c r="AU2326" i="1"/>
  <c r="I2352" i="1"/>
  <c r="I2362" i="1"/>
  <c r="AT2362" i="1"/>
  <c r="I2385" i="1"/>
  <c r="M2395" i="1"/>
  <c r="G126" i="2" s="1"/>
  <c r="AV2416" i="1"/>
  <c r="AU2460" i="1"/>
  <c r="I2485" i="1"/>
  <c r="I2549" i="1"/>
  <c r="BG2549" i="1"/>
  <c r="AA2549" i="1" s="1"/>
  <c r="AV2549" i="1"/>
  <c r="AV2556" i="1"/>
  <c r="AU2583" i="1"/>
  <c r="J2668" i="1"/>
  <c r="BG2668" i="1"/>
  <c r="AE2668" i="1" s="1"/>
  <c r="BF2683" i="1"/>
  <c r="AD2683" i="1" s="1"/>
  <c r="AU2683" i="1"/>
  <c r="I2683" i="1"/>
  <c r="I2720" i="1"/>
  <c r="I2731" i="1"/>
  <c r="AU2731" i="1"/>
  <c r="M2766" i="1"/>
  <c r="G147" i="2" s="1"/>
  <c r="BD2767" i="1"/>
  <c r="AV2541" i="1"/>
  <c r="BG2541" i="1"/>
  <c r="AA2541" i="1" s="1"/>
  <c r="BG2658" i="1"/>
  <c r="AE2658" i="1" s="1"/>
  <c r="AV2658" i="1"/>
  <c r="J2658" i="1"/>
  <c r="K2730" i="1"/>
  <c r="F141" i="2" s="1"/>
  <c r="I141" i="2" s="1"/>
  <c r="M2572" i="1"/>
  <c r="G133" i="2" s="1"/>
  <c r="I2609" i="1"/>
  <c r="AU2617" i="1"/>
  <c r="I2617" i="1"/>
  <c r="M2623" i="1"/>
  <c r="G137" i="2" s="1"/>
  <c r="M2707" i="1"/>
  <c r="BD2710" i="1"/>
  <c r="AJ2749" i="1"/>
  <c r="AS2748" i="1" s="1"/>
  <c r="K2748" i="1"/>
  <c r="BF2767" i="1"/>
  <c r="AD2767" i="1" s="1"/>
  <c r="AU2767" i="1"/>
  <c r="I2767" i="1"/>
  <c r="I2477" i="1"/>
  <c r="J2511" i="1"/>
  <c r="J2541" i="1"/>
  <c r="I2597" i="1"/>
  <c r="AV2650" i="1"/>
  <c r="BG2650" i="1"/>
  <c r="AA2650" i="1" s="1"/>
  <c r="J2692" i="1"/>
  <c r="AV2692" i="1"/>
  <c r="AU2728" i="1"/>
  <c r="BF2728" i="1"/>
  <c r="Z2728" i="1" s="1"/>
  <c r="AV2756" i="1"/>
  <c r="BG2756" i="1"/>
  <c r="AC2756" i="1" s="1"/>
  <c r="AV2767" i="1"/>
  <c r="BG2767" i="1"/>
  <c r="AE2767" i="1" s="1"/>
  <c r="J2767" i="1"/>
  <c r="J2477" i="1"/>
  <c r="AV2487" i="1"/>
  <c r="AU2511" i="1"/>
  <c r="I2585" i="1"/>
  <c r="J2597" i="1"/>
  <c r="AU2609" i="1"/>
  <c r="BD2628" i="1"/>
  <c r="AV2632" i="1"/>
  <c r="BG2632" i="1"/>
  <c r="AE2632" i="1" s="1"/>
  <c r="AR2751" i="1"/>
  <c r="BD2759" i="1"/>
  <c r="K2588" i="1"/>
  <c r="BG2708" i="1"/>
  <c r="AA2708" i="1" s="1"/>
  <c r="AV2708" i="1"/>
  <c r="M2751" i="1"/>
  <c r="G144" i="2" s="1"/>
  <c r="BD2752" i="1"/>
  <c r="K2761" i="1"/>
  <c r="F146" i="2" s="1"/>
  <c r="I146" i="2" s="1"/>
  <c r="AJ2762" i="1"/>
  <c r="AS2761" i="1" s="1"/>
  <c r="J2648" i="1"/>
  <c r="I2691" i="1"/>
  <c r="BF2691" i="1"/>
  <c r="AD2691" i="1" s="1"/>
  <c r="J2708" i="1"/>
  <c r="J2595" i="1"/>
  <c r="I2599" i="1"/>
  <c r="I2614" i="1"/>
  <c r="BG2614" i="1"/>
  <c r="AE2614" i="1" s="1"/>
  <c r="AV2614" i="1"/>
  <c r="BA2614" i="1" s="1"/>
  <c r="I2634" i="1"/>
  <c r="BG2634" i="1"/>
  <c r="AE2634" i="1" s="1"/>
  <c r="AV2634" i="1"/>
  <c r="AV2642" i="1"/>
  <c r="J2642" i="1"/>
  <c r="J2672" i="1"/>
  <c r="AV2672" i="1"/>
  <c r="I2697" i="1"/>
  <c r="AR2707" i="1"/>
  <c r="M2761" i="1"/>
  <c r="G146" i="2" s="1"/>
  <c r="BD2762" i="1"/>
  <c r="AV2774" i="1"/>
  <c r="AJ2778" i="1"/>
  <c r="AU2554" i="1"/>
  <c r="AU2575" i="1"/>
  <c r="AV2585" i="1"/>
  <c r="BA2585" i="1" s="1"/>
  <c r="J2614" i="1"/>
  <c r="J2634" i="1"/>
  <c r="J2676" i="1"/>
  <c r="BG2676" i="1"/>
  <c r="AE2676" i="1" s="1"/>
  <c r="AU2691" i="1"/>
  <c r="J2697" i="1"/>
  <c r="AQ2707" i="1"/>
  <c r="AV2769" i="1"/>
  <c r="AT2769" i="1" s="1"/>
  <c r="J2769" i="1"/>
  <c r="AJ2662" i="1"/>
  <c r="BF2670" i="1"/>
  <c r="AD2670" i="1" s="1"/>
  <c r="AU2670" i="1"/>
  <c r="BF2695" i="1"/>
  <c r="AD2695" i="1" s="1"/>
  <c r="AU2695" i="1"/>
  <c r="AJ2714" i="1"/>
  <c r="J2718" i="1"/>
  <c r="AQ2730" i="1"/>
  <c r="G143" i="2"/>
  <c r="I2645" i="1"/>
  <c r="AV2670" i="1"/>
  <c r="AV2695" i="1"/>
  <c r="J2699" i="1"/>
  <c r="AV2718" i="1"/>
  <c r="BD2749" i="1"/>
  <c r="M2771" i="1"/>
  <c r="G148" i="2" s="1"/>
  <c r="BD2772" i="1"/>
  <c r="BF2778" i="1"/>
  <c r="AD2778" i="1" s="1"/>
  <c r="AU2778" i="1"/>
  <c r="AJ2767" i="1"/>
  <c r="AS2766" i="1" s="1"/>
  <c r="AJ2776" i="1"/>
  <c r="J2685" i="1"/>
  <c r="BG2745" i="1"/>
  <c r="AE2745" i="1" s="1"/>
  <c r="AV2745" i="1"/>
  <c r="AT2345" i="1" l="1"/>
  <c r="BA1904" i="1"/>
  <c r="BA1102" i="1"/>
  <c r="BA2699" i="1"/>
  <c r="BA2628" i="1"/>
  <c r="J2402" i="1"/>
  <c r="E127" i="2" s="1"/>
  <c r="AT1930" i="1"/>
  <c r="AT2059" i="1"/>
  <c r="BA1969" i="1"/>
  <c r="BA1412" i="1"/>
  <c r="BA2274" i="1"/>
  <c r="BA2059" i="1"/>
  <c r="BA2171" i="1"/>
  <c r="BA2462" i="1"/>
  <c r="AT1585" i="1"/>
  <c r="AT2739" i="1"/>
  <c r="I2766" i="1"/>
  <c r="D147" i="2" s="1"/>
  <c r="AS2179" i="1"/>
  <c r="BA2473" i="1"/>
  <c r="AT2188" i="1"/>
  <c r="AT2606" i="1"/>
  <c r="BA2177" i="1"/>
  <c r="BA2630" i="1"/>
  <c r="BA857" i="1"/>
  <c r="BA1064" i="1"/>
  <c r="BA730" i="1"/>
  <c r="AT2656" i="1"/>
  <c r="BA261" i="1"/>
  <c r="AT665" i="1"/>
  <c r="AT1715" i="1"/>
  <c r="BA904" i="1"/>
  <c r="AT2250" i="1"/>
  <c r="BA1248" i="1"/>
  <c r="BA2309" i="1"/>
  <c r="AT2505" i="1"/>
  <c r="AT1810" i="1"/>
  <c r="BA2385" i="1"/>
  <c r="BA2714" i="1"/>
  <c r="BA2495" i="1"/>
  <c r="AT1238" i="1"/>
  <c r="BA1622" i="1"/>
  <c r="BA897" i="1"/>
  <c r="BA1671" i="1"/>
  <c r="AT437" i="1"/>
  <c r="AT1324" i="1"/>
  <c r="AT1046" i="1"/>
  <c r="BA1415" i="1"/>
  <c r="BA1792" i="1"/>
  <c r="BA394" i="1"/>
  <c r="AT2145" i="1"/>
  <c r="BA2733" i="1"/>
  <c r="AT1858" i="1"/>
  <c r="AT1217" i="1"/>
  <c r="BA1790" i="1"/>
  <c r="AT610" i="1"/>
  <c r="AT2503" i="1"/>
  <c r="BA2079" i="1"/>
  <c r="BA1715" i="1"/>
  <c r="AT446" i="1"/>
  <c r="AT1738" i="1"/>
  <c r="BA1675" i="1"/>
  <c r="BA2465" i="1"/>
  <c r="BA2702" i="1"/>
  <c r="AT2000" i="1"/>
  <c r="BA1271" i="1"/>
  <c r="AT2759" i="1"/>
  <c r="AT1865" i="1"/>
  <c r="AT2477" i="1"/>
  <c r="AT1246" i="1"/>
  <c r="AS2438" i="1"/>
  <c r="AT1064" i="1"/>
  <c r="AT2420" i="1"/>
  <c r="BA1917" i="1"/>
  <c r="BA1639" i="1"/>
  <c r="BA2485" i="1"/>
  <c r="BA627" i="1"/>
  <c r="AT2201" i="1"/>
  <c r="BA1699" i="1"/>
  <c r="BA1315" i="1"/>
  <c r="AT2192" i="1"/>
  <c r="BA2471" i="1"/>
  <c r="BA2203" i="1"/>
  <c r="BA2426" i="1"/>
  <c r="BA2242" i="1"/>
  <c r="BA2283" i="1"/>
  <c r="BA2507" i="1"/>
  <c r="BA1814" i="1"/>
  <c r="AS2413" i="1"/>
  <c r="AS1417" i="1"/>
  <c r="AT1821" i="1"/>
  <c r="AT1397" i="1"/>
  <c r="AT2318" i="1"/>
  <c r="AT107" i="1"/>
  <c r="AT490" i="1"/>
  <c r="AT1112" i="1"/>
  <c r="J343" i="1"/>
  <c r="E29" i="2" s="1"/>
  <c r="AT1053" i="1"/>
  <c r="AT2599" i="1"/>
  <c r="BA230" i="1"/>
  <c r="AT1995" i="1"/>
  <c r="BA2739" i="1"/>
  <c r="BA1291" i="1"/>
  <c r="AT1285" i="1"/>
  <c r="AT1265" i="1"/>
  <c r="BA645" i="1"/>
  <c r="AT2368" i="1"/>
  <c r="BA2720" i="1"/>
  <c r="BA2136" i="1"/>
  <c r="I2761" i="1"/>
  <c r="D146" i="2" s="1"/>
  <c r="BA1874" i="1"/>
  <c r="I844" i="1"/>
  <c r="D54" i="2" s="1"/>
  <c r="AT768" i="1"/>
  <c r="AT2465" i="1"/>
  <c r="AT2291" i="1"/>
  <c r="BA2039" i="1"/>
  <c r="AT182" i="1"/>
  <c r="BA1823" i="1"/>
  <c r="AT1913" i="1"/>
  <c r="AT901" i="1"/>
  <c r="AT645" i="1"/>
  <c r="BA165" i="1"/>
  <c r="AT1907" i="1"/>
  <c r="AT1511" i="1"/>
  <c r="AT2310" i="1"/>
  <c r="BA2095" i="1"/>
  <c r="I2402" i="1"/>
  <c r="D127" i="2" s="1"/>
  <c r="J192" i="1"/>
  <c r="E24" i="2" s="1"/>
  <c r="AT897" i="1"/>
  <c r="BA2035" i="1"/>
  <c r="BA2111" i="1"/>
  <c r="AT2507" i="1"/>
  <c r="AT2274" i="1"/>
  <c r="BA2000" i="1"/>
  <c r="AT2255" i="1"/>
  <c r="AT1445" i="1"/>
  <c r="AT2537" i="1"/>
  <c r="AT2385" i="1"/>
  <c r="BA1318" i="1"/>
  <c r="AT570" i="1"/>
  <c r="BA2597" i="1"/>
  <c r="AT2352" i="1"/>
  <c r="AT2558" i="1"/>
  <c r="BA1965" i="1"/>
  <c r="AT917" i="1"/>
  <c r="BA1866" i="1"/>
  <c r="BA1770" i="1"/>
  <c r="AT2674" i="1"/>
  <c r="AT2543" i="1"/>
  <c r="BA2297" i="1"/>
  <c r="BA879" i="1"/>
  <c r="BA2749" i="1"/>
  <c r="AT1641" i="1"/>
  <c r="AT957" i="1"/>
  <c r="BA2305" i="1"/>
  <c r="BA507" i="1"/>
  <c r="BA2616" i="1"/>
  <c r="AT1735" i="1"/>
  <c r="BA36" i="1"/>
  <c r="BA1137" i="1"/>
  <c r="AT271" i="1"/>
  <c r="BA2741" i="1"/>
  <c r="AT86" i="1"/>
  <c r="AT1279" i="1"/>
  <c r="BA1259" i="1"/>
  <c r="AT2593" i="1"/>
  <c r="BA1870" i="1"/>
  <c r="AT1901" i="1"/>
  <c r="AT1082" i="1"/>
  <c r="AT2499" i="1"/>
  <c r="AT251" i="1"/>
  <c r="BA1306" i="1"/>
  <c r="I35" i="1"/>
  <c r="D15" i="2" s="1"/>
  <c r="BA2364" i="1"/>
  <c r="BA2237" i="1"/>
  <c r="AT1869" i="1"/>
  <c r="AT525" i="1"/>
  <c r="AT2025" i="1"/>
  <c r="BA497" i="1"/>
  <c r="BA1645" i="1"/>
  <c r="AT2366" i="1"/>
  <c r="BA437" i="1"/>
  <c r="BA2279" i="1"/>
  <c r="BA65" i="1"/>
  <c r="BA2539" i="1"/>
  <c r="AT1671" i="1"/>
  <c r="BA1733" i="1"/>
  <c r="AT724" i="1"/>
  <c r="BA1961" i="1"/>
  <c r="BA1968" i="1"/>
  <c r="BA1657" i="1"/>
  <c r="J1981" i="1"/>
  <c r="E101" i="2" s="1"/>
  <c r="AT2307" i="1"/>
  <c r="AT1978" i="1"/>
  <c r="AT2037" i="1"/>
  <c r="BA1712" i="1"/>
  <c r="BA860" i="1"/>
  <c r="BA2391" i="1"/>
  <c r="BA2362" i="1"/>
  <c r="AT1875" i="1"/>
  <c r="AT1252" i="1"/>
  <c r="J575" i="1"/>
  <c r="E42" i="2" s="1"/>
  <c r="AT1271" i="1"/>
  <c r="BA1407" i="1"/>
  <c r="BA1335" i="1"/>
  <c r="BA1778" i="1"/>
  <c r="AT238" i="1"/>
  <c r="BA2262" i="1"/>
  <c r="BA1860" i="1"/>
  <c r="BA2680" i="1"/>
  <c r="BA167" i="1"/>
  <c r="BA1886" i="1"/>
  <c r="AT2737" i="1"/>
  <c r="AT2515" i="1"/>
  <c r="AT670" i="1"/>
  <c r="BA2743" i="1"/>
  <c r="BA2134" i="1"/>
  <c r="BA2250" i="1"/>
  <c r="AT1786" i="1"/>
  <c r="AS1964" i="1"/>
  <c r="J1568" i="1"/>
  <c r="E78" i="2" s="1"/>
  <c r="BA364" i="1"/>
  <c r="AT1986" i="1"/>
  <c r="AT1908" i="1"/>
  <c r="BA944" i="1"/>
  <c r="BA1702" i="1"/>
  <c r="AT2042" i="1"/>
  <c r="BA2595" i="1"/>
  <c r="AT1911" i="1"/>
  <c r="AT1491" i="1"/>
  <c r="AT1639" i="1"/>
  <c r="AS1916" i="1"/>
  <c r="AT2182" i="1"/>
  <c r="AT177" i="1"/>
  <c r="BA2409" i="1"/>
  <c r="BA2456" i="1"/>
  <c r="BA610" i="1"/>
  <c r="AT2306" i="1"/>
  <c r="AT1766" i="1"/>
  <c r="BA2029" i="1"/>
  <c r="AS2751" i="1"/>
  <c r="I2428" i="1"/>
  <c r="D129" i="2" s="1"/>
  <c r="BA2515" i="1"/>
  <c r="AT2121" i="1"/>
  <c r="AT2545" i="1"/>
  <c r="AT2163" i="1"/>
  <c r="AT1790" i="1"/>
  <c r="AT1622" i="1"/>
  <c r="AT409" i="1"/>
  <c r="I1568" i="1"/>
  <c r="D78" i="2" s="1"/>
  <c r="AT2752" i="1"/>
  <c r="AT2372" i="1"/>
  <c r="AT2607" i="1"/>
  <c r="BA1980" i="1"/>
  <c r="BA2252" i="1"/>
  <c r="AT2411" i="1"/>
  <c r="BA2033" i="1"/>
  <c r="BA173" i="1"/>
  <c r="BA910" i="1"/>
  <c r="BA2068" i="1"/>
  <c r="AT2632" i="1"/>
  <c r="AT1885" i="1"/>
  <c r="AT732" i="1"/>
  <c r="AT2694" i="1"/>
  <c r="AT1758" i="1"/>
  <c r="AT2334" i="1"/>
  <c r="BA2705" i="1"/>
  <c r="BA907" i="1"/>
  <c r="AT1876" i="1"/>
  <c r="AT2597" i="1"/>
  <c r="AT2471" i="1"/>
  <c r="BA641" i="1"/>
  <c r="BA2002" i="1"/>
  <c r="BA2759" i="1"/>
  <c r="AT2525" i="1"/>
  <c r="BA2042" i="1"/>
  <c r="BA1992" i="1"/>
  <c r="AT1708" i="1"/>
  <c r="BA1817" i="1"/>
  <c r="AT261" i="1"/>
  <c r="AT2462" i="1"/>
  <c r="AT2008" i="1"/>
  <c r="BA2762" i="1"/>
  <c r="BA1277" i="1"/>
  <c r="AT621" i="1"/>
  <c r="AT2676" i="1"/>
  <c r="AT2136" i="1"/>
  <c r="AT1823" i="1"/>
  <c r="AT743" i="1"/>
  <c r="BA1651" i="1"/>
  <c r="BA1824" i="1"/>
  <c r="AT2289" i="1"/>
  <c r="J1249" i="1"/>
  <c r="E68" i="2" s="1"/>
  <c r="BA2452" i="1"/>
  <c r="AT1897" i="1"/>
  <c r="AT1863" i="1"/>
  <c r="BA2322" i="1"/>
  <c r="AT629" i="1"/>
  <c r="AT1957" i="1"/>
  <c r="AT904" i="1"/>
  <c r="AT2198" i="1"/>
  <c r="AT2381" i="1"/>
  <c r="J2359" i="1"/>
  <c r="E122" i="2" s="1"/>
  <c r="AT394" i="1"/>
  <c r="AT2642" i="1"/>
  <c r="AT1874" i="1"/>
  <c r="AT1351" i="1"/>
  <c r="I2218" i="1"/>
  <c r="D114" i="2" s="1"/>
  <c r="BA670" i="1"/>
  <c r="AT2344" i="1"/>
  <c r="AT1157" i="1"/>
  <c r="J2168" i="1"/>
  <c r="E109" i="2" s="1"/>
  <c r="BA1238" i="1"/>
  <c r="AT65" i="1"/>
  <c r="BA597" i="1"/>
  <c r="J2218" i="1"/>
  <c r="E114" i="2" s="1"/>
  <c r="BA1935" i="1"/>
  <c r="AT1886" i="1"/>
  <c r="BA373" i="1"/>
  <c r="AT831" i="1"/>
  <c r="BA1959" i="1"/>
  <c r="BA1920" i="1"/>
  <c r="BA1816" i="1"/>
  <c r="AS102" i="1"/>
  <c r="I1417" i="1"/>
  <c r="D75" i="2" s="1"/>
  <c r="AT2743" i="1"/>
  <c r="BA2182" i="1"/>
  <c r="BA86" i="1"/>
  <c r="BA1880" i="1"/>
  <c r="AT1919" i="1"/>
  <c r="BA1774" i="1"/>
  <c r="BA1129" i="1"/>
  <c r="BA1655" i="1"/>
  <c r="BA1727" i="1"/>
  <c r="J273" i="1"/>
  <c r="E28" i="2" s="1"/>
  <c r="AT430" i="1"/>
  <c r="AT1137" i="1"/>
  <c r="BA1714" i="1"/>
  <c r="AT2248" i="1"/>
  <c r="AT2549" i="1"/>
  <c r="BA1821" i="1"/>
  <c r="AT1318" i="1"/>
  <c r="BA1815" i="1"/>
  <c r="AT1302" i="1"/>
  <c r="AT655" i="1"/>
  <c r="BA917" i="1"/>
  <c r="AT71" i="1"/>
  <c r="BA296" i="1"/>
  <c r="AT220" i="1"/>
  <c r="BA2712" i="1"/>
  <c r="AT2203" i="1"/>
  <c r="BA2239" i="1"/>
  <c r="BA2299" i="1"/>
  <c r="BA1858" i="1"/>
  <c r="J1943" i="1"/>
  <c r="E97" i="2" s="1"/>
  <c r="BA2220" i="1"/>
  <c r="BA1951" i="1"/>
  <c r="AT2279" i="1"/>
  <c r="BA2087" i="1"/>
  <c r="AT2645" i="1"/>
  <c r="J1394" i="1"/>
  <c r="E73" i="2" s="1"/>
  <c r="BA2634" i="1"/>
  <c r="AT1727" i="1"/>
  <c r="AT278" i="1"/>
  <c r="AT2194" i="1"/>
  <c r="AT1407" i="1"/>
  <c r="BA2330" i="1"/>
  <c r="AT1704" i="1"/>
  <c r="BA2708" i="1"/>
  <c r="BA2198" i="1"/>
  <c r="BA2752" i="1"/>
  <c r="AT1944" i="1"/>
  <c r="I22" i="1"/>
  <c r="D13" i="2" s="1"/>
  <c r="BA1869" i="1"/>
  <c r="AS642" i="1"/>
  <c r="AT1690" i="1"/>
  <c r="BA1850" i="1"/>
  <c r="AT265" i="1"/>
  <c r="AS1193" i="1"/>
  <c r="AT2095" i="1"/>
  <c r="BA1673" i="1"/>
  <c r="BA1692" i="1"/>
  <c r="AT1934" i="1"/>
  <c r="AT1831" i="1"/>
  <c r="AT1187" i="1"/>
  <c r="AT515" i="1"/>
  <c r="BA1661" i="1"/>
  <c r="AT1275" i="1"/>
  <c r="I359" i="1"/>
  <c r="D31" i="2" s="1"/>
  <c r="BA1913" i="1"/>
  <c r="AT1679" i="1"/>
  <c r="BA1995" i="1"/>
  <c r="I1394" i="1"/>
  <c r="D73" i="2" s="1"/>
  <c r="BA570" i="1"/>
  <c r="BA2291" i="1"/>
  <c r="BA2418" i="1"/>
  <c r="BA2142" i="1"/>
  <c r="AT1259" i="1"/>
  <c r="BA1978" i="1"/>
  <c r="AT1961" i="1"/>
  <c r="I413" i="1"/>
  <c r="D36" i="2" s="1"/>
  <c r="AT1645" i="1"/>
  <c r="AT2131" i="1"/>
  <c r="BA422" i="1"/>
  <c r="AT643" i="1"/>
  <c r="BA2019" i="1"/>
  <c r="BA2201" i="1"/>
  <c r="AT1749" i="1"/>
  <c r="AT2113" i="1"/>
  <c r="AT1571" i="1"/>
  <c r="BA1080" i="1"/>
  <c r="AS2730" i="1"/>
  <c r="BA414" i="1"/>
  <c r="AT2252" i="1"/>
  <c r="BA2196" i="1"/>
  <c r="AT635" i="1"/>
  <c r="AT36" i="1"/>
  <c r="BA533" i="1"/>
  <c r="AT230" i="1"/>
  <c r="AT1626" i="1"/>
  <c r="BA97" i="1"/>
  <c r="BA2352" i="1"/>
  <c r="AT1904" i="1"/>
  <c r="AT283" i="1"/>
  <c r="BA1933" i="1"/>
  <c r="AT1261" i="1"/>
  <c r="AT2103" i="1"/>
  <c r="AT627" i="1"/>
  <c r="AT1959" i="1"/>
  <c r="AT2546" i="1"/>
  <c r="AT2535" i="1"/>
  <c r="J862" i="1"/>
  <c r="E56" i="2" s="1"/>
  <c r="AT1751" i="1"/>
  <c r="I862" i="1"/>
  <c r="D56" i="2" s="1"/>
  <c r="AT161" i="1"/>
  <c r="I733" i="1"/>
  <c r="D48" i="2" s="1"/>
  <c r="I427" i="1"/>
  <c r="D38" i="2" s="1"/>
  <c r="AT1189" i="1"/>
  <c r="AT1927" i="1"/>
  <c r="AT1618" i="1"/>
  <c r="AT2177" i="1"/>
  <c r="BA251" i="1"/>
  <c r="AT1663" i="1"/>
  <c r="BA674" i="1"/>
  <c r="AT1655" i="1"/>
  <c r="BA732" i="1"/>
  <c r="AT1415" i="1"/>
  <c r="BA653" i="1"/>
  <c r="AT1692" i="1"/>
  <c r="AT173" i="1"/>
  <c r="BA1100" i="1"/>
  <c r="AT2456" i="1"/>
  <c r="BA1796" i="1"/>
  <c r="BA639" i="1"/>
  <c r="BA629" i="1"/>
  <c r="AT167" i="1"/>
  <c r="AT1177" i="1"/>
  <c r="BA446" i="1"/>
  <c r="AT1159" i="1"/>
  <c r="BA588" i="1"/>
  <c r="BA1409" i="1"/>
  <c r="BA2638" i="1"/>
  <c r="BA2607" i="1"/>
  <c r="AT2151" i="1"/>
  <c r="AS1891" i="1"/>
  <c r="BA1729" i="1"/>
  <c r="AT106" i="1"/>
  <c r="J532" i="1"/>
  <c r="E40" i="2" s="1"/>
  <c r="BA1121" i="1"/>
  <c r="BA2429" i="1"/>
  <c r="AT2495" i="1"/>
  <c r="BA1918" i="1"/>
  <c r="AT2068" i="1"/>
  <c r="BA1574" i="1"/>
  <c r="BA1379" i="1"/>
  <c r="AT2028" i="1"/>
  <c r="AT165" i="1"/>
  <c r="J2603" i="1"/>
  <c r="E136" i="2" s="1"/>
  <c r="AT2283" i="1"/>
  <c r="AT2316" i="1"/>
  <c r="BA1839" i="1"/>
  <c r="I1099" i="1"/>
  <c r="D63" i="2" s="1"/>
  <c r="AT649" i="1"/>
  <c r="BA50" i="1"/>
  <c r="I436" i="1"/>
  <c r="D39" i="2" s="1"/>
  <c r="AT400" i="1"/>
  <c r="I532" i="1"/>
  <c r="D40" i="2" s="1"/>
  <c r="AT2595" i="1"/>
  <c r="AT2262" i="1"/>
  <c r="I2313" i="1"/>
  <c r="D119" i="2" s="1"/>
  <c r="BA57" i="1"/>
  <c r="BA1738" i="1"/>
  <c r="BA1902" i="1"/>
  <c r="BA1863" i="1"/>
  <c r="BA901" i="1"/>
  <c r="BA2336" i="1"/>
  <c r="BA2558" i="1"/>
  <c r="AT2745" i="1"/>
  <c r="AT2491" i="1"/>
  <c r="BA1275" i="1"/>
  <c r="AT380" i="1"/>
  <c r="J1948" i="1"/>
  <c r="E98" i="2" s="1"/>
  <c r="BA604" i="1"/>
  <c r="AS1994" i="1"/>
  <c r="BA1265" i="1"/>
  <c r="AT2630" i="1"/>
  <c r="AT2685" i="1"/>
  <c r="BA2064" i="1"/>
  <c r="AT2322" i="1"/>
  <c r="AT972" i="1"/>
  <c r="BA2645" i="1"/>
  <c r="AT1675" i="1"/>
  <c r="AT1277" i="1"/>
  <c r="AT280" i="1"/>
  <c r="BA2287" i="1"/>
  <c r="BA2255" i="1"/>
  <c r="BA2674" i="1"/>
  <c r="BA2208" i="1"/>
  <c r="AT2272" i="1"/>
  <c r="AT1920" i="1"/>
  <c r="BA2021" i="1"/>
  <c r="AT2320" i="1"/>
  <c r="AT2722" i="1"/>
  <c r="AT2143" i="1"/>
  <c r="BA1782" i="1"/>
  <c r="AT1866" i="1"/>
  <c r="AT1171" i="1"/>
  <c r="BA2115" i="1"/>
  <c r="BA2307" i="1"/>
  <c r="AT2391" i="1"/>
  <c r="BA2240" i="1"/>
  <c r="AT2364" i="1"/>
  <c r="AT2087" i="1"/>
  <c r="BA1311" i="1"/>
  <c r="AT944" i="1"/>
  <c r="AS1584" i="1"/>
  <c r="BA2057" i="1"/>
  <c r="AT2023" i="1"/>
  <c r="AT1815" i="1"/>
  <c r="AT2712" i="1"/>
  <c r="BA418" i="1"/>
  <c r="BA2246" i="1"/>
  <c r="AT2091" i="1"/>
  <c r="BA875" i="1"/>
  <c r="AT210" i="1"/>
  <c r="AT373" i="1"/>
  <c r="BA43" i="1"/>
  <c r="AT1970" i="1"/>
  <c r="BA2334" i="1"/>
  <c r="AT1776" i="1"/>
  <c r="BA1418" i="1"/>
  <c r="I916" i="1"/>
  <c r="D60" i="2" s="1"/>
  <c r="I156" i="1"/>
  <c r="D18" i="2" s="1"/>
  <c r="BA655" i="1"/>
  <c r="AT2085" i="1"/>
  <c r="J359" i="1"/>
  <c r="E31" i="2" s="1"/>
  <c r="AT1820" i="1"/>
  <c r="AT588" i="1"/>
  <c r="BA1896" i="1"/>
  <c r="BA2306" i="1"/>
  <c r="AT2644" i="1"/>
  <c r="AT1816" i="1"/>
  <c r="AT1770" i="1"/>
  <c r="AT2749" i="1"/>
  <c r="BA2135" i="1"/>
  <c r="AT507" i="1"/>
  <c r="AT1248" i="1"/>
  <c r="BA781" i="1"/>
  <c r="J2572" i="1"/>
  <c r="E133" i="2" s="1"/>
  <c r="BA283" i="1"/>
  <c r="AT873" i="1"/>
  <c r="AS2234" i="1"/>
  <c r="AT1774" i="1"/>
  <c r="BA2314" i="1"/>
  <c r="BA2366" i="1"/>
  <c r="BA863" i="1"/>
  <c r="AT1997" i="1"/>
  <c r="AT1542" i="1"/>
  <c r="AS742" i="1"/>
  <c r="I1253" i="1"/>
  <c r="D69" i="2" s="1"/>
  <c r="BA525" i="1"/>
  <c r="BA2525" i="1"/>
  <c r="BA2606" i="1"/>
  <c r="BA762" i="1"/>
  <c r="BA2589" i="1"/>
  <c r="BA2226" i="1"/>
  <c r="BA2656" i="1"/>
  <c r="J642" i="1"/>
  <c r="E45" i="2" s="1"/>
  <c r="AT1634" i="1"/>
  <c r="BA703" i="1"/>
  <c r="BA831" i="1"/>
  <c r="AT2485" i="1"/>
  <c r="J1408" i="1"/>
  <c r="E74" i="2" s="1"/>
  <c r="AT1733" i="1"/>
  <c r="BA2660" i="1"/>
  <c r="J2179" i="1"/>
  <c r="E112" i="2" s="1"/>
  <c r="J1891" i="1"/>
  <c r="E94" i="2" s="1"/>
  <c r="BA2570" i="1"/>
  <c r="BA2718" i="1"/>
  <c r="AS2771" i="1"/>
  <c r="BA2475" i="1"/>
  <c r="AT2039" i="1"/>
  <c r="AT2708" i="1"/>
  <c r="I2730" i="1"/>
  <c r="D141" i="2" s="1"/>
  <c r="I2707" i="1"/>
  <c r="D140" i="2" s="1"/>
  <c r="J2155" i="1"/>
  <c r="E107" i="2" s="1"/>
  <c r="AS2655" i="1"/>
  <c r="AT1933" i="1"/>
  <c r="BA1890" i="1"/>
  <c r="J742" i="1"/>
  <c r="E49" i="2" s="1"/>
  <c r="AT397" i="1"/>
  <c r="AT2379" i="1"/>
  <c r="AS1262" i="1"/>
  <c r="BA2505" i="1"/>
  <c r="J156" i="1"/>
  <c r="E18" i="2" s="1"/>
  <c r="J1994" i="1"/>
  <c r="E102" i="2" s="1"/>
  <c r="BA1908" i="1"/>
  <c r="J2730" i="1"/>
  <c r="E141" i="2" s="1"/>
  <c r="BA886" i="1"/>
  <c r="AT159" i="1"/>
  <c r="AT1702" i="1"/>
  <c r="BA2431" i="1"/>
  <c r="AT2431" i="1"/>
  <c r="AT1747" i="1"/>
  <c r="AT2439" i="1"/>
  <c r="I1746" i="1"/>
  <c r="D89" i="2" s="1"/>
  <c r="AT1870" i="1"/>
  <c r="BA2652" i="1"/>
  <c r="AT2697" i="1"/>
  <c r="BA1982" i="1"/>
  <c r="J1720" i="1"/>
  <c r="E87" i="2" s="1"/>
  <c r="BA1404" i="1"/>
  <c r="AT661" i="1"/>
  <c r="J2751" i="1"/>
  <c r="E144" i="2" s="1"/>
  <c r="BA1897" i="1"/>
  <c r="BA350" i="1"/>
  <c r="AT350" i="1"/>
  <c r="BA1907" i="1"/>
  <c r="AT2387" i="1"/>
  <c r="BA2387" i="1"/>
  <c r="AT1879" i="1"/>
  <c r="BA1879" i="1"/>
  <c r="AT1762" i="1"/>
  <c r="BA1762" i="1"/>
  <c r="AT2220" i="1"/>
  <c r="AT1718" i="1"/>
  <c r="AT845" i="1"/>
  <c r="BA845" i="1"/>
  <c r="BA1491" i="1"/>
  <c r="J733" i="1"/>
  <c r="E48" i="2" s="1"/>
  <c r="AT2360" i="1"/>
  <c r="BA2360" i="1"/>
  <c r="BA1256" i="1"/>
  <c r="BA2015" i="1"/>
  <c r="AT2015" i="1"/>
  <c r="AT2589" i="1"/>
  <c r="AT1647" i="1"/>
  <c r="I2278" i="1"/>
  <c r="D118" i="2" s="1"/>
  <c r="BA1831" i="1"/>
  <c r="AT2407" i="1"/>
  <c r="BA2407" i="1"/>
  <c r="AT1721" i="1"/>
  <c r="BA1721" i="1"/>
  <c r="J2257" i="1"/>
  <c r="E117" i="2" s="1"/>
  <c r="BA2091" i="1"/>
  <c r="AT2330" i="1"/>
  <c r="AT369" i="1"/>
  <c r="AT1699" i="1"/>
  <c r="BA1053" i="1"/>
  <c r="AT562" i="1"/>
  <c r="AT1713" i="1"/>
  <c r="BA1713" i="1"/>
  <c r="BA1606" i="1"/>
  <c r="AT1606" i="1"/>
  <c r="BA199" i="1"/>
  <c r="AT199" i="1"/>
  <c r="AT1194" i="1"/>
  <c r="J2766" i="1"/>
  <c r="E147" i="2" s="1"/>
  <c r="I2451" i="1"/>
  <c r="D132" i="2" s="1"/>
  <c r="BA2368" i="1"/>
  <c r="AT2299" i="1"/>
  <c r="AT1968" i="1"/>
  <c r="I2588" i="1"/>
  <c r="AT2064" i="1"/>
  <c r="I1981" i="1"/>
  <c r="D101" i="2" s="1"/>
  <c r="AT2208" i="1"/>
  <c r="I598" i="1"/>
  <c r="D43" i="2" s="1"/>
  <c r="AT1811" i="1"/>
  <c r="J1079" i="1"/>
  <c r="E62" i="2" s="1"/>
  <c r="BA1819" i="1"/>
  <c r="I343" i="1"/>
  <c r="D29" i="2" s="1"/>
  <c r="BA1261" i="1"/>
  <c r="AT860" i="1"/>
  <c r="I396" i="1"/>
  <c r="D35" i="2" s="1"/>
  <c r="BA2008" i="1"/>
  <c r="AT263" i="1"/>
  <c r="BA346" i="1"/>
  <c r="BA2694" i="1"/>
  <c r="BA1679" i="1"/>
  <c r="I1408" i="1"/>
  <c r="D74" i="2" s="1"/>
  <c r="BA1511" i="1"/>
  <c r="BA2376" i="1"/>
  <c r="AT2376" i="1"/>
  <c r="BA1293" i="1"/>
  <c r="AT1293" i="1"/>
  <c r="AT1992" i="1"/>
  <c r="I172" i="1"/>
  <c r="D20" i="2" s="1"/>
  <c r="BA280" i="1"/>
  <c r="AT2481" i="1"/>
  <c r="BA2481" i="1"/>
  <c r="BA1970" i="1"/>
  <c r="BA2103" i="1"/>
  <c r="AS1799" i="1"/>
  <c r="J102" i="1"/>
  <c r="E17" i="2" s="1"/>
  <c r="BA2479" i="1"/>
  <c r="AT2479" i="1"/>
  <c r="J2144" i="1"/>
  <c r="E106" i="2" s="1"/>
  <c r="I1845" i="1"/>
  <c r="D93" i="2" s="1"/>
  <c r="I2395" i="1"/>
  <c r="D126" i="2" s="1"/>
  <c r="J872" i="1"/>
  <c r="AT2762" i="1"/>
  <c r="AT2449" i="1"/>
  <c r="BA2726" i="1"/>
  <c r="AT2726" i="1"/>
  <c r="AT1206" i="1"/>
  <c r="BA1206" i="1"/>
  <c r="BA1687" i="1"/>
  <c r="AT1687" i="1"/>
  <c r="AT33" i="1"/>
  <c r="BA2147" i="1"/>
  <c r="I1891" i="1"/>
  <c r="D94" i="2" s="1"/>
  <c r="AT2501" i="1"/>
  <c r="AT1753" i="1"/>
  <c r="J2030" i="1"/>
  <c r="E103" i="2" s="1"/>
  <c r="J1845" i="1"/>
  <c r="E93" i="2" s="1"/>
  <c r="AT2142" i="1"/>
  <c r="J1297" i="1"/>
  <c r="E71" i="2" s="1"/>
  <c r="AT867" i="1"/>
  <c r="AT857" i="1"/>
  <c r="AT497" i="1"/>
  <c r="BA1919" i="1"/>
  <c r="J1757" i="1"/>
  <c r="E90" i="2" s="1"/>
  <c r="J1193" i="1"/>
  <c r="E66" i="2" s="1"/>
  <c r="I1938" i="1"/>
  <c r="D96" i="2" s="1"/>
  <c r="AS1746" i="1"/>
  <c r="AT1898" i="1"/>
  <c r="BA2697" i="1"/>
  <c r="BA2735" i="1"/>
  <c r="AT2735" i="1"/>
  <c r="BA2381" i="1"/>
  <c r="BA2114" i="1"/>
  <c r="AT2114" i="1"/>
  <c r="M2747" i="1"/>
  <c r="G142" i="2" s="1"/>
  <c r="J2278" i="1"/>
  <c r="E118" i="2" s="1"/>
  <c r="AT1880" i="1"/>
  <c r="AT2021" i="1"/>
  <c r="AT1878" i="1"/>
  <c r="AT1673" i="1"/>
  <c r="J1262" i="1"/>
  <c r="E70" i="2" s="1"/>
  <c r="AT2533" i="1"/>
  <c r="AT1256" i="1"/>
  <c r="M871" i="1"/>
  <c r="G57" i="2" s="1"/>
  <c r="AT2051" i="1"/>
  <c r="J1253" i="1"/>
  <c r="E69" i="2" s="1"/>
  <c r="BA657" i="1"/>
  <c r="I273" i="1"/>
  <c r="D28" i="2" s="1"/>
  <c r="I2030" i="1"/>
  <c r="D103" i="2" s="1"/>
  <c r="BA1934" i="1"/>
  <c r="BA635" i="1"/>
  <c r="AT2101" i="1"/>
  <c r="BA2101" i="1"/>
  <c r="AT382" i="1"/>
  <c r="AT1966" i="1"/>
  <c r="AT2489" i="1"/>
  <c r="BA267" i="1"/>
  <c r="AT267" i="1"/>
  <c r="BA210" i="1"/>
  <c r="BA1611" i="1"/>
  <c r="AT1611" i="1"/>
  <c r="AS1757" i="1"/>
  <c r="BA238" i="1"/>
  <c r="J1120" i="1"/>
  <c r="E64" i="2" s="1"/>
  <c r="AT1291" i="1"/>
  <c r="AT2205" i="1"/>
  <c r="BA2318" i="1"/>
  <c r="AT2604" i="1"/>
  <c r="BA2604" i="1"/>
  <c r="AT2171" i="1"/>
  <c r="BA2579" i="1"/>
  <c r="AT2579" i="1"/>
  <c r="BA2037" i="1"/>
  <c r="BA1298" i="1"/>
  <c r="AT1404" i="1"/>
  <c r="AT61" i="1"/>
  <c r="J40" i="1"/>
  <c r="E16" i="2" s="1"/>
  <c r="BA1112" i="1"/>
  <c r="BA2014" i="1"/>
  <c r="BA1618" i="1"/>
  <c r="AT97" i="1"/>
  <c r="AT418" i="1"/>
  <c r="BA1926" i="1"/>
  <c r="AT1926" i="1"/>
  <c r="J844" i="1"/>
  <c r="E54" i="2" s="1"/>
  <c r="J1799" i="1"/>
  <c r="E91" i="2" s="1"/>
  <c r="AT1914" i="1"/>
  <c r="AS1845" i="1"/>
  <c r="J427" i="1"/>
  <c r="E38" i="2" s="1"/>
  <c r="BA2132" i="1"/>
  <c r="AT2132" i="1"/>
  <c r="BA1187" i="1"/>
  <c r="AT2634" i="1"/>
  <c r="AT2447" i="1"/>
  <c r="J2395" i="1"/>
  <c r="E126" i="2" s="1"/>
  <c r="BA2097" i="1"/>
  <c r="AT1918" i="1"/>
  <c r="BA1690" i="1"/>
  <c r="BA2139" i="1"/>
  <c r="AT2139" i="1"/>
  <c r="I2234" i="1"/>
  <c r="D116" i="2" s="1"/>
  <c r="J2041" i="1"/>
  <c r="E104" i="2" s="1"/>
  <c r="AT1804" i="1"/>
  <c r="AS2278" i="1"/>
  <c r="BA1776" i="1"/>
  <c r="BA1263" i="1"/>
  <c r="BA2745" i="1"/>
  <c r="BA2678" i="1"/>
  <c r="BA2073" i="1"/>
  <c r="BA1758" i="1"/>
  <c r="AT1935" i="1"/>
  <c r="I2623" i="1"/>
  <c r="D137" i="2" s="1"/>
  <c r="AT1796" i="1"/>
  <c r="BA103" i="1"/>
  <c r="BA1735" i="1"/>
  <c r="BA536" i="1"/>
  <c r="AT536" i="1"/>
  <c r="AT2619" i="1"/>
  <c r="BA2737" i="1"/>
  <c r="AT1574" i="1"/>
  <c r="BA1669" i="1"/>
  <c r="I1916" i="1"/>
  <c r="D95" i="2" s="1"/>
  <c r="AT2680" i="1"/>
  <c r="BA2654" i="1"/>
  <c r="AT2652" i="1"/>
  <c r="AT2226" i="1"/>
  <c r="I2041" i="1"/>
  <c r="D104" i="2" s="1"/>
  <c r="BA2644" i="1"/>
  <c r="AT2239" i="1"/>
  <c r="BA1924" i="1"/>
  <c r="AS2402" i="1"/>
  <c r="BA1793" i="1"/>
  <c r="J2227" i="1"/>
  <c r="E115" i="2" s="1"/>
  <c r="I1964" i="1"/>
  <c r="AT2429" i="1"/>
  <c r="I1636" i="1"/>
  <c r="D84" i="2" s="1"/>
  <c r="AT2562" i="1"/>
  <c r="BA1986" i="1"/>
  <c r="BA1909" i="1"/>
  <c r="AT1683" i="1"/>
  <c r="AT556" i="1"/>
  <c r="AT2297" i="1"/>
  <c r="AS1636" i="1"/>
  <c r="AT730" i="1"/>
  <c r="AT385" i="1"/>
  <c r="BA2028" i="1"/>
  <c r="AT1817" i="1"/>
  <c r="AT1725" i="1"/>
  <c r="AT348" i="1"/>
  <c r="BA2411" i="1"/>
  <c r="J204" i="1"/>
  <c r="E27" i="2" s="1"/>
  <c r="AT1980" i="1"/>
  <c r="BA661" i="1"/>
  <c r="AT886" i="1"/>
  <c r="I1757" i="1"/>
  <c r="D90" i="2" s="1"/>
  <c r="BA382" i="1"/>
  <c r="AT2531" i="1"/>
  <c r="BA2531" i="1"/>
  <c r="AT2135" i="1"/>
  <c r="AT1601" i="1"/>
  <c r="BA1601" i="1"/>
  <c r="AT1379" i="1"/>
  <c r="I575" i="1"/>
  <c r="D42" i="2" s="1"/>
  <c r="BA159" i="1"/>
  <c r="J1636" i="1"/>
  <c r="E84" i="2" s="1"/>
  <c r="AT890" i="1"/>
  <c r="BA890" i="1"/>
  <c r="BA2521" i="1"/>
  <c r="J22" i="1"/>
  <c r="E13" i="2" s="1"/>
  <c r="I667" i="1"/>
  <c r="D46" i="2" s="1"/>
  <c r="AT582" i="1"/>
  <c r="AT2057" i="1"/>
  <c r="BA154" i="1"/>
  <c r="I384" i="1"/>
  <c r="D34" i="2" s="1"/>
  <c r="AT2336" i="1"/>
  <c r="BA1634" i="1"/>
  <c r="AT2409" i="1"/>
  <c r="BA2081" i="1"/>
  <c r="AT703" i="1"/>
  <c r="I366" i="1"/>
  <c r="D32" i="2" s="1"/>
  <c r="I2751" i="1"/>
  <c r="D144" i="2" s="1"/>
  <c r="BA1936" i="1"/>
  <c r="AT1936" i="1"/>
  <c r="I1079" i="1"/>
  <c r="D62" i="2" s="1"/>
  <c r="BA741" i="1"/>
  <c r="AT422" i="1"/>
  <c r="I642" i="1"/>
  <c r="D45" i="2" s="1"/>
  <c r="AT2668" i="1"/>
  <c r="AT2614" i="1"/>
  <c r="AT2246" i="1"/>
  <c r="BA2289" i="1"/>
  <c r="AT1917" i="1"/>
  <c r="AT1418" i="1"/>
  <c r="AT2033" i="1"/>
  <c r="AT1982" i="1"/>
  <c r="AS2707" i="1"/>
  <c r="I1994" i="1"/>
  <c r="D102" i="2" s="1"/>
  <c r="BA432" i="1"/>
  <c r="BA631" i="1"/>
  <c r="AT781" i="1"/>
  <c r="J673" i="1"/>
  <c r="E47" i="2" s="1"/>
  <c r="I673" i="1"/>
  <c r="D47" i="2" s="1"/>
  <c r="AS1608" i="1"/>
  <c r="AT2741" i="1"/>
  <c r="AT2079" i="1"/>
  <c r="BA2577" i="1"/>
  <c r="AT2577" i="1"/>
  <c r="AT2228" i="1"/>
  <c r="BA2228" i="1"/>
  <c r="AT1080" i="1"/>
  <c r="AT879" i="1"/>
  <c r="AT1852" i="1"/>
  <c r="BA1852" i="1"/>
  <c r="AT639" i="1"/>
  <c r="AT1902" i="1"/>
  <c r="AT875" i="1"/>
  <c r="BA643" i="1"/>
  <c r="AT2560" i="1"/>
  <c r="BA2560" i="1"/>
  <c r="BA2023" i="1"/>
  <c r="AT1814" i="1"/>
  <c r="BA182" i="1"/>
  <c r="I1235" i="1"/>
  <c r="D67" i="2" s="1"/>
  <c r="I2378" i="1"/>
  <c r="D125" i="2" s="1"/>
  <c r="I742" i="1"/>
  <c r="D49" i="2" s="1"/>
  <c r="I561" i="1"/>
  <c r="D41" i="2" s="1"/>
  <c r="AT2019" i="1"/>
  <c r="AT2648" i="1"/>
  <c r="AT2467" i="1"/>
  <c r="AS2451" i="1"/>
  <c r="J916" i="1"/>
  <c r="E60" i="2" s="1"/>
  <c r="AT566" i="1"/>
  <c r="BA2685" i="1"/>
  <c r="I2359" i="1"/>
  <c r="D122" i="2" s="1"/>
  <c r="AT2705" i="1"/>
  <c r="BA1240" i="1"/>
  <c r="AT1240" i="1"/>
  <c r="J2428" i="1"/>
  <c r="E129" i="2" s="1"/>
  <c r="BA1685" i="1"/>
  <c r="I896" i="1"/>
  <c r="D59" i="2" s="1"/>
  <c r="AT1951" i="1"/>
  <c r="I2257" i="1"/>
  <c r="D117" i="2" s="1"/>
  <c r="BA515" i="1"/>
  <c r="BA1704" i="1"/>
  <c r="AT749" i="1"/>
  <c r="I872" i="1"/>
  <c r="D58" i="2" s="1"/>
  <c r="AT2754" i="1"/>
  <c r="I2144" i="1"/>
  <c r="D106" i="2" s="1"/>
  <c r="BA2566" i="1"/>
  <c r="BA1663" i="1"/>
  <c r="AT2237" i="1"/>
  <c r="AT1092" i="1"/>
  <c r="J396" i="1"/>
  <c r="E35" i="2" s="1"/>
  <c r="I1689" i="1"/>
  <c r="D85" i="2" s="1"/>
  <c r="AT1211" i="1"/>
  <c r="J561" i="1"/>
  <c r="E41" i="2" s="1"/>
  <c r="J384" i="1"/>
  <c r="E34" i="2" s="1"/>
  <c r="AS204" i="1"/>
  <c r="J2207" i="1"/>
  <c r="E113" i="2" s="1"/>
  <c r="BA2063" i="1"/>
  <c r="AT2063" i="1"/>
  <c r="AT2232" i="1"/>
  <c r="BA2232" i="1"/>
  <c r="AT1657" i="1"/>
  <c r="AT1409" i="1"/>
  <c r="AT57" i="1"/>
  <c r="BA2285" i="1"/>
  <c r="AT1712" i="1"/>
  <c r="BA869" i="1"/>
  <c r="BA2710" i="1"/>
  <c r="AT2710" i="1"/>
  <c r="AT2138" i="1"/>
  <c r="BA2138" i="1"/>
  <c r="BA615" i="1"/>
  <c r="AT615" i="1"/>
  <c r="BA1630" i="1"/>
  <c r="AT1630" i="1"/>
  <c r="AT2556" i="1"/>
  <c r="BA2556" i="1"/>
  <c r="BA2125" i="1"/>
  <c r="AT2125" i="1"/>
  <c r="BA1731" i="1"/>
  <c r="AT1731" i="1"/>
  <c r="AT2354" i="1"/>
  <c r="BA2354" i="1"/>
  <c r="BA2662" i="1"/>
  <c r="AT2662" i="1"/>
  <c r="BA1755" i="1"/>
  <c r="AT1755" i="1"/>
  <c r="AT2129" i="1"/>
  <c r="BA2129" i="1"/>
  <c r="BA2436" i="1"/>
  <c r="AT2436" i="1"/>
  <c r="AT1694" i="1"/>
  <c r="BA1694" i="1"/>
  <c r="BA2254" i="1"/>
  <c r="AT2254" i="1"/>
  <c r="BA2552" i="1"/>
  <c r="AT2552" i="1"/>
  <c r="J1158" i="1"/>
  <c r="E65" i="2" s="1"/>
  <c r="I962" i="1"/>
  <c r="D61" i="2" s="1"/>
  <c r="AT122" i="1"/>
  <c r="BA122" i="1"/>
  <c r="BA2554" i="1"/>
  <c r="AT2554" i="1"/>
  <c r="BA2347" i="1"/>
  <c r="AT2347" i="1"/>
  <c r="BA1912" i="1"/>
  <c r="AT1912" i="1"/>
  <c r="BA1603" i="1"/>
  <c r="AT1603" i="1"/>
  <c r="BA1998" i="1"/>
  <c r="AT1998" i="1"/>
  <c r="AT745" i="1"/>
  <c r="BA745" i="1"/>
  <c r="AT387" i="1"/>
  <c r="BA387" i="1"/>
  <c r="AT963" i="1"/>
  <c r="BA963" i="1"/>
  <c r="BA2609" i="1"/>
  <c r="AT2609" i="1"/>
  <c r="BA1841" i="1"/>
  <c r="AT1841" i="1"/>
  <c r="AT257" i="1"/>
  <c r="BA1857" i="1"/>
  <c r="AT1857" i="1"/>
  <c r="BA2527" i="1"/>
  <c r="AT2527" i="1"/>
  <c r="AT1707" i="1"/>
  <c r="BA1707" i="1"/>
  <c r="BA1165" i="1"/>
  <c r="AT1165" i="1"/>
  <c r="BA1932" i="1"/>
  <c r="AT1932" i="1"/>
  <c r="I2227" i="1"/>
  <c r="D115" i="2" s="1"/>
  <c r="BA2626" i="1"/>
  <c r="AT2626" i="1"/>
  <c r="E58" i="2"/>
  <c r="BA2547" i="1"/>
  <c r="AT2547" i="1"/>
  <c r="BA1300" i="1"/>
  <c r="AT1300" i="1"/>
  <c r="BA1700" i="1"/>
  <c r="AT1700" i="1"/>
  <c r="BA1383" i="1"/>
  <c r="AT1383" i="1"/>
  <c r="BA1923" i="1"/>
  <c r="AT1923" i="1"/>
  <c r="BA29" i="1"/>
  <c r="AT29" i="1"/>
  <c r="BA1939" i="1"/>
  <c r="AT1939" i="1"/>
  <c r="BA2642" i="1"/>
  <c r="AT1835" i="1"/>
  <c r="BA1835" i="1"/>
  <c r="BA2383" i="1"/>
  <c r="AT2383" i="1"/>
  <c r="BA428" i="1"/>
  <c r="AT428" i="1"/>
  <c r="I2207" i="1"/>
  <c r="D113" i="2" s="1"/>
  <c r="BA2328" i="1"/>
  <c r="AT2328" i="1"/>
  <c r="BA1854" i="1"/>
  <c r="AT1854" i="1"/>
  <c r="BA1905" i="1"/>
  <c r="AT1905" i="1"/>
  <c r="BA1877" i="1"/>
  <c r="AT1877" i="1"/>
  <c r="BA367" i="1"/>
  <c r="AT367" i="1"/>
  <c r="BA787" i="1"/>
  <c r="AT787" i="1"/>
  <c r="BA2342" i="1"/>
  <c r="AT2342" i="1"/>
  <c r="BA2223" i="1"/>
  <c r="AT2223" i="1"/>
  <c r="BA2308" i="1"/>
  <c r="AT2308" i="1"/>
  <c r="AT2703" i="1"/>
  <c r="BA2703" i="1"/>
  <c r="BA1800" i="1"/>
  <c r="AT1800" i="1"/>
  <c r="BA672" i="1"/>
  <c r="AT672" i="1"/>
  <c r="BA2767" i="1"/>
  <c r="AT2767" i="1"/>
  <c r="BA2445" i="1"/>
  <c r="AT2445" i="1"/>
  <c r="AT2416" i="1"/>
  <c r="BA2416" i="1"/>
  <c r="BA1695" i="1"/>
  <c r="AT1695" i="1"/>
  <c r="I628" i="1"/>
  <c r="D44" i="2" s="1"/>
  <c r="AT999" i="1"/>
  <c r="BA999" i="1"/>
  <c r="BA2776" i="1"/>
  <c r="AT2776" i="1"/>
  <c r="I2050" i="1"/>
  <c r="D105" i="2" s="1"/>
  <c r="AT1610" i="1"/>
  <c r="BA1610" i="1"/>
  <c r="BA2169" i="1"/>
  <c r="AT2169" i="1"/>
  <c r="BA865" i="1"/>
  <c r="AT865" i="1"/>
  <c r="BA1254" i="1"/>
  <c r="AT1254" i="1"/>
  <c r="J436" i="1"/>
  <c r="E39" i="2" s="1"/>
  <c r="BA2650" i="1"/>
  <c r="AT2650" i="1"/>
  <c r="BA2332" i="1"/>
  <c r="AT2332" i="1"/>
  <c r="AT1709" i="1"/>
  <c r="BA1709" i="1"/>
  <c r="AT2011" i="1"/>
  <c r="BA2011" i="1"/>
  <c r="J1737" i="1"/>
  <c r="E88" i="2" s="1"/>
  <c r="BA2140" i="1"/>
  <c r="AT2140" i="1"/>
  <c r="G135" i="2"/>
  <c r="M2587" i="1"/>
  <c r="G134" i="2" s="1"/>
  <c r="BA2396" i="1"/>
  <c r="AT2396" i="1"/>
  <c r="BA1862" i="1"/>
  <c r="AT1862" i="1"/>
  <c r="BA1118" i="1"/>
  <c r="AT1118" i="1"/>
  <c r="AT2053" i="1"/>
  <c r="BA2053" i="1"/>
  <c r="BA981" i="1"/>
  <c r="AT981" i="1"/>
  <c r="J962" i="1"/>
  <c r="E61" i="2" s="1"/>
  <c r="BA2611" i="1"/>
  <c r="AT2611" i="1"/>
  <c r="J1235" i="1"/>
  <c r="E67" i="2" s="1"/>
  <c r="AT1780" i="1"/>
  <c r="BA1764" i="1"/>
  <c r="AT1764" i="1"/>
  <c r="BA71" i="1"/>
  <c r="G20" i="2"/>
  <c r="M171" i="1"/>
  <c r="G19" i="2" s="1"/>
  <c r="AT1267" i="1"/>
  <c r="BA1267" i="1"/>
  <c r="I1158" i="1"/>
  <c r="D65" i="2" s="1"/>
  <c r="BA354" i="1"/>
  <c r="AT354" i="1"/>
  <c r="BA2324" i="1"/>
  <c r="AT2324" i="1"/>
  <c r="BA53" i="1"/>
  <c r="AT53" i="1"/>
  <c r="AT152" i="1"/>
  <c r="BA152" i="1"/>
  <c r="BA1760" i="1"/>
  <c r="AT1760" i="1"/>
  <c r="I1608" i="1"/>
  <c r="BA718" i="1"/>
  <c r="BA106" i="1"/>
  <c r="BA834" i="1"/>
  <c r="F143" i="2"/>
  <c r="I143" i="2" s="1"/>
  <c r="K2747" i="1"/>
  <c r="F142" i="2" s="1"/>
  <c r="C16" i="3" s="1"/>
  <c r="AT2326" i="1"/>
  <c r="BA2326" i="1"/>
  <c r="AT1795" i="1"/>
  <c r="BA1795" i="1"/>
  <c r="AT1955" i="1"/>
  <c r="BA1955" i="1"/>
  <c r="BA1667" i="1"/>
  <c r="AT1667" i="1"/>
  <c r="AT1649" i="1"/>
  <c r="BA1649" i="1"/>
  <c r="BA416" i="1"/>
  <c r="AT416" i="1"/>
  <c r="AT196" i="1"/>
  <c r="BA196" i="1"/>
  <c r="BA1899" i="1"/>
  <c r="AT1899" i="1"/>
  <c r="BA253" i="1"/>
  <c r="AT253" i="1"/>
  <c r="BA2769" i="1"/>
  <c r="J2771" i="1"/>
  <c r="E148" i="2" s="1"/>
  <c r="J896" i="1"/>
  <c r="E59" i="2" s="1"/>
  <c r="BA1856" i="1"/>
  <c r="AT1856" i="1"/>
  <c r="AT1185" i="1"/>
  <c r="BA1185" i="1"/>
  <c r="BA1837" i="1"/>
  <c r="AT1837" i="1"/>
  <c r="BA1846" i="1"/>
  <c r="AT1846" i="1"/>
  <c r="I2168" i="1"/>
  <c r="D109" i="2" s="1"/>
  <c r="AS748" i="1"/>
  <c r="AT420" i="1"/>
  <c r="BA420" i="1"/>
  <c r="BA1516" i="1"/>
  <c r="AT1516" i="1"/>
  <c r="BA1211" i="1"/>
  <c r="BA1569" i="1"/>
  <c r="AT1569" i="1"/>
  <c r="AT663" i="1"/>
  <c r="BA663" i="1"/>
  <c r="BA2400" i="1"/>
  <c r="AT2400" i="1"/>
  <c r="BA2301" i="1"/>
  <c r="AT2301" i="1"/>
  <c r="I1799" i="1"/>
  <c r="D91" i="2" s="1"/>
  <c r="J1584" i="1"/>
  <c r="E80" i="2" s="1"/>
  <c r="BA2149" i="1"/>
  <c r="AT2149" i="1"/>
  <c r="BA1949" i="1"/>
  <c r="AT1949" i="1"/>
  <c r="BA1710" i="1"/>
  <c r="AT1710" i="1"/>
  <c r="BA1632" i="1"/>
  <c r="AT1632" i="1"/>
  <c r="BA2533" i="1"/>
  <c r="BA2224" i="1"/>
  <c r="AT2224" i="1"/>
  <c r="BA1643" i="1"/>
  <c r="AT1643" i="1"/>
  <c r="AT2670" i="1"/>
  <c r="BA2670" i="1"/>
  <c r="F135" i="2"/>
  <c r="I135" i="2" s="1"/>
  <c r="K2587" i="1"/>
  <c r="F134" i="2" s="1"/>
  <c r="J2655" i="1"/>
  <c r="E138" i="2" s="1"/>
  <c r="BA2683" i="1"/>
  <c r="AT2683" i="1"/>
  <c r="BA2568" i="1"/>
  <c r="AT2568" i="1"/>
  <c r="BA2724" i="1"/>
  <c r="AT2724" i="1"/>
  <c r="BA2312" i="1"/>
  <c r="AT2312" i="1"/>
  <c r="BA2006" i="1"/>
  <c r="AT2006" i="1"/>
  <c r="AT2221" i="1"/>
  <c r="BA2221" i="1"/>
  <c r="BA1400" i="1"/>
  <c r="AT1400" i="1"/>
  <c r="J2438" i="1"/>
  <c r="E131" i="2" s="1"/>
  <c r="BA1990" i="1"/>
  <c r="AT1990" i="1"/>
  <c r="AT1628" i="1"/>
  <c r="BA1628" i="1"/>
  <c r="I1584" i="1"/>
  <c r="D80" i="2" s="1"/>
  <c r="I2655" i="1"/>
  <c r="D138" i="2" s="1"/>
  <c r="AS2257" i="1"/>
  <c r="BA1281" i="1"/>
  <c r="AT1281" i="1"/>
  <c r="BA1818" i="1"/>
  <c r="AT1818" i="1"/>
  <c r="AS962" i="1"/>
  <c r="BA2117" i="1"/>
  <c r="AT2117" i="1"/>
  <c r="BA1431" i="1"/>
  <c r="AT1431" i="1"/>
  <c r="BA1794" i="1"/>
  <c r="AT1794" i="1"/>
  <c r="M12" i="1"/>
  <c r="G11" i="2" s="1"/>
  <c r="BA38" i="1"/>
  <c r="AT38" i="1"/>
  <c r="AT542" i="1"/>
  <c r="BA542" i="1"/>
  <c r="BA564" i="1"/>
  <c r="AT564" i="1"/>
  <c r="BA2010" i="1"/>
  <c r="AT2010" i="1"/>
  <c r="BA1609" i="1"/>
  <c r="AT1609" i="1"/>
  <c r="BA207" i="1"/>
  <c r="AT207" i="1"/>
  <c r="AT41" i="1"/>
  <c r="BA41" i="1"/>
  <c r="BA490" i="1"/>
  <c r="AT2258" i="1"/>
  <c r="BA2258" i="1"/>
  <c r="BA2156" i="1"/>
  <c r="AT2156" i="1"/>
  <c r="BA1888" i="1"/>
  <c r="AT1888" i="1"/>
  <c r="AT1677" i="1"/>
  <c r="BA1677" i="1"/>
  <c r="F100" i="2"/>
  <c r="I100" i="2" s="1"/>
  <c r="K1963" i="1"/>
  <c r="F99" i="2" s="1"/>
  <c r="G100" i="2"/>
  <c r="M1963" i="1"/>
  <c r="G99" i="2" s="1"/>
  <c r="BA2153" i="1"/>
  <c r="AT2153" i="1"/>
  <c r="AT2159" i="1"/>
  <c r="BA2159" i="1"/>
  <c r="BA2116" i="1"/>
  <c r="AT2116" i="1"/>
  <c r="BA2214" i="1"/>
  <c r="AT2214" i="1"/>
  <c r="AT2529" i="1"/>
  <c r="BA2529" i="1"/>
  <c r="AT1513" i="1"/>
  <c r="BA1513" i="1"/>
  <c r="BA245" i="1"/>
  <c r="AT245" i="1"/>
  <c r="BA1974" i="1"/>
  <c r="AT1974" i="1"/>
  <c r="AT747" i="1"/>
  <c r="BA747" i="1"/>
  <c r="AT1597" i="1"/>
  <c r="BA1597" i="1"/>
  <c r="BA2658" i="1"/>
  <c r="AT2658" i="1"/>
  <c r="AT1087" i="1"/>
  <c r="BA1087" i="1"/>
  <c r="BA877" i="1"/>
  <c r="AT877" i="1"/>
  <c r="BA1626" i="1"/>
  <c r="AT736" i="1"/>
  <c r="BA922" i="1"/>
  <c r="AT1361" i="1"/>
  <c r="BA1361" i="1"/>
  <c r="AT434" i="1"/>
  <c r="BA2119" i="1"/>
  <c r="AT2119" i="1"/>
  <c r="BA738" i="1"/>
  <c r="AT738" i="1"/>
  <c r="BA2212" i="1"/>
  <c r="AT2212" i="1"/>
  <c r="I40" i="1"/>
  <c r="D16" i="2" s="1"/>
  <c r="M1607" i="1"/>
  <c r="G82" i="2" s="1"/>
  <c r="BA2640" i="1"/>
  <c r="AT2640" i="1"/>
  <c r="BA1872" i="1"/>
  <c r="AT1872" i="1"/>
  <c r="BA2031" i="1"/>
  <c r="AT2031" i="1"/>
  <c r="AT2687" i="1"/>
  <c r="BA2687" i="1"/>
  <c r="AS2207" i="1"/>
  <c r="I1262" i="1"/>
  <c r="D70" i="2" s="1"/>
  <c r="AT163" i="1"/>
  <c r="BA163" i="1"/>
  <c r="BA2575" i="1"/>
  <c r="AT2575" i="1"/>
  <c r="BA1893" i="1"/>
  <c r="AT1893" i="1"/>
  <c r="BA1828" i="1"/>
  <c r="AT1828" i="1"/>
  <c r="BA1921" i="1"/>
  <c r="AT1921" i="1"/>
  <c r="BA2541" i="1"/>
  <c r="AT2541" i="1"/>
  <c r="J1326" i="1"/>
  <c r="E72" i="2" s="1"/>
  <c r="BA390" i="1"/>
  <c r="AT390" i="1"/>
  <c r="BA2200" i="1"/>
  <c r="AT2200" i="1"/>
  <c r="BA2190" i="1"/>
  <c r="AT2190" i="1"/>
  <c r="AT1033" i="1"/>
  <c r="BA1033" i="1"/>
  <c r="BA269" i="1"/>
  <c r="AT269" i="1"/>
  <c r="BA2632" i="1"/>
  <c r="BA2469" i="1"/>
  <c r="AT2469" i="1"/>
  <c r="BA2666" i="1"/>
  <c r="AT2666" i="1"/>
  <c r="BA2497" i="1"/>
  <c r="AT2497" i="1"/>
  <c r="BA2268" i="1"/>
  <c r="AT2268" i="1"/>
  <c r="BA2109" i="1"/>
  <c r="AT2109" i="1"/>
  <c r="K2706" i="1"/>
  <c r="F139" i="2" s="1"/>
  <c r="C15" i="3" s="1"/>
  <c r="F140" i="2"/>
  <c r="I140" i="2" s="1"/>
  <c r="BA2441" i="1"/>
  <c r="AT2441" i="1"/>
  <c r="BA1683" i="1"/>
  <c r="AT274" i="1"/>
  <c r="BA274" i="1"/>
  <c r="AT955" i="1"/>
  <c r="BA955" i="1"/>
  <c r="I2179" i="1"/>
  <c r="J1830" i="1"/>
  <c r="E92" i="2" s="1"/>
  <c r="BA455" i="1"/>
  <c r="AT455" i="1"/>
  <c r="AT755" i="1"/>
  <c r="BA755" i="1"/>
  <c r="BA1114" i="1"/>
  <c r="AT1114" i="1"/>
  <c r="BA1653" i="1"/>
  <c r="AT1653" i="1"/>
  <c r="BA2731" i="1"/>
  <c r="AT2731" i="1"/>
  <c r="AT2127" i="1"/>
  <c r="BA2127" i="1"/>
  <c r="BA2055" i="1"/>
  <c r="AT2055" i="1"/>
  <c r="BA1833" i="1"/>
  <c r="AT1833" i="1"/>
  <c r="BA694" i="1"/>
  <c r="AT694" i="1"/>
  <c r="BA892" i="1"/>
  <c r="AT892" i="1"/>
  <c r="D23" i="2"/>
  <c r="K2175" i="1"/>
  <c r="F110" i="2" s="1"/>
  <c r="I1297" i="1"/>
  <c r="D71" i="2" s="1"/>
  <c r="BA2691" i="1"/>
  <c r="AT2691" i="1"/>
  <c r="BA2542" i="1"/>
  <c r="AT2542" i="1"/>
  <c r="AT2458" i="1"/>
  <c r="BA2458" i="1"/>
  <c r="AT2210" i="1"/>
  <c r="BA2210" i="1"/>
  <c r="J2313" i="1"/>
  <c r="E119" i="2" s="1"/>
  <c r="BA2233" i="1"/>
  <c r="AT2233" i="1"/>
  <c r="AT1903" i="1"/>
  <c r="BA1903" i="1"/>
  <c r="BA1296" i="1"/>
  <c r="AT1296" i="1"/>
  <c r="BA190" i="1"/>
  <c r="AT190" i="1"/>
  <c r="BA1953" i="1"/>
  <c r="AT1953" i="1"/>
  <c r="BA1397" i="1"/>
  <c r="BA2695" i="1"/>
  <c r="AT2695" i="1"/>
  <c r="BA556" i="1"/>
  <c r="BA356" i="1"/>
  <c r="AT356" i="1"/>
  <c r="BA1242" i="1"/>
  <c r="AT1242" i="1"/>
  <c r="J2588" i="1"/>
  <c r="BA2501" i="1"/>
  <c r="AT2403" i="1"/>
  <c r="BA2403" i="1"/>
  <c r="BA2260" i="1"/>
  <c r="AT2260" i="1"/>
  <c r="BA1395" i="1"/>
  <c r="AT1395" i="1"/>
  <c r="BA2551" i="1"/>
  <c r="AT1681" i="1"/>
  <c r="BA1681" i="1"/>
  <c r="BA1843" i="1"/>
  <c r="AT1843" i="1"/>
  <c r="G140" i="2"/>
  <c r="M2706" i="1"/>
  <c r="G139" i="2" s="1"/>
  <c r="BA2549" i="1"/>
  <c r="AS2313" i="1"/>
  <c r="BA2463" i="1"/>
  <c r="AT2463" i="1"/>
  <c r="AT2418" i="1"/>
  <c r="J1916" i="1"/>
  <c r="E95" i="2" s="1"/>
  <c r="BA2229" i="1"/>
  <c r="AT2229" i="1"/>
  <c r="BA2422" i="1"/>
  <c r="AT2422" i="1"/>
  <c r="BA1972" i="1"/>
  <c r="AT1972" i="1"/>
  <c r="I2413" i="1"/>
  <c r="D128" i="2" s="1"/>
  <c r="AT2099" i="1"/>
  <c r="BA2266" i="1"/>
  <c r="AT2266" i="1"/>
  <c r="BA2188" i="1"/>
  <c r="AT2017" i="1"/>
  <c r="BA2017" i="1"/>
  <c r="BA1808" i="1"/>
  <c r="AT1808" i="1"/>
  <c r="M2175" i="1"/>
  <c r="G110" i="2" s="1"/>
  <c r="AT1772" i="1"/>
  <c r="BA1772" i="1"/>
  <c r="BA375" i="1"/>
  <c r="AT375" i="1"/>
  <c r="BA2379" i="1"/>
  <c r="AT2075" i="1"/>
  <c r="BA2075" i="1"/>
  <c r="AT1744" i="1"/>
  <c r="BA1744" i="1"/>
  <c r="AT1313" i="1"/>
  <c r="BA1313" i="1"/>
  <c r="BA1784" i="1"/>
  <c r="AT1784" i="1"/>
  <c r="AT1355" i="1"/>
  <c r="BA1355" i="1"/>
  <c r="BA568" i="1"/>
  <c r="AT568" i="1"/>
  <c r="BA193" i="1"/>
  <c r="AT193" i="1"/>
  <c r="AT1228" i="1"/>
  <c r="BA1228" i="1"/>
  <c r="BA1223" i="1"/>
  <c r="AT1223" i="1"/>
  <c r="J1099" i="1"/>
  <c r="E63" i="2" s="1"/>
  <c r="I1326" i="1"/>
  <c r="D72" i="2" s="1"/>
  <c r="F20" i="2"/>
  <c r="I20" i="2" s="1"/>
  <c r="K171" i="1"/>
  <c r="F19" i="2" s="1"/>
  <c r="BA348" i="1"/>
  <c r="J413" i="1"/>
  <c r="E36" i="2" s="1"/>
  <c r="F83" i="2"/>
  <c r="I83" i="2" s="1"/>
  <c r="K1607" i="1"/>
  <c r="F82" i="2" s="1"/>
  <c r="AT2617" i="1"/>
  <c r="BA2617" i="1"/>
  <c r="BA2293" i="1"/>
  <c r="AT2293" i="1"/>
  <c r="D100" i="2"/>
  <c r="AT2083" i="1"/>
  <c r="BA2083" i="1"/>
  <c r="BA2107" i="1"/>
  <c r="AT2107" i="1"/>
  <c r="BA142" i="1"/>
  <c r="AT142" i="1"/>
  <c r="E23" i="2"/>
  <c r="BA1698" i="1"/>
  <c r="BA2564" i="1"/>
  <c r="AT2564" i="1"/>
  <c r="AT1289" i="1"/>
  <c r="BA1289" i="1"/>
  <c r="BA480" i="1"/>
  <c r="AT480" i="1"/>
  <c r="AT1806" i="1"/>
  <c r="BA1806" i="1"/>
  <c r="AT2048" i="1"/>
  <c r="BA2048" i="1"/>
  <c r="AT1873" i="1"/>
  <c r="BA1873" i="1"/>
  <c r="BA573" i="1"/>
  <c r="AT573" i="1"/>
  <c r="BA2186" i="1"/>
  <c r="AT2186" i="1"/>
  <c r="BA1883" i="1"/>
  <c r="AT1883" i="1"/>
  <c r="J598" i="1"/>
  <c r="E43" i="2" s="1"/>
  <c r="BA406" i="1"/>
  <c r="AT406" i="1"/>
  <c r="AT2061" i="1"/>
  <c r="BA2061" i="1"/>
  <c r="BA2591" i="1"/>
  <c r="AT2591" i="1"/>
  <c r="BA1191" i="1"/>
  <c r="AT1191" i="1"/>
  <c r="BA80" i="1"/>
  <c r="AT80" i="1"/>
  <c r="AT651" i="1"/>
  <c r="BA651" i="1"/>
  <c r="I2351" i="1"/>
  <c r="D120" i="2" s="1"/>
  <c r="BA1946" i="1"/>
  <c r="AT1946" i="1"/>
  <c r="BA2509" i="1"/>
  <c r="AT2509" i="1"/>
  <c r="AT1108" i="1"/>
  <c r="BA1108" i="1"/>
  <c r="I1830" i="1"/>
  <c r="D92" i="2" s="1"/>
  <c r="BA276" i="1"/>
  <c r="AT276" i="1"/>
  <c r="J1964" i="1"/>
  <c r="BA26" i="1"/>
  <c r="AT26" i="1"/>
  <c r="AT2774" i="1"/>
  <c r="BA2774" i="1"/>
  <c r="BA2276" i="1"/>
  <c r="BA2303" i="1"/>
  <c r="AT2303" i="1"/>
  <c r="BA1922" i="1"/>
  <c r="AT1922" i="1"/>
  <c r="AT1915" i="1"/>
  <c r="BA1915" i="1"/>
  <c r="BA1788" i="1"/>
  <c r="AT1788" i="1"/>
  <c r="BA425" i="1"/>
  <c r="AT425" i="1"/>
  <c r="J366" i="1"/>
  <c r="E32" i="2" s="1"/>
  <c r="AT1116" i="1"/>
  <c r="BA668" i="1"/>
  <c r="BA599" i="1"/>
  <c r="AT599" i="1"/>
  <c r="BA14" i="1"/>
  <c r="AT14" i="1"/>
  <c r="AT810" i="1"/>
  <c r="J2234" i="1"/>
  <c r="E116" i="2" s="1"/>
  <c r="AT2693" i="1"/>
  <c r="BA2693" i="1"/>
  <c r="BA1711" i="1"/>
  <c r="AT1711" i="1"/>
  <c r="AT1813" i="1"/>
  <c r="BA1813" i="1"/>
  <c r="BA1183" i="1"/>
  <c r="AT1183" i="1"/>
  <c r="I204" i="1"/>
  <c r="D27" i="2" s="1"/>
  <c r="BA914" i="1"/>
  <c r="AT914" i="1"/>
  <c r="BA2772" i="1"/>
  <c r="AT2772" i="1"/>
  <c r="I2572" i="1"/>
  <c r="D133" i="2" s="1"/>
  <c r="I2155" i="1"/>
  <c r="D107" i="2" s="1"/>
  <c r="AT1802" i="1"/>
  <c r="BA1802" i="1"/>
  <c r="BA404" i="1"/>
  <c r="AT404" i="1"/>
  <c r="AS2050" i="1"/>
  <c r="BA1287" i="1"/>
  <c r="AT1287" i="1"/>
  <c r="I1948" i="1"/>
  <c r="D98" i="2" s="1"/>
  <c r="AT659" i="1"/>
  <c r="BA659" i="1"/>
  <c r="AT157" i="1"/>
  <c r="BA157" i="1"/>
  <c r="BA2141" i="1"/>
  <c r="AT2141" i="1"/>
  <c r="BA2051" i="1"/>
  <c r="BA2070" i="1"/>
  <c r="AT2070" i="1"/>
  <c r="BA1599" i="1"/>
  <c r="AT1599" i="1"/>
  <c r="AT2682" i="1"/>
  <c r="BA2682" i="1"/>
  <c r="BA402" i="1"/>
  <c r="AT402" i="1"/>
  <c r="AT2460" i="1"/>
  <c r="BA2460" i="1"/>
  <c r="BA2716" i="1"/>
  <c r="AT2716" i="1"/>
  <c r="BA2433" i="1"/>
  <c r="AT2433" i="1"/>
  <c r="BA2546" i="1"/>
  <c r="F124" i="2"/>
  <c r="I124" i="2" s="1"/>
  <c r="K2374" i="1"/>
  <c r="F123" i="2" s="1"/>
  <c r="AT1892" i="1"/>
  <c r="BA1892" i="1"/>
  <c r="BA2405" i="1"/>
  <c r="AT2405" i="1"/>
  <c r="BA1929" i="1"/>
  <c r="AT1929" i="1"/>
  <c r="BA2398" i="1"/>
  <c r="AT2398" i="1"/>
  <c r="AT2672" i="1"/>
  <c r="BA2672" i="1"/>
  <c r="AT2701" i="1"/>
  <c r="BA2701" i="1"/>
  <c r="BA2225" i="1"/>
  <c r="AT2225" i="1"/>
  <c r="BA2340" i="1"/>
  <c r="AT2340" i="1"/>
  <c r="AT1595" i="1"/>
  <c r="BA1984" i="1"/>
  <c r="AT1984" i="1"/>
  <c r="BA2123" i="1"/>
  <c r="AT2123" i="1"/>
  <c r="AT1320" i="1"/>
  <c r="BA1320" i="1"/>
  <c r="BA2357" i="1"/>
  <c r="AT2357" i="1"/>
  <c r="BA362" i="1"/>
  <c r="AT362" i="1"/>
  <c r="BA2046" i="1"/>
  <c r="AT2046" i="1"/>
  <c r="AT205" i="1"/>
  <c r="BA1930" i="1"/>
  <c r="BA595" i="1"/>
  <c r="BA1848" i="1"/>
  <c r="AT1848" i="1"/>
  <c r="BA169" i="1"/>
  <c r="AT169" i="1"/>
  <c r="J748" i="1"/>
  <c r="E50" i="2" s="1"/>
  <c r="AT1740" i="1"/>
  <c r="BA1740" i="1"/>
  <c r="I102" i="1"/>
  <c r="D17" i="2" s="1"/>
  <c r="BA873" i="1"/>
  <c r="AT282" i="1"/>
  <c r="BA282" i="1"/>
  <c r="BA2130" i="1"/>
  <c r="AT2130" i="1"/>
  <c r="AS2623" i="1"/>
  <c r="BA2636" i="1"/>
  <c r="AT2636" i="1"/>
  <c r="I1193" i="1"/>
  <c r="D66" i="2" s="1"/>
  <c r="AT2196" i="1"/>
  <c r="BA1092" i="1"/>
  <c r="BA1723" i="1"/>
  <c r="AT1723" i="1"/>
  <c r="J2050" i="1"/>
  <c r="E105" i="2" s="1"/>
  <c r="BA1200" i="1"/>
  <c r="AT1200" i="1"/>
  <c r="BA1327" i="1"/>
  <c r="AT1327" i="1"/>
  <c r="BA2612" i="1"/>
  <c r="AT1894" i="1"/>
  <c r="BA1894" i="1"/>
  <c r="AT1967" i="1"/>
  <c r="BA1967" i="1"/>
  <c r="AT2581" i="1"/>
  <c r="BA2581" i="1"/>
  <c r="BA637" i="1"/>
  <c r="AT637" i="1"/>
  <c r="BA460" i="1"/>
  <c r="AT460" i="1"/>
  <c r="BA1393" i="1"/>
  <c r="AT1393" i="1"/>
  <c r="AT2093" i="1"/>
  <c r="BA2093" i="1"/>
  <c r="BA2583" i="1"/>
  <c r="AT2583" i="1"/>
  <c r="AT2216" i="1"/>
  <c r="BA2216" i="1"/>
  <c r="AT2689" i="1"/>
  <c r="BA2689" i="1"/>
  <c r="I2438" i="1"/>
  <c r="D131" i="2" s="1"/>
  <c r="BA1234" i="1"/>
  <c r="AT1234" i="1"/>
  <c r="BA1928" i="1"/>
  <c r="AT1928" i="1"/>
  <c r="BA1244" i="1"/>
  <c r="AT1244" i="1"/>
  <c r="BA1706" i="1"/>
  <c r="AT1706" i="1"/>
  <c r="BA1302" i="1"/>
  <c r="BA1154" i="1"/>
  <c r="AT1154" i="1"/>
  <c r="BA2493" i="1"/>
  <c r="AT2493" i="1"/>
  <c r="BA2517" i="1"/>
  <c r="AT2517" i="1"/>
  <c r="J1746" i="1"/>
  <c r="E89" i="2" s="1"/>
  <c r="BA2044" i="1"/>
  <c r="AT2044" i="1"/>
  <c r="BA2077" i="1"/>
  <c r="AT2077" i="1"/>
  <c r="BA1822" i="1"/>
  <c r="AT1822" i="1"/>
  <c r="AT2756" i="1"/>
  <c r="BA2756" i="1"/>
  <c r="AT1612" i="1"/>
  <c r="BA1612" i="1"/>
  <c r="I748" i="1"/>
  <c r="D50" i="2" s="1"/>
  <c r="BA2692" i="1"/>
  <c r="AT2692" i="1"/>
  <c r="I1720" i="1"/>
  <c r="D87" i="2" s="1"/>
  <c r="BA1895" i="1"/>
  <c r="AT1895" i="1"/>
  <c r="BA1798" i="1"/>
  <c r="AT1798" i="1"/>
  <c r="BA2443" i="1"/>
  <c r="AT2443" i="1"/>
  <c r="BA2264" i="1"/>
  <c r="AT2264" i="1"/>
  <c r="BA2004" i="1"/>
  <c r="AT2004" i="1"/>
  <c r="BA1309" i="1"/>
  <c r="AT1309" i="1"/>
  <c r="BA1304" i="1"/>
  <c r="AT1304" i="1"/>
  <c r="BA1018" i="1"/>
  <c r="AT1018" i="1"/>
  <c r="BA2728" i="1"/>
  <c r="AT2728" i="1"/>
  <c r="AS2603" i="1"/>
  <c r="AT2573" i="1"/>
  <c r="BA2573" i="1"/>
  <c r="J2451" i="1"/>
  <c r="E132" i="2" s="1"/>
  <c r="F58" i="2"/>
  <c r="I58" i="2" s="1"/>
  <c r="K871" i="1"/>
  <c r="F57" i="2" s="1"/>
  <c r="AT2487" i="1"/>
  <c r="BA2487" i="1"/>
  <c r="BA2370" i="1"/>
  <c r="AT2370" i="1"/>
  <c r="BA411" i="1"/>
  <c r="AT411" i="1"/>
  <c r="AT1867" i="1"/>
  <c r="BA1867" i="1"/>
  <c r="G31" i="2"/>
  <c r="M358" i="1"/>
  <c r="G30" i="2" s="1"/>
  <c r="BA1104" i="1"/>
  <c r="AT1104" i="1"/>
  <c r="J1689" i="1"/>
  <c r="E85" i="2" s="1"/>
  <c r="BA33" i="1"/>
  <c r="BA1696" i="1"/>
  <c r="AT1696" i="1"/>
  <c r="AT647" i="1"/>
  <c r="BA647" i="1"/>
  <c r="AT187" i="1"/>
  <c r="BA187" i="1"/>
  <c r="BA377" i="1"/>
  <c r="AT377" i="1"/>
  <c r="AT2511" i="1"/>
  <c r="BA2511" i="1"/>
  <c r="I2603" i="1"/>
  <c r="D136" i="2" s="1"/>
  <c r="BA1906" i="1"/>
  <c r="AT1906" i="1"/>
  <c r="BA1988" i="1"/>
  <c r="AT1988" i="1"/>
  <c r="AT790" i="1"/>
  <c r="BA790" i="1"/>
  <c r="K2780" i="1"/>
  <c r="F12" i="2"/>
  <c r="I12" i="2" s="1"/>
  <c r="K12" i="1"/>
  <c r="F11" i="2" s="1"/>
  <c r="AS1720" i="1"/>
  <c r="AS1689" i="1"/>
  <c r="BA774" i="1"/>
  <c r="AT774" i="1"/>
  <c r="BA2244" i="1"/>
  <c r="AT2244" i="1"/>
  <c r="BA2316" i="1"/>
  <c r="E146" i="2"/>
  <c r="BA2105" i="1"/>
  <c r="AT2105" i="1"/>
  <c r="AT2764" i="1"/>
  <c r="BA2764" i="1"/>
  <c r="AT2424" i="1"/>
  <c r="BA2424" i="1"/>
  <c r="BA2454" i="1"/>
  <c r="AT2454" i="1"/>
  <c r="J2707" i="1"/>
  <c r="AT2585" i="1"/>
  <c r="BA2621" i="1"/>
  <c r="J2413" i="1"/>
  <c r="E128" i="2" s="1"/>
  <c r="J2623" i="1"/>
  <c r="E137" i="2" s="1"/>
  <c r="G125" i="2"/>
  <c r="M2374" i="1"/>
  <c r="G123" i="2" s="1"/>
  <c r="BA2778" i="1"/>
  <c r="AT2778" i="1"/>
  <c r="BA2272" i="1"/>
  <c r="BA2545" i="1"/>
  <c r="AT2513" i="1"/>
  <c r="BA2513" i="1"/>
  <c r="BA2295" i="1"/>
  <c r="AT2295" i="1"/>
  <c r="AS2359" i="1"/>
  <c r="BA2026" i="1"/>
  <c r="AT2026" i="1"/>
  <c r="AT2664" i="1"/>
  <c r="BA2664" i="1"/>
  <c r="BA2173" i="1"/>
  <c r="AT2173" i="1"/>
  <c r="F29" i="4"/>
  <c r="J1417" i="1"/>
  <c r="E75" i="2" s="1"/>
  <c r="BA2184" i="1"/>
  <c r="AT2184" i="1"/>
  <c r="J1608" i="1"/>
  <c r="BA2281" i="1"/>
  <c r="AT2281" i="1"/>
  <c r="BA2646" i="1"/>
  <c r="AT2646" i="1"/>
  <c r="BA2624" i="1"/>
  <c r="AT2624" i="1"/>
  <c r="BA2414" i="1"/>
  <c r="AT2414" i="1"/>
  <c r="BA1742" i="1"/>
  <c r="AT1742" i="1"/>
  <c r="BA2166" i="1"/>
  <c r="AT2166" i="1"/>
  <c r="BA2012" i="1"/>
  <c r="AT2012" i="1"/>
  <c r="AT2718" i="1"/>
  <c r="AT1705" i="1"/>
  <c r="BA1705" i="1"/>
  <c r="BA1925" i="1"/>
  <c r="AT1925" i="1"/>
  <c r="BA2601" i="1"/>
  <c r="AT2601" i="1"/>
  <c r="BA919" i="1"/>
  <c r="AT919" i="1"/>
  <c r="AT2393" i="1"/>
  <c r="BA2393" i="1"/>
  <c r="AT2235" i="1"/>
  <c r="BA2235" i="1"/>
  <c r="BA1616" i="1"/>
  <c r="AT1616" i="1"/>
  <c r="J2378" i="1"/>
  <c r="BA371" i="1"/>
  <c r="AT371" i="1"/>
  <c r="J628" i="1"/>
  <c r="E44" i="2" s="1"/>
  <c r="BA1110" i="1"/>
  <c r="AT1110" i="1"/>
  <c r="AT1236" i="1"/>
  <c r="BA1236" i="1"/>
  <c r="I1737" i="1"/>
  <c r="D88" i="2" s="1"/>
  <c r="BA380" i="1"/>
  <c r="AT1322" i="1"/>
  <c r="BA1322" i="1"/>
  <c r="I1120" i="1"/>
  <c r="D64" i="2" s="1"/>
  <c r="BA633" i="1"/>
  <c r="AT633" i="1"/>
  <c r="AT344" i="1"/>
  <c r="BA344" i="1"/>
  <c r="F32" i="2"/>
  <c r="I32" i="2" s="1"/>
  <c r="K358" i="1"/>
  <c r="F30" i="2" s="1"/>
  <c r="AT1273" i="1"/>
  <c r="BA1273" i="1"/>
  <c r="BA2085" i="1"/>
  <c r="BA1941" i="1"/>
  <c r="AT1941" i="1"/>
  <c r="C14" i="3" l="1"/>
  <c r="C17" i="3" s="1"/>
  <c r="C29" i="3" s="1"/>
  <c r="F29" i="3" s="1"/>
  <c r="I2747" i="1"/>
  <c r="D142" i="2" s="1"/>
  <c r="I171" i="1"/>
  <c r="D19" i="2" s="1"/>
  <c r="I2587" i="1"/>
  <c r="D134" i="2" s="1"/>
  <c r="I358" i="1"/>
  <c r="D30" i="2" s="1"/>
  <c r="I2706" i="1"/>
  <c r="D139" i="2" s="1"/>
  <c r="J171" i="1"/>
  <c r="E19" i="2" s="1"/>
  <c r="J12" i="1"/>
  <c r="E11" i="2" s="1"/>
  <c r="F149" i="2"/>
  <c r="D135" i="2"/>
  <c r="E125" i="2"/>
  <c r="J2374" i="1"/>
  <c r="E123" i="2" s="1"/>
  <c r="E135" i="2"/>
  <c r="J2587" i="1"/>
  <c r="E134" i="2" s="1"/>
  <c r="I2374" i="1"/>
  <c r="D123" i="2" s="1"/>
  <c r="J2747" i="1"/>
  <c r="E142" i="2" s="1"/>
  <c r="I871" i="1"/>
  <c r="D57" i="2" s="1"/>
  <c r="D83" i="2"/>
  <c r="I1607" i="1"/>
  <c r="D82" i="2" s="1"/>
  <c r="E100" i="2"/>
  <c r="J1963" i="1"/>
  <c r="E99" i="2" s="1"/>
  <c r="J871" i="1"/>
  <c r="E57" i="2" s="1"/>
  <c r="E83" i="2"/>
  <c r="J1607" i="1"/>
  <c r="E82" i="2" s="1"/>
  <c r="I1963" i="1"/>
  <c r="D99" i="2" s="1"/>
  <c r="J358" i="1"/>
  <c r="E30" i="2" s="1"/>
  <c r="D112" i="2"/>
  <c r="I2175" i="1"/>
  <c r="D110" i="2" s="1"/>
  <c r="J2175" i="1"/>
  <c r="E110" i="2" s="1"/>
  <c r="J2706" i="1"/>
  <c r="E139" i="2" s="1"/>
  <c r="E140" i="2"/>
  <c r="I12" i="1"/>
  <c r="D11" i="2" s="1"/>
  <c r="I28" i="3" l="1"/>
  <c r="I29" i="3" s="1"/>
</calcChain>
</file>

<file path=xl/sharedStrings.xml><?xml version="1.0" encoding="utf-8"?>
<sst xmlns="http://schemas.openxmlformats.org/spreadsheetml/2006/main" count="16939" uniqueCount="3570">
  <si>
    <t>Název stavby:</t>
  </si>
  <si>
    <t>„Modernizace kuchyně ZŠ Drnovice – zpracování projektové dokumentace“</t>
  </si>
  <si>
    <t>Doba výstavby:</t>
  </si>
  <si>
    <t>Objednatel:</t>
  </si>
  <si>
    <t>ZŠ Drnovice</t>
  </si>
  <si>
    <t>Druh stavby:</t>
  </si>
  <si>
    <t>Udržovací práce</t>
  </si>
  <si>
    <t>Začátek výstavby:</t>
  </si>
  <si>
    <t>Projektant:</t>
  </si>
  <si>
    <t>GARANT projekt s.r.o.</t>
  </si>
  <si>
    <t>Lokalita:</t>
  </si>
  <si>
    <t>Drnovice 109, 68304 Drnovice</t>
  </si>
  <si>
    <t>Konec výstavby:</t>
  </si>
  <si>
    <t>Zhotovitel:</t>
  </si>
  <si>
    <t> </t>
  </si>
  <si>
    <t>JKSO:</t>
  </si>
  <si>
    <t>801</t>
  </si>
  <si>
    <t>Zpracováno dne:</t>
  </si>
  <si>
    <t>Zpracoval:</t>
  </si>
  <si>
    <t>Č</t>
  </si>
  <si>
    <t>Objekt</t>
  </si>
  <si>
    <t>Kód</t>
  </si>
  <si>
    <t>Zkrácený popis</t>
  </si>
  <si>
    <t>MJ</t>
  </si>
  <si>
    <t>Množství</t>
  </si>
  <si>
    <t>Cena/MJ</t>
  </si>
  <si>
    <t>Náklady (Kč)</t>
  </si>
  <si>
    <t>Hmotnost (t)</t>
  </si>
  <si>
    <t>Cenová</t>
  </si>
  <si>
    <t>ISWORK</t>
  </si>
  <si>
    <t>GROUPCODE</t>
  </si>
  <si>
    <t>VATTAX</t>
  </si>
  <si>
    <t xml:space="preserve"> </t>
  </si>
  <si>
    <t>Rozměry</t>
  </si>
  <si>
    <t>(Kč)</t>
  </si>
  <si>
    <t>Dodávka</t>
  </si>
  <si>
    <t>Montáž</t>
  </si>
  <si>
    <t>Celkem</t>
  </si>
  <si>
    <t>Jednot.</t>
  </si>
  <si>
    <t>soustava</t>
  </si>
  <si>
    <t>Přesuny</t>
  </si>
  <si>
    <t>Typ skupiny</t>
  </si>
  <si>
    <t>HSV mat</t>
  </si>
  <si>
    <t>HSV prac</t>
  </si>
  <si>
    <t>PSV mat</t>
  </si>
  <si>
    <t>PSV prac</t>
  </si>
  <si>
    <t>Mont mat</t>
  </si>
  <si>
    <t>Mont prac</t>
  </si>
  <si>
    <t>Ostatní mat.</t>
  </si>
  <si>
    <t>MAT</t>
  </si>
  <si>
    <t>WORK</t>
  </si>
  <si>
    <t>CELK</t>
  </si>
  <si>
    <t/>
  </si>
  <si>
    <t>D.1.111</t>
  </si>
  <si>
    <t>Bourací práce, demontáže - 1.NP</t>
  </si>
  <si>
    <t>711</t>
  </si>
  <si>
    <t>Izolace proti vodě</t>
  </si>
  <si>
    <t>1</t>
  </si>
  <si>
    <t>711130101R00</t>
  </si>
  <si>
    <t>Odstr.izolace proti vlhk.vodor. pásy na sucho,1vrs</t>
  </si>
  <si>
    <t>m2</t>
  </si>
  <si>
    <t>7</t>
  </si>
  <si>
    <t>711_</t>
  </si>
  <si>
    <t>D.1.111_71_</t>
  </si>
  <si>
    <t>D.1.111_</t>
  </si>
  <si>
    <t>P</t>
  </si>
  <si>
    <t>16,76</t>
  </si>
  <si>
    <t>1.100+1.101+1.102</t>
  </si>
  <si>
    <t>2,5</t>
  </si>
  <si>
    <t>1.113</t>
  </si>
  <si>
    <t>1.114</t>
  </si>
  <si>
    <t>0,5</t>
  </si>
  <si>
    <t>1.119</t>
  </si>
  <si>
    <t>5,5</t>
  </si>
  <si>
    <t>1.117+1.118</t>
  </si>
  <si>
    <t>6,1</t>
  </si>
  <si>
    <t>1.101 strop</t>
  </si>
  <si>
    <t>5,9</t>
  </si>
  <si>
    <t>1.102 strop</t>
  </si>
  <si>
    <t>713</t>
  </si>
  <si>
    <t>Izolace tepelné</t>
  </si>
  <si>
    <t>2</t>
  </si>
  <si>
    <t>713102112R00</t>
  </si>
  <si>
    <t>Odstranění tepelné izolace podlah, volně uložené, z desek EPS, tl.100 - 200 mm</t>
  </si>
  <si>
    <t>713_</t>
  </si>
  <si>
    <t>1.101</t>
  </si>
  <si>
    <t>1.102</t>
  </si>
  <si>
    <t>3</t>
  </si>
  <si>
    <t>713101312R00</t>
  </si>
  <si>
    <t>Odstranění tepelné izolace stropů a podhledů, lepené, z desek EPS, tl. 100 - 200 mm</t>
  </si>
  <si>
    <t>4</t>
  </si>
  <si>
    <t>713103312R00</t>
  </si>
  <si>
    <t>Odstranění tepelné izolace stěn, lepené, z desek EPS, tl. 100 - 200 mm</t>
  </si>
  <si>
    <t>(2,92*2+2,04*2)*2,5-1*1,9</t>
  </si>
  <si>
    <t>(2,92*2+2,9*2)*2,5-1*1,9</t>
  </si>
  <si>
    <t>725</t>
  </si>
  <si>
    <t>Zařizovací předměty</t>
  </si>
  <si>
    <t>5</t>
  </si>
  <si>
    <t>900      R23</t>
  </si>
  <si>
    <t>Demontáže - odpojení a demontáž stávající technologie stravování (vč. chladících boxů,agrgátů chlazení), ekologická likvidace původních spotřebičů</t>
  </si>
  <si>
    <t>h</t>
  </si>
  <si>
    <t>725_</t>
  </si>
  <si>
    <t>D.1.111_72_</t>
  </si>
  <si>
    <t>8*3</t>
  </si>
  <si>
    <t>776</t>
  </si>
  <si>
    <t>Podlahy povlakové</t>
  </si>
  <si>
    <t>6</t>
  </si>
  <si>
    <t>776511820RT3</t>
  </si>
  <si>
    <t>Odstranění PVC a koberců lepených s podložkou</t>
  </si>
  <si>
    <t>776_</t>
  </si>
  <si>
    <t>D.1.111_77_</t>
  </si>
  <si>
    <t>8,97</t>
  </si>
  <si>
    <t>1.106</t>
  </si>
  <si>
    <t>776401800R00</t>
  </si>
  <si>
    <t>Demontáž soklíků nebo lišt, pryžových nebo z PVC</t>
  </si>
  <si>
    <t>m</t>
  </si>
  <si>
    <t>3,095*2+2,87*2-0,9</t>
  </si>
  <si>
    <t>96</t>
  </si>
  <si>
    <t>Bourání konstrukcí</t>
  </si>
  <si>
    <t>8</t>
  </si>
  <si>
    <t>968071125R00</t>
  </si>
  <si>
    <t>Vyvěšení, zavěšení kovových křídel dveří pl. 2 m2</t>
  </si>
  <si>
    <t>kus</t>
  </si>
  <si>
    <t>96_</t>
  </si>
  <si>
    <t>D.1.111_9_</t>
  </si>
  <si>
    <t>1.101+1.102</t>
  </si>
  <si>
    <t>9</t>
  </si>
  <si>
    <t>968061125R00</t>
  </si>
  <si>
    <t>Vyvěšení dřevěných dveřních křídel pl. do 2 m2</t>
  </si>
  <si>
    <t>10</t>
  </si>
  <si>
    <t>967031132R00</t>
  </si>
  <si>
    <t>Přisekání rovných ostění cihelných na MVC</t>
  </si>
  <si>
    <t>0,18*2</t>
  </si>
  <si>
    <t>mč.1.119</t>
  </si>
  <si>
    <t>mč. 1.97</t>
  </si>
  <si>
    <t>0,17*2</t>
  </si>
  <si>
    <t>mč.1.106</t>
  </si>
  <si>
    <t>0,09*2*2</t>
  </si>
  <si>
    <t>mč. 1.101</t>
  </si>
  <si>
    <t>mč. 1.102</t>
  </si>
  <si>
    <t>11</t>
  </si>
  <si>
    <t>919735124R00</t>
  </si>
  <si>
    <t>Řezání stávajícího betonového krytu tl. 15 - 20 cm - rýhy kanalizace</t>
  </si>
  <si>
    <t>7,3</t>
  </si>
  <si>
    <t>8,0</t>
  </si>
  <si>
    <t>12</t>
  </si>
  <si>
    <t>965042231R00</t>
  </si>
  <si>
    <t>Bourání mazanin betonových tl. nad 10 cm, pl. 4 m2 - rýhy kanalizace</t>
  </si>
  <si>
    <t>m3</t>
  </si>
  <si>
    <t>2,5*0,17</t>
  </si>
  <si>
    <t>0,4*0,1</t>
  </si>
  <si>
    <t>13</t>
  </si>
  <si>
    <t>965049111RT1</t>
  </si>
  <si>
    <t>Příplatek, bourání mazanin se svař. síťí tl. 10 cm</t>
  </si>
  <si>
    <t>12,9*0,09</t>
  </si>
  <si>
    <t>1.101+1.102 boxy</t>
  </si>
  <si>
    <t>(2,5+2,5)*0,1</t>
  </si>
  <si>
    <t>1.113+1.114 podkladni beton</t>
  </si>
  <si>
    <t>1.119 podkladni beton</t>
  </si>
  <si>
    <t>14</t>
  </si>
  <si>
    <t>965042141RT3</t>
  </si>
  <si>
    <t>Bourání mazanin betonových tl. 10 cm, nad 4 m2</t>
  </si>
  <si>
    <t>3,93*0,07</t>
  </si>
  <si>
    <t>1.100</t>
  </si>
  <si>
    <t>2,70*0,08</t>
  </si>
  <si>
    <t>5,5*0,08</t>
  </si>
  <si>
    <t>15</t>
  </si>
  <si>
    <t>965048515R00</t>
  </si>
  <si>
    <t>Broušení betonových povrchů do tl. 5 mm</t>
  </si>
  <si>
    <t>14,20</t>
  </si>
  <si>
    <t>1.97</t>
  </si>
  <si>
    <t>9,90</t>
  </si>
  <si>
    <t>19,67</t>
  </si>
  <si>
    <t>5,42</t>
  </si>
  <si>
    <t>1.116</t>
  </si>
  <si>
    <t>16</t>
  </si>
  <si>
    <t>965081713RT2</t>
  </si>
  <si>
    <t>Bourání dlažeb keramických tl.10 mm, nad 1 m2</t>
  </si>
  <si>
    <t>4,86</t>
  </si>
  <si>
    <t>4,76</t>
  </si>
  <si>
    <t>1.117</t>
  </si>
  <si>
    <t>1,37</t>
  </si>
  <si>
    <t>1.118</t>
  </si>
  <si>
    <t>2,7</t>
  </si>
  <si>
    <t>17</t>
  </si>
  <si>
    <t>965048250R00</t>
  </si>
  <si>
    <t>Dočištění povrchu po vybourání dlažeb, MC do 50%</t>
  </si>
  <si>
    <t>18</t>
  </si>
  <si>
    <t>962031116R00</t>
  </si>
  <si>
    <t>Bourání příček z cihel pálených plných tl. 140 mm</t>
  </si>
  <si>
    <t>2,92*2*3,35</t>
  </si>
  <si>
    <t>3,53*3,35-0,7*0,9*2</t>
  </si>
  <si>
    <t>1,28*3,35</t>
  </si>
  <si>
    <t>(1,28-0,55)*3,35</t>
  </si>
  <si>
    <t>19</t>
  </si>
  <si>
    <t>965081702R00</t>
  </si>
  <si>
    <t>Bourání soklíků z dlažeb keramických</t>
  </si>
  <si>
    <t>5,64*2+2,96*2-1</t>
  </si>
  <si>
    <t>2,91*2+1,415*2-1</t>
  </si>
  <si>
    <t>3,585*2+2,79*2-1</t>
  </si>
  <si>
    <t>2,5+2,2+0,435+0,535+2,6</t>
  </si>
  <si>
    <t>1,5+3,57-2+3,57-0,7*2+0,42</t>
  </si>
  <si>
    <t>20</t>
  </si>
  <si>
    <t>968072455R00</t>
  </si>
  <si>
    <t>Vybourání kovových dveřních zárubní pl. do 2 m2</t>
  </si>
  <si>
    <t>1,2*2*2</t>
  </si>
  <si>
    <t>1,0*2*5</t>
  </si>
  <si>
    <t>0,9*2*2</t>
  </si>
  <si>
    <t>0,7*2*3</t>
  </si>
  <si>
    <t>97</t>
  </si>
  <si>
    <t>Prorážení otvorů a ostatní bourací práce</t>
  </si>
  <si>
    <t>21</t>
  </si>
  <si>
    <t>974031664R00</t>
  </si>
  <si>
    <t>Vysekání rýh zeď cihelná vtah. nosníků 15 x 15 cm</t>
  </si>
  <si>
    <t>97_</t>
  </si>
  <si>
    <t>1,3*5+1,0</t>
  </si>
  <si>
    <t>ocel_překlady</t>
  </si>
  <si>
    <t>3*1,2*2</t>
  </si>
  <si>
    <t>ocel_I_překlady</t>
  </si>
  <si>
    <t>22</t>
  </si>
  <si>
    <t>976082131R00</t>
  </si>
  <si>
    <t>Vybourání objímek,držáků apod.ze zdiva cihelného-odstranění drobných kovových předmětů na stěnách</t>
  </si>
  <si>
    <t>23</t>
  </si>
  <si>
    <t>978059531R00</t>
  </si>
  <si>
    <t>Odsekání vnitřních obkladů stěn nad 2 m2</t>
  </si>
  <si>
    <t>(2,62*2+1,78*2-1,0)*2,5</t>
  </si>
  <si>
    <t>(2,635*2+1,735*2-1,0)*2,5</t>
  </si>
  <si>
    <t>2,415*1,4+(0,525+2,49+2,485)*1,4</t>
  </si>
  <si>
    <t>(2,045*2+1,32*2-0,7)*1,4</t>
  </si>
  <si>
    <t>2*1,4</t>
  </si>
  <si>
    <t>(0,55+0,96*2+1,18+0,2)*2,1+(1,365*2+1,28*2-0,7-0,625)*1,4</t>
  </si>
  <si>
    <t>(1,28*2+1,06*2-0,7)*1,4</t>
  </si>
  <si>
    <t>24</t>
  </si>
  <si>
    <t>978011211R00</t>
  </si>
  <si>
    <t>Odstranění štukové vrstvy vnitřních stropů</t>
  </si>
  <si>
    <t>5,79*2,91</t>
  </si>
  <si>
    <t>3,6*2,8</t>
  </si>
  <si>
    <t>5,55*3,6</t>
  </si>
  <si>
    <t>10,8</t>
  </si>
  <si>
    <t>1.116+1.117+1.118</t>
  </si>
  <si>
    <t>2,05*1,32</t>
  </si>
  <si>
    <t>2,6*5,5</t>
  </si>
  <si>
    <t>25</t>
  </si>
  <si>
    <t>971100021RAA</t>
  </si>
  <si>
    <t>Vybourání otvorů ve zdivu cihelném</t>
  </si>
  <si>
    <t>1,0*2,02</t>
  </si>
  <si>
    <t>26</t>
  </si>
  <si>
    <t>978013211R00</t>
  </si>
  <si>
    <t>Odstranění štukové vrstvy omítky z vnitřních stěn</t>
  </si>
  <si>
    <t>(1,415*2*3,25+2,91*3,25)-1,0*2,02-1,13*1,04</t>
  </si>
  <si>
    <t>(5,46*2+2,6*2)*3,25-1*2,02-2,34*1,05</t>
  </si>
  <si>
    <t>(3,585*2+2,79*2)*3,25-2,02</t>
  </si>
  <si>
    <t>(5,55*2+3,59*2)*3,25+0,535*3,25*2-2,3*1,04*2-2,02*3-2,1*2,415-2,1*(0,525+2,49+2,485)</t>
  </si>
  <si>
    <t>(1,32*2+2,045*2)*(3,25-1,5)-0,5*0,8</t>
  </si>
  <si>
    <t>(1,53*2+3,57+1,57)*3,25-0,9*2,02-2*2,02*0,7</t>
  </si>
  <si>
    <t>(1,28+1,3)*(3,25-1,5)-0,5*1,02</t>
  </si>
  <si>
    <t>(2,4+1,2)*(3,25-2,1)-0,52*1,02</t>
  </si>
  <si>
    <t>(3,095*2+2,89*2)*3,25-2,34*1,05-0,9*2,02</t>
  </si>
  <si>
    <t>27</t>
  </si>
  <si>
    <t>978013191R00</t>
  </si>
  <si>
    <t>Otlučení omítek vnitřních stěn v rozsahu do 100 % - pod obklady</t>
  </si>
  <si>
    <t>28</t>
  </si>
  <si>
    <t>978013141R00</t>
  </si>
  <si>
    <t>Otlučení omítek vnitřních stěn v rozsahu do 30 %</t>
  </si>
  <si>
    <t>29</t>
  </si>
  <si>
    <t>970051300R00</t>
  </si>
  <si>
    <t>Vrtání jádrové do ŽB do D 300 mm</t>
  </si>
  <si>
    <t>0,3*3</t>
  </si>
  <si>
    <t>VZT strop</t>
  </si>
  <si>
    <t>30</t>
  </si>
  <si>
    <t>970051250R00</t>
  </si>
  <si>
    <t>Vrtání jádrové do ŽB do D 250 mm</t>
  </si>
  <si>
    <t>0,3</t>
  </si>
  <si>
    <t>S</t>
  </si>
  <si>
    <t>Přesuny sutí</t>
  </si>
  <si>
    <t>31</t>
  </si>
  <si>
    <t>979082111R00</t>
  </si>
  <si>
    <t>Vnitrostaveništní doprava suti do 10 m</t>
  </si>
  <si>
    <t>t</t>
  </si>
  <si>
    <t>S_</t>
  </si>
  <si>
    <t>37,62284</t>
  </si>
  <si>
    <t>32</t>
  </si>
  <si>
    <t>979082121R00</t>
  </si>
  <si>
    <t>Příplatek k vnitrost. dopravě suti za dalších 5 m</t>
  </si>
  <si>
    <t>37,62284*5</t>
  </si>
  <si>
    <t>33</t>
  </si>
  <si>
    <t>979011111R00</t>
  </si>
  <si>
    <t>Svislá doprava suti a vybour. hmot za 2.NP a 1.PP</t>
  </si>
  <si>
    <t>34</t>
  </si>
  <si>
    <t>979086112R00</t>
  </si>
  <si>
    <t>Nakládání nebo překládání suti a vybouraných hmot</t>
  </si>
  <si>
    <t>35</t>
  </si>
  <si>
    <t>979081111R00</t>
  </si>
  <si>
    <t>Odvoz suti a vybour. hmot na skládku do 1 km</t>
  </si>
  <si>
    <t>36</t>
  </si>
  <si>
    <t>979081121R00</t>
  </si>
  <si>
    <t>Příplatek k odvozu za každý další 1 km</t>
  </si>
  <si>
    <t>37,62284*10</t>
  </si>
  <si>
    <t>37</t>
  </si>
  <si>
    <t>979990107R00</t>
  </si>
  <si>
    <t>Poplatek za uložení suti - směs betonu, cihel, dřeva, skupina odpadu 170904</t>
  </si>
  <si>
    <t>D.1.112</t>
  </si>
  <si>
    <t>Bourací práce, demontáže - 2.NP</t>
  </si>
  <si>
    <t>38</t>
  </si>
  <si>
    <t>Odstranění izolace proti vlhkosti na ploše vodorovné, asfaltové pásy na sucho, 1 vrstva</t>
  </si>
  <si>
    <t>D.1.112_71_</t>
  </si>
  <si>
    <t>D.1.112_</t>
  </si>
  <si>
    <t>38,59</t>
  </si>
  <si>
    <t>stropní panely</t>
  </si>
  <si>
    <t>1,22*1,85*4</t>
  </si>
  <si>
    <t>bourané výstupy VZT</t>
  </si>
  <si>
    <t>0,8*0,8*7</t>
  </si>
  <si>
    <t>bourání pro osazení oc. kce+VZT</t>
  </si>
  <si>
    <t>39</t>
  </si>
  <si>
    <t>711170101R00</t>
  </si>
  <si>
    <t>Odstranění izolace proti vlhkosti na ploše vodorovné, fólie, volně, včetně textilie</t>
  </si>
  <si>
    <t>kolem stropní panely</t>
  </si>
  <si>
    <t>40</t>
  </si>
  <si>
    <t>713104213R00</t>
  </si>
  <si>
    <t>Odstranění tepelné izolace střech plochých, kotvené, z desek EPS, tl. nad 200 mm</t>
  </si>
  <si>
    <t>41</t>
  </si>
  <si>
    <t>Demontáže - odpojení a demontáž stávající technologie stravování, ekologická likvidace, zpětnou montáž TS v rámci objektu</t>
  </si>
  <si>
    <t>D.1.112_72_</t>
  </si>
  <si>
    <t>8*5</t>
  </si>
  <si>
    <t>766</t>
  </si>
  <si>
    <t>Konstrukce truhlářské</t>
  </si>
  <si>
    <t>42</t>
  </si>
  <si>
    <t>766900010RAA</t>
  </si>
  <si>
    <t>Demontáž obložení stěn - výdejová okna</t>
  </si>
  <si>
    <t>766_</t>
  </si>
  <si>
    <t>D.1.112_76_</t>
  </si>
  <si>
    <t>(1,7+0,83+2,315+2,320+1,2*8)*0,2</t>
  </si>
  <si>
    <t>43</t>
  </si>
  <si>
    <t>D.1.112_77_</t>
  </si>
  <si>
    <t>9,89</t>
  </si>
  <si>
    <t>2.95</t>
  </si>
  <si>
    <t>6,06</t>
  </si>
  <si>
    <t>2.88</t>
  </si>
  <si>
    <t>44</t>
  </si>
  <si>
    <t>776401800RT1</t>
  </si>
  <si>
    <t>3,165*2+1,94*2-1</t>
  </si>
  <si>
    <t>783</t>
  </si>
  <si>
    <t>Nátěry</t>
  </si>
  <si>
    <t>45</t>
  </si>
  <si>
    <t>783900020RAB</t>
  </si>
  <si>
    <t>Odstranění nátěrů z kovových doplňkových kostrukcí</t>
  </si>
  <si>
    <t>783_</t>
  </si>
  <si>
    <t>D.1.112_78_</t>
  </si>
  <si>
    <t>1,1*2</t>
  </si>
  <si>
    <t>784</t>
  </si>
  <si>
    <t>Malby</t>
  </si>
  <si>
    <t>46</t>
  </si>
  <si>
    <t>784011222RT2</t>
  </si>
  <si>
    <t>Zakrytí podlah, včetně odstranění</t>
  </si>
  <si>
    <t>784_</t>
  </si>
  <si>
    <t>176,59</t>
  </si>
  <si>
    <t>jidelna</t>
  </si>
  <si>
    <t>47</t>
  </si>
  <si>
    <t>D.1.112_9_</t>
  </si>
  <si>
    <t>48</t>
  </si>
  <si>
    <t>2*0,165</t>
  </si>
  <si>
    <t>2.89</t>
  </si>
  <si>
    <t>2*0,185</t>
  </si>
  <si>
    <t>2.91</t>
  </si>
  <si>
    <t>49</t>
  </si>
  <si>
    <t>117,66*0,07</t>
  </si>
  <si>
    <t>2.87</t>
  </si>
  <si>
    <t>6,06*0,07</t>
  </si>
  <si>
    <t>9,35*0,07</t>
  </si>
  <si>
    <t>21,66*0,07</t>
  </si>
  <si>
    <t>2.90</t>
  </si>
  <si>
    <t>2,75*0,07</t>
  </si>
  <si>
    <t>5,4*0,07</t>
  </si>
  <si>
    <t>2.92</t>
  </si>
  <si>
    <t>1,68*0,07</t>
  </si>
  <si>
    <t>2.93</t>
  </si>
  <si>
    <t>2,76*0,07</t>
  </si>
  <si>
    <t>2.94</t>
  </si>
  <si>
    <t>16,06*0,07</t>
  </si>
  <si>
    <t>50</t>
  </si>
  <si>
    <t>117,66</t>
  </si>
  <si>
    <t>9,35</t>
  </si>
  <si>
    <t>21,66</t>
  </si>
  <si>
    <t>2,75</t>
  </si>
  <si>
    <t>5,4</t>
  </si>
  <si>
    <t>1,68</t>
  </si>
  <si>
    <t>2,76</t>
  </si>
  <si>
    <t>16,06</t>
  </si>
  <si>
    <t>51</t>
  </si>
  <si>
    <t>117,65</t>
  </si>
  <si>
    <t>8,22</t>
  </si>
  <si>
    <t>2,73</t>
  </si>
  <si>
    <t>5,40</t>
  </si>
  <si>
    <t>1,3</t>
  </si>
  <si>
    <t>3,10</t>
  </si>
  <si>
    <t>52</t>
  </si>
  <si>
    <t>53</t>
  </si>
  <si>
    <t>3,165*3,35-0,9*2,02</t>
  </si>
  <si>
    <t>2,255*1,8+3,045*3,35+4,625*1,43</t>
  </si>
  <si>
    <t>0,75*0,85*2</t>
  </si>
  <si>
    <t>2.87 stůl</t>
  </si>
  <si>
    <t>3,025*3,35-1,0*2,02</t>
  </si>
  <si>
    <t>2.96</t>
  </si>
  <si>
    <t>(3,5*3,35+1,155*3,35*2)-0,7*2,02*2-0,755*3,0</t>
  </si>
  <si>
    <t>54</t>
  </si>
  <si>
    <t>962032231R00</t>
  </si>
  <si>
    <t>Bourání zdiva z cihel pálených na MVC</t>
  </si>
  <si>
    <t>0,25*0,5*4</t>
  </si>
  <si>
    <t>vybourání VZT komínů</t>
  </si>
  <si>
    <t>55</t>
  </si>
  <si>
    <t>5,37*2+1,76*2-0,9</t>
  </si>
  <si>
    <t>4,705*2+1,63*2-1,0-1,0-2,42</t>
  </si>
  <si>
    <t>3,57*2+1,475*2-1,0-1,0-0,7-0,7-1,24-0,42</t>
  </si>
  <si>
    <t>56</t>
  </si>
  <si>
    <t>6*1,0*2,02</t>
  </si>
  <si>
    <t>2*0,9*2,02</t>
  </si>
  <si>
    <t>3*0,7*2,02</t>
  </si>
  <si>
    <t>57</t>
  </si>
  <si>
    <t>963090002R00</t>
  </si>
  <si>
    <t>Demontáž strop. panelů dl.360 cm, do 1,5 t - zděný stůl</t>
  </si>
  <si>
    <t>zděný stůl</t>
  </si>
  <si>
    <t>58</t>
  </si>
  <si>
    <t>963200023RA0</t>
  </si>
  <si>
    <t>Bourání stropů z panelů železobetonových š. nad 300 mm, tl. 250 mm</t>
  </si>
  <si>
    <t>7,21*2</t>
  </si>
  <si>
    <t>59</t>
  </si>
  <si>
    <t>963100011RA0R</t>
  </si>
  <si>
    <t>Bourání stropů PZD profily+I profily</t>
  </si>
  <si>
    <t>12,83</t>
  </si>
  <si>
    <t>60</t>
  </si>
  <si>
    <t>968072247R00</t>
  </si>
  <si>
    <t>Vybourání kovových rámů oken jednod. nad 4 m2</t>
  </si>
  <si>
    <t>4,625*1,78</t>
  </si>
  <si>
    <t>ocelové okno kuchyně</t>
  </si>
  <si>
    <t>61</t>
  </si>
  <si>
    <t>968095001R00</t>
  </si>
  <si>
    <t>Bourání parapetů dřevěných š. do 25 cm</t>
  </si>
  <si>
    <t>2,3*6+0,8*2</t>
  </si>
  <si>
    <t>62</t>
  </si>
  <si>
    <t>786611811R00A</t>
  </si>
  <si>
    <t>Demontáž rolet výdejových oken-zpětné použití</t>
  </si>
  <si>
    <t>63</t>
  </si>
  <si>
    <t>3,55+2,35+4,30+4,20+3,15</t>
  </si>
  <si>
    <t>prostupy</t>
  </si>
  <si>
    <t>64</t>
  </si>
  <si>
    <t>974042547R00</t>
  </si>
  <si>
    <t>Vysekání rýh v podlaze betonové,10x20 cm</t>
  </si>
  <si>
    <t>5+3,5+1,2+8+4,3+6+4,5+9+3,78+3,02</t>
  </si>
  <si>
    <t>65</t>
  </si>
  <si>
    <t>3*1,25+1,05+1,15</t>
  </si>
  <si>
    <t>66</t>
  </si>
  <si>
    <t>Vrtání jádrové do ŽB do D 345 mm</t>
  </si>
  <si>
    <t>0,25</t>
  </si>
  <si>
    <t>67</t>
  </si>
  <si>
    <t>68</t>
  </si>
  <si>
    <t>(1,145*2+0,425*2)*1,8</t>
  </si>
  <si>
    <t>2.87_sloup</t>
  </si>
  <si>
    <t>(1,175+1,07+0,49+3,385+0,21+3,175+2,44)*1,8</t>
  </si>
  <si>
    <t>(0,535*3+7,34-2+0,985+0,355+0,38+3,770-1,2+0,63+3,545-1,0)*1,8</t>
  </si>
  <si>
    <t>(3,545*2+0,195+0,22+0,72+0,255+2,34+1,85+0,525*2+0,495+2,255*2+1,25-1,0)*1,8</t>
  </si>
  <si>
    <t>2,3*0,97</t>
  </si>
  <si>
    <t>2.87okno pripravna</t>
  </si>
  <si>
    <t>1,7*0,86*2+2,315*0,86</t>
  </si>
  <si>
    <t>2.87vydej_okna</t>
  </si>
  <si>
    <t>0,75*0,85*4</t>
  </si>
  <si>
    <t>2.87zdeny stul</t>
  </si>
  <si>
    <t>4,625*2*1,43</t>
  </si>
  <si>
    <t>2.87parapet_ocel_okno</t>
  </si>
  <si>
    <t>(2,065*2+1,325*2-0,7)*1,4</t>
  </si>
  <si>
    <t>(1,155*2+1,0*2-0,755+0,4)*2,1+(1,32*2+1,155*2-0,7-0,755)*1,4</t>
  </si>
  <si>
    <t>(1,155*2+1,05*2-0,7)*1,4</t>
  </si>
  <si>
    <t>(0,4+1,24)*1,4</t>
  </si>
  <si>
    <t>69</t>
  </si>
  <si>
    <t>7,42</t>
  </si>
  <si>
    <t>3,1</t>
  </si>
  <si>
    <t>5,67</t>
  </si>
  <si>
    <t>70</t>
  </si>
  <si>
    <t>(3,165+1,94*2)*3,25-0,83*1,2-2,3*2,2</t>
  </si>
  <si>
    <t>(0,49+3,385+0,210+3,175+2,44+0,535*3)*(3,25-1,8)</t>
  </si>
  <si>
    <t>(2,3*0,97)+(7,34+0,355+3,77+0,985+0,38+3,545)*(3,25-1,8)-2*1,0*0,2-1,1*0,2</t>
  </si>
  <si>
    <t>(2,3*0,95)+(2,3*0,99*2)+0,675*3,25+(1,0+0,22)*(3,25-1,8)</t>
  </si>
  <si>
    <t>(0,72+0,295+2,34+1,85+0,525*2+1,495)*(3,25-1,8)-1,0*0,2</t>
  </si>
  <si>
    <t>(1,7+2,32+2,315)*(3,25-2,06)</t>
  </si>
  <si>
    <t>(5,37*2+1,76*2)*3,25-0,9*2,2-1,1*2,26</t>
  </si>
  <si>
    <t>(4,705+1,815+1,985)*3,25-1,0*2*2,02-1,1*2,24</t>
  </si>
  <si>
    <t>(2,065*2+1,325*2)*(3,25-1,4)-0,62*0,7</t>
  </si>
  <si>
    <t>(3,57*3,25)-0,7*2,02+1,475*3,25*2-1,0*2,02*2-0,42*1,4</t>
  </si>
  <si>
    <t>(1,05+1,15+0,3)*(3,25-1,4)-0,52*1,02</t>
  </si>
  <si>
    <t>(1,155+1,0+0,2)*(3,25-2,1)+1,32*(3,25-1,4)-0,52*1,02</t>
  </si>
  <si>
    <t>(3,555+2*1,63+0,535)*3,25-0,8*2,25</t>
  </si>
  <si>
    <t>(3,575+2*2,805)*3,25-2,3*2,25-1,0*2,02*2</t>
  </si>
  <si>
    <t>(1,145*2+0,425*2)*(3,25-1,8)</t>
  </si>
  <si>
    <t>2.97 sloup</t>
  </si>
  <si>
    <t>71</t>
  </si>
  <si>
    <t>(0,49+3,385+0,21+3,175+2,44)*1,8</t>
  </si>
  <si>
    <t>(0,5*2+0,72+0,255+2,34+1,85+0,525*2+0,495+1,25-1,0)*1,8</t>
  </si>
  <si>
    <t>(1,155+1,2)*2,1+1,32*1,4</t>
  </si>
  <si>
    <t>(1,05+1,155+1,05-0,7)*1,4</t>
  </si>
  <si>
    <t>(0,42+1,24)*1,4</t>
  </si>
  <si>
    <t>72</t>
  </si>
  <si>
    <t>73</t>
  </si>
  <si>
    <t>102,12881</t>
  </si>
  <si>
    <t>74</t>
  </si>
  <si>
    <t>102,12881*5</t>
  </si>
  <si>
    <t>75</t>
  </si>
  <si>
    <t>76</t>
  </si>
  <si>
    <t>77</t>
  </si>
  <si>
    <t>78</t>
  </si>
  <si>
    <t>102,12881*10</t>
  </si>
  <si>
    <t>79</t>
  </si>
  <si>
    <t>D.1.121</t>
  </si>
  <si>
    <t>Nový stav - 1.NP</t>
  </si>
  <si>
    <t>Přípravné a přidružené práce</t>
  </si>
  <si>
    <t>80</t>
  </si>
  <si>
    <t>113108442R00</t>
  </si>
  <si>
    <t>Rozrytí krytu,kamenivo bez zhut.,se živič. pojivem</t>
  </si>
  <si>
    <t>11_</t>
  </si>
  <si>
    <t>D.1.121_1_</t>
  </si>
  <si>
    <t>D.1.121_</t>
  </si>
  <si>
    <t>0,6*35</t>
  </si>
  <si>
    <t>81</t>
  </si>
  <si>
    <t>113151110R00</t>
  </si>
  <si>
    <t>Fréz.živič.krytu pl.do 500 m2,pruh do 75 cm,tl.2cm</t>
  </si>
  <si>
    <t>82</t>
  </si>
  <si>
    <t>113107220RAB</t>
  </si>
  <si>
    <t>Odstranění asfaltobetonové vozovky, plocha do 50 m2</t>
  </si>
  <si>
    <t>Hloubené vykopávky</t>
  </si>
  <si>
    <t>83</t>
  </si>
  <si>
    <t>139601103R00</t>
  </si>
  <si>
    <t>Ruční výkop jam, rýh a šachet v hornině tř. 4</t>
  </si>
  <si>
    <t>13_</t>
  </si>
  <si>
    <t>0,75*0,75*3,14*2,5</t>
  </si>
  <si>
    <t>84</t>
  </si>
  <si>
    <t>161101101R00</t>
  </si>
  <si>
    <t>Svislé přemístění výkopku z hor.1-4 do 2,5 m</t>
  </si>
  <si>
    <t>4,416</t>
  </si>
  <si>
    <t>85</t>
  </si>
  <si>
    <t>162701109R00</t>
  </si>
  <si>
    <t>Příplatek k vod. přemístění hor.1-4 za další 1 km</t>
  </si>
  <si>
    <t>4,416*10</t>
  </si>
  <si>
    <t>86</t>
  </si>
  <si>
    <t>162301102R00</t>
  </si>
  <si>
    <t>Vodorovné přemístění výkopku z hor.1-4 do 1000 m</t>
  </si>
  <si>
    <t>87</t>
  </si>
  <si>
    <t>167101102R00</t>
  </si>
  <si>
    <t>Nakládání výkopku z hor.1-4 v množství nad 100 m3</t>
  </si>
  <si>
    <t>88</t>
  </si>
  <si>
    <t>162702199R00</t>
  </si>
  <si>
    <t>Poplatek za skládku zeminy</t>
  </si>
  <si>
    <t>2,416</t>
  </si>
  <si>
    <t>Konstrukce ze zemin</t>
  </si>
  <si>
    <t>89</t>
  </si>
  <si>
    <t>175100020RAB</t>
  </si>
  <si>
    <t>Obsyp potrubí štěrkopískem</t>
  </si>
  <si>
    <t>17_</t>
  </si>
  <si>
    <t>90</t>
  </si>
  <si>
    <t>174101101R00</t>
  </si>
  <si>
    <t>Zásyp jam, rýh, šachet se zhutněním</t>
  </si>
  <si>
    <t>3,4</t>
  </si>
  <si>
    <t>VZT</t>
  </si>
  <si>
    <t>Vzduchotechnické zařízení a příslušenství</t>
  </si>
  <si>
    <t>91</t>
  </si>
  <si>
    <t>317121047RT2</t>
  </si>
  <si>
    <t>Překlad nenosný pórobetonový, světlost otvoru do 1050 mm</t>
  </si>
  <si>
    <t>VZT_</t>
  </si>
  <si>
    <t>D.1.121_9_</t>
  </si>
  <si>
    <t>92</t>
  </si>
  <si>
    <t>317941121R00</t>
  </si>
  <si>
    <t>Osazení ocelových válcovaných nosníků do č. 12</t>
  </si>
  <si>
    <t>0,097</t>
  </si>
  <si>
    <t>L 50x50</t>
  </si>
  <si>
    <t>0,06</t>
  </si>
  <si>
    <t>I120</t>
  </si>
  <si>
    <t>93</t>
  </si>
  <si>
    <t>13331512</t>
  </si>
  <si>
    <t>Tyč ocelová L rovnoramenná S235JR, rozměr 50 x 50 x 5 mm</t>
  </si>
  <si>
    <t>M</t>
  </si>
  <si>
    <t>1,2*2*2*1,2*0,00377</t>
  </si>
  <si>
    <t>2*PR1+20%</t>
  </si>
  <si>
    <t>1,3*2*1*1,2*0,00377</t>
  </si>
  <si>
    <t>1*PR2+20%</t>
  </si>
  <si>
    <t>1,4*2*5*1,2*0,00377</t>
  </si>
  <si>
    <t>5*PR3+20%</t>
  </si>
  <si>
    <t>94</t>
  </si>
  <si>
    <t>13380520</t>
  </si>
  <si>
    <t>Tyč ocelová I 120, S235JR</t>
  </si>
  <si>
    <t>0,9*3*2*11,1*0,001</t>
  </si>
  <si>
    <t>Stěny a příčky</t>
  </si>
  <si>
    <t>95</t>
  </si>
  <si>
    <t>342948111R00</t>
  </si>
  <si>
    <t>Ukotvení příček k cihel.konstr. kotvami na hmožd.</t>
  </si>
  <si>
    <t>34_</t>
  </si>
  <si>
    <t>D.1.121_3_</t>
  </si>
  <si>
    <t>2,02*6</t>
  </si>
  <si>
    <t>3,25*3</t>
  </si>
  <si>
    <t>346971162R00</t>
  </si>
  <si>
    <t>Dilatace příček od stropu minerální izolací š. do 150 mm, tl. 30 mm</t>
  </si>
  <si>
    <t>3,5+1,25</t>
  </si>
  <si>
    <t>340271615R00</t>
  </si>
  <si>
    <t>Zazdívka otvorů pl.do 4 m2, pórobet.tvár.,tl.15 cm</t>
  </si>
  <si>
    <t>(1*2,02+1,19*2,02+1,2*2,02)*0,15</t>
  </si>
  <si>
    <t>98</t>
  </si>
  <si>
    <t>342255024R00</t>
  </si>
  <si>
    <t>Příčky z porobetonových tvárnic tl. 100 mm</t>
  </si>
  <si>
    <t>(3,75+1,28)*3,35-0,8*2,02*2</t>
  </si>
  <si>
    <t>99</t>
  </si>
  <si>
    <t>346275111R00</t>
  </si>
  <si>
    <t>Přizdívky z pórobetonových tvárnic tl. 50 mm</t>
  </si>
  <si>
    <t>1,28*1,2</t>
  </si>
  <si>
    <t>1,3*1,2</t>
  </si>
  <si>
    <t>100</t>
  </si>
  <si>
    <t>347013111RZ1A</t>
  </si>
  <si>
    <t>Sádrokartonové opláštění instalací, tl. 55 mm, 1x ocelová konstrukce CD, izolace, 1x opláštěná, RB tl. 12,5 mm</t>
  </si>
  <si>
    <t>(0,25*2+0,3)*3,25+0,5*3,25</t>
  </si>
  <si>
    <t>101</t>
  </si>
  <si>
    <t>553476592</t>
  </si>
  <si>
    <t>Dvířka revizní do SDK 300 x 300 mm, tl. 12,5 mm, suché prostředí</t>
  </si>
  <si>
    <t>Stropy a stropní konstrukce (pro pozemní stavby)</t>
  </si>
  <si>
    <t>102</t>
  </si>
  <si>
    <t>417321414R00</t>
  </si>
  <si>
    <t>Ztužující pásy a věnce z betonu železového C 25/30</t>
  </si>
  <si>
    <t>41_</t>
  </si>
  <si>
    <t>D.1.121_4_</t>
  </si>
  <si>
    <t>(1,1*2+1,15)*0,1*0,15</t>
  </si>
  <si>
    <t>sokl 1.114</t>
  </si>
  <si>
    <t>103</t>
  </si>
  <si>
    <t>417351115R00</t>
  </si>
  <si>
    <t>Bednění ztužujících pásů a věnců - zřízení</t>
  </si>
  <si>
    <t>(1,1*2+1,15+0,985*2+0,95)*0,15</t>
  </si>
  <si>
    <t>104</t>
  </si>
  <si>
    <t>417351116R00</t>
  </si>
  <si>
    <t>Bednění ztužujících pásů a věnců - odstranění</t>
  </si>
  <si>
    <t>105</t>
  </si>
  <si>
    <t>417361821R00</t>
  </si>
  <si>
    <t>Výztuž ztužujících pásů a věnců z oceli B500B (10 505)</t>
  </si>
  <si>
    <t>0,05*95*0,001</t>
  </si>
  <si>
    <t>95 kg/m3</t>
  </si>
  <si>
    <t>106</t>
  </si>
  <si>
    <t>953981102R00</t>
  </si>
  <si>
    <t>Chemické kotvy do betonu, hl. 90 mm, M 10, ampule</t>
  </si>
  <si>
    <t>sokly á 250 mm</t>
  </si>
  <si>
    <t>Podkladní vrstvy komunikací, letišť a ploch</t>
  </si>
  <si>
    <t>107</t>
  </si>
  <si>
    <t>564492111R00</t>
  </si>
  <si>
    <t>Zřízení podkladu vozovky z hlušin tl. do 50 cm</t>
  </si>
  <si>
    <t>56_</t>
  </si>
  <si>
    <t>D.1.121_5_</t>
  </si>
  <si>
    <t>Kryty pozemních komunikací, letišť a ploch z kameniva nebo živičné</t>
  </si>
  <si>
    <t>108</t>
  </si>
  <si>
    <t>573231147R00</t>
  </si>
  <si>
    <t>Postřik spojovací z asf. modifikované, množství zbytkového asfaltu 0,7 kg/m2</t>
  </si>
  <si>
    <t>57_</t>
  </si>
  <si>
    <t>109</t>
  </si>
  <si>
    <t>573311511R00</t>
  </si>
  <si>
    <t>Prolití podkladu z kameniva asfaltem, 2,5 kg/m2</t>
  </si>
  <si>
    <t>110</t>
  </si>
  <si>
    <t>576111111R00</t>
  </si>
  <si>
    <t>Koberec asfalt.mastix SMA 8 S (AKMJ) do 3 m, 2 cm</t>
  </si>
  <si>
    <t>111</t>
  </si>
  <si>
    <t>574000011RA0</t>
  </si>
  <si>
    <t>Komunikace s krytem z penetračního makadamu D2-N-5-V-PII, tll. 400 mm</t>
  </si>
  <si>
    <t>Úprava povrchů vnitřní</t>
  </si>
  <si>
    <t>112</t>
  </si>
  <si>
    <t>611481211R00</t>
  </si>
  <si>
    <t>Montáž výztužné sítě (perlinky) do stěrky-stropy</t>
  </si>
  <si>
    <t>61_</t>
  </si>
  <si>
    <t>D.1.121_6_</t>
  </si>
  <si>
    <t>14,2</t>
  </si>
  <si>
    <t>16,77</t>
  </si>
  <si>
    <t>9,9</t>
  </si>
  <si>
    <t>3,0</t>
  </si>
  <si>
    <t>113</t>
  </si>
  <si>
    <t>611421133R00</t>
  </si>
  <si>
    <t>Omítka vnitřní stropů rovných, MVC, štuková</t>
  </si>
  <si>
    <t>114</t>
  </si>
  <si>
    <t>610991111R00</t>
  </si>
  <si>
    <t>Zakrývání výplní vnitřních otvorů</t>
  </si>
  <si>
    <t>2,34*1,05*2</t>
  </si>
  <si>
    <t>1.106+1.97</t>
  </si>
  <si>
    <t>1,130*1,04</t>
  </si>
  <si>
    <t>2,3*1,04*2</t>
  </si>
  <si>
    <t>0,52*1,02*2</t>
  </si>
  <si>
    <t>115</t>
  </si>
  <si>
    <t>612421637R00</t>
  </si>
  <si>
    <t>Omítka vnitřní zdiva, MVC, štuková</t>
  </si>
  <si>
    <t>(5,5*2+2,595*2)*3,25-2,34*1,05-1,0*2,02</t>
  </si>
  <si>
    <t>(5,8*2+2,91*2)*3,25-1,130*1,04-1,0*2,02</t>
  </si>
  <si>
    <t>(3,585*2+2,79*2)*(3,25-2,1)</t>
  </si>
  <si>
    <t>(5,55*2+3,585*2)*3,25+0,535*3,25-2*1,04*2,3-3*1,0*2,02-2,415*2,1-(0,525+2,49+2,485)*2,1</t>
  </si>
  <si>
    <t>(3,57*2+1,605*2)*3,25-0,8*2,02-0,9*2,02+0,25*2*3,25</t>
  </si>
  <si>
    <t>(2,38*2+1,28*2)*(3,25-2,1)-0,52*1,02</t>
  </si>
  <si>
    <t>(1,295*2+1,28*2)*(3,25-1,5)-0,52*0,8-0,52*1,02</t>
  </si>
  <si>
    <t>(2,045*2+1,32*2)*(3,25-1,5)-0,52*0,8</t>
  </si>
  <si>
    <t>(3,095*2+2,885*2)*3,25-0,9*2,02</t>
  </si>
  <si>
    <t>116</t>
  </si>
  <si>
    <t>612481211RT2</t>
  </si>
  <si>
    <t>Montáž výztužné sítě(perlinky)do stěrky-vnit.stěny,včetně výztužné sítě a stěrkového tmelu</t>
  </si>
  <si>
    <t>117</t>
  </si>
  <si>
    <t>612100020RAA</t>
  </si>
  <si>
    <t>Začištění omítek kolem oken a dveří, podlah a obkladů</t>
  </si>
  <si>
    <t>2,34*2+1,05*2+2,02*2+1,0</t>
  </si>
  <si>
    <t>1,13*2+1,04*2+2,02*2+1,0</t>
  </si>
  <si>
    <t>1,04*4+1,0+2,02+2,02*2+1,0+2,02+1+2,415+0,525+2,49+2,485</t>
  </si>
  <si>
    <t>3,585*2+2,79*2-1,0</t>
  </si>
  <si>
    <t>2,045*2+1,32*2-0,8</t>
  </si>
  <si>
    <t>2,02*2+0,9+2,02*4+0,8+0,8</t>
  </si>
  <si>
    <t>2,38*2+1,28*2+0,52*2+1,02*2</t>
  </si>
  <si>
    <t>1,295*2+1,28*2+0,52*2+0,52*2+1,02*2</t>
  </si>
  <si>
    <t>1,05*2+2,34*2+2,02*2+0,9</t>
  </si>
  <si>
    <t>118</t>
  </si>
  <si>
    <t>Začištění omítek kolem prostupů VZT</t>
  </si>
  <si>
    <t>(0,52*2+0,42*2)+0,5</t>
  </si>
  <si>
    <t>(0,52*2+0,42*2)+3*0,5</t>
  </si>
  <si>
    <t>(0,52*2+0,42*2)+4*0,5</t>
  </si>
  <si>
    <t>2*0,5</t>
  </si>
  <si>
    <t>1.115</t>
  </si>
  <si>
    <t>119</t>
  </si>
  <si>
    <t>602021104R00</t>
  </si>
  <si>
    <t>Adhézní nátěr stěn , ručně</t>
  </si>
  <si>
    <t>120</t>
  </si>
  <si>
    <t>612421626R00</t>
  </si>
  <si>
    <t>Omítka vnitřní zdiva, MVC, hladká-pod obklady</t>
  </si>
  <si>
    <t>(3,585*2+2,79*2)*2,1-2,02</t>
  </si>
  <si>
    <t>2,4*2,1+(0,525+2,485)*2,1+2,49*1,04</t>
  </si>
  <si>
    <t>(2,380*2+1,28*2)*2,1-0,8*2,02</t>
  </si>
  <si>
    <t>(1,295*2+1,28*2)*2,1-0,8*2,02</t>
  </si>
  <si>
    <t>(2,045*2+1,32*2)*2,1-0,8*2,02</t>
  </si>
  <si>
    <t>5,78*3,25</t>
  </si>
  <si>
    <t>1.100 stěna k 1.99</t>
  </si>
  <si>
    <t>1.99 stěna k 1.100</t>
  </si>
  <si>
    <t>121</t>
  </si>
  <si>
    <t>612421321R00</t>
  </si>
  <si>
    <t>Oprava vápen.omítek stěn do 30 % pl. - hladkých</t>
  </si>
  <si>
    <t>(5,8+2,91*2)*3,25-1,130*1,04-1,0*2,02</t>
  </si>
  <si>
    <t>(3,585*2+2,79*2)*3,25-1,0*2,02</t>
  </si>
  <si>
    <t>122</t>
  </si>
  <si>
    <t>612425931R00</t>
  </si>
  <si>
    <t>Omítka vápenná vnitřního ostění - štuková</t>
  </si>
  <si>
    <t>1,05*0,175*2</t>
  </si>
  <si>
    <t>1,04*0,175*2</t>
  </si>
  <si>
    <t>1,04*4*0,175</t>
  </si>
  <si>
    <t>0,52*2*0,175</t>
  </si>
  <si>
    <t>Podlahy a podlahové konstrukce</t>
  </si>
  <si>
    <t>123</t>
  </si>
  <si>
    <t>631361921RT2</t>
  </si>
  <si>
    <t>Výztuž mazanin svařovanou sítí, KD 35, drát d 5,0 mm, oko 100 x 100 mm</t>
  </si>
  <si>
    <t>63_</t>
  </si>
  <si>
    <t>23,84*0,003113</t>
  </si>
  <si>
    <t>P02</t>
  </si>
  <si>
    <t>0,3123</t>
  </si>
  <si>
    <t>rýhy</t>
  </si>
  <si>
    <t>124</t>
  </si>
  <si>
    <t>631312141R00</t>
  </si>
  <si>
    <t>Doplnění rýh betonem v dosavadních mazaninách</t>
  </si>
  <si>
    <t>1,6*0,15</t>
  </si>
  <si>
    <t>1.100 rýha</t>
  </si>
  <si>
    <t>2,2*0,15</t>
  </si>
  <si>
    <t>1.113 rýha</t>
  </si>
  <si>
    <t>2,5*0,15</t>
  </si>
  <si>
    <t>1.114 rýha</t>
  </si>
  <si>
    <t>0,2*0,15</t>
  </si>
  <si>
    <t>1.117 rýha</t>
  </si>
  <si>
    <t>1,0*0,4*0,15</t>
  </si>
  <si>
    <t>1.119 rýha</t>
  </si>
  <si>
    <t>125</t>
  </si>
  <si>
    <t>632411150RT6</t>
  </si>
  <si>
    <t>Potěr cementový, ruční zpracování, tl. 50 mm, vč. penetrace</t>
  </si>
  <si>
    <t>2,70</t>
  </si>
  <si>
    <t>1,6</t>
  </si>
  <si>
    <t>2,2</t>
  </si>
  <si>
    <t>126</t>
  </si>
  <si>
    <t>632415115R00</t>
  </si>
  <si>
    <t>Potěr samonivelační ručně tl. 15 mm - vyrovnávací min. C25/30 (30 MPa), vč. penetrace</t>
  </si>
  <si>
    <t>127</t>
  </si>
  <si>
    <t>631319151R00</t>
  </si>
  <si>
    <t>Příplatek za přehlaz. mazanin pod povlaky tl. 8 cm</t>
  </si>
  <si>
    <t>14,20*0,08</t>
  </si>
  <si>
    <t>9,90*0,08</t>
  </si>
  <si>
    <t>19,67*0,08</t>
  </si>
  <si>
    <t>5,42*0,08</t>
  </si>
  <si>
    <t>Výplně otvorů</t>
  </si>
  <si>
    <t>128</t>
  </si>
  <si>
    <t>642942111R00</t>
  </si>
  <si>
    <t>Osazení zárubní dveřních ocelových, pl. do 2,5 m2</t>
  </si>
  <si>
    <t>64_</t>
  </si>
  <si>
    <t>129</t>
  </si>
  <si>
    <t>553310772</t>
  </si>
  <si>
    <t>Zárubeň ocelová "U", tl. stěny 180 mm, rozměr 800 x 1970 mm L/P, včetně povrchové úpravy - viz PD</t>
  </si>
  <si>
    <t>T03</t>
  </si>
  <si>
    <t>130</t>
  </si>
  <si>
    <t>553310793</t>
  </si>
  <si>
    <t>Zárubeň ocelová "U", tl. stěny 330 mm, rozměr 900 x 1970 mm L/P, včetně povrchové úpravy - viz PD</t>
  </si>
  <si>
    <t>T04</t>
  </si>
  <si>
    <t>131</t>
  </si>
  <si>
    <t>553310773</t>
  </si>
  <si>
    <t>Zárubeň ocelová "U", tl. stěny 180 mm, rozměr 900 x 1970 mm L/P, včetně povrchové úpravy - viz PD</t>
  </si>
  <si>
    <t>T05</t>
  </si>
  <si>
    <t>132</t>
  </si>
  <si>
    <t>553310774</t>
  </si>
  <si>
    <t>Zárubeň ocelová "U", tl. stěny 180 mm, rozměr 1000 x 1970 mm L/P, včetně povrchové úpravy - viz PD</t>
  </si>
  <si>
    <t>T08</t>
  </si>
  <si>
    <t>T09</t>
  </si>
  <si>
    <t>133</t>
  </si>
  <si>
    <t>553310784</t>
  </si>
  <si>
    <t>Zárubeň ocelová "U", tl. stěny 200 mm, rozměr 1000 x 1970 mm L/P, včetně povrchové úpravy - viz PD</t>
  </si>
  <si>
    <t>T10</t>
  </si>
  <si>
    <t>134</t>
  </si>
  <si>
    <t>711212000R00</t>
  </si>
  <si>
    <t>Penetrace podkladu pod hydroizolační nátěr,vč.dod.-pod obklady jen u sprchy a dlažbu pod celou s vytažením 300 mm</t>
  </si>
  <si>
    <t>D.1.121_71_</t>
  </si>
  <si>
    <t>9,90+(36*2+2,8*2)*0,3-0,3</t>
  </si>
  <si>
    <t>19,67+(2,415+0,525+2,49+2,485)*0,3+(2,595+0,535+0,435+5,55)*0,1</t>
  </si>
  <si>
    <t>2,70+(2,05*2+1,32*2)*0,3-0,3*0,8</t>
  </si>
  <si>
    <t>3,0+(1+1+1,175)*2,1+(1,3*2+1,28-1)*0,3</t>
  </si>
  <si>
    <t>1,37+(1,3*2+1,28*2)*0,3</t>
  </si>
  <si>
    <t>135</t>
  </si>
  <si>
    <t>711212002R00</t>
  </si>
  <si>
    <t>Hydroizolační povlak - nátěr nebo stěrka 2mm</t>
  </si>
  <si>
    <t>136</t>
  </si>
  <si>
    <t>711212601R00</t>
  </si>
  <si>
    <t>Těsnicí pás do spoje podlaha - stěna</t>
  </si>
  <si>
    <t>5,55*2+3,585*2-3</t>
  </si>
  <si>
    <t>2,05*2+1,32*2-0,8</t>
  </si>
  <si>
    <t>2,38*2+1,28*2-0,8</t>
  </si>
  <si>
    <t>1,28*2+1,29*2-0,8</t>
  </si>
  <si>
    <t>1,1*2+1,15+0,985*2+0,95</t>
  </si>
  <si>
    <t>1.114 soklik</t>
  </si>
  <si>
    <t>137</t>
  </si>
  <si>
    <t>711212611R00</t>
  </si>
  <si>
    <t>Utěsnění detailů při stěrkových hydroizolacích, těsnicí pás do svislých koutů</t>
  </si>
  <si>
    <t>2,1*2</t>
  </si>
  <si>
    <t>138</t>
  </si>
  <si>
    <t>998711101R00</t>
  </si>
  <si>
    <t>Přesun hmot pro izolace proti vodě, výšky do 6 m</t>
  </si>
  <si>
    <t>139</t>
  </si>
  <si>
    <t>713121111R00</t>
  </si>
  <si>
    <t>Izolace tepelná podlah na sucho, jednovrstvá</t>
  </si>
  <si>
    <t>140</t>
  </si>
  <si>
    <t>283754890</t>
  </si>
  <si>
    <t>Deska izolační XPS, 300 kPa, tl. 20 mm</t>
  </si>
  <si>
    <t>1,295*2+1,28*2-0,8</t>
  </si>
  <si>
    <t>;ztratné 5%; 1,517</t>
  </si>
  <si>
    <t>141</t>
  </si>
  <si>
    <t>713121118R00</t>
  </si>
  <si>
    <t>Montáž dilatačního pásku podél stěn</t>
  </si>
  <si>
    <t>5,8*2+2,91*2-1</t>
  </si>
  <si>
    <t>142</t>
  </si>
  <si>
    <t>713191100RT9</t>
  </si>
  <si>
    <t>Položení separační fólie,včetně dodávky PE fólie</t>
  </si>
  <si>
    <t>;ztratné 5%; 1,192</t>
  </si>
  <si>
    <t>143</t>
  </si>
  <si>
    <t>283140579</t>
  </si>
  <si>
    <t>Pás dilatační MP B s fólií bez samolep tl. 5x80 mm</t>
  </si>
  <si>
    <t>;ztratné 5%; 1,661</t>
  </si>
  <si>
    <t>144</t>
  </si>
  <si>
    <t>998713101R00</t>
  </si>
  <si>
    <t>Přesun hmot pro izolace tepelné, výšky do 6 m</t>
  </si>
  <si>
    <t>145</t>
  </si>
  <si>
    <t>725299101R00</t>
  </si>
  <si>
    <t>Montáž koupelnových doplňků - mýdelníků, držáků ap</t>
  </si>
  <si>
    <t>soubor</t>
  </si>
  <si>
    <t>D.1.121_72_</t>
  </si>
  <si>
    <t>146</t>
  </si>
  <si>
    <t>725291123R00</t>
  </si>
  <si>
    <t>OS3 - Držák ručníků 600 mm</t>
  </si>
  <si>
    <t>OS3</t>
  </si>
  <si>
    <t>147</t>
  </si>
  <si>
    <t>55149001</t>
  </si>
  <si>
    <t>OS5 - Zásobník nerezový na toaletní papír</t>
  </si>
  <si>
    <t>148</t>
  </si>
  <si>
    <t>55149031</t>
  </si>
  <si>
    <t>OS4 - Koš odpadkový nerezový 6 l</t>
  </si>
  <si>
    <t>OS4</t>
  </si>
  <si>
    <t>149</t>
  </si>
  <si>
    <t>55149010</t>
  </si>
  <si>
    <t>OS2 - Zásobník nerez na papírové ručníky</t>
  </si>
  <si>
    <t>OS2</t>
  </si>
  <si>
    <t>150</t>
  </si>
  <si>
    <t>55149023</t>
  </si>
  <si>
    <t>OS1 - Dávkovač tekutého mýdla nerezový obsah 1 l</t>
  </si>
  <si>
    <t>OS1</t>
  </si>
  <si>
    <t>151</t>
  </si>
  <si>
    <t>998725101R00</t>
  </si>
  <si>
    <t>Přesun hmot pro zařizovací předměty, výšky do 6 m</t>
  </si>
  <si>
    <t>152</t>
  </si>
  <si>
    <t>766661122R00</t>
  </si>
  <si>
    <t>Montáž dveří do zárubně,otevíravých 1kř.nad 0,8 m</t>
  </si>
  <si>
    <t>D.1.121_76_</t>
  </si>
  <si>
    <t>153</t>
  </si>
  <si>
    <t>611650538</t>
  </si>
  <si>
    <t>T08 - Dveře vnitřní MDF rám, lehčená DTD, HPL povrch. úprava, plné 1kř. 90x197 cm – přípr. cylindrická vložka, okopový plech-viz PD</t>
  </si>
  <si>
    <t>154</t>
  </si>
  <si>
    <t>6116505310</t>
  </si>
  <si>
    <t>T09 - Dveře vnitřní MDF rám, lehčená DTD, HPL povrch. úprava, plné 1kř. 90x197 cm – dozický zámek, okopový plech-viz PD</t>
  </si>
  <si>
    <t>155</t>
  </si>
  <si>
    <t>156</t>
  </si>
  <si>
    <t>611650525</t>
  </si>
  <si>
    <t>T05 - Dveře vnitřní MDF rám, lehčená DTD, HPL povrch. úprava, plné 1kř. 80x197 cm – přípr. cylindrická vložka, -viz PD</t>
  </si>
  <si>
    <t>157</t>
  </si>
  <si>
    <t>766661112R00</t>
  </si>
  <si>
    <t>Montáž dveří do zárubně,otevíravých 1kř.do 0,8 m</t>
  </si>
  <si>
    <t>158</t>
  </si>
  <si>
    <t>61165052</t>
  </si>
  <si>
    <t>T04 - Dveře vnitřní MDF rám, lehčená DTD, HPL povrch. úprava, plné 1kř. 80x197 cm – přípr. cylindrická vložka, větrací mřížka 400x300 mm-viz PD</t>
  </si>
  <si>
    <t>159</t>
  </si>
  <si>
    <t>611650513</t>
  </si>
  <si>
    <t>T03 - Dveře vnitřní MDF rám, lehčená DTD, HPL povrch. úprava, plné 1kř. 70x197 cm – přípr. cylindrická vložka, větrací mřížka 400x100 mm-viz PD</t>
  </si>
  <si>
    <t>160</t>
  </si>
  <si>
    <t>611650512</t>
  </si>
  <si>
    <t>T02 - Dveře vnitřní MDF rám, lehčená DTD, HPL povrch. úprava, plné 1kř. 70x197 cm – WC zámek, větrací mřížka 400x200 mm-viz PD</t>
  </si>
  <si>
    <t>161</t>
  </si>
  <si>
    <t>61165051</t>
  </si>
  <si>
    <t>T01 - Dveře vnitřní MDF rám, lehčená DTD, HPL povrch. úprava, plné 1kř. 70x197 cm – WC zámek, větrací mřížka 400x100 mm-viz PD</t>
  </si>
  <si>
    <t>162</t>
  </si>
  <si>
    <t>553310732</t>
  </si>
  <si>
    <t>Zárubeň ocelová "U", tl. stěny 100 mm, rozměr 800 x 1970 mm L/P, včetně povrchové úpravy - viz PD</t>
  </si>
  <si>
    <t>T01, T02</t>
  </si>
  <si>
    <t>163</t>
  </si>
  <si>
    <t>998766101R00</t>
  </si>
  <si>
    <t>Přesun hmot pro truhlářské konstr., výšky do 6 m</t>
  </si>
  <si>
    <t>0,5532</t>
  </si>
  <si>
    <t>767</t>
  </si>
  <si>
    <t>Konstrukce doplňkové stavební (zámečnické)</t>
  </si>
  <si>
    <t>164</t>
  </si>
  <si>
    <t>767 PC Z09</t>
  </si>
  <si>
    <t>D+M Panikového kování na stávající dvoukřídlové dveře vč.dmtž stávajícího kování/vložky  viz specifikace prvků</t>
  </si>
  <si>
    <t>767_</t>
  </si>
  <si>
    <t>165</t>
  </si>
  <si>
    <t>767 PC Z10</t>
  </si>
  <si>
    <t>166</t>
  </si>
  <si>
    <t>998767101R00</t>
  </si>
  <si>
    <t>Přesun hmot pro zámečnické konstr., výšky do 6 m</t>
  </si>
  <si>
    <t>771</t>
  </si>
  <si>
    <t>Podlahy z dlaždic</t>
  </si>
  <si>
    <t>167</t>
  </si>
  <si>
    <t>771575118R00</t>
  </si>
  <si>
    <t>Montáž podlah z dlaždic hladkých keramických, do tmele, 600 x 600 mm</t>
  </si>
  <si>
    <t>771_</t>
  </si>
  <si>
    <t>D.1.121_77_</t>
  </si>
  <si>
    <t>168</t>
  </si>
  <si>
    <t>59764224</t>
  </si>
  <si>
    <t>Dlažba keramická slinutá tl.10mm,matná reliéfní, R9, R10, R11 (dle účelu místností)</t>
  </si>
  <si>
    <t>(47,9+1,1*2+1,15+0,985*2+0,95+5,8)*0,1</t>
  </si>
  <si>
    <t>sokliky</t>
  </si>
  <si>
    <t>;ztratné 10%; 7,9027</t>
  </si>
  <si>
    <t>169</t>
  </si>
  <si>
    <t>771579795R00</t>
  </si>
  <si>
    <t>Příplatek za spárování vodotěsnou hmotou - plošně</t>
  </si>
  <si>
    <t>170</t>
  </si>
  <si>
    <t>771578011R00</t>
  </si>
  <si>
    <t>Spára podlaha - stěna, silikonem</t>
  </si>
  <si>
    <t>5,5*2+2,59*2-1,0</t>
  </si>
  <si>
    <t>5,8*2+2,91*2-1,0</t>
  </si>
  <si>
    <t>(2,595+0,435+2,49)*2+3,58*2-3*1,0</t>
  </si>
  <si>
    <t>3,57*2+1,61*2-0,8*2</t>
  </si>
  <si>
    <t>2,38*2+1,175*2-0,8</t>
  </si>
  <si>
    <t>2,045*2+1,32*2-0,9</t>
  </si>
  <si>
    <t>5,8</t>
  </si>
  <si>
    <t>171</t>
  </si>
  <si>
    <t>771579791R00</t>
  </si>
  <si>
    <t>Příplatek za plochu podlah keram. do 5 m2 jednotl.</t>
  </si>
  <si>
    <t>172</t>
  </si>
  <si>
    <t>771475014R00</t>
  </si>
  <si>
    <t>Montáž soklíků rovných z dlaždic keramických, do tmele, výšky do 100 mm</t>
  </si>
  <si>
    <t>5,46*2+2,6*2-1</t>
  </si>
  <si>
    <t>1.97 soklik</t>
  </si>
  <si>
    <t>1.100 soklik</t>
  </si>
  <si>
    <t>2,595+0,535+0,435+2,1+2,435+0,2*2</t>
  </si>
  <si>
    <t>3,57*2+1,605*2-0,8*2-0,9</t>
  </si>
  <si>
    <t>1.116 soklik</t>
  </si>
  <si>
    <t>1.99 sokl ke stěně k 1.100</t>
  </si>
  <si>
    <t>173</t>
  </si>
  <si>
    <t>771479001R00</t>
  </si>
  <si>
    <t>Řezání dlaždic keramických pro soklíky</t>
  </si>
  <si>
    <t>1.114 soklik podlaha</t>
  </si>
  <si>
    <t>174</t>
  </si>
  <si>
    <t>771471013R00</t>
  </si>
  <si>
    <t>Montáž soklíků rovných z dlaždic keramických, do tmele, 150 x 150 mm</t>
  </si>
  <si>
    <t>1,1*2+1,15</t>
  </si>
  <si>
    <t>Pzn.2</t>
  </si>
  <si>
    <t>175</t>
  </si>
  <si>
    <t>998771101R00</t>
  </si>
  <si>
    <t>Přesun hmot pro podlahy z dlaždic, výšky do 6 m</t>
  </si>
  <si>
    <t>176</t>
  </si>
  <si>
    <t>776521200RT1</t>
  </si>
  <si>
    <t>Lepení povlakové podlahy z dílců PVC a CV (vinyl)</t>
  </si>
  <si>
    <t>177</t>
  </si>
  <si>
    <t>776981114RU1</t>
  </si>
  <si>
    <t>Lišta hliníková podlahová -ukončení u stěny - soklík</t>
  </si>
  <si>
    <t>3,095*2+2,885*2-0,9</t>
  </si>
  <si>
    <t>178</t>
  </si>
  <si>
    <t>284122771</t>
  </si>
  <si>
    <t>Podlahovina vinylová  tl. 2,0 mm, R10, 1200 x 180 mm</t>
  </si>
  <si>
    <t>;ztratné 8%; 0,7176</t>
  </si>
  <si>
    <t>179</t>
  </si>
  <si>
    <t>998776101R00</t>
  </si>
  <si>
    <t>Přesun hmot pro podlahy povlakové, výšky do 6 m</t>
  </si>
  <si>
    <t>777</t>
  </si>
  <si>
    <t>Podlahy ze syntetických hmot</t>
  </si>
  <si>
    <t>180</t>
  </si>
  <si>
    <t>777553010R00</t>
  </si>
  <si>
    <t>Penetrace savého podkladu disperzí pod nivelaci</t>
  </si>
  <si>
    <t>777_</t>
  </si>
  <si>
    <t>181</t>
  </si>
  <si>
    <t>777531025R00</t>
  </si>
  <si>
    <t>Vyrovnání podlahy, samonivelační hmota tl. 5 mm</t>
  </si>
  <si>
    <t>182</t>
  </si>
  <si>
    <t>998777101R00</t>
  </si>
  <si>
    <t>Přesun hmot pro podlahy syntetické, výšky do 6 m</t>
  </si>
  <si>
    <t>781</t>
  </si>
  <si>
    <t>Obklady (keramické)</t>
  </si>
  <si>
    <t>183</t>
  </si>
  <si>
    <t>781475120R00</t>
  </si>
  <si>
    <t>Obklad vnitřní stěn keramický, do tmele, do 300 x 600 mm</t>
  </si>
  <si>
    <t>781_</t>
  </si>
  <si>
    <t>D.1.121_78_</t>
  </si>
  <si>
    <t>184</t>
  </si>
  <si>
    <t>597813747</t>
  </si>
  <si>
    <t>Obkládačka 30x60tl.10mm ,glazované keramické obkladové prvky</t>
  </si>
  <si>
    <t>;ztratné 10%; 7,41776</t>
  </si>
  <si>
    <t>185</t>
  </si>
  <si>
    <t>781101210R00</t>
  </si>
  <si>
    <t>Penetrace podkladu pod obklady</t>
  </si>
  <si>
    <t>186</t>
  </si>
  <si>
    <t>781419706R00</t>
  </si>
  <si>
    <t>Příplatek za spárovací vodotěsnou hmotu - plošně</t>
  </si>
  <si>
    <t>187</t>
  </si>
  <si>
    <t>781497121RS3</t>
  </si>
  <si>
    <t>Lišta hliníková rohová k obkladům,pro tloušťku obkladu 10 mm</t>
  </si>
  <si>
    <t>3,585*2+2,79*2-1+2,1*2*1</t>
  </si>
  <si>
    <t>2,415+2,1+0,525+2,485+2,1</t>
  </si>
  <si>
    <t>1.114 sokl</t>
  </si>
  <si>
    <t>2,045*2+1,32*2-0,8+2,02*2+0,8</t>
  </si>
  <si>
    <t>2,38*2+1,28*2-0,8+2,02*2+0,8</t>
  </si>
  <si>
    <t>1,29*2+1,28*2-0,8+2,02*2+0,8</t>
  </si>
  <si>
    <t>188</t>
  </si>
  <si>
    <t>781111111R00</t>
  </si>
  <si>
    <t>Řezání obkladaček diamantovým kotoučem</t>
  </si>
  <si>
    <t>8*2,1+3,6*2+2,8*2</t>
  </si>
  <si>
    <t>4*2,1+2,415+0,525+2,49+2,485</t>
  </si>
  <si>
    <t>5*2,1+2,05*2+1,32*2</t>
  </si>
  <si>
    <t>2,38*2+1,28*2+8*2,1+1,28</t>
  </si>
  <si>
    <t>1,28*2+1,29*2+1,5*6</t>
  </si>
  <si>
    <t>189</t>
  </si>
  <si>
    <t>998781101R00</t>
  </si>
  <si>
    <t>Přesun hmot pro obklady keramické, výšky do 6 m</t>
  </si>
  <si>
    <t>6,0971</t>
  </si>
  <si>
    <t>190</t>
  </si>
  <si>
    <t>784161401R00</t>
  </si>
  <si>
    <t>Penetrace podkladu nátěrem-akrylát, 1 x</t>
  </si>
  <si>
    <t>0</t>
  </si>
  <si>
    <t>strop</t>
  </si>
  <si>
    <t>stěny</t>
  </si>
  <si>
    <t>191</t>
  </si>
  <si>
    <t>784165512R00</t>
  </si>
  <si>
    <t>Malba tekutá akryl bílá, bez penetrace, 2 x</t>
  </si>
  <si>
    <t>Doplňující konstrukce a práce na pozemních komunikacích a zpevněných plochách</t>
  </si>
  <si>
    <t>192</t>
  </si>
  <si>
    <t>919735112R00</t>
  </si>
  <si>
    <t>Řezání stávajícího živičného krytu tl. 5 - 10 cm</t>
  </si>
  <si>
    <t>91_</t>
  </si>
  <si>
    <t>35*2</t>
  </si>
  <si>
    <t>Lešení a stavební výtahy</t>
  </si>
  <si>
    <t>193</t>
  </si>
  <si>
    <t>941955002R00</t>
  </si>
  <si>
    <t>Lešení lehké pomocné, výška podlahy do 1,9 m</t>
  </si>
  <si>
    <t>94_</t>
  </si>
  <si>
    <t>Různé dokončovací konstrukce a práce na pozemních stavbách</t>
  </si>
  <si>
    <t>194</t>
  </si>
  <si>
    <t>952901111R00</t>
  </si>
  <si>
    <t>Vyčištění budov o výšce podlaží do 4 m</t>
  </si>
  <si>
    <t>95_</t>
  </si>
  <si>
    <t>195</t>
  </si>
  <si>
    <t>953941312R00</t>
  </si>
  <si>
    <t>Osazení požárního hasicího přístroje na stěnu</t>
  </si>
  <si>
    <t>196</t>
  </si>
  <si>
    <t>4498410010</t>
  </si>
  <si>
    <t>OS8 - Přístroj hasicí práškový 21A dle zprávy PO, viz PD</t>
  </si>
  <si>
    <t>H99</t>
  </si>
  <si>
    <t>Ostatní přesuny hmot</t>
  </si>
  <si>
    <t>197</t>
  </si>
  <si>
    <t>999281105R00</t>
  </si>
  <si>
    <t>Přesun hmot pro opravy a údržbu do výšky 6 m</t>
  </si>
  <si>
    <t>H99_</t>
  </si>
  <si>
    <t>36,58239</t>
  </si>
  <si>
    <t>M46</t>
  </si>
  <si>
    <t>Zemní práce při montážích</t>
  </si>
  <si>
    <t>198</t>
  </si>
  <si>
    <t>460200263RT1</t>
  </si>
  <si>
    <t>Výkop kabelové rýhy 50/80 cm  hor.3</t>
  </si>
  <si>
    <t>M46_</t>
  </si>
  <si>
    <t>199</t>
  </si>
  <si>
    <t>460300001RT1</t>
  </si>
  <si>
    <t>Záhrn rýh strojem v zastavěném prostoru</t>
  </si>
  <si>
    <t>0,8*0,6*35</t>
  </si>
  <si>
    <t>200</t>
  </si>
  <si>
    <t>460700001RT1</t>
  </si>
  <si>
    <t>Označení kabelového vedení</t>
  </si>
  <si>
    <t>201</t>
  </si>
  <si>
    <t>460560263RT1</t>
  </si>
  <si>
    <t>Zához rýhy 50/80 cm, hornina třídy 3</t>
  </si>
  <si>
    <t>D.1.122</t>
  </si>
  <si>
    <t>Nový stav - 2.NP</t>
  </si>
  <si>
    <t>202</t>
  </si>
  <si>
    <t>D.1.122_9_</t>
  </si>
  <si>
    <t>D.1.122_</t>
  </si>
  <si>
    <t>203</t>
  </si>
  <si>
    <t>317121049R00</t>
  </si>
  <si>
    <t>Překlad nenosný pórobetonový, světlost otvoru do 3750 mm</t>
  </si>
  <si>
    <t>204</t>
  </si>
  <si>
    <t>317941123R00</t>
  </si>
  <si>
    <t>Osazení ocelových válcovaných nosníků  č. 14 - 22</t>
  </si>
  <si>
    <t>0,567</t>
  </si>
  <si>
    <t>205</t>
  </si>
  <si>
    <t>3*1,185*0,0121</t>
  </si>
  <si>
    <t>N2</t>
  </si>
  <si>
    <t>1*1,01*0,0121</t>
  </si>
  <si>
    <t>N3</t>
  </si>
  <si>
    <t>2*1,145*0,0121</t>
  </si>
  <si>
    <t>N4</t>
  </si>
  <si>
    <t>2*1,2*2*1,2*0,00377</t>
  </si>
  <si>
    <t>PR1</t>
  </si>
  <si>
    <t>1*1,3*2*1,2*0,00377</t>
  </si>
  <si>
    <t>PR2</t>
  </si>
  <si>
    <t>5*1,4*2*1,2*0,00377</t>
  </si>
  <si>
    <t>PR3</t>
  </si>
  <si>
    <t>206</t>
  </si>
  <si>
    <t>207</t>
  </si>
  <si>
    <t>13485315</t>
  </si>
  <si>
    <t>Tyč ocelová UPE 200, S235JR</t>
  </si>
  <si>
    <t>4*6,22*0,0228</t>
  </si>
  <si>
    <t>208</t>
  </si>
  <si>
    <t>13386430</t>
  </si>
  <si>
    <t>Tyč ocelová UPE 120, S235JR</t>
  </si>
  <si>
    <t>209</t>
  </si>
  <si>
    <t>D.1.122_3_</t>
  </si>
  <si>
    <t>3,25*7</t>
  </si>
  <si>
    <t>2,1</t>
  </si>
  <si>
    <t>1,0</t>
  </si>
  <si>
    <t>210</t>
  </si>
  <si>
    <t>Příčky z desek porobetonových tl. 100 mm</t>
  </si>
  <si>
    <t>3,5*3,35+1,25*3,35-0,8*2*2,02</t>
  </si>
  <si>
    <t>2.94, 2.93</t>
  </si>
  <si>
    <t>0,5*3,35</t>
  </si>
  <si>
    <t>obezdění RE</t>
  </si>
  <si>
    <t>211</t>
  </si>
  <si>
    <t>342255026R00</t>
  </si>
  <si>
    <t>Příčky z desek porobetonových tl. 125 mm</t>
  </si>
  <si>
    <t>(3,045+2,43+2,3+2,25+3,165)*3,35-1,785*2,08</t>
  </si>
  <si>
    <t>2,145*2,1</t>
  </si>
  <si>
    <t>2.87 snížená</t>
  </si>
  <si>
    <t>212</t>
  </si>
  <si>
    <t>Přizdívky z desek porobetonových tl. 50 mm</t>
  </si>
  <si>
    <t>1,25*1,2</t>
  </si>
  <si>
    <t>1,335*1,2</t>
  </si>
  <si>
    <t>213</t>
  </si>
  <si>
    <t>3,46+1,25+3,045+2,2+1,2+0,125+0,8+3,38-1,135+3,165+0,5</t>
  </si>
  <si>
    <t>214</t>
  </si>
  <si>
    <t>347013111RZ1</t>
  </si>
  <si>
    <t>(0,45*2+0,75)*3,25+0,5*3,25+0,5*3,25</t>
  </si>
  <si>
    <t>215</t>
  </si>
  <si>
    <t>216</t>
  </si>
  <si>
    <t>411354255R00</t>
  </si>
  <si>
    <t>Bednění stropů zabudované z ocelových trapézových plechů pozinkovaných vlna 50 mm tl. 0,8 mm</t>
  </si>
  <si>
    <t>D.1.122_4_</t>
  </si>
  <si>
    <t>12,5*1,1</t>
  </si>
  <si>
    <t>+10%</t>
  </si>
  <si>
    <t>217</t>
  </si>
  <si>
    <t>411320040RAA</t>
  </si>
  <si>
    <t>Strop ze železobetonu beton C 25/30, tl. 100 mm</t>
  </si>
  <si>
    <t>ŽB strop místo panelů+10%</t>
  </si>
  <si>
    <t>0,25*4</t>
  </si>
  <si>
    <t>dobetonování po zrušené VZT</t>
  </si>
  <si>
    <t>218</t>
  </si>
  <si>
    <t>(0,92*2+0,62*2)*0,15*0,15</t>
  </si>
  <si>
    <t>TG sokl</t>
  </si>
  <si>
    <t>(2,02*2+0,62*2)*0,15*0,15</t>
  </si>
  <si>
    <t>(1,785*2+1,27+0,95*2)*0,15*0,15</t>
  </si>
  <si>
    <t>(2,155*2+2,05*2)*0,15*0,15</t>
  </si>
  <si>
    <t>(1,36*2+0,71*2+0,81*2+0,76)*0,15*0,15</t>
  </si>
  <si>
    <t>(2,46*2+0,69*3)*0,15*0,15</t>
  </si>
  <si>
    <t>(1,94*2+0,62*2)*0,15*0,15</t>
  </si>
  <si>
    <t>(0,605*2+0,62*2)*0,15*0,15</t>
  </si>
  <si>
    <t>(0,62*2+2,01*2)*0,15*0,15</t>
  </si>
  <si>
    <t>(1,72*2+0,57*2)*0,15*0,15</t>
  </si>
  <si>
    <t>219</t>
  </si>
  <si>
    <t>(0,62*2+0,92+0,62*2+0,32*2)*0,15</t>
  </si>
  <si>
    <t>(0,62*2+2,02+1,72*2+0,32*2)*0,15</t>
  </si>
  <si>
    <t>(1,785+0,95+1,27+0,345*2+1,485*2+0,97*2+0,155*2)*0,15</t>
  </si>
  <si>
    <t>(2,155+2,05+1,855+0,22+1,535+1,75+1,53+0,32)*0,15</t>
  </si>
  <si>
    <t>(1,52*2+1,36*2+1,06*2+0,41*2+0,66*2+0,46*2)*0,15</t>
  </si>
  <si>
    <t>(2,46*2+0,69*2+0,555*2+0,39*4+1,455*2)*0,15</t>
  </si>
  <si>
    <t>(1,94+2*0,62+1,64*2+0,32*2)*0,15</t>
  </si>
  <si>
    <t>(0,605+0,62+0,305*2+0,32*2)*0,15</t>
  </si>
  <si>
    <t>(0,62*2+2,01+1,71*2+0,32*2)*0,15</t>
  </si>
  <si>
    <t>(1,72+0,57*2+1,42*2+0,27*2)*0,15</t>
  </si>
  <si>
    <t>220</t>
  </si>
  <si>
    <t>221</t>
  </si>
  <si>
    <t>1,224*95*0,001</t>
  </si>
  <si>
    <t>222</t>
  </si>
  <si>
    <t>(0,62*4+0,92*2+2,02*2+2,155*2+2,05*2+1,36*2+0,71*2+0,81*2+0,76)*4</t>
  </si>
  <si>
    <t>(1,785*2+1,27+0,95*2+2,46*2+0,69*3+1,94*2+0,62*2+2,01*2+0,62*4+0,605*2+1,72*2+0,57*2)*4</t>
  </si>
  <si>
    <t>223</t>
  </si>
  <si>
    <t>411321414R00</t>
  </si>
  <si>
    <t>Stropy deskové ze železobetonu C 25/30</t>
  </si>
  <si>
    <t>dobetonávka stropů po zrušené VZT</t>
  </si>
  <si>
    <t>224</t>
  </si>
  <si>
    <t>611481211RT6</t>
  </si>
  <si>
    <t>Montáž výztužné sítě (perlinky) do stěrky - stropy vnitřní</t>
  </si>
  <si>
    <t>D.1.122_6_</t>
  </si>
  <si>
    <t>117,85+2,350*0,175*6</t>
  </si>
  <si>
    <t>6,28+2,35*0,175</t>
  </si>
  <si>
    <t>9,35+1,150*0,175</t>
  </si>
  <si>
    <t>8,24+1,15*0,175</t>
  </si>
  <si>
    <t>5,72</t>
  </si>
  <si>
    <t>1,68+0,55*0,175</t>
  </si>
  <si>
    <t>2,76+0,55*0,175</t>
  </si>
  <si>
    <t>225</t>
  </si>
  <si>
    <t>226</t>
  </si>
  <si>
    <t>2,3*2,27+2,3*2,27+1,1*2,26+1,1*2,24+0,52*1,02*2+0,8*2,25+2,3*2,25+2,3*2,26*3</t>
  </si>
  <si>
    <t>2,3*2,26*4+2,3*2,06*4+1,55*2,0</t>
  </si>
  <si>
    <t>227</t>
  </si>
  <si>
    <t>(0,72+0,255+1,7+2,34+2,32+1,85+2,315+0,495+2,145*2+1)*(3,25-2,1)</t>
  </si>
  <si>
    <t>(3,165+0,5+0,195+3,175+0,21+3,175+2,44)*(3,25-2,1)</t>
  </si>
  <si>
    <t>(0,535*3+7,34+0,985+0,355+3,77+0,63+3,545)*(3,25-2,1)</t>
  </si>
  <si>
    <t>(3,545+0,125*2+0,2)*(3,25-2,1)</t>
  </si>
  <si>
    <t>(2,245+0,8+2,17+2,43+2,43-0,125+0,125+1,2+2,245)*(3,25-2,4)</t>
  </si>
  <si>
    <t>0,675*(3,25-2,1)</t>
  </si>
  <si>
    <t>(2,025*2+3,165*2)*3,25-0,9*2,02-2,3*2,2-0,83*1,2</t>
  </si>
  <si>
    <t>(5,37*2+1,735*2)*3,25-0,9*2,02-1,1*2,28</t>
  </si>
  <si>
    <t>(4,61+1,835+1,63+1,985)*3,25-2*1,0*2,02-1,1*2,24</t>
  </si>
  <si>
    <t>(2,065*2+1,325*2)*(3,25-1,5)-0,6*0,9</t>
  </si>
  <si>
    <t>(1,615*2+3,46*2)*3,25-0,8*3*2,02-2*1,0*2,02</t>
  </si>
  <si>
    <t>(1,25*2+1,335*2)*(3,25-1,5)-0,6*0,8-0,52*1,02</t>
  </si>
  <si>
    <t>(2,315*2+1,135*2)*(3,25-2,1)-0,52*1,02</t>
  </si>
  <si>
    <t>(3,575*2+4,615*2)*3,25+0,45*2*3,25+0,525*2*3,25-1,0*2,02*2-2,3*2,25-0,8*2,25</t>
  </si>
  <si>
    <t>228</t>
  </si>
  <si>
    <t>229</t>
  </si>
  <si>
    <t>6*0,5</t>
  </si>
  <si>
    <t>pr..160</t>
  </si>
  <si>
    <t>(0,8+0,5)*2*2+(0,92+0,57)*2+(1,12+0,83)*2+(0,8+0,45)*2</t>
  </si>
  <si>
    <t>VZT kuchyne</t>
  </si>
  <si>
    <t>0,75</t>
  </si>
  <si>
    <t>pr.225</t>
  </si>
  <si>
    <t>230</t>
  </si>
  <si>
    <t>231</t>
  </si>
  <si>
    <t>(0,72+0,255)*2,1+1,7*0,86+2,34*2,1+2,32*0,86+1,85*2,1+0,525*2*2,1+2,315*0,86+0,495*2,1+2*2,145*2,1</t>
  </si>
  <si>
    <t>1,2*2,1-1,0*2,02+3,165*2,1-0,9*2,02+0,49*2,1+(3,385+0,21+3,175+2,440)*2,1</t>
  </si>
  <si>
    <t>2,3*2*0,970+0,53*3*2,1+7,34*2,1-0,9*2,02-1,0*2,02+(0,985+0,355+0,38)*2,1</t>
  </si>
  <si>
    <t>(3,77+3,545+0,63)*2,1-1*2,02-1,1*2</t>
  </si>
  <si>
    <t>0,95*2,30+0,99*2,3*2+1,135*0,99*2+(3,545+0,125+3,545+0,2)*2,1</t>
  </si>
  <si>
    <t>2,245*2*2,0+2*2,0+2,17*2,0+2,43*2*2,0</t>
  </si>
  <si>
    <t>0,675*2,1</t>
  </si>
  <si>
    <t>(2,1-0,99)*0,15*6</t>
  </si>
  <si>
    <t>2.87 ostění oken</t>
  </si>
  <si>
    <t>(2,065*2+1,325*2-0,8)*1,5</t>
  </si>
  <si>
    <t>(1,335*2+1,250*2-0,8)*1,5</t>
  </si>
  <si>
    <t>(2,315*2+1,250*2)*2,1-0,8*2,02</t>
  </si>
  <si>
    <t>3,165*3,25-0,9*2,02</t>
  </si>
  <si>
    <t>232</t>
  </si>
  <si>
    <t>(3,25-1,8)*6*0,175+2,2*2*0,175+2,3*2,27*0,175*2</t>
  </si>
  <si>
    <t>2,26*2*0,175</t>
  </si>
  <si>
    <t>1,1*2,24*0,175</t>
  </si>
  <si>
    <t>1,02*2*0,175</t>
  </si>
  <si>
    <t>2,25*4*0,175</t>
  </si>
  <si>
    <t>233</t>
  </si>
  <si>
    <t>Začištění omítek kolem oken a dveří</t>
  </si>
  <si>
    <t>(2,3+1,45*2)*6</t>
  </si>
  <si>
    <t>2.87 okna</t>
  </si>
  <si>
    <t>2,02*2+1</t>
  </si>
  <si>
    <t>2,02*4+2,0+2,24*2+1,1*2</t>
  </si>
  <si>
    <t>2,02*10+0,8*3+1,0*2</t>
  </si>
  <si>
    <t>1,02*2+0,52*2</t>
  </si>
  <si>
    <t>2.93+2.94</t>
  </si>
  <si>
    <t>(2,02*2+1)*2+2,25*4+2,3*2+0,8*2</t>
  </si>
  <si>
    <t>0,72+0,255+2,34+0,525*2+1,85+0,495+1,2+3,165+0,49+3,175*2+0,195+0,21+0,535*3</t>
  </si>
  <si>
    <t>2.87 obklad</t>
  </si>
  <si>
    <t>7,34+0,985+0,355+0,39+3,77+0,63+3,545*2+0,125+3,545+0,2+0,125+0,675</t>
  </si>
  <si>
    <t>2,245*2+1,2+0,8+2,17+2,43*2</t>
  </si>
  <si>
    <t>3,2</t>
  </si>
  <si>
    <t>2.87 sloup</t>
  </si>
  <si>
    <t>234</t>
  </si>
  <si>
    <t>235</t>
  </si>
  <si>
    <t>632413130R00R</t>
  </si>
  <si>
    <t>Dobetonování a vyrovnání parapetu cementovým potěrem 30 mm</t>
  </si>
  <si>
    <t>(6*2,3+0,8+1,1)*0,175</t>
  </si>
  <si>
    <t>236</t>
  </si>
  <si>
    <t>117,85-12,46-2,88</t>
  </si>
  <si>
    <t>2.87- odečet sokly a vpusti</t>
  </si>
  <si>
    <t>8,24</t>
  </si>
  <si>
    <t>5,7</t>
  </si>
  <si>
    <t>237</t>
  </si>
  <si>
    <t>117,85</t>
  </si>
  <si>
    <t>1,69</t>
  </si>
  <si>
    <t>238</t>
  </si>
  <si>
    <t>(117,85+7,18)*0,003113</t>
  </si>
  <si>
    <t>P06</t>
  </si>
  <si>
    <t>239</t>
  </si>
  <si>
    <t>(117,85-12,46-2,88)*0,07</t>
  </si>
  <si>
    <t>8,24*0,07</t>
  </si>
  <si>
    <t>5,7*0,07</t>
  </si>
  <si>
    <t>240</t>
  </si>
  <si>
    <t>642941111RT3</t>
  </si>
  <si>
    <t>D+M Pouzdro pro posuvné dveře jednostranné, do zdiva, otvor 800/1970 mm, pro tl. stěny 125 mm</t>
  </si>
  <si>
    <t>241</t>
  </si>
  <si>
    <t>242</t>
  </si>
  <si>
    <t>T13</t>
  </si>
  <si>
    <t>T14</t>
  </si>
  <si>
    <t>T15</t>
  </si>
  <si>
    <t>243</t>
  </si>
  <si>
    <t>553310734</t>
  </si>
  <si>
    <t>Zárubeň ocelová "U", tl. stěny 100 mm, rozměr 1000 x 1970 mm L/P, včetně povrchové úpravy - viz PD</t>
  </si>
  <si>
    <t>T12</t>
  </si>
  <si>
    <t>244</t>
  </si>
  <si>
    <t>553310794</t>
  </si>
  <si>
    <t>Zárubeň ocelová "U", tl. stěny 330 mm, rozměr 1000 x 1970 mm L/P, včetně povrchové úpravy - viz PD</t>
  </si>
  <si>
    <t>T11</t>
  </si>
  <si>
    <t>245</t>
  </si>
  <si>
    <t>T06</t>
  </si>
  <si>
    <t>246</t>
  </si>
  <si>
    <t>T03a</t>
  </si>
  <si>
    <t>247</t>
  </si>
  <si>
    <t>553310731</t>
  </si>
  <si>
    <t>248</t>
  </si>
  <si>
    <t>553310153A</t>
  </si>
  <si>
    <t>Zárubeň ocelová pro posuvné dveře pro zabudování do stěny 800x1970, k zazdění do příčky tl. 125 mm</t>
  </si>
  <si>
    <t>249</t>
  </si>
  <si>
    <t>D.1.122_71_</t>
  </si>
  <si>
    <t>117,85+86*0,3</t>
  </si>
  <si>
    <t>9,35+(5,37*2+1,735*2-1)*0,3</t>
  </si>
  <si>
    <t>2,73+(2,065*2+1,325*2-1)*0,3</t>
  </si>
  <si>
    <t>1,68+(1,25*2+1,335*2-0,8)*0,3</t>
  </si>
  <si>
    <t>2,76+(2,315*2+1,135*2-0,8)</t>
  </si>
  <si>
    <t>(1,025+1,135+1,025)*(2,1-0,3)</t>
  </si>
  <si>
    <t>2.94 sprcha</t>
  </si>
  <si>
    <t>2.87 spodní hydroizolace podlahy</t>
  </si>
  <si>
    <t>250</t>
  </si>
  <si>
    <t>117,85+86*0,3+(2+2,245)*1,2+(1,135*2)*0,7+3,775*1,2</t>
  </si>
  <si>
    <t>2.87+stěny za myčkami</t>
  </si>
  <si>
    <t>2.87 spodní hydroizolace na stropu</t>
  </si>
  <si>
    <t>251</t>
  </si>
  <si>
    <t>86,6-4*1,0-0,9</t>
  </si>
  <si>
    <t>0,62*2+0,92+0,62+2*0,32</t>
  </si>
  <si>
    <t>TG sokl zvenku zevnitř</t>
  </si>
  <si>
    <t>0,62*2+2,02+1,72+2*0,32</t>
  </si>
  <si>
    <t>1,27+0,95+1,785+0,97*2+0,155*2+1,485*2+0,345*2</t>
  </si>
  <si>
    <t>2,05+2,155+1,855*2+1,750*2</t>
  </si>
  <si>
    <t>1,52*2+1,36*2+1,06*2+0,41*2+0,66*2+0,46*2</t>
  </si>
  <si>
    <t>2,46*2+0,69*2+0,39*4+0,555*2+1,455*2</t>
  </si>
  <si>
    <t>1,94+0,62*2+1,64*2+0,32*2</t>
  </si>
  <si>
    <t>0,605+0,62*3+2,01+1,71*2+0,32*2</t>
  </si>
  <si>
    <t>0,57*2+1,72+0,27*2+1,42*2</t>
  </si>
  <si>
    <t>2,065*2+1,325*2</t>
  </si>
  <si>
    <t>3,5*2+1,615*2-0,8*3-1,0*2</t>
  </si>
  <si>
    <t>1,25*2+1,365*2-0,8</t>
  </si>
  <si>
    <t>2,315*2+1,250*2-0,8</t>
  </si>
  <si>
    <t>3,2*2</t>
  </si>
  <si>
    <t>2.87 kolem sloupu 2x</t>
  </si>
  <si>
    <t>2.87 spodní hydroizolace</t>
  </si>
  <si>
    <t>252</t>
  </si>
  <si>
    <t>1,5*2+1*2</t>
  </si>
  <si>
    <t>253</t>
  </si>
  <si>
    <t>712</t>
  </si>
  <si>
    <t>Izolace střech (živičné krytiny)</t>
  </si>
  <si>
    <t>254</t>
  </si>
  <si>
    <t>712341559R00</t>
  </si>
  <si>
    <t>Provedení povlakové krytiny střech do 10°, asfaltovými pásy, přitavení celoplošně</t>
  </si>
  <si>
    <t>712_</t>
  </si>
  <si>
    <t>38,5</t>
  </si>
  <si>
    <t>panely</t>
  </si>
  <si>
    <t>4*2,24</t>
  </si>
  <si>
    <t>po zrušené VZT</t>
  </si>
  <si>
    <t>2*0,64</t>
  </si>
  <si>
    <t>kolem nové VZT, ZTI</t>
  </si>
  <si>
    <t>0,8*0,8*5</t>
  </si>
  <si>
    <t>kolem ocel. kce VZT</t>
  </si>
  <si>
    <t>0,6*0,6*5</t>
  </si>
  <si>
    <t>kolem VZT</t>
  </si>
  <si>
    <t>255</t>
  </si>
  <si>
    <t>712311101RZ1</t>
  </si>
  <si>
    <t>Provedení povlakové krytiny střech do 10°, asfaltovým penetračním nátěrem</t>
  </si>
  <si>
    <t>256</t>
  </si>
  <si>
    <t>712391171RZ7</t>
  </si>
  <si>
    <t>Položení podkladní textilie na střechách do 10°</t>
  </si>
  <si>
    <t>257</t>
  </si>
  <si>
    <t>712370010RAB</t>
  </si>
  <si>
    <t>Povlaková krytina střech do 10°, fólie, kotvená,včetně dodávky fólie</t>
  </si>
  <si>
    <t>258</t>
  </si>
  <si>
    <t>712378105RT3R</t>
  </si>
  <si>
    <t>Montáž prostupu povlakovou krytinou s manžetou mPVC, průměr prostupu 110 mm</t>
  </si>
  <si>
    <t>259</t>
  </si>
  <si>
    <t>28348143</t>
  </si>
  <si>
    <t>Prostup střešním pláštěm manžeta mPVC, průměr prostupu 110 mm, pouze dodávka</t>
  </si>
  <si>
    <t>260</t>
  </si>
  <si>
    <t>712348105RT2</t>
  </si>
  <si>
    <t>Prostup parozábranou s manžetou z afaltového pásu</t>
  </si>
  <si>
    <t>261</t>
  </si>
  <si>
    <t>711757288R00</t>
  </si>
  <si>
    <t>Opracování prostupů, samolep.pásy, D do 200 mm</t>
  </si>
  <si>
    <t>262</t>
  </si>
  <si>
    <t>998712101R00</t>
  </si>
  <si>
    <t>Přesun hmot pro povlakové krytiny, výšky do 6 m</t>
  </si>
  <si>
    <t>263</t>
  </si>
  <si>
    <t>0,92+2,02+2,155+2,05+0,95+2,01+0,605+0,62+1,72+0,57+1,94</t>
  </si>
  <si>
    <t>sokly u stěn</t>
  </si>
  <si>
    <t>1,25*2+(1,415+0,9)*2</t>
  </si>
  <si>
    <t>1,25*2+1,335*2</t>
  </si>
  <si>
    <t>86,6</t>
  </si>
  <si>
    <t>264</t>
  </si>
  <si>
    <t>265</t>
  </si>
  <si>
    <t>266</t>
  </si>
  <si>
    <t>713141336R00</t>
  </si>
  <si>
    <t>Montáž tepelné izolace střech do tl. 250 mm, 3 vrstvy, na kotvy (4 kusy/m2)</t>
  </si>
  <si>
    <t>0,6*0,6*2</t>
  </si>
  <si>
    <t>267</t>
  </si>
  <si>
    <t>28375768.A</t>
  </si>
  <si>
    <t>Desky izolační samozhášivý EPS 150</t>
  </si>
  <si>
    <t>38,5*0,32</t>
  </si>
  <si>
    <t>panely- pr. tl. 320 mm</t>
  </si>
  <si>
    <t>4*2,24*0,32</t>
  </si>
  <si>
    <t>po zrušené VZT - pr. tl. 320 mm</t>
  </si>
  <si>
    <t>2*0,64*0,32</t>
  </si>
  <si>
    <t>kolem nové VZT, ZTI - pr. tl. 320 mm</t>
  </si>
  <si>
    <t>0,8*0,8*5*0,32</t>
  </si>
  <si>
    <t>kolem ocel. kce VZT - pr. tl. 320 mm</t>
  </si>
  <si>
    <t>0,6*0,6*2*0,32</t>
  </si>
  <si>
    <t>kolem VZT - pr. tl. 320 mm</t>
  </si>
  <si>
    <t>268</t>
  </si>
  <si>
    <t>2,78</t>
  </si>
  <si>
    <t>269</t>
  </si>
  <si>
    <t>;ztratné 10%; 12,504</t>
  </si>
  <si>
    <t>270</t>
  </si>
  <si>
    <t>271</t>
  </si>
  <si>
    <t>D.1.122_72_</t>
  </si>
  <si>
    <t>272</t>
  </si>
  <si>
    <t>OS1 - Dávkovač tekutého mýdla nerezový obsah 0,50 l</t>
  </si>
  <si>
    <t>273</t>
  </si>
  <si>
    <t>274</t>
  </si>
  <si>
    <t>OS3 - Držák ručníků délka 600 mm</t>
  </si>
  <si>
    <t>275</t>
  </si>
  <si>
    <t>276</t>
  </si>
  <si>
    <t>OS5</t>
  </si>
  <si>
    <t>277</t>
  </si>
  <si>
    <t>761</t>
  </si>
  <si>
    <t>Konstrukce sklobetonové</t>
  </si>
  <si>
    <t>278</t>
  </si>
  <si>
    <t>761161111R00</t>
  </si>
  <si>
    <t>Sklobetonové stěny, tvárnice 19x19x8 cm matné,tmel</t>
  </si>
  <si>
    <t>761_</t>
  </si>
  <si>
    <t>D.1.122_76_</t>
  </si>
  <si>
    <t>2,2*0,4+1,2*0,4+0,8*0,4</t>
  </si>
  <si>
    <t>279</t>
  </si>
  <si>
    <t>998761101R00</t>
  </si>
  <si>
    <t>Přesun hmot pro sklobetonové konstr., výšky do 6 m</t>
  </si>
  <si>
    <t>762</t>
  </si>
  <si>
    <t>Konstrukce tesařské</t>
  </si>
  <si>
    <t>280</t>
  </si>
  <si>
    <t>762193912RV1</t>
  </si>
  <si>
    <t>Zabednění otvorů stěn 1stranně do pl.4 m2</t>
  </si>
  <si>
    <t>762_</t>
  </si>
  <si>
    <t>2,32*1,2*2+1,7*1,2+0,83*1,2</t>
  </si>
  <si>
    <t>281</t>
  </si>
  <si>
    <t>60510055</t>
  </si>
  <si>
    <t>Lať surová SM jakost I-II 40 x 60 mm</t>
  </si>
  <si>
    <t>0,83*2+1,2*11+1,7*2+2,32*4</t>
  </si>
  <si>
    <t>;ztratné 15%; 4,131</t>
  </si>
  <si>
    <t>282</t>
  </si>
  <si>
    <t>60725103</t>
  </si>
  <si>
    <t>Deska dřevoštěpková OSB 3, nebroušená tl. 12 mm</t>
  </si>
  <si>
    <t>0,83*1,2+2,32*1,2*2+1,7*1,2</t>
  </si>
  <si>
    <t>283</t>
  </si>
  <si>
    <t>998762102R00</t>
  </si>
  <si>
    <t>Přesun hmot pro tesařské konstrukce, výšky do 12 m</t>
  </si>
  <si>
    <t>284</t>
  </si>
  <si>
    <t>766825111R00</t>
  </si>
  <si>
    <t>Montáž vnitřního vybavení</t>
  </si>
  <si>
    <t>285</t>
  </si>
  <si>
    <t>5928910800R1</t>
  </si>
  <si>
    <t>Kuchyňská linka včetně vybavení spotřebiči (podstolová lednice, dřez s okapovou plochou, varná deska 2 plotny - m.č. 2.95</t>
  </si>
  <si>
    <t>286</t>
  </si>
  <si>
    <t>61529004130</t>
  </si>
  <si>
    <t>Skříňka vysoká s policemi a dvířky - viz PD</t>
  </si>
  <si>
    <t>287</t>
  </si>
  <si>
    <t>VL001</t>
  </si>
  <si>
    <t>Stůl + 6 ks židlí</t>
  </si>
  <si>
    <t>288</t>
  </si>
  <si>
    <t>289</t>
  </si>
  <si>
    <t>290</t>
  </si>
  <si>
    <t>291</t>
  </si>
  <si>
    <t>T03a - Dveře vnitřní MDF rám, lehčená DTD, HPL povrch. úprava, plné 1kř. 70x197 cm – cylindr. vložka, větrací mřížka 400x100 mm, okop. pl.-viz PD</t>
  </si>
  <si>
    <t>292</t>
  </si>
  <si>
    <t>293</t>
  </si>
  <si>
    <t>T06 - Dveře vnitřní MDF rám, lehčená DTD, HPL povrch. úprava, plné 1kř. 80x197 cm – bez zámku, okop. plech, -viz PD</t>
  </si>
  <si>
    <t>294</t>
  </si>
  <si>
    <t>611650527</t>
  </si>
  <si>
    <t>T07 - Dveře vnitřní posuvné , MDF rám, lehčená DTD, HPL povrch. úprava, plné 1kř. 80x197 cm – cylindr. vložka -viz PD</t>
  </si>
  <si>
    <t>295</t>
  </si>
  <si>
    <t>T11 - Dveře vnitřní MDF rám, lehčená DTD, HPL povrch. úprava, plné 1kř. 90x197 cm – cylindrická vložka-viz PD</t>
  </si>
  <si>
    <t>296</t>
  </si>
  <si>
    <t>61165443</t>
  </si>
  <si>
    <t>T12 - Dveře vnitřní MDF rám, lehčená DTD, HPL povrch. úprava, plné 1kř. 90x197 cm – cylindr. vložka, okopový plech, panik .klika dle EN179-viz PD</t>
  </si>
  <si>
    <t>297</t>
  </si>
  <si>
    <t>6116505314</t>
  </si>
  <si>
    <t>T14 - Dveře vnitřní MDF rám, lehčená DTD, HPL povrch. úprava, plné 1kř. 90x197 cm – bez zámku, okopový plech-viz PD</t>
  </si>
  <si>
    <t>298</t>
  </si>
  <si>
    <t>6116544315</t>
  </si>
  <si>
    <t>T15 - Dveře vnitřní, MDF rám, lehčená DTD, HPL povrch. úprava, plné 1kř. 90x197 cm – cylindr. vložka, panik. klika dle EN 179-viz PD</t>
  </si>
  <si>
    <t>299</t>
  </si>
  <si>
    <t>648951411RT2R</t>
  </si>
  <si>
    <t>D+M Vnitř parapet z dřevotřísk tl.20 mm, s nosem 38 mm, potaž HPL laminátem hl.200 mm viz specifikace prvků</t>
  </si>
  <si>
    <t>2,3+0,8</t>
  </si>
  <si>
    <t>1,1</t>
  </si>
  <si>
    <t>300</t>
  </si>
  <si>
    <t>301</t>
  </si>
  <si>
    <t>767587001RT9</t>
  </si>
  <si>
    <t>Podhledy rošt,kazety 60x60cm z minerálních tl.15mm desek AMF se skrytým rastrem,včetně dodávky kazet -akustický, včetně dodávky kazet GN</t>
  </si>
  <si>
    <t>16,13</t>
  </si>
  <si>
    <t>302</t>
  </si>
  <si>
    <t>767995108R00</t>
  </si>
  <si>
    <t>Z01 - Výroba a montáž kov. atypických konstr. nad 500 kg</t>
  </si>
  <si>
    <t>kg</t>
  </si>
  <si>
    <t>2064</t>
  </si>
  <si>
    <t>303</t>
  </si>
  <si>
    <t>767995106R00</t>
  </si>
  <si>
    <t>Výroba a montáž kov. atypických konstr. do 250 kg</t>
  </si>
  <si>
    <t>150,5</t>
  </si>
  <si>
    <t>304</t>
  </si>
  <si>
    <t>13611232</t>
  </si>
  <si>
    <t>Plech hladký S235JR 12,00 x 1000 x 2000 mm</t>
  </si>
  <si>
    <t>0,075*0,134*0,012*24*7,85</t>
  </si>
  <si>
    <t>305</t>
  </si>
  <si>
    <t>13611228</t>
  </si>
  <si>
    <t>Plech hladký S235JR 10,00 x 1000 x 2000 mm</t>
  </si>
  <si>
    <t>0,2*0,22*6*0,01*7,850</t>
  </si>
  <si>
    <t>Z10</t>
  </si>
  <si>
    <t>0,12*0,15*7*0,01*7,850</t>
  </si>
  <si>
    <t>Z11</t>
  </si>
  <si>
    <t>306</t>
  </si>
  <si>
    <t>14587254</t>
  </si>
  <si>
    <t>Profil dutý čtvercový svařovaný S235JRH 40 x 3,0 mm</t>
  </si>
  <si>
    <t>115,6*3,4*0,001</t>
  </si>
  <si>
    <t>307</t>
  </si>
  <si>
    <t>4,16*2*12,1*0,001</t>
  </si>
  <si>
    <t>308</t>
  </si>
  <si>
    <t>13388130</t>
  </si>
  <si>
    <t>Tyč ocelová HEA 120, S235JR</t>
  </si>
  <si>
    <t>1,01*4*19,9*0,001</t>
  </si>
  <si>
    <t>N1</t>
  </si>
  <si>
    <t>309</t>
  </si>
  <si>
    <t>13388440</t>
  </si>
  <si>
    <t>Tyč ocelová HEB 160, S235JR</t>
  </si>
  <si>
    <t>6,22*6*42,6*0,001</t>
  </si>
  <si>
    <t>S1</t>
  </si>
  <si>
    <t>1,185*3*42,6*0,001</t>
  </si>
  <si>
    <t>K1</t>
  </si>
  <si>
    <t>310</t>
  </si>
  <si>
    <t>767951113R00</t>
  </si>
  <si>
    <t>Pozinkování ocelových výrobků, hmotnost celková od 50 do 100 kg</t>
  </si>
  <si>
    <t>311</t>
  </si>
  <si>
    <t>767951115R00</t>
  </si>
  <si>
    <t>Pozinkování ocelových výrobků, hmotnost celková od 300 do 500 kg</t>
  </si>
  <si>
    <t>312</t>
  </si>
  <si>
    <t>767001RVD</t>
  </si>
  <si>
    <t>D+M Systému generálního klíče (SYSTÉM 3 ÚROVNÍ GK)</t>
  </si>
  <si>
    <t>313</t>
  </si>
  <si>
    <t>1,2433</t>
  </si>
  <si>
    <t>314</t>
  </si>
  <si>
    <t>Montáž podlah keram.,hladké, tmel, 60x60 cm</t>
  </si>
  <si>
    <t>D.1.122_77_</t>
  </si>
  <si>
    <t>2,79</t>
  </si>
  <si>
    <t>315</t>
  </si>
  <si>
    <t>4,61+1,63+0,3</t>
  </si>
  <si>
    <t>2.90 sokl</t>
  </si>
  <si>
    <t>(5,37*2+1,735*2-1)*0,1</t>
  </si>
  <si>
    <t>2.89 sokl</t>
  </si>
  <si>
    <t>(3,575*2+1,615*2-2,4-2,0)*0,1</t>
  </si>
  <si>
    <t>2.92 sokl</t>
  </si>
  <si>
    <t>(0,62*2+0,92+2,02+2*0,62)*0,15</t>
  </si>
  <si>
    <t>TG sokly</t>
  </si>
  <si>
    <t>((1,785+0,95+1,27)+(2,155+2,05))*0,15</t>
  </si>
  <si>
    <t>(1,52*2+1,36*2+2,46*2+0,69*2+0,62*2+1,94)*0,15</t>
  </si>
  <si>
    <t>0,605+0,62*2+2,01+1,72+0,57*2)*0,15</t>
  </si>
  <si>
    <t>;ztratné 10%; 14,58195</t>
  </si>
  <si>
    <t>316</t>
  </si>
  <si>
    <t>317</t>
  </si>
  <si>
    <t>318</t>
  </si>
  <si>
    <t>2.87 kolem příček, sloupu</t>
  </si>
  <si>
    <t>0,62*2+0,92</t>
  </si>
  <si>
    <t>0,62*2+2,02</t>
  </si>
  <si>
    <t>1,27+0,95+1,785</t>
  </si>
  <si>
    <t>2,05+2,155</t>
  </si>
  <si>
    <t>1,52*2+1,36*2</t>
  </si>
  <si>
    <t>2,46*2+0,69*2</t>
  </si>
  <si>
    <t>1,94+0,62*2</t>
  </si>
  <si>
    <t>0,605+0,62*3+2,01</t>
  </si>
  <si>
    <t>0,57*2+1,72</t>
  </si>
  <si>
    <t>2,065*2+1,325*2-0,8</t>
  </si>
  <si>
    <t>4,6*2+1,63*2-1,0*2-2,72</t>
  </si>
  <si>
    <t>(5,37*2+1,735*2-0,9)</t>
  </si>
  <si>
    <t>319</t>
  </si>
  <si>
    <t>320</t>
  </si>
  <si>
    <t>Montáž soklíků rovných z dlaždic keramických, do cementové malty, 150 x 150 mm</t>
  </si>
  <si>
    <t>321</t>
  </si>
  <si>
    <t>322</t>
  </si>
  <si>
    <t>776981121RT3</t>
  </si>
  <si>
    <t>Lišta nerezová přechodová, stejná výška krytin</t>
  </si>
  <si>
    <t>3*0,9+0,8</t>
  </si>
  <si>
    <t>323</t>
  </si>
  <si>
    <t>6,28</t>
  </si>
  <si>
    <t>324</t>
  </si>
  <si>
    <t>284122771R</t>
  </si>
  <si>
    <t>Vinylová homogenní podlahovina tl.2mm š.r.2m z.tř.34-43</t>
  </si>
  <si>
    <t>;ztratné 8%; 1,7928</t>
  </si>
  <si>
    <t>325</t>
  </si>
  <si>
    <t>776981114Ru1</t>
  </si>
  <si>
    <t>326</t>
  </si>
  <si>
    <t>327</t>
  </si>
  <si>
    <t>Penetrace savého podkladu disperzí</t>
  </si>
  <si>
    <t>328</t>
  </si>
  <si>
    <t>Vyrovnání podlahy, samonivelační hmota, tl. 5 mm</t>
  </si>
  <si>
    <t>329</t>
  </si>
  <si>
    <t>0,21872</t>
  </si>
  <si>
    <t>330</t>
  </si>
  <si>
    <t>Obklad vnitřní stěn keramický, do tmele, 30x60 cm</t>
  </si>
  <si>
    <t>D.1.122_78_</t>
  </si>
  <si>
    <t>2,3*0,175*5</t>
  </si>
  <si>
    <t>2.87 parapety</t>
  </si>
  <si>
    <t>331</t>
  </si>
  <si>
    <t>;ztratné 10%; 17,46089</t>
  </si>
  <si>
    <t>332</t>
  </si>
  <si>
    <t>333</t>
  </si>
  <si>
    <t>334</t>
  </si>
  <si>
    <t>2.87 kolem sloupu</t>
  </si>
  <si>
    <t>2,065*2+1,325*2-0,8+2,1*2</t>
  </si>
  <si>
    <t>1,25*2+1,365*3-0,8+2,1*2</t>
  </si>
  <si>
    <t>2,315*2+1,250*3-0,8+2,1*2</t>
  </si>
  <si>
    <t>(2,1-0,99)*6</t>
  </si>
  <si>
    <t>2.87 osteni</t>
  </si>
  <si>
    <t>1,2*6</t>
  </si>
  <si>
    <t>2.87 svisle vydejova okna</t>
  </si>
  <si>
    <t>40*2,1</t>
  </si>
  <si>
    <t>2.87 svisle</t>
  </si>
  <si>
    <t>2,3*5+1,135*2+2,145*2</t>
  </si>
  <si>
    <t>2.87 parapety+snizene zdi</t>
  </si>
  <si>
    <t>335</t>
  </si>
  <si>
    <t>2,3*3+1,135*2+2,145*2</t>
  </si>
  <si>
    <t>336</t>
  </si>
  <si>
    <t>337</t>
  </si>
  <si>
    <t>783120014RAB</t>
  </si>
  <si>
    <t>Nátěr OK lehkých "C" syntetický</t>
  </si>
  <si>
    <t>2,20</t>
  </si>
  <si>
    <t>338</t>
  </si>
  <si>
    <t>2.87 stěna</t>
  </si>
  <si>
    <t>2.88 stěna</t>
  </si>
  <si>
    <t>2.89 stěna</t>
  </si>
  <si>
    <t>2.90 stěna</t>
  </si>
  <si>
    <t>2.91 stěna</t>
  </si>
  <si>
    <t>2.92 stěna</t>
  </si>
  <si>
    <t>2.93 stěna</t>
  </si>
  <si>
    <t>2.94 stěna</t>
  </si>
  <si>
    <t>2.95 stěna</t>
  </si>
  <si>
    <t>2.87 strop</t>
  </si>
  <si>
    <t>2.88 strop</t>
  </si>
  <si>
    <t>2.89 strop</t>
  </si>
  <si>
    <t>2.90 strop</t>
  </si>
  <si>
    <t>2.91 strop</t>
  </si>
  <si>
    <t>2.92 strop</t>
  </si>
  <si>
    <t>2.93 strop</t>
  </si>
  <si>
    <t>2.94 strop</t>
  </si>
  <si>
    <t>2.86 jidelna strop</t>
  </si>
  <si>
    <t>(15,02*2+12,07*2)*3,25-2,3*2,26*4-2,3*2,06*4-0,83*1,2-2,02-2,13*1,2*2-1,7*1,2-1,55*2+0,5*3,25*4</t>
  </si>
  <si>
    <t>2.86 jidelna</t>
  </si>
  <si>
    <t>(0,82*2+0,45*2)*3,25</t>
  </si>
  <si>
    <t>2.86 jidelna_sloup</t>
  </si>
  <si>
    <t>339</t>
  </si>
  <si>
    <t>Hodinové zúčtovací sazby (HZS)</t>
  </si>
  <si>
    <t>340</t>
  </si>
  <si>
    <t>909      R00</t>
  </si>
  <si>
    <t>Hzs-nezmeritelne stavebni prace, drobné stavební přípomoci, zakrytí výdejových oken, osazení revizních dvířek apod.</t>
  </si>
  <si>
    <t>90_</t>
  </si>
  <si>
    <t>5*8</t>
  </si>
  <si>
    <t>341</t>
  </si>
  <si>
    <t>904      R01</t>
  </si>
  <si>
    <t>Příplatek za koordinaci s ostatními profesemi</t>
  </si>
  <si>
    <t>342</t>
  </si>
  <si>
    <t>343</t>
  </si>
  <si>
    <t>344</t>
  </si>
  <si>
    <t>786622211R00</t>
  </si>
  <si>
    <t>Zpětná montáž žaluzie výdejových oken</t>
  </si>
  <si>
    <t>345</t>
  </si>
  <si>
    <t>762088116R00</t>
  </si>
  <si>
    <t>Zakrývání a odkrývání opravované střešní konstrukce provizorní plachtou 15 x 20 m po dobu 10-15 dnů</t>
  </si>
  <si>
    <t>346</t>
  </si>
  <si>
    <t>762112811R00</t>
  </si>
  <si>
    <t>Demontáž zabednění výdejových oken</t>
  </si>
  <si>
    <t>0,83*1,2+2,3*1,2*2+1,7*1,2</t>
  </si>
  <si>
    <t>347</t>
  </si>
  <si>
    <t>348</t>
  </si>
  <si>
    <t>349</t>
  </si>
  <si>
    <t>D.1.2.1</t>
  </si>
  <si>
    <t>Zdravotně technické instalace</t>
  </si>
  <si>
    <t>Tepelné izolace</t>
  </si>
  <si>
    <t>350</t>
  </si>
  <si>
    <t>722182001RT2</t>
  </si>
  <si>
    <t>Montáž izol.skruží na potrubí přímé DN 25,sam.spoj</t>
  </si>
  <si>
    <t>0_</t>
  </si>
  <si>
    <t>D.1.2.1_0_</t>
  </si>
  <si>
    <t>D.1.2.1_</t>
  </si>
  <si>
    <t>351</t>
  </si>
  <si>
    <t>722182004RT2</t>
  </si>
  <si>
    <t>Montáž izol.skruží na potrubí přímé DN 40,sam.spoj</t>
  </si>
  <si>
    <t>352</t>
  </si>
  <si>
    <t>722182006RT2</t>
  </si>
  <si>
    <t>Montáž izol.skruží na potrubí přímé DN 80,sam.spoj</t>
  </si>
  <si>
    <t>353</t>
  </si>
  <si>
    <t>722181212RT7R</t>
  </si>
  <si>
    <t>Izolace návleková PE tl. stěny 9 mm, vnitřní průměr 20 mm, pouze dodávka materiálu</t>
  </si>
  <si>
    <t>354</t>
  </si>
  <si>
    <t>722181215RT7R</t>
  </si>
  <si>
    <t>Izolace návleková  PE tl. stěny 25 mm, vnitřní průměr 20 mm, pouze dodávka materiálu</t>
  </si>
  <si>
    <t>355</t>
  </si>
  <si>
    <t>722181212RT8R</t>
  </si>
  <si>
    <t>Izolace návleková PE tl. stěny 9 mm, vnitřní průměr 25 mm, pouze dodávka materiálu</t>
  </si>
  <si>
    <t>356</t>
  </si>
  <si>
    <t>722181215RT8R</t>
  </si>
  <si>
    <t>Izolace návleková  PE tl. stěny 25 mm, vnitřní průměr 25 mm, pouze dodávka materiálu</t>
  </si>
  <si>
    <t>357</t>
  </si>
  <si>
    <t>722181212RU1R</t>
  </si>
  <si>
    <t>Izolace návleková PE tl. stěny 9 mm, vnitřní průměr 32 mm, pouze dodávka materiálu</t>
  </si>
  <si>
    <t>358</t>
  </si>
  <si>
    <t>722181215RU1R</t>
  </si>
  <si>
    <t>Izolace návleková  PE tl. stěny 25 mm, vnitřní průměr 32 mm, pouze dodávka materiálu</t>
  </si>
  <si>
    <t>359</t>
  </si>
  <si>
    <t>722181212RV9R</t>
  </si>
  <si>
    <t>Izolace návleková PE tl. stěny 9 mm, vnitřní průměr 40 mm, pouze dodávka materiálu</t>
  </si>
  <si>
    <t>360</t>
  </si>
  <si>
    <t>722181215RV9R</t>
  </si>
  <si>
    <t>Izolace návleková  PE tl. stěny 25 mm, vnitřní průměr 40 mm, pouze dodávka materiálu</t>
  </si>
  <si>
    <t>361</t>
  </si>
  <si>
    <t>722181212RW6R</t>
  </si>
  <si>
    <t>Izolace návleková PE tl. stěny 9 mm, vnitřní průměr 50 mm, pouze dodávka materiálu</t>
  </si>
  <si>
    <t>362</t>
  </si>
  <si>
    <t>722181215RW6R</t>
  </si>
  <si>
    <t>Izolace návleková  PE tl. stěny 25 mm, vnitřní průměr 50 mm, pouze dodávka materiálu</t>
  </si>
  <si>
    <t>363</t>
  </si>
  <si>
    <t>722181212RY3R</t>
  </si>
  <si>
    <t>Izolace návleková PE tl. stěny 9 mm, vnitřní průměr 63 mm, pouze dodávka materiálu</t>
  </si>
  <si>
    <t>364</t>
  </si>
  <si>
    <t>998722101R00</t>
  </si>
  <si>
    <t>Přesun hmot pro vnitřní vodovod, výšky do 6 m</t>
  </si>
  <si>
    <t>0,56</t>
  </si>
  <si>
    <t>Podlahové vpusti a žlaby</t>
  </si>
  <si>
    <t>365</t>
  </si>
  <si>
    <t>VL 32</t>
  </si>
  <si>
    <t>Z03 - Hyg. vpust 157 z nerez. austenitické ocely AISI 304, 200x200mm, DN 100 svislá, sifon, kalový koš + pachový uzávěr, OSB, hltnost 2,6 l/s</t>
  </si>
  <si>
    <t>103_</t>
  </si>
  <si>
    <t>D.1.2.1_1_</t>
  </si>
  <si>
    <t>366</t>
  </si>
  <si>
    <t>VL 33</t>
  </si>
  <si>
    <t>Z03 - Rošt mřížkový 168x168mm, z nerez. austenitické ocely AISI 304, L15, protiskluzný R11</t>
  </si>
  <si>
    <t>367</t>
  </si>
  <si>
    <t>VL 34</t>
  </si>
  <si>
    <t>Z02 - Hyg. žlab 400x430mm z nerez. austenitické ocely AISI 304,H=60,odtok 200mm, DN 100, standard,hltnost 6,2 l/s, vč. systémových komponent</t>
  </si>
  <si>
    <t>368</t>
  </si>
  <si>
    <t>VL 35</t>
  </si>
  <si>
    <t>Z02 - Pachový uzávěr 200, včetně kalového koše</t>
  </si>
  <si>
    <t>369</t>
  </si>
  <si>
    <t>VL 36</t>
  </si>
  <si>
    <t>Z02 - Rošt mřížkový 368x398mm, z nerez. austenitické ocely AISI 304, L15 EN1253/A15 EN1433, protiskluz R11</t>
  </si>
  <si>
    <t>370</t>
  </si>
  <si>
    <t>VL 37</t>
  </si>
  <si>
    <t>Z02 - Hyg. vpust 218 z nerez. austenitické ocely AISI 304, DN 100 svislá,poziční přír.,bez PU</t>
  </si>
  <si>
    <t>371</t>
  </si>
  <si>
    <t>VL 38</t>
  </si>
  <si>
    <t>Z04 - Hyg. žlab 300x1030mm z nerez. austenitické ocely AISI 304,H=60,odtok 142mm, DN100, standard, hltnost 2,6 l/s</t>
  </si>
  <si>
    <t>372</t>
  </si>
  <si>
    <t>VL 39</t>
  </si>
  <si>
    <t>Z04 - Rošt mřížkový 268x499mm z nerez. austenitické ocely AISI 304, L15 EN1253 / A15 EN1433, protiskluz R11</t>
  </si>
  <si>
    <t>373</t>
  </si>
  <si>
    <t>VL 40</t>
  </si>
  <si>
    <t>Z04 - Pachový uzávěr 142, vč. kalového koše, Q=2,6l/s</t>
  </si>
  <si>
    <t>374</t>
  </si>
  <si>
    <t>VL 41</t>
  </si>
  <si>
    <t>Z04 - Hyg. vpust 157 z nerez. austenitické ocely AISI 304, DN 100 svislá,poziční přír.,bez PU</t>
  </si>
  <si>
    <t>375</t>
  </si>
  <si>
    <t>VL 42</t>
  </si>
  <si>
    <t>Z05 - Hyg. žlab 800x1200mm z nerez. austenitické ocely AISI 304,H=80,odtok 200mm, DN100, standard, hltnost 6,2 l/s (zakázková výroba)</t>
  </si>
  <si>
    <t>376</t>
  </si>
  <si>
    <t>VL 43</t>
  </si>
  <si>
    <t>Z05 - Rošt mřížkový 768x398mm, z nerez. austenitické ocely AISI 304, L15 EN1253, protiskluz R11</t>
  </si>
  <si>
    <t>377</t>
  </si>
  <si>
    <t>VL 44</t>
  </si>
  <si>
    <t>Z05 - Rošt mřížkový 768x372mm, z nerez. austenitické ocely AISI 304, L15 EN1253, protiskluz R11</t>
  </si>
  <si>
    <t>378</t>
  </si>
  <si>
    <t>VL 45</t>
  </si>
  <si>
    <t>Z05 - Hyg. vpust 218 z nerez. austenitické ocely AISI 304, DN 100 svislá,poziční přír.,bez PU</t>
  </si>
  <si>
    <t>379</t>
  </si>
  <si>
    <t>VL 46</t>
  </si>
  <si>
    <t>Z05 - Pachový uzávěr 200, včetně kalového koše</t>
  </si>
  <si>
    <t>380</t>
  </si>
  <si>
    <t>VL 47</t>
  </si>
  <si>
    <t>Z06 - Hyg. žlab 600x1400mm, z nerez. austenitické ocely AISI 304, H=80,odtok 200mm,standard, DN100, hltnost 6,2 l/s (zakázková výroba)</t>
  </si>
  <si>
    <t>381</t>
  </si>
  <si>
    <t>VL 48</t>
  </si>
  <si>
    <t>Z06 - Rošt mřížkový 568x499mm, z nerez. austenitické ocely AISI 304, oko 25x25,L15,protiskl.,AISI304</t>
  </si>
  <si>
    <t>382</t>
  </si>
  <si>
    <t>VL 49</t>
  </si>
  <si>
    <t>Z06 - Rošt mřížkový 568x369mm z nerez. austenitické ocely AISI 304,oko 25x25,L15,protiskl.,AISI304</t>
  </si>
  <si>
    <t>383</t>
  </si>
  <si>
    <t>VL 50</t>
  </si>
  <si>
    <t>Z06 - Hyg. vpust 218 z nerez. austenitické ocely AISI 304, DN 100 svislá,poziční přír.,bez PU</t>
  </si>
  <si>
    <t>384</t>
  </si>
  <si>
    <t>VL 51</t>
  </si>
  <si>
    <t>Z06 - Pachový uzávěr 200, včetně kalového koše</t>
  </si>
  <si>
    <t>385</t>
  </si>
  <si>
    <t>VL 52</t>
  </si>
  <si>
    <t>Z07 - Hyg. žlab 600x800mm z nerez. austenitické ocely AISI 304,H=80,odtok 200mm,standard, DN100, hltnost 6,2 l/s (zakázková výroba)</t>
  </si>
  <si>
    <t>386</t>
  </si>
  <si>
    <t>VL 53</t>
  </si>
  <si>
    <t>Z07 - Rošt mřížkový 568x398mm z nerez. austenitické ocely AISI 304,oko 25x25,L15,protiskl. R11</t>
  </si>
  <si>
    <t>387</t>
  </si>
  <si>
    <t>VL 55</t>
  </si>
  <si>
    <t>Z07 - Hyg. vpust 218 z nerez. austenitické ocely AISI 304, DN 100 svislá,poziční přír.,bez PU</t>
  </si>
  <si>
    <t>388</t>
  </si>
  <si>
    <t>VL 56</t>
  </si>
  <si>
    <t>Z07 - Pachový uzávěr 200, včetně kalového koše</t>
  </si>
  <si>
    <t>389</t>
  </si>
  <si>
    <t>VL 57</t>
  </si>
  <si>
    <t>Montáž podlahové vpusti, žlabů do betonových mazanin</t>
  </si>
  <si>
    <t>390</t>
  </si>
  <si>
    <t>1,26</t>
  </si>
  <si>
    <t>Požární vodovod (potrubí, armatury a zařízení)</t>
  </si>
  <si>
    <t>391</t>
  </si>
  <si>
    <t>722154105R00</t>
  </si>
  <si>
    <t>Montáž potrubí z trubek nerezových spojovaných lisováním, d 35 mm, bez tvarovek</t>
  </si>
  <si>
    <t>35_</t>
  </si>
  <si>
    <t>D.1.2.1_3_</t>
  </si>
  <si>
    <t>392</t>
  </si>
  <si>
    <t>722154106R00</t>
  </si>
  <si>
    <t>Montáž potrubí z trubek nerezových spojovaných lisováním, d 42 mm, bez tvarovek</t>
  </si>
  <si>
    <t>393</t>
  </si>
  <si>
    <t>VL 58</t>
  </si>
  <si>
    <t>Ostatní drobný materiál pro uchycení potrubí</t>
  </si>
  <si>
    <t>394</t>
  </si>
  <si>
    <t>722259201R00</t>
  </si>
  <si>
    <t>Montáž hydrantového systému D25</t>
  </si>
  <si>
    <t>395</t>
  </si>
  <si>
    <t>VL 59</t>
  </si>
  <si>
    <t>Požární hydrant DN25, barva bílá (650x650x179), s tvarově stálou hadicí DN25, s KK DN25- 30,0m, světlost proudnice min 19m Q=0,3l/s</t>
  </si>
  <si>
    <t>396</t>
  </si>
  <si>
    <t>397</t>
  </si>
  <si>
    <t>398</t>
  </si>
  <si>
    <t>722181212RU2</t>
  </si>
  <si>
    <t>Izolace návleková PE tl. stěny 9 mm, vnitřní průměr 35 mm</t>
  </si>
  <si>
    <t>399</t>
  </si>
  <si>
    <t>722181212RW2</t>
  </si>
  <si>
    <t>Izolace návleková PE tl. stěny 9 mm, vnitřní průměr 42 mm</t>
  </si>
  <si>
    <t>400</t>
  </si>
  <si>
    <t>733190109R00</t>
  </si>
  <si>
    <t>Tlaková zkouška potrubí  DN 65</t>
  </si>
  <si>
    <t>401</t>
  </si>
  <si>
    <t>722229101R00</t>
  </si>
  <si>
    <t>Montáž vodovodních armatur,1závit, G 1/2</t>
  </si>
  <si>
    <t>402</t>
  </si>
  <si>
    <t>722239103R00</t>
  </si>
  <si>
    <t>Montáž vodovodních armatur 2závity, G 1"</t>
  </si>
  <si>
    <t>403</t>
  </si>
  <si>
    <t>722239105R00</t>
  </si>
  <si>
    <t>Montáž vodovodních armatur 2závity, G 6/4"</t>
  </si>
  <si>
    <t>404</t>
  </si>
  <si>
    <t>722235113R00</t>
  </si>
  <si>
    <t>Kohout vod.kul.,vnitř.-vnitř.z. DN 25</t>
  </si>
  <si>
    <t>405</t>
  </si>
  <si>
    <t>722235115R00</t>
  </si>
  <si>
    <t>Kohout vod.kul.,vnitř.-vnitř.z. DN 40</t>
  </si>
  <si>
    <t>406</t>
  </si>
  <si>
    <t>722221112R00</t>
  </si>
  <si>
    <t>Kohout vypouštěcí kulový,  DN 15</t>
  </si>
  <si>
    <t>407</t>
  </si>
  <si>
    <t>722235645R00</t>
  </si>
  <si>
    <t>Klapka vod.zpětná vodorovná  DN 40</t>
  </si>
  <si>
    <t>408</t>
  </si>
  <si>
    <t>998722102R00</t>
  </si>
  <si>
    <t>Přesun hmot pro vnitřní vodovod, výšky do 12 m</t>
  </si>
  <si>
    <t>409</t>
  </si>
  <si>
    <t>12731515</t>
  </si>
  <si>
    <t>Trubka nerezová 35,0 x 1,5 mm lisovací, 1.4307, PN 16</t>
  </si>
  <si>
    <t>410</t>
  </si>
  <si>
    <t>12731516</t>
  </si>
  <si>
    <t>Trubka nerezová 42,0 x 1,5 mm lisovací, 1.4307, PN 16</t>
  </si>
  <si>
    <t>411</t>
  </si>
  <si>
    <t>4848160316</t>
  </si>
  <si>
    <t>Trubní oddělovač BA DN42 pro požární vodu</t>
  </si>
  <si>
    <t>412</t>
  </si>
  <si>
    <t>411200021RAB</t>
  </si>
  <si>
    <t>Zabetonování otvorů ve stropu do 1 m2</t>
  </si>
  <si>
    <t>D.1.2.1_4_</t>
  </si>
  <si>
    <t>0,2*12</t>
  </si>
  <si>
    <t>Ostatní</t>
  </si>
  <si>
    <t>413</t>
  </si>
  <si>
    <t>VL 68</t>
  </si>
  <si>
    <t>Dodávka a montáž požárních ucpávek v systémovém provedení</t>
  </si>
  <si>
    <t>60_</t>
  </si>
  <si>
    <t>D.1.2.1_6_</t>
  </si>
  <si>
    <t>414</t>
  </si>
  <si>
    <t>VL 69</t>
  </si>
  <si>
    <t>HZS - zkousky v ramci montaz.praci</t>
  </si>
  <si>
    <t>8*2</t>
  </si>
  <si>
    <t>415</t>
  </si>
  <si>
    <t>VL 70</t>
  </si>
  <si>
    <t>Zkrácený laboratorní rozbor pitné vody (dle přílohy č.5 k vyhl.č. MZ č.252/2004 Sb.)</t>
  </si>
  <si>
    <t>416</t>
  </si>
  <si>
    <t>905      R00</t>
  </si>
  <si>
    <t>Dokladová část k realizaci, vypracování provozních řádů vodovodu,tukové/splaškové kanalizace,vypracování návodů k obsluze,zajištění zaškolení obsluhy</t>
  </si>
  <si>
    <t>417</t>
  </si>
  <si>
    <t>VL 72</t>
  </si>
  <si>
    <t>Výrobní a dílenská dokumentace profese ZTI (vodovod, kanalizace)</t>
  </si>
  <si>
    <t>418</t>
  </si>
  <si>
    <t>VL 73</t>
  </si>
  <si>
    <t>Dokumentace skutečného provedení profese ZTI (vodovod, kanalizace), 5 paré</t>
  </si>
  <si>
    <t>419</t>
  </si>
  <si>
    <t>Pol__0033</t>
  </si>
  <si>
    <t>Dodávka a montáž závěsný systém volně vedeného potrubí vč. podružného materiálu</t>
  </si>
  <si>
    <t>420</t>
  </si>
  <si>
    <t>VL 28</t>
  </si>
  <si>
    <t>Ostatní drobný instalační materiál</t>
  </si>
  <si>
    <t>421</t>
  </si>
  <si>
    <t>612403382R00</t>
  </si>
  <si>
    <t>Hrubá výplň rýh ve stěnách do 5x5 cm maltou ze SMS</t>
  </si>
  <si>
    <t>3*2+12+80</t>
  </si>
  <si>
    <t>422</t>
  </si>
  <si>
    <t>612403384R00</t>
  </si>
  <si>
    <t>Hrubá výplň rýh ve stěnách do 7x7 cm maltou ze SMS</t>
  </si>
  <si>
    <t>1*2+12+30</t>
  </si>
  <si>
    <t>423</t>
  </si>
  <si>
    <t>612403388R00</t>
  </si>
  <si>
    <t>Hrubá výplň rýh ve stěnách do 15x15cm maltou z SMS</t>
  </si>
  <si>
    <t>6,5*2+30</t>
  </si>
  <si>
    <t>424</t>
  </si>
  <si>
    <t>611403399RT2</t>
  </si>
  <si>
    <t>Hrubá výplň rýh maltou ve stropech</t>
  </si>
  <si>
    <t>12*0,1</t>
  </si>
  <si>
    <t>425</t>
  </si>
  <si>
    <t>D.1.2.1_71_</t>
  </si>
  <si>
    <t>426</t>
  </si>
  <si>
    <t>427</t>
  </si>
  <si>
    <t>428</t>
  </si>
  <si>
    <t>429</t>
  </si>
  <si>
    <t>721</t>
  </si>
  <si>
    <t>Vnitřní kanalizace</t>
  </si>
  <si>
    <t>430</t>
  </si>
  <si>
    <t>721176101R00</t>
  </si>
  <si>
    <t>D+M Potrubí HT připojovací D 32 x 1,8 mm</t>
  </si>
  <si>
    <t>721_</t>
  </si>
  <si>
    <t>D.1.2.1_72_</t>
  </si>
  <si>
    <t>431</t>
  </si>
  <si>
    <t>721176103R00</t>
  </si>
  <si>
    <t>D+M Potrubí HT připojovací D 50 x 1,8 mm</t>
  </si>
  <si>
    <t>432</t>
  </si>
  <si>
    <t>721176105R00</t>
  </si>
  <si>
    <t>D+M Potrubí HT připojovací D 110 x 2,7 mm</t>
  </si>
  <si>
    <t>433</t>
  </si>
  <si>
    <t>721176114R00</t>
  </si>
  <si>
    <t>D+M Potrubí HT svislé D 75 x 1,9 mm</t>
  </si>
  <si>
    <t>434</t>
  </si>
  <si>
    <t>721176115R00</t>
  </si>
  <si>
    <t>D+M Potrubí HT svislé D 110 x 2,7 mm</t>
  </si>
  <si>
    <t>14*6,5</t>
  </si>
  <si>
    <t>435</t>
  </si>
  <si>
    <t>721176134R00</t>
  </si>
  <si>
    <t>D+M Potrubí HT svodné (ležaté) zavěšené, D 75 x 1,9 mm</t>
  </si>
  <si>
    <t>436</t>
  </si>
  <si>
    <t>721176135R00</t>
  </si>
  <si>
    <t>D+M Potrubí HT svodné (ležaté) zavěšené, D 110 x 2,7 mm</t>
  </si>
  <si>
    <t>437</t>
  </si>
  <si>
    <t>722181213RY5</t>
  </si>
  <si>
    <t>D+M Izolace návleková tl. stěny 13 mm, vnitřní průměr 76 mm</t>
  </si>
  <si>
    <t>438</t>
  </si>
  <si>
    <t>722181213RZ2</t>
  </si>
  <si>
    <t>D+M Izolace návleková tl. stěny 13 mm, vnitřní průměr 110 mm</t>
  </si>
  <si>
    <t>439</t>
  </si>
  <si>
    <t>440</t>
  </si>
  <si>
    <t>721152216R00</t>
  </si>
  <si>
    <t>D+M Čisticí kus DN75</t>
  </si>
  <si>
    <t>441</t>
  </si>
  <si>
    <t>721152218R00</t>
  </si>
  <si>
    <t>D+M Čisticí kus DN110</t>
  </si>
  <si>
    <t>442</t>
  </si>
  <si>
    <t>721273200RT3</t>
  </si>
  <si>
    <t>D+M Větrací hlavice DN110</t>
  </si>
  <si>
    <t>443</t>
  </si>
  <si>
    <t>721273200RT2</t>
  </si>
  <si>
    <t>D+M Větrací hlavice DN75</t>
  </si>
  <si>
    <t>444</t>
  </si>
  <si>
    <t>VL 64</t>
  </si>
  <si>
    <t>D+M Sifon pro patu stoupaček nátrubek DN32 100x100mm, včetně motnáže</t>
  </si>
  <si>
    <t>445</t>
  </si>
  <si>
    <t>VL 65</t>
  </si>
  <si>
    <t>D+M Sifon pro digestoře nátrubek DN32 100x100mm, včetně motnáže</t>
  </si>
  <si>
    <t>446</t>
  </si>
  <si>
    <t>721176223R00</t>
  </si>
  <si>
    <t>D+M Potrubí KG svodné (ležaté) v zemi D 125 x 3,2 mm</t>
  </si>
  <si>
    <t>447</t>
  </si>
  <si>
    <t>VL 66</t>
  </si>
  <si>
    <t>Napojení splaškové kanalizace na stávající litinové potrubí, úprava potrubí včetně přechodového kusu (včetně materiálu a montáže)</t>
  </si>
  <si>
    <t>448</t>
  </si>
  <si>
    <t>VL 76</t>
  </si>
  <si>
    <t>Napojení splaškové kanalizace pomocí odbočky a spojky na stávající svodné potrubí, (včetně materiálu a montáže)</t>
  </si>
  <si>
    <t>449</t>
  </si>
  <si>
    <t>721290123R00</t>
  </si>
  <si>
    <t>Zkouška těsnosti kanalizace kouřem DN 300 mm</t>
  </si>
  <si>
    <t>450</t>
  </si>
  <si>
    <t>721290112R00</t>
  </si>
  <si>
    <t>Zkouška těsnosti kanalizace vodou DN 200 mm</t>
  </si>
  <si>
    <t>451</t>
  </si>
  <si>
    <t>998721101R00</t>
  </si>
  <si>
    <t>Přesun hmot pro vnitřní kanalizaci, výšky do 6 m</t>
  </si>
  <si>
    <t>7,88</t>
  </si>
  <si>
    <t>452</t>
  </si>
  <si>
    <t>722</t>
  </si>
  <si>
    <t>Vnitřní vodovod</t>
  </si>
  <si>
    <t>453</t>
  </si>
  <si>
    <t>722174273R00</t>
  </si>
  <si>
    <t>Montáž vodovodního plastového potrubí, lisované spoje, D 20 mm, bez tvarovek</t>
  </si>
  <si>
    <t>722_</t>
  </si>
  <si>
    <t>76+74</t>
  </si>
  <si>
    <t>454</t>
  </si>
  <si>
    <t>722174274R00</t>
  </si>
  <si>
    <t>Montáž vodovodního plastového potrubí, lisované spoje, D 26 mm, bez tvarovek</t>
  </si>
  <si>
    <t>122+92</t>
  </si>
  <si>
    <t>455</t>
  </si>
  <si>
    <t>722174275R00</t>
  </si>
  <si>
    <t>Montáž vodovodního plastového potrubí, lisované spoje, D 32 mm, bez tvarovek</t>
  </si>
  <si>
    <t>17+33</t>
  </si>
  <si>
    <t>456</t>
  </si>
  <si>
    <t>722174276R00</t>
  </si>
  <si>
    <t>Montáž vodovodního plastového potrubí, lisované spoje, D 40 mm, bez tvarovek</t>
  </si>
  <si>
    <t>18+23</t>
  </si>
  <si>
    <t>457</t>
  </si>
  <si>
    <t>722174277R00</t>
  </si>
  <si>
    <t>Montáž vodovodního plastového potrubí, lisované spoje, D 50 mm, bez tvarovek</t>
  </si>
  <si>
    <t>35+27</t>
  </si>
  <si>
    <t>458</t>
  </si>
  <si>
    <t>722174278R00</t>
  </si>
  <si>
    <t>Montáž vodovodního plastového potrubí, lisované spoje, D 63 mm, bez tvarovek</t>
  </si>
  <si>
    <t>459</t>
  </si>
  <si>
    <t>722290234R00</t>
  </si>
  <si>
    <t>Proplach a dezinfekce vodovodního potrubí DN 80 mm</t>
  </si>
  <si>
    <t>150+214+50+41+62+28</t>
  </si>
  <si>
    <t>460</t>
  </si>
  <si>
    <t>286008107</t>
  </si>
  <si>
    <t>Trubka vícevrstvá 63 x 4,5 mm lisovací, PN 10 - studená voda</t>
  </si>
  <si>
    <t>461</t>
  </si>
  <si>
    <t>286008106</t>
  </si>
  <si>
    <t>Trubka vícevrstvá 50 x 4,0 mm lisovací, PN 10 - studená voda</t>
  </si>
  <si>
    <t>462</t>
  </si>
  <si>
    <t>Trubka vícevrstvá 50 x 4,0 mm lisovací, PN 10 - teplá voda</t>
  </si>
  <si>
    <t>463</t>
  </si>
  <si>
    <t>286008105</t>
  </si>
  <si>
    <t>Trubka vícevrstvá 40 x 3,5 mm lisovací, PN 10 - studená voda</t>
  </si>
  <si>
    <t>464</t>
  </si>
  <si>
    <t>Trubka vícevrstvá 40 x 3,5 mm lisovací, PN 10 - teplá voda</t>
  </si>
  <si>
    <t>465</t>
  </si>
  <si>
    <t>286008104</t>
  </si>
  <si>
    <t>Trubka vícevrstvá 32 x 3,2 mm lisovací, PN 10 - studená voda</t>
  </si>
  <si>
    <t>466</t>
  </si>
  <si>
    <t>Trubka vícevrstvá 32 x 3,2 mm lisovací, PN 10 - teplá voda</t>
  </si>
  <si>
    <t>467</t>
  </si>
  <si>
    <t>286008103</t>
  </si>
  <si>
    <t>Trubka vícevrstvá 25 x 2,8 mm lisovací, PN 10 - studená voda</t>
  </si>
  <si>
    <t>468</t>
  </si>
  <si>
    <t>Trubka vícevrstvá 25 x 2,8 mm lisovací, PN 10 - teplá voda</t>
  </si>
  <si>
    <t>469</t>
  </si>
  <si>
    <t>286008102</t>
  </si>
  <si>
    <t>Trubka vícevrstvá 20 x 2,3 mm lisovací, PN 10 - studená voda</t>
  </si>
  <si>
    <t>470</t>
  </si>
  <si>
    <t>Trubka vícevrstvá 20 x 2,3 mm lisovací, PN 10 - teplá voda</t>
  </si>
  <si>
    <t>471</t>
  </si>
  <si>
    <t>472</t>
  </si>
  <si>
    <t>VL 08</t>
  </si>
  <si>
    <t>Napojení vodovodního potrubí na stávající potrubí (včetně dodávky materiálu a montáže)</t>
  </si>
  <si>
    <t>473</t>
  </si>
  <si>
    <t>0,689</t>
  </si>
  <si>
    <t>723</t>
  </si>
  <si>
    <t>Demontáže</t>
  </si>
  <si>
    <t>474</t>
  </si>
  <si>
    <t>722220862R00</t>
  </si>
  <si>
    <t>Demontáž armatur s dvěma závity, vč likvidace a dopravy</t>
  </si>
  <si>
    <t>723_</t>
  </si>
  <si>
    <t>475</t>
  </si>
  <si>
    <t>725290020RA0</t>
  </si>
  <si>
    <t>Demontáž umyvadla,dřezu včetně baterie a konzol</t>
  </si>
  <si>
    <t>476</t>
  </si>
  <si>
    <t>725290010RA0</t>
  </si>
  <si>
    <t>Demontáž klozetu, výlevky včetně splachovací nádrže</t>
  </si>
  <si>
    <t>477</t>
  </si>
  <si>
    <t>VL 74</t>
  </si>
  <si>
    <t>Demontáž sprchy, včetně baterie a obezdění</t>
  </si>
  <si>
    <t>478</t>
  </si>
  <si>
    <t>721210831R00</t>
  </si>
  <si>
    <t>Demontáž podlahové vpustí</t>
  </si>
  <si>
    <t>479</t>
  </si>
  <si>
    <t>723120809R00</t>
  </si>
  <si>
    <t>Demontáž vodovodního potrubí do DN80, vč likvidace a dopravy</t>
  </si>
  <si>
    <t>480</t>
  </si>
  <si>
    <t>Demontáž kanalizační potrubí do D110, vč likvidace a dopravy</t>
  </si>
  <si>
    <t>481</t>
  </si>
  <si>
    <t>725014131RT1</t>
  </si>
  <si>
    <t>D+M Závěsný keramický klozet s hlubokým splachováním + splachovací tlačítko podomítkové, bílé, 370x545mm+WC sedátko 416x371mm</t>
  </si>
  <si>
    <t>482</t>
  </si>
  <si>
    <t>725119401R00</t>
  </si>
  <si>
    <t>Montáž předstěnových systémů pro zazdění</t>
  </si>
  <si>
    <t>483</t>
  </si>
  <si>
    <t>726211321R00</t>
  </si>
  <si>
    <t>Dodávka předstěnových systémů - Modul-WC pro zazdění, h 112 cm</t>
  </si>
  <si>
    <t>484</t>
  </si>
  <si>
    <t>725019101R00</t>
  </si>
  <si>
    <t>Výlevka stojící keramická s plastovou mřížkou</t>
  </si>
  <si>
    <t>485</t>
  </si>
  <si>
    <t>725037140R00</t>
  </si>
  <si>
    <t>D+M Umyvadlo závěsné, délka: 350mm, šířka: 280 mm, výška 120mm</t>
  </si>
  <si>
    <t>486</t>
  </si>
  <si>
    <t>725017123R00</t>
  </si>
  <si>
    <t>D+M Umyvadlo závěsné, délka: 560mm, šířka: 450 mm, výška 120mm</t>
  </si>
  <si>
    <t>487</t>
  </si>
  <si>
    <t>725869101R00</t>
  </si>
  <si>
    <t>Montáž uzávěrek zápachových umyvadlových, D 32 mm, vč. odtokové soupravy</t>
  </si>
  <si>
    <t>488</t>
  </si>
  <si>
    <t>725823121RT2</t>
  </si>
  <si>
    <t>D+M Baterie umyvadlová stojánková ruční, včetně otvírání odpadu</t>
  </si>
  <si>
    <t>489</t>
  </si>
  <si>
    <t>725845811RT0R</t>
  </si>
  <si>
    <t>D+M Nástěnná baterie páková k výlevce, směšovací s otočným výtokem</t>
  </si>
  <si>
    <t>490</t>
  </si>
  <si>
    <t>725319101R00</t>
  </si>
  <si>
    <t>Montáž dřezů jednoduchých</t>
  </si>
  <si>
    <t>491</t>
  </si>
  <si>
    <t>VL 17</t>
  </si>
  <si>
    <t>Dřez jednoduchý nerezový s odkládácí plochou</t>
  </si>
  <si>
    <t>492</t>
  </si>
  <si>
    <t>725829201R00</t>
  </si>
  <si>
    <t>Montáž baterie dřezové chromové</t>
  </si>
  <si>
    <t>493</t>
  </si>
  <si>
    <t>725823134RT1</t>
  </si>
  <si>
    <t>Baterie dřezová stojánková ruční s výsuv. sprchou</t>
  </si>
  <si>
    <t>494</t>
  </si>
  <si>
    <t>725860202R00R</t>
  </si>
  <si>
    <t>D+M Sifon dřezový HL100G, D 40/50 mm, 6/4", nerez</t>
  </si>
  <si>
    <t>495</t>
  </si>
  <si>
    <t>725849200R00</t>
  </si>
  <si>
    <t>Montáž baterií sprchových, nastavitelná výška</t>
  </si>
  <si>
    <t>496</t>
  </si>
  <si>
    <t>725835813RT1R</t>
  </si>
  <si>
    <t>Baterie termost.sprchová nástěn., včetně sprchové hlavice a ružice</t>
  </si>
  <si>
    <t>497</t>
  </si>
  <si>
    <t>725249103R00</t>
  </si>
  <si>
    <t>Montáž sprchových koutů a dveří</t>
  </si>
  <si>
    <t>498</t>
  </si>
  <si>
    <t>725249102R00</t>
  </si>
  <si>
    <t>Montáž sprchových žlabu a vaniček</t>
  </si>
  <si>
    <t>499</t>
  </si>
  <si>
    <t>725819201R00</t>
  </si>
  <si>
    <t>Montáž ventilu nástěnného G 1/2"</t>
  </si>
  <si>
    <t>500</t>
  </si>
  <si>
    <t>725814105R00</t>
  </si>
  <si>
    <t>Ventil rohový s filtrem DN 15 x DN 10</t>
  </si>
  <si>
    <t>501</t>
  </si>
  <si>
    <t>VL 23</t>
  </si>
  <si>
    <t>Montáž ventilu nástěnného G 3/8"</t>
  </si>
  <si>
    <t>502</t>
  </si>
  <si>
    <t>Ventil rohový s filtrem DN 10, 3/8" - zařízení Gastro</t>
  </si>
  <si>
    <t>503</t>
  </si>
  <si>
    <t>725819202R00</t>
  </si>
  <si>
    <t>Montáž ventilu nástěnného G 3/4"</t>
  </si>
  <si>
    <t>504</t>
  </si>
  <si>
    <t>VL 22</t>
  </si>
  <si>
    <t>Ventil rohový se zpětnou klapkou DN 20, 3/4" - zařízení Gastro</t>
  </si>
  <si>
    <t>505</t>
  </si>
  <si>
    <t>725814121R00</t>
  </si>
  <si>
    <t>Ventil rohový s filtrem DN 20, 3/4" - zařízení Gastro</t>
  </si>
  <si>
    <t>506</t>
  </si>
  <si>
    <t>722191111R00</t>
  </si>
  <si>
    <t>Hadice flexibilní k baterii,DN 15 x M10,délka 0,4m</t>
  </si>
  <si>
    <t>ks</t>
  </si>
  <si>
    <t>507</t>
  </si>
  <si>
    <t>2,48</t>
  </si>
  <si>
    <t>508</t>
  </si>
  <si>
    <t>55161200</t>
  </si>
  <si>
    <t>Pohledový nerezový 1+1/4" sifon, válcové tvarově minimalistické provedení</t>
  </si>
  <si>
    <t>509</t>
  </si>
  <si>
    <t>551620210</t>
  </si>
  <si>
    <t>Souprava odtoková C/C A465C-50 kov</t>
  </si>
  <si>
    <t>510</t>
  </si>
  <si>
    <t>VL 20</t>
  </si>
  <si>
    <t>Sprchová zástěna posuvná do niky 1150x2200mm, bezpečnostní mléčné sklo</t>
  </si>
  <si>
    <t>511</t>
  </si>
  <si>
    <t>55231805</t>
  </si>
  <si>
    <t>Liniivý žlab nerezový L=1100mm</t>
  </si>
  <si>
    <t>732</t>
  </si>
  <si>
    <t>Ohřívače teplé vody (napojení na stávající)</t>
  </si>
  <si>
    <t>512</t>
  </si>
  <si>
    <t>732_</t>
  </si>
  <si>
    <t>D.1.2.1_73_</t>
  </si>
  <si>
    <t>513</t>
  </si>
  <si>
    <t>514</t>
  </si>
  <si>
    <t>515</t>
  </si>
  <si>
    <t>516</t>
  </si>
  <si>
    <t>517</t>
  </si>
  <si>
    <t>722235643R00</t>
  </si>
  <si>
    <t>Klapka vod.zpětná vodorovná  DN 25</t>
  </si>
  <si>
    <t>518</t>
  </si>
  <si>
    <t>519</t>
  </si>
  <si>
    <t>722235523R00</t>
  </si>
  <si>
    <t>Filtr,vod.vnitřní-vnitřní z. DN 25</t>
  </si>
  <si>
    <t>520</t>
  </si>
  <si>
    <t>722235525R00</t>
  </si>
  <si>
    <t>Filtr,vod.vnitřní-vnitřní z. DN 40</t>
  </si>
  <si>
    <t>521</t>
  </si>
  <si>
    <t>732429111R00</t>
  </si>
  <si>
    <t>Montáž čerpadel oběhových spirálních, DN 25</t>
  </si>
  <si>
    <t>522</t>
  </si>
  <si>
    <t>732421313SR00</t>
  </si>
  <si>
    <t>Cirkulační čerpadlo 25-60, l=130mm, 23V, 50Hz, P=115W</t>
  </si>
  <si>
    <t>523</t>
  </si>
  <si>
    <t>524</t>
  </si>
  <si>
    <t>732339105R00</t>
  </si>
  <si>
    <t>Montáž nádoby expanzní tlakové 80 l</t>
  </si>
  <si>
    <t>525</t>
  </si>
  <si>
    <t>732339993R00</t>
  </si>
  <si>
    <t>Revize expanzní tlakové nádoby do 500 l</t>
  </si>
  <si>
    <t>526</t>
  </si>
  <si>
    <t>722269114R00</t>
  </si>
  <si>
    <t>Montáž vodoměru závitového</t>
  </si>
  <si>
    <t>527</t>
  </si>
  <si>
    <t>VL 29</t>
  </si>
  <si>
    <t>Vodoměr DN40, 300mm, 50°C</t>
  </si>
  <si>
    <t>528</t>
  </si>
  <si>
    <t>VL 30</t>
  </si>
  <si>
    <t>Napojení na stávající zásobník teplé vody (včetně materiálu)</t>
  </si>
  <si>
    <t>529</t>
  </si>
  <si>
    <t>998732101R00</t>
  </si>
  <si>
    <t>Přesun hmot pro strojovny, výšky do 6 m</t>
  </si>
  <si>
    <t>0,469</t>
  </si>
  <si>
    <t>530</t>
  </si>
  <si>
    <t>VL 24</t>
  </si>
  <si>
    <t>Ventil pojistný 25/32 - 9 bar</t>
  </si>
  <si>
    <t>531</t>
  </si>
  <si>
    <t>VL 25</t>
  </si>
  <si>
    <t>Třícestný zkušební kohout DN15</t>
  </si>
  <si>
    <t>532</t>
  </si>
  <si>
    <t>VL 26</t>
  </si>
  <si>
    <t>Manometr 0-16bar</t>
  </si>
  <si>
    <t>533</t>
  </si>
  <si>
    <t>VL 27</t>
  </si>
  <si>
    <t>Připojení cirkulačního čerpadla</t>
  </si>
  <si>
    <t>534</t>
  </si>
  <si>
    <t>484673317R</t>
  </si>
  <si>
    <t>Expanzní nádoba, objem=80l, max. přetlak: 10bar</t>
  </si>
  <si>
    <t>734</t>
  </si>
  <si>
    <t>Armatury</t>
  </si>
  <si>
    <t>535</t>
  </si>
  <si>
    <t>734_</t>
  </si>
  <si>
    <t>536</t>
  </si>
  <si>
    <t>722239101R00</t>
  </si>
  <si>
    <t>Montáž vodovodních armatur 2závity, G 1/2</t>
  </si>
  <si>
    <t>537</t>
  </si>
  <si>
    <t>722239102R00</t>
  </si>
  <si>
    <t>Montáž vodovodních armatur 2závity, G 3/4"</t>
  </si>
  <si>
    <t>538</t>
  </si>
  <si>
    <t>539</t>
  </si>
  <si>
    <t>722239104R00</t>
  </si>
  <si>
    <t>Montáž vodovodních armatur 2závity, G 5/4</t>
  </si>
  <si>
    <t>540</t>
  </si>
  <si>
    <t>722269111R00</t>
  </si>
  <si>
    <t>541</t>
  </si>
  <si>
    <t>542</t>
  </si>
  <si>
    <t>722239106R00</t>
  </si>
  <si>
    <t>Montáž vodovodních armatur 2závity, G 2"</t>
  </si>
  <si>
    <t>543</t>
  </si>
  <si>
    <t>722235111R00</t>
  </si>
  <si>
    <t>Kohout vod.kul.,vnitř.-vnitř.z. DN 15</t>
  </si>
  <si>
    <t>544</t>
  </si>
  <si>
    <t>722235112R00</t>
  </si>
  <si>
    <t>Kohout vod.kul.,vnitř.-vnitř.z. DN 20</t>
  </si>
  <si>
    <t>545</t>
  </si>
  <si>
    <t>546</t>
  </si>
  <si>
    <t>722235114R00</t>
  </si>
  <si>
    <t>Kohout vod.kul.,vnitř.-vnitř.z. DN 32</t>
  </si>
  <si>
    <t>547</t>
  </si>
  <si>
    <t>548</t>
  </si>
  <si>
    <t>722235116R00</t>
  </si>
  <si>
    <t>Kohout vod.kul.,vnitř.-vnitř.z. DN 50</t>
  </si>
  <si>
    <t>549</t>
  </si>
  <si>
    <t>722235642R00</t>
  </si>
  <si>
    <t>Klapka vod.zpětná vodorovná DN 20</t>
  </si>
  <si>
    <t>550</t>
  </si>
  <si>
    <t>722235646R00</t>
  </si>
  <si>
    <t>Klapka vod.zpětná vodorovná DN 50</t>
  </si>
  <si>
    <t>551</t>
  </si>
  <si>
    <t>552</t>
  </si>
  <si>
    <t>734223822R00</t>
  </si>
  <si>
    <t>Ventil vyvažov.vnitř.z.měř.vpro vodovod DN 20</t>
  </si>
  <si>
    <t>553</t>
  </si>
  <si>
    <t>VL 31</t>
  </si>
  <si>
    <t>Vodoměr DN15, 190mm, 50°C</t>
  </si>
  <si>
    <t>554</t>
  </si>
  <si>
    <t>998734101R00</t>
  </si>
  <si>
    <t>Přesun hmot pro armatury, výšky do 6 m</t>
  </si>
  <si>
    <t>0,0293</t>
  </si>
  <si>
    <t>555</t>
  </si>
  <si>
    <t>900      R02</t>
  </si>
  <si>
    <t>HZS - Ostatní nezměřitelné práce, pomocné zednické práce otvory,průrazy včetně povrchového zapravení, opracování prostupu střešní kcí.</t>
  </si>
  <si>
    <t>D.1.2.1_9_</t>
  </si>
  <si>
    <t>556</t>
  </si>
  <si>
    <t>557</t>
  </si>
  <si>
    <t>970041130R00</t>
  </si>
  <si>
    <t>Vrtání jádrové do prostého betonu do D 130 mm</t>
  </si>
  <si>
    <t>2,38</t>
  </si>
  <si>
    <t>558</t>
  </si>
  <si>
    <t>970041100R00</t>
  </si>
  <si>
    <t>Vrtání jádrové do prostého betonu do D 100 mm</t>
  </si>
  <si>
    <t>1,5</t>
  </si>
  <si>
    <t>559</t>
  </si>
  <si>
    <t>1,8+2,1+1,5+0,0226</t>
  </si>
  <si>
    <t>560</t>
  </si>
  <si>
    <t>5,423*5</t>
  </si>
  <si>
    <t>561</t>
  </si>
  <si>
    <t>5,423</t>
  </si>
  <si>
    <t>562</t>
  </si>
  <si>
    <t>563</t>
  </si>
  <si>
    <t>564</t>
  </si>
  <si>
    <t>5,423*10</t>
  </si>
  <si>
    <t>565</t>
  </si>
  <si>
    <t>D.1.2.2</t>
  </si>
  <si>
    <t>Vzduchotechnika, chlazení</t>
  </si>
  <si>
    <t>Vzduchotechnika - regulační klapky</t>
  </si>
  <si>
    <t>566</t>
  </si>
  <si>
    <t>728213415R00</t>
  </si>
  <si>
    <t>Montáž klapky čtyřhranné do 0,2 m2</t>
  </si>
  <si>
    <t>16_</t>
  </si>
  <si>
    <t>D.1.2.2_1_</t>
  </si>
  <si>
    <t>D.1.2.2_</t>
  </si>
  <si>
    <t>567</t>
  </si>
  <si>
    <t>728212412R00</t>
  </si>
  <si>
    <t>Montáž klapky plechové kruhové do d 200 mm</t>
  </si>
  <si>
    <t>568</t>
  </si>
  <si>
    <t>728212413R00</t>
  </si>
  <si>
    <t>Montáž klapky plechové kruhové do d 300 mm</t>
  </si>
  <si>
    <t>569</t>
  </si>
  <si>
    <t>728212414R00</t>
  </si>
  <si>
    <t>Montáž klapky plechové kruhové do d 400 mm</t>
  </si>
  <si>
    <t>570</t>
  </si>
  <si>
    <t>728212416R00</t>
  </si>
  <si>
    <t>Montáž klapky plechové kruhové do d 600 mm</t>
  </si>
  <si>
    <t>571</t>
  </si>
  <si>
    <t>42971076</t>
  </si>
  <si>
    <t>Klapka regulační kruhová D160, na plechové potrubí kruhový průřez, ovl. ruční</t>
  </si>
  <si>
    <t>572</t>
  </si>
  <si>
    <t>42971080</t>
  </si>
  <si>
    <t>Klapka regulační kruhová D250, na plechové potrubí kruhový průřez, ovl. ruční</t>
  </si>
  <si>
    <t>573</t>
  </si>
  <si>
    <t>42971081</t>
  </si>
  <si>
    <t>Klapka regulační kruhová D280, na plechové potrubí kruhový průřez, ovl. ruční</t>
  </si>
  <si>
    <t>574</t>
  </si>
  <si>
    <t>42971084</t>
  </si>
  <si>
    <t>Klapka regulační kruhová D400, na plechové potrubí kruhový průřez, ovl. ruční</t>
  </si>
  <si>
    <t>575</t>
  </si>
  <si>
    <t>42971087</t>
  </si>
  <si>
    <t>Klapka regulační kruhová D560, na plechové potrubí kruhový průřez, ovl.ruční</t>
  </si>
  <si>
    <t>576</t>
  </si>
  <si>
    <t>Klapka regulační těsná 500x400mm, (dodávka servopohonu ELE.), 230V</t>
  </si>
  <si>
    <t>577</t>
  </si>
  <si>
    <t>Dokladová část k realizaci, výrobní a dílenská dokumentace systému nuceného větrání</t>
  </si>
  <si>
    <t>hod</t>
  </si>
  <si>
    <t>27_</t>
  </si>
  <si>
    <t>D.1.2.2_2_</t>
  </si>
  <si>
    <t>578</t>
  </si>
  <si>
    <t>Vypracování provozních řádů systému nuceného větrání, vypracování návodů k obsluze, zajištění zaškolení obsluhy</t>
  </si>
  <si>
    <t>579</t>
  </si>
  <si>
    <t>0072VD</t>
  </si>
  <si>
    <t>Svislá doprava VZT jednotek na plochou jednoplášťovou střechu, pronájem autojeřábu</t>
  </si>
  <si>
    <t>580</t>
  </si>
  <si>
    <t>Revizní práce, měření, vypracování revizní zprávy dle ČSN</t>
  </si>
  <si>
    <t>581</t>
  </si>
  <si>
    <t>VL 60</t>
  </si>
  <si>
    <t>Zkušební provoz systému nuceného větrání</t>
  </si>
  <si>
    <t>582</t>
  </si>
  <si>
    <t>VL 61</t>
  </si>
  <si>
    <t>Dokumentace skutečného provedení profese nuceného větrání (5 paré)</t>
  </si>
  <si>
    <t>583</t>
  </si>
  <si>
    <t>VL 14</t>
  </si>
  <si>
    <t>Větrací jednotka rekuperací s autonomní regulací č.H1, Q1=12338m3/hod, Est1=450Pa, Q2=12977m3/hod, Est2=450Pa</t>
  </si>
  <si>
    <t>D.1.2.2_9_</t>
  </si>
  <si>
    <t>584</t>
  </si>
  <si>
    <t>VL 15</t>
  </si>
  <si>
    <t>Montáž a doprava jednotky do určeného prostoru nad 3000m3/hod</t>
  </si>
  <si>
    <t>585</t>
  </si>
  <si>
    <t>VL 16</t>
  </si>
  <si>
    <t>Obdelníkový rovný tlumič hluku, Rozměr: 1200x1200 dl.2450mm, Est=37Pa, ÚTLUM 28dBa, m=217kg, Šířka kulis: 200mm, Šířka mezery mezi kulisami: 100 mm</t>
  </si>
  <si>
    <t>586</t>
  </si>
  <si>
    <t>Obdelníkový rovný tlumič hluku, Rozměr: 1200x1200 dl.1300 mm, Est=25Pa, ÚTLUM 8dBa, m=129kg, Šířka kulis: 200mm, Šířka mezery mezi kulisami: 100 mm</t>
  </si>
  <si>
    <t>587</t>
  </si>
  <si>
    <t>VL 18</t>
  </si>
  <si>
    <t>Obdelníkový rovný tlumič hluku, Rozměr: 1200x1200 dl.2000mm, Est=36Pa, ÚTLUM 20dBa, m=183kg, Šířka kulis: 200mm, Šířka mezery mezi kulisami: 100 mm</t>
  </si>
  <si>
    <t>588</t>
  </si>
  <si>
    <t>VL 19</t>
  </si>
  <si>
    <t>Obdelníkový rovný tlumič hluku, Rozměr: 1200x1200 dl.1000mm, Est=12Pa, ÚTLUM 8dBa, m=106kg, Šířka kulis: 200mm, Šířka mezery mezi kulisami: 100 mm</t>
  </si>
  <si>
    <t>589</t>
  </si>
  <si>
    <t>Obdelníkový rohový tlumič hluku, Rozměr: 1200x1200mm dl.300mm(vodorovně), dl.300mm(šikmě), Est=43Pa, ÚTLUM 23dBa, m=178kg</t>
  </si>
  <si>
    <t>590</t>
  </si>
  <si>
    <t>VL 21</t>
  </si>
  <si>
    <t>Obdelníkový rohový tlumič hluku, Rozměr: 1100x1100mm dl.300mm(vodorovně), dl.300mm(šikmě), Est=22Pa, ÚTLUM 19dBa, m=132kg</t>
  </si>
  <si>
    <t>591</t>
  </si>
  <si>
    <t>728312115R00</t>
  </si>
  <si>
    <t>Montáž tlumiče hluku čtyřhranného nad 0,6 m2</t>
  </si>
  <si>
    <t>592</t>
  </si>
  <si>
    <t>Zprovoznění, regulace a montáž systému větrání</t>
  </si>
  <si>
    <t>593</t>
  </si>
  <si>
    <t>728414613R00R</t>
  </si>
  <si>
    <t>D+M Kuchyňský odsavač vodních par recilkulační 440m3/hod</t>
  </si>
  <si>
    <t>594</t>
  </si>
  <si>
    <t>728314112R00</t>
  </si>
  <si>
    <t>Montáž protidešťové žaluzie čtyřhranné do 0,3 m2</t>
  </si>
  <si>
    <t>595</t>
  </si>
  <si>
    <t>D+M Těsná zpětná klapka d125</t>
  </si>
  <si>
    <t>596</t>
  </si>
  <si>
    <t>D+M Těsná zpětná klapka d160</t>
  </si>
  <si>
    <t>597</t>
  </si>
  <si>
    <t>Tichý diagonální potrubní ventilátor - Qpož=80m3/hod, 65Pa, P=10W</t>
  </si>
  <si>
    <t>598</t>
  </si>
  <si>
    <t>Tichý diagonální potrubní ventilátor - Qpož=180m3/hod, 65Pa, P=25W</t>
  </si>
  <si>
    <t>599</t>
  </si>
  <si>
    <t>Tichý diagonální potrubní ventilátor - Qpož=350m3/hod, 150Pa, P=58W</t>
  </si>
  <si>
    <t>600</t>
  </si>
  <si>
    <t>Montáž ventilátoru potrubního</t>
  </si>
  <si>
    <t>601</t>
  </si>
  <si>
    <t>Montážní, spojovací a těsnící materiál, spojky, apod.</t>
  </si>
  <si>
    <t>602</t>
  </si>
  <si>
    <t>Žaluzie protidešťová, 400x280mm (Af=0,0375m2)</t>
  </si>
  <si>
    <t>603</t>
  </si>
  <si>
    <t>Žaluzie protidešťová, 500x400mm (Af=0,0749m2)</t>
  </si>
  <si>
    <t>Chlazení objektu - potrubní část, mřížky</t>
  </si>
  <si>
    <t>604</t>
  </si>
  <si>
    <t>D+M Izolační páska samolepící, š=50mm, síla izolace 3mm</t>
  </si>
  <si>
    <t>37_</t>
  </si>
  <si>
    <t>D.1.2.2_3_</t>
  </si>
  <si>
    <t>605</t>
  </si>
  <si>
    <t>D+M Komunikační kabeláž pro vnitřní jednotky s venkovní</t>
  </si>
  <si>
    <t>bm</t>
  </si>
  <si>
    <t>606</t>
  </si>
  <si>
    <t>D+M Plnění chladiva R410A do systémů</t>
  </si>
  <si>
    <t>607</t>
  </si>
  <si>
    <t>D+M Předizolované Cu potrubí 12,7mm, síla izolace 9mm</t>
  </si>
  <si>
    <t>608</t>
  </si>
  <si>
    <t>D+M Předizolované Cu potrubí 25,4mm, síla izolace 9mm</t>
  </si>
  <si>
    <t>Chlazení objektu - strojní zařízení</t>
  </si>
  <si>
    <t>609</t>
  </si>
  <si>
    <t>Venkovní kondenzační jednotka, Qch/Qt=40,0/40,0kW, R410A, m=187,0kg, 400V/3Ph/50HZ, Pch/t=15,7/11,7kW, m(chl)=7,4kg, včetně ovládacího modulu 0-10V</t>
  </si>
  <si>
    <t>62_</t>
  </si>
  <si>
    <t>D.1.2.2_6_</t>
  </si>
  <si>
    <t>610</t>
  </si>
  <si>
    <t>Montáž venkovních kondenzačních jednotek na ocelovou podkonstrukci</t>
  </si>
  <si>
    <t>611</t>
  </si>
  <si>
    <t>VL 54</t>
  </si>
  <si>
    <t>D+M Gumový podstavec, antivibrační montblok (guma), černá</t>
  </si>
  <si>
    <t>612</t>
  </si>
  <si>
    <t>D+M Univerzální zvýšený rám pod venkovní jednotky chlazení, odstavec 895x410x410mm, posuvný, antivibrační, kov, bílá</t>
  </si>
  <si>
    <t>728</t>
  </si>
  <si>
    <t>Vzduchotechnika</t>
  </si>
  <si>
    <t>613</t>
  </si>
  <si>
    <t>VL 01</t>
  </si>
  <si>
    <t>D+M čtyřhranné ocelové pozinkované potrubí,tvarovky a elementy sk. I,ON120405,tř.těsnosti III,lištové spoje, Rozměr-do obvodu 1890 mm - 50% tvarovek</t>
  </si>
  <si>
    <t>728_</t>
  </si>
  <si>
    <t>D.1.2.2_72_</t>
  </si>
  <si>
    <t>614</t>
  </si>
  <si>
    <t>VL 02</t>
  </si>
  <si>
    <t>D+M čtyřhranné ocelové pozinkované potrubí, tvarovky a elementy sk. I,ON120405,tř.těsnosti III,lištové spoje-Rozměr - do obvodu 2630 mm - 50% tvarovek</t>
  </si>
  <si>
    <t>615</t>
  </si>
  <si>
    <t>VL 03</t>
  </si>
  <si>
    <t>D+M čtyřhranné ocelové pozinkované potrubí, tvarovky a elementy sk. I,ON120405,tř.těsnosti III,lištové spoje-Rozměr - do obvodu 3500 mm - 50% tvarovek</t>
  </si>
  <si>
    <t>616</t>
  </si>
  <si>
    <t>VL 04</t>
  </si>
  <si>
    <t>D+M čtyřhranné ocelové pozinkované potrubí, tvarovky a elementy sk.I,ON120405,tř.těsnosti III, lištové spoje-Rozměr - do obvodu 4500 mm - 50% tvarovek</t>
  </si>
  <si>
    <t>617</t>
  </si>
  <si>
    <t>VL 05</t>
  </si>
  <si>
    <t>D+M čtyřhranné ocelové pozinkované potrubí, tvarovky a elementy sk.I,ON 120405, tř.těsnosti III,lištové spoje-Rozměr-do obvodu 5700 mm - 50% tvarovek</t>
  </si>
  <si>
    <t>618</t>
  </si>
  <si>
    <t>728112112R00</t>
  </si>
  <si>
    <t>Montáž potrubí plechového kruhového do d 200 mm</t>
  </si>
  <si>
    <t>619</t>
  </si>
  <si>
    <t>728112113R00</t>
  </si>
  <si>
    <t>Montáž potrubí plechového kruhového do d 300 mm</t>
  </si>
  <si>
    <t>620</t>
  </si>
  <si>
    <t>728112114R00</t>
  </si>
  <si>
    <t>Montáž potrubí plechového kruhového do d 400 mm</t>
  </si>
  <si>
    <t>621</t>
  </si>
  <si>
    <t>728112116R00</t>
  </si>
  <si>
    <t>Montáž potrubí plechového kruhového do d 600 mm</t>
  </si>
  <si>
    <t>622</t>
  </si>
  <si>
    <t>728115413RM2</t>
  </si>
  <si>
    <t>Montáž potrubí ohebného izolovaného z AL do d 300 mm</t>
  </si>
  <si>
    <t>6+2</t>
  </si>
  <si>
    <t>623</t>
  </si>
  <si>
    <t>728115414RM2</t>
  </si>
  <si>
    <t>Montáž potrubí ohebného izolovaného z AL do d 400 mm</t>
  </si>
  <si>
    <t>624</t>
  </si>
  <si>
    <t>728413522R00</t>
  </si>
  <si>
    <t>Montáž talířového ventilu kruhového do d 200 mm</t>
  </si>
  <si>
    <t>625</t>
  </si>
  <si>
    <t>VL 10</t>
  </si>
  <si>
    <t>Hlukově a tepelně izolovaná hadice D400</t>
  </si>
  <si>
    <t>626</t>
  </si>
  <si>
    <t>VL 09</t>
  </si>
  <si>
    <t>Hlukově a tepelně izolovaná hadice D280</t>
  </si>
  <si>
    <t>627</t>
  </si>
  <si>
    <t>Hlukově a tepelně izolovaná hadice D250</t>
  </si>
  <si>
    <t>628</t>
  </si>
  <si>
    <t>42981256</t>
  </si>
  <si>
    <t>Ocelové pozinkované VZT potrubí s kruhovým průřezem a těsněním, hladké d 560, včetně tvarovek</t>
  </si>
  <si>
    <t>629</t>
  </si>
  <si>
    <t>42981239</t>
  </si>
  <si>
    <t>Ocelové pozinkované VZT potrubí s kruhovým průřezem a těsněním, hladké d 400, včetně tvarovek</t>
  </si>
  <si>
    <t>630</t>
  </si>
  <si>
    <t>42981229</t>
  </si>
  <si>
    <t>Ocelové pozinkované VZT potrubí s kruhovým průřezem a těsněním, hladké d 315, včetně tvarovek</t>
  </si>
  <si>
    <t>631</t>
  </si>
  <si>
    <t>42981226</t>
  </si>
  <si>
    <t>Ocelové pozinkované VZT potrubí s kruhovým průřezem a těsněním, hladké d 280, včetně tvarovek</t>
  </si>
  <si>
    <t>632</t>
  </si>
  <si>
    <t>42981222</t>
  </si>
  <si>
    <t>Ocelové pozinkované VZT potrubí s kruhovým průřezem a těsněním, hladké d 250, včetně tvarovek</t>
  </si>
  <si>
    <t>633</t>
  </si>
  <si>
    <t>Ocelové pozinkované VZT potrubí s kruhovým průřezem a těsněním, hladké d 225 lakované v barvě bílé, včetně tvarovek</t>
  </si>
  <si>
    <t>634</t>
  </si>
  <si>
    <t>Ocelové pozinkované VZT potrubí s kruhovým průřezem a těsněním, hladké d 200 lakované v barvě bílé, včetně tvarovek</t>
  </si>
  <si>
    <t>635</t>
  </si>
  <si>
    <t>VL 63</t>
  </si>
  <si>
    <t>Ocelové pozinkované VZT potrubí s kruhovým průřezem a těsněním, hladké d 160 lakované v barvě bílé, včetně tvarovek</t>
  </si>
  <si>
    <t>636</t>
  </si>
  <si>
    <t>42981214</t>
  </si>
  <si>
    <t>Ocelové pozinkované VZT potrubí s kruhovým průřezem a těsněním, hladké d 160, včetně tvarovek</t>
  </si>
  <si>
    <t>637</t>
  </si>
  <si>
    <t>Ocelové pozinkované VZT potrubí s kruhovým průřezem a těsněním, hladké d 125 lakované v barvě bílé, včetně tvarovek</t>
  </si>
  <si>
    <t>638</t>
  </si>
  <si>
    <t>42981208</t>
  </si>
  <si>
    <t>Ocelové pozinkované VZT potrubí s kruhovým průřezem a těsněním, hladké d 125, včetně tvarovek</t>
  </si>
  <si>
    <t>639</t>
  </si>
  <si>
    <t>767990010RAA</t>
  </si>
  <si>
    <t>Dodávka a montáž - spojovací, těsnící, závěsový a ostatní podružný materiál (kotvení VZT, elementů, potrubí, těsnění apod)</t>
  </si>
  <si>
    <t>640</t>
  </si>
  <si>
    <t>0071VD</t>
  </si>
  <si>
    <t>Dodávka a montáž - výfukový díl šikmý 1100x1100 mm vč. síta (přívod vzduchu)</t>
  </si>
  <si>
    <t>641</t>
  </si>
  <si>
    <t>Dodávka a montáž - výfukový díl šikmý 1200x1200 mm vč. síta (odvod vzduchu)</t>
  </si>
  <si>
    <t>642</t>
  </si>
  <si>
    <t>00709VD</t>
  </si>
  <si>
    <t>Dodávka, montáž - detektor kouře do VZT potrubí vč. trafa 12/15WDC a kabeláže na napojení MaR VZT jednotky</t>
  </si>
  <si>
    <t>643</t>
  </si>
  <si>
    <t>Žaluzie protidešťová PDZM 400x280 vč. síta s oky 25x25mm - barva žaluzie bude dopřesněna investorem před realizací</t>
  </si>
  <si>
    <t>644</t>
  </si>
  <si>
    <t>645</t>
  </si>
  <si>
    <t>728415113R00</t>
  </si>
  <si>
    <t>Montáž mřížky větrací nebo ventilační do 0,15 m2</t>
  </si>
  <si>
    <t>646</t>
  </si>
  <si>
    <t>728414725R00</t>
  </si>
  <si>
    <t>Montáž zákrytu odsávacího nad 7,5 m2</t>
  </si>
  <si>
    <t>647</t>
  </si>
  <si>
    <t>728414713R00</t>
  </si>
  <si>
    <t>Montáž zákrytu odsávacího do 2,0 m2</t>
  </si>
  <si>
    <t>648</t>
  </si>
  <si>
    <t>728414719R00</t>
  </si>
  <si>
    <t>Montáž zákrytu odsávacího do 5,0 m2</t>
  </si>
  <si>
    <t>649</t>
  </si>
  <si>
    <t>č.H1-D5 Kuchyňská nerezová digestoř - Q=880m3//hod, Tz=20Pa, rozměr: 1250x1350x435mm, m=80kg, s.h.=2,1m, s odlučovačem tuku</t>
  </si>
  <si>
    <t>650</t>
  </si>
  <si>
    <t>č.H1-D4/2 Kuchyňská nerezová digestoř - Q=2200m3//hod, Tz=50Pa, rozměr: 1700x1150x435mm, m=68kg, s.h.=2,1m, s odlučovačem tuku</t>
  </si>
  <si>
    <t>651</t>
  </si>
  <si>
    <t>č.H1-D4/1 Kuchyňská nerezová digestoř - Q=1100m3//hod, Tz=25Pa, rozměr: 1250x1150x435mm, m=57kg, s.h.=2,1m, s odlučovačem tuku</t>
  </si>
  <si>
    <t>652</t>
  </si>
  <si>
    <t>č.H1-D3 Kuchyňská nerezová digestoř - Q=1912m3//hod, Tz=54Pa, rozměr: 2360x2110x435mm, m=199kg, s odlučovačem tuku</t>
  </si>
  <si>
    <t>653</t>
  </si>
  <si>
    <t>č.H1-D2 Kuchyňská nerezová digestoř - Q=5402m3//hod, Tz=103Pa, rozměr: 3300x2450x435mm, m=323kg, s odlučovačem tuku</t>
  </si>
  <si>
    <t>654</t>
  </si>
  <si>
    <t>č.H1-D1 Kuchyňská nerezová digestoř -  Q=1283m3//hod, Tz=88Pa, rozměr: 3500x1400x435mm, m=196kg, s odlučovačem tuku</t>
  </si>
  <si>
    <t>655</t>
  </si>
  <si>
    <t>728411314R00</t>
  </si>
  <si>
    <t>Montáž vyústě kruhové do 0,2 m2</t>
  </si>
  <si>
    <t>656</t>
  </si>
  <si>
    <t>728411723R00</t>
  </si>
  <si>
    <t>Montáž vyústě textilní průměr do d 600 mm</t>
  </si>
  <si>
    <t>657</t>
  </si>
  <si>
    <t>728411722R00</t>
  </si>
  <si>
    <t>Montáž vyústě textilní průměr do d 400 mm</t>
  </si>
  <si>
    <t>658</t>
  </si>
  <si>
    <t>Dodávka a montáž - spojovací, těsnící a závěsový materiál (kotvení VZT zařízení,  spojování dílů, těsnění)</t>
  </si>
  <si>
    <t>659</t>
  </si>
  <si>
    <t>4297266038</t>
  </si>
  <si>
    <t>Ventil talířový odvodní/přívodní 160</t>
  </si>
  <si>
    <t>660</t>
  </si>
  <si>
    <t>4297266036</t>
  </si>
  <si>
    <t>Ventil talířový odvodní/přívodní 125</t>
  </si>
  <si>
    <t>661</t>
  </si>
  <si>
    <t>4295330145</t>
  </si>
  <si>
    <t>Žaluzie protidešťová PDZM 500x400 vč. síta s oky 25x25mm - barva žaluzie bude dopřesněna investorem před realizací</t>
  </si>
  <si>
    <t>662</t>
  </si>
  <si>
    <t>Dveřní mřížka 400x300 mm - imitace nerezu z hliníku</t>
  </si>
  <si>
    <t>663</t>
  </si>
  <si>
    <t>Dveřní mžířka 400x200 mm - imitace nerezu z hliníku</t>
  </si>
  <si>
    <t>664</t>
  </si>
  <si>
    <t>Dveřní mřížka 400x100 mm - imitace nerezu z hliníku</t>
  </si>
  <si>
    <t>665</t>
  </si>
  <si>
    <t>Jednořadá vyústka do kruhového potrubí 425x75mm, včetně regulace</t>
  </si>
  <si>
    <t>666</t>
  </si>
  <si>
    <t>Textilní výustka L=10m,(do L profilu), d560mm, 6700m3/hod, osa 2,8m, m=7,1kg, přetlak:100Pa</t>
  </si>
  <si>
    <t>667</t>
  </si>
  <si>
    <t>Textilní výustka L=4m,(do L profilu), d400mm, 3034m3/hod, osa 2,88m, m=2,4kg, přetlak:100Pa</t>
  </si>
  <si>
    <t>668</t>
  </si>
  <si>
    <t>Nezmeritelne stavebni prace - náklady na úpravu a přizpůsobení vzduchotechnického potrubí na stavbě</t>
  </si>
  <si>
    <t>669</t>
  </si>
  <si>
    <t>Měření hluku z provozu všech stacionárních zdrojů hluku (vzt, chlazení apod.), měření provede akreditovaná nebo autorizovaná laboratoř</t>
  </si>
  <si>
    <t>670</t>
  </si>
  <si>
    <t>Zprovoznění systému včetně regulace (spuštění, zapojení a zaregulování rozvodů, propojení systému MaR, vč.autorizovaného zprovoznění)</t>
  </si>
  <si>
    <t>671</t>
  </si>
  <si>
    <t>Zednícké přípomoci, průrazy, otvory, prostupy a zapravení</t>
  </si>
  <si>
    <t>672</t>
  </si>
  <si>
    <t>8*4</t>
  </si>
  <si>
    <t>909VD</t>
  </si>
  <si>
    <t>Větrání kuchyně</t>
  </si>
  <si>
    <t>673</t>
  </si>
  <si>
    <t>713411122R00</t>
  </si>
  <si>
    <t>Montáž izolace tepelné, hlukové, 1vrstvá</t>
  </si>
  <si>
    <t>909VD_</t>
  </si>
  <si>
    <t>(4,095+7,285+5,870+4,435+1,4+2,85+1,4)*((0,8+0,45)*2)</t>
  </si>
  <si>
    <t>(6,84+4,75+1,4+2,42+2,32+3,82+2,28)*((1,2+1,2)*2)</t>
  </si>
  <si>
    <t>674</t>
  </si>
  <si>
    <t>VL 13</t>
  </si>
  <si>
    <t>Lamelový skružovatelný pás z kamenné vlny s Al obalem s hlinik. plech. krytem proti fyzickému poškození tl. izolace 50mm, pouze dodávka</t>
  </si>
  <si>
    <t>;ztratné 5%; 9,136075</t>
  </si>
  <si>
    <t>675</t>
  </si>
  <si>
    <t>H72</t>
  </si>
  <si>
    <t>676</t>
  </si>
  <si>
    <t>998728101R00</t>
  </si>
  <si>
    <t>Přesun hmot pro vzduchotechniku a chlazení, výšky do 6 m</t>
  </si>
  <si>
    <t>H72_</t>
  </si>
  <si>
    <t>7,268</t>
  </si>
  <si>
    <t>VZT5</t>
  </si>
  <si>
    <t>677</t>
  </si>
  <si>
    <t>72930VD</t>
  </si>
  <si>
    <t>Demontáž stávajících VZT jednotky, digestoří, rozvodů vč. izolací</t>
  </si>
  <si>
    <t>VZT5_</t>
  </si>
  <si>
    <t>678</t>
  </si>
  <si>
    <t>72931VD</t>
  </si>
  <si>
    <t>Odvoz a ekologická likvidace demontované VZT jednotky, digestoří, VZT rozvodů vč. izolací</t>
  </si>
  <si>
    <t>679</t>
  </si>
  <si>
    <t>728890811R00</t>
  </si>
  <si>
    <t>Přesun demontovaných hmot - vzduchotechnika, H do 6 m</t>
  </si>
  <si>
    <t>1,5269</t>
  </si>
  <si>
    <t>D.1.2.3</t>
  </si>
  <si>
    <t>Ústřední vytápění + teplovodní předehřev VZT</t>
  </si>
  <si>
    <t>680</t>
  </si>
  <si>
    <t>D.1.2.3_4_</t>
  </si>
  <si>
    <t>D.1.2.3_</t>
  </si>
  <si>
    <t>0,2*0,2*4</t>
  </si>
  <si>
    <t>681</t>
  </si>
  <si>
    <t>D.1.2.3_6_</t>
  </si>
  <si>
    <t>682</t>
  </si>
  <si>
    <t>900      R03</t>
  </si>
  <si>
    <t>Topná zkouška dle ČSN 060310</t>
  </si>
  <si>
    <t>683</t>
  </si>
  <si>
    <t>VL 27A</t>
  </si>
  <si>
    <t>Výrobní a dílenská dokumentace profese ÚT</t>
  </si>
  <si>
    <t>684</t>
  </si>
  <si>
    <t>Dokladová část k realizaci, vypracování provozních řádů ÚT, vypracování návodů k obsluze, zajištění zaškolení obsluhy, dokládová část k realizaci</t>
  </si>
  <si>
    <t>685</t>
  </si>
  <si>
    <t>VL 27B</t>
  </si>
  <si>
    <t>Dokumentace skutečného provedení profese ÚT (5 paré)</t>
  </si>
  <si>
    <t>686</t>
  </si>
  <si>
    <t>687</t>
  </si>
  <si>
    <t>Hydraulické vyvážení celé soustavy</t>
  </si>
  <si>
    <t>688</t>
  </si>
  <si>
    <t>Napuštění systému upravenou vodou a proplach systému</t>
  </si>
  <si>
    <t>689</t>
  </si>
  <si>
    <t>690</t>
  </si>
  <si>
    <t>735158210R00</t>
  </si>
  <si>
    <t>Tlakové zkoušky panelových těles 1řadých</t>
  </si>
  <si>
    <t>691</t>
  </si>
  <si>
    <t>Doplnění regulační karty, včetně kabeláže a čidel pro novou topnou větev pro ohřev ve vzduchotechnice</t>
  </si>
  <si>
    <t>692</t>
  </si>
  <si>
    <t>721231332</t>
  </si>
  <si>
    <t>Vyhřívací sada pro střešní vedení potrubí v plášti - Elektrický topný kabel a připojovací vidlicí 230V, P=60W, L=4 m, délka napájecího konce 2 m, včet</t>
  </si>
  <si>
    <t>693</t>
  </si>
  <si>
    <t>722212440R00</t>
  </si>
  <si>
    <t>Označovací štítky na potrubí</t>
  </si>
  <si>
    <t>694</t>
  </si>
  <si>
    <t>783225100R00</t>
  </si>
  <si>
    <t>Nátěry pomocných konstrukcí, 2x základní barva, 1x email</t>
  </si>
  <si>
    <t>695</t>
  </si>
  <si>
    <t>712378105RT2</t>
  </si>
  <si>
    <t>Montáž prostupu povlakovou krytinou s manžetou mPVC, průměr prostupu 75 mm</t>
  </si>
  <si>
    <t>D.1.2.3_71_</t>
  </si>
  <si>
    <t>696</t>
  </si>
  <si>
    <t>697</t>
  </si>
  <si>
    <t>698</t>
  </si>
  <si>
    <t>699</t>
  </si>
  <si>
    <t>Prostup střešním pláštěm manžeta mPVC, průměr prostupu 75 mm, pouze dodávka</t>
  </si>
  <si>
    <t>700</t>
  </si>
  <si>
    <t>701</t>
  </si>
  <si>
    <t>702</t>
  </si>
  <si>
    <t>0,230</t>
  </si>
  <si>
    <t>703</t>
  </si>
  <si>
    <t>Izotub ALS izolace s hliníkovou folií 28/ 30 mm</t>
  </si>
  <si>
    <t>704</t>
  </si>
  <si>
    <t>Izotub ALS izolace s hliníkovou folií 42/ 40 mm</t>
  </si>
  <si>
    <t>705</t>
  </si>
  <si>
    <t>Izotub ALS izolace s hliníkovou folií 54/ 40 mm</t>
  </si>
  <si>
    <t>706</t>
  </si>
  <si>
    <t>Izotub ALS izolace s hliníkovou folií proti fyzickému poškození 54/ 40 mm</t>
  </si>
  <si>
    <t>707</t>
  </si>
  <si>
    <t>723120805R00</t>
  </si>
  <si>
    <t>Demontáž potrubí svařovaného závitového DN 25 - 50 mm</t>
  </si>
  <si>
    <t>D.1.2.3_72_</t>
  </si>
  <si>
    <t>708</t>
  </si>
  <si>
    <t>735151822R00</t>
  </si>
  <si>
    <t>Demontáž otopných těles, vč likvidace a dopravy</t>
  </si>
  <si>
    <t>709</t>
  </si>
  <si>
    <t>735494811R00</t>
  </si>
  <si>
    <t>Vypuštění vody z otopných těles</t>
  </si>
  <si>
    <t>4*5</t>
  </si>
  <si>
    <t>710</t>
  </si>
  <si>
    <t>Napojení nových otopných těles na stávající rozvody, včetně materiálu</t>
  </si>
  <si>
    <t>Demontáž armatur s dvěma závity nebo na přirubu, vč likvidace a dopravy</t>
  </si>
  <si>
    <t>731</t>
  </si>
  <si>
    <t>Strojovna</t>
  </si>
  <si>
    <t>D+M Sestavení větví na rozdělovači/sběrači</t>
  </si>
  <si>
    <t>731_</t>
  </si>
  <si>
    <t>D.1.2.3_73_</t>
  </si>
  <si>
    <t>Deskový výměník z nerezové oceli - skládaný 2,3m2, m=59,6kg, 16bar, pouze dodávka, (voda), T=65/50°C, Tzt=25kPa, (propylenglykol), T=60/45°, Tzt=25kPa</t>
  </si>
  <si>
    <t>714</t>
  </si>
  <si>
    <t>Montáž deskového výměníku</t>
  </si>
  <si>
    <t>715</t>
  </si>
  <si>
    <t>Příplatek na zvětšení stávajících hrdel u rozdělovače/sběrače na dimenzi požadovanou PD</t>
  </si>
  <si>
    <t>716</t>
  </si>
  <si>
    <t>732331515R00</t>
  </si>
  <si>
    <t>Nádoba tlaková membránová 50l,6Bar, objem=50l(využit.40l),m=8,55kg,max přetlak=6 bar,DN25,s uzavíracím ventilem R 3/4"x3/4, R 3/4+servisní ventil DN25</t>
  </si>
  <si>
    <t>717</t>
  </si>
  <si>
    <t>732339104R00</t>
  </si>
  <si>
    <t>Montáž nádoby expanzní tlakové 50 l</t>
  </si>
  <si>
    <t>718</t>
  </si>
  <si>
    <t>Revize expanzní tlakové nádoby do 500 l, revize zahrnuje tlakovou zkoušku a vystavení revizní zprávy</t>
  </si>
  <si>
    <t>719</t>
  </si>
  <si>
    <t>č.3  Oběhové mokroběžné čerpadlo 25-40 180mm; DN40; Q=2,127 m3/h; H=40,0kPa; konstantní režim; P=48W; 230V</t>
  </si>
  <si>
    <t>720</t>
  </si>
  <si>
    <t>VL 06</t>
  </si>
  <si>
    <t>č.4 Oběhové mokroběžné čerpadlo 25-100 180mm; DN40; Q=2,127 m3/h; H=73,5kPa; konstantní režim; P=93W; 230V</t>
  </si>
  <si>
    <t>732429112R00</t>
  </si>
  <si>
    <t>Montáž čerpadel oběhových spirálních, DN 40</t>
  </si>
  <si>
    <t>VL 07</t>
  </si>
  <si>
    <t>Plnění nemrznoucí směsi Proplyneglykol</t>
  </si>
  <si>
    <t>0,74654</t>
  </si>
  <si>
    <t>733</t>
  </si>
  <si>
    <t>Rozvod potrubí</t>
  </si>
  <si>
    <t>724</t>
  </si>
  <si>
    <t>733164102RT5</t>
  </si>
  <si>
    <t>Montáž potrubí z měděných trubek vytápění D 15 mm, spojované lisováním</t>
  </si>
  <si>
    <t>733_</t>
  </si>
  <si>
    <t>733164105RT5</t>
  </si>
  <si>
    <t>Montáž potrubí z měděných trubek vytápění D 28 mm, spojovaného lisováním</t>
  </si>
  <si>
    <t>726</t>
  </si>
  <si>
    <t>733164107RT5</t>
  </si>
  <si>
    <t>Montáž potrubí z měděných trubek vytápění D 42 mm, spojovaného lisováním</t>
  </si>
  <si>
    <t>727</t>
  </si>
  <si>
    <t>733164108RT5</t>
  </si>
  <si>
    <t>Montáž potrubí z měděných trubek vytápění D 54 mm, spojovaného lisováním</t>
  </si>
  <si>
    <t>733190307R00</t>
  </si>
  <si>
    <t>Tlaková zkouška Cu potrubí do D 64</t>
  </si>
  <si>
    <t>729</t>
  </si>
  <si>
    <t>196313541</t>
  </si>
  <si>
    <t>Trubka měděná 54 x 2,0 mm</t>
  </si>
  <si>
    <t>730</t>
  </si>
  <si>
    <t>196313540</t>
  </si>
  <si>
    <t>Trubka měděná 42 x 1,5 mm</t>
  </si>
  <si>
    <t>196313538</t>
  </si>
  <si>
    <t>Trubka měděná 28 x 1,5 mm</t>
  </si>
  <si>
    <t>196313534</t>
  </si>
  <si>
    <t>Trubka měděná 15 x 1,0 mm</t>
  </si>
  <si>
    <t>998733101R00</t>
  </si>
  <si>
    <t>Přesun hmot pro rozvody potrubí, výšky do 6 m</t>
  </si>
  <si>
    <t>0,895</t>
  </si>
  <si>
    <t>734233115R00</t>
  </si>
  <si>
    <t>Kohout kulový, vnitř.-vnitř.z. DN 40, pouze dodávka</t>
  </si>
  <si>
    <t>735</t>
  </si>
  <si>
    <t>734233116R00</t>
  </si>
  <si>
    <t>Kohout kulový, vnitř.-vnitř.z. DN 50, pouze dodávka</t>
  </si>
  <si>
    <t>736</t>
  </si>
  <si>
    <t>734293312R00</t>
  </si>
  <si>
    <t>Kohout kulový vypouštěcí,  M DN 15, pouze dodávka</t>
  </si>
  <si>
    <t>737</t>
  </si>
  <si>
    <t>734213112R00</t>
  </si>
  <si>
    <t>Ventil automatický odvzdušňovací, DN 15, pouze dodávka</t>
  </si>
  <si>
    <t>738</t>
  </si>
  <si>
    <t>734294215R00</t>
  </si>
  <si>
    <t>Filtr,velikost oka 0,4mm,vnitřní závity DN 40, pouze dodávka</t>
  </si>
  <si>
    <t>739</t>
  </si>
  <si>
    <t>734294216R00</t>
  </si>
  <si>
    <t>Filtr,velikost oka 0,4mm,vnitřní závity DN 50, pouze dodávka</t>
  </si>
  <si>
    <t>740</t>
  </si>
  <si>
    <t>Teplotní čidla s jímkami (VZT,MaR), pouze dodávka</t>
  </si>
  <si>
    <t>741</t>
  </si>
  <si>
    <t>Ventil pojistný DN 25/32  x 3,0 bar, pouze dodávka</t>
  </si>
  <si>
    <t>742</t>
  </si>
  <si>
    <t>734223824R00</t>
  </si>
  <si>
    <t>Ventil vyvažov.vnitř.z.měř.vent. DN 32, pouze dodávka</t>
  </si>
  <si>
    <t>743</t>
  </si>
  <si>
    <t>734421130R00</t>
  </si>
  <si>
    <t>Tlakoměr deformační 0-10 MPa, D 160, pouze dodávka</t>
  </si>
  <si>
    <t>744</t>
  </si>
  <si>
    <t>734413125R00</t>
  </si>
  <si>
    <t>Teploměr D 63 / dl.jímky 150 mm, 0-120°C DN15, pouze dodávka</t>
  </si>
  <si>
    <t>745</t>
  </si>
  <si>
    <t>734245125R00</t>
  </si>
  <si>
    <t>Ventil zpětný,2xvnitřní závit  DN 40, pouze dodávka</t>
  </si>
  <si>
    <t>746</t>
  </si>
  <si>
    <t>734245126R00</t>
  </si>
  <si>
    <t>Ventil zpětný,2xvnitřní závit  DN 50, pouze dodávka</t>
  </si>
  <si>
    <t>747</t>
  </si>
  <si>
    <t>734209103R00</t>
  </si>
  <si>
    <t>Montáž armatur závitových,s 1závitem, G 1/2</t>
  </si>
  <si>
    <t>748</t>
  </si>
  <si>
    <t>734209115R00</t>
  </si>
  <si>
    <t>Montáž armatur závitových,se 2závity, G 1</t>
  </si>
  <si>
    <t>749</t>
  </si>
  <si>
    <t>734209116R00</t>
  </si>
  <si>
    <t>Montáž armatur závitových,se 2závity, G 5/4</t>
  </si>
  <si>
    <t>750</t>
  </si>
  <si>
    <t>734209117R00</t>
  </si>
  <si>
    <t>Montáž armatur závitových,se 2závity, G 6/4</t>
  </si>
  <si>
    <t>751</t>
  </si>
  <si>
    <t>734209118R00</t>
  </si>
  <si>
    <t>Montáž armatur závitových,se 2závity, G 2</t>
  </si>
  <si>
    <t>752</t>
  </si>
  <si>
    <t>0,512</t>
  </si>
  <si>
    <t>753</t>
  </si>
  <si>
    <t>5513730671</t>
  </si>
  <si>
    <t>Klíč nastavovací pro termostatickou hlavici</t>
  </si>
  <si>
    <t>Otopná tělesa</t>
  </si>
  <si>
    <t>754</t>
  </si>
  <si>
    <t>Otopné těleso panelové s bočním připojením provedení hygiene 20 s, v. 700 mm, dl. 700 mm, 703/704/102 (VxDxH), Q=500W, TRV15, RŠ</t>
  </si>
  <si>
    <t>735_</t>
  </si>
  <si>
    <t>755</t>
  </si>
  <si>
    <t>VL 11</t>
  </si>
  <si>
    <t>Otopné těleso panelové s bočním připojením provedení hygiene 20 s,v.700 mm, dl.1000 mm-Do vlhkého prostředí,703/1004/1102 (VxDxH),Q=714W, TRV15,RŠ</t>
  </si>
  <si>
    <t>756</t>
  </si>
  <si>
    <t>VL 12</t>
  </si>
  <si>
    <t>Otopné těleso panelové s bočním připojením provedení hygiene 20 s, v. 700 mm, dl. 1100 mm, 703/1104/157 (VxDxH), Q=785W, TRV15, RŠ</t>
  </si>
  <si>
    <t>757</t>
  </si>
  <si>
    <t>Otopné těleso panelové s bočním připojením provedení hygiene 30, v. 700 mm, dl. 800 mm - Do vlhkého prostředí, 703/804/157 (VxDxH), Q=797W, TRV15, RŠ</t>
  </si>
  <si>
    <t>758</t>
  </si>
  <si>
    <t>Otopné těleso panelové s bočním připojením provedení hygiene 30, v. 700 mm, dl. 1400 mm, 703/1404/157 (VxDxH), Q=1391W, TRV15, RŠ</t>
  </si>
  <si>
    <t>759</t>
  </si>
  <si>
    <t>Otopné těleso panelové s bočním připojen provedení hygiene 30, v. 700 mm, dl. 1400 mm - Do vlhkého prostředí, 703/1404/157 (VxDxH), Q=1391W, TRV15, RŠ</t>
  </si>
  <si>
    <t>760</t>
  </si>
  <si>
    <t>Otopné těleso panelové s bočním připojen provedení hygiene 30, v. 700 mm, dl. 1100 mm - Do vlhkého prostředí, 703/1104/157 (VxDxH), Q=1094W, TRV15, RŠ</t>
  </si>
  <si>
    <t>Otopné těleso panelové s bočním připojením provedení hygiene 30, v. 700 mm, dl. 1200 mm, 703/1204/157 (VxDxH), Q=1193W, TRV15, RŠ</t>
  </si>
  <si>
    <t>Otopné těleso panelové s bočním připojením provedení hygiene 30, v.700 mm, dl.1200 mm - Do vlhkého prostředí, 703/1204/157 (VxDxH), Q=1193W, TRV15, RŠ</t>
  </si>
  <si>
    <t>763</t>
  </si>
  <si>
    <t>Otopné těleso panelové s bočním připojením provedení hygiene 30, v. 700 mm, dl. 2000 mm, 703/2004/157 (VxDxH), Q=1986W, TRV15, RŠ</t>
  </si>
  <si>
    <t>764</t>
  </si>
  <si>
    <t>Otopné těleso panelové s bočním připojen provedení hygiene 30, v. 700 mm, dl. 2000 mm - Do vlhkého prostředí, 703/2004/157 (VxDxH), Q=1986W, TRV15, RŠ</t>
  </si>
  <si>
    <t>765</t>
  </si>
  <si>
    <t>735159340R00</t>
  </si>
  <si>
    <t>Montáž panelových otopných těles</t>
  </si>
  <si>
    <t>Elektrický trubkový přímotop, Q=600W, 230V, 50HZ, IPX4, ŠxV (WxH): 900x750mm</t>
  </si>
  <si>
    <t>735169211R00</t>
  </si>
  <si>
    <t>Montáž trubkových těles</t>
  </si>
  <si>
    <t>768</t>
  </si>
  <si>
    <t>D+M Uzavíratelné šroubení, radiátorové rohové DN 15 - 1/2" x 3/4 EK regulační k připojení na měděné potrubí</t>
  </si>
  <si>
    <t>769</t>
  </si>
  <si>
    <t>Přípalatek za osazení integrovaných termostatický ventilú s automatickým omezením průtokus do Klasik provedení</t>
  </si>
  <si>
    <t>770</t>
  </si>
  <si>
    <t>734221672RT3</t>
  </si>
  <si>
    <t>Termostatická hlavice kapalinová M30x1,5</t>
  </si>
  <si>
    <t>Svěrné šroubení pro Cu trubku 15 x3/4"</t>
  </si>
  <si>
    <t>772</t>
  </si>
  <si>
    <t>734209113R00</t>
  </si>
  <si>
    <t>Montáž armatur závitových,se 2závity, G 1/2</t>
  </si>
  <si>
    <t>773</t>
  </si>
  <si>
    <t>Příplatek za koordinační činnost s ostatními profesemi</t>
  </si>
  <si>
    <t>D.1.2.3_9_</t>
  </si>
  <si>
    <t>774</t>
  </si>
  <si>
    <t>775</t>
  </si>
  <si>
    <t>970041080R00</t>
  </si>
  <si>
    <t>Vrtání jádrové do prostého betonu do D 80 mm</t>
  </si>
  <si>
    <t>0,6+0,25</t>
  </si>
  <si>
    <t>0,85*10</t>
  </si>
  <si>
    <t>778</t>
  </si>
  <si>
    <t>0,85</t>
  </si>
  <si>
    <t>779</t>
  </si>
  <si>
    <t>780</t>
  </si>
  <si>
    <t>0,85*5</t>
  </si>
  <si>
    <t>782</t>
  </si>
  <si>
    <t>D.1.2.4</t>
  </si>
  <si>
    <t>Silnoproudé elektroinstalace</t>
  </si>
  <si>
    <t>D.1.2.4_4_</t>
  </si>
  <si>
    <t>D.1.2.4_</t>
  </si>
  <si>
    <t>0,2*2</t>
  </si>
  <si>
    <t>65001R</t>
  </si>
  <si>
    <t>Výrobní a dílenská dokumentace profese silnoproudých elektroinstalací (výrobní dokumentace rozvaděčů viz schéma výkres č.301 atd.)</t>
  </si>
  <si>
    <t>D.1.2.4_6_</t>
  </si>
  <si>
    <t>785</t>
  </si>
  <si>
    <t>65002R</t>
  </si>
  <si>
    <t>Dokumentace skutečného provedení profese NN, 5 paré</t>
  </si>
  <si>
    <t>786</t>
  </si>
  <si>
    <t>65003R</t>
  </si>
  <si>
    <t>Provozní analýza sítě, týdenní průběhy odběru objektu stravovací zařízení (před rekonstrukcí) vč. vyhotovení protokolu, zpracuje revizní technik, nutn</t>
  </si>
  <si>
    <t>787</t>
  </si>
  <si>
    <t>65004R</t>
  </si>
  <si>
    <t>Provozní analýza sítě, týdenní průběhy odběru NN objektová přípojka vč. vyhotovení protokolu, zpracuje revizní technik, nutno měřit za běžného provozu</t>
  </si>
  <si>
    <t>788</t>
  </si>
  <si>
    <t>65005R</t>
  </si>
  <si>
    <t>Měření intenzity osvětlení v souladu s požadavky ČSN EN 12464-1, vypracování certifikovaného protokolu</t>
  </si>
  <si>
    <t>789</t>
  </si>
  <si>
    <t>Dokladová část k realizaci, vypracování provozních řádů NN, vypracování návodů k obsluze, zajištění zaškolení obsluhy</t>
  </si>
  <si>
    <t>790</t>
  </si>
  <si>
    <t>Hzs-zkousky v ramci montaz.praci, závěrečné práce ve skříni RH01, SR4, TS</t>
  </si>
  <si>
    <t>791</t>
  </si>
  <si>
    <t>65006R</t>
  </si>
  <si>
    <t>Zkoušky a prohlídky el rozvodů a zařízení celková prohlídka pro objem mtž prací do 2 000 000 Kč</t>
  </si>
  <si>
    <t>792</t>
  </si>
  <si>
    <t>612403386R00</t>
  </si>
  <si>
    <t>Hrubá výplň rýh ve stěnách do 10x10cm maltou z SMS</t>
  </si>
  <si>
    <t>85+20</t>
  </si>
  <si>
    <t>793</t>
  </si>
  <si>
    <t>612403399RT2</t>
  </si>
  <si>
    <t>Hrubá výplň rýh ve stěnách maltou</t>
  </si>
  <si>
    <t>15,68</t>
  </si>
  <si>
    <t>794</t>
  </si>
  <si>
    <t>7,3828</t>
  </si>
  <si>
    <t>795</t>
  </si>
  <si>
    <t>D.1.2.4_71_</t>
  </si>
  <si>
    <t>796</t>
  </si>
  <si>
    <t>797</t>
  </si>
  <si>
    <t>798</t>
  </si>
  <si>
    <t>799</t>
  </si>
  <si>
    <t>800</t>
  </si>
  <si>
    <t>Demontáž a úprava původní instalace v kuchyni a ostatních řešených prostorech</t>
  </si>
  <si>
    <t>D.1.2.4_9_</t>
  </si>
  <si>
    <t>Hzs-nezmeritelne stavebni prace, stavební přípomoc</t>
  </si>
  <si>
    <t>802</t>
  </si>
  <si>
    <t>803</t>
  </si>
  <si>
    <t>905      R01</t>
  </si>
  <si>
    <t>Revizní práce, měření, vypracování revizní zprávy dle ČSN 331500</t>
  </si>
  <si>
    <t>8*1</t>
  </si>
  <si>
    <t>804</t>
  </si>
  <si>
    <t>Výchozí revize NN</t>
  </si>
  <si>
    <t>805</t>
  </si>
  <si>
    <t>900      R24</t>
  </si>
  <si>
    <t>Uvedení do provozu a zkušební provoz</t>
  </si>
  <si>
    <t>806</t>
  </si>
  <si>
    <t>900      R25</t>
  </si>
  <si>
    <t>Spolupráce s revizním technikem</t>
  </si>
  <si>
    <t>807</t>
  </si>
  <si>
    <t>974100020RA0</t>
  </si>
  <si>
    <t>Vysekání rýh ve zdivu z cihel, 10 x 10 cm</t>
  </si>
  <si>
    <t>808</t>
  </si>
  <si>
    <t>973100011RA0</t>
  </si>
  <si>
    <t>Vysekání kapes ve zdivu z cihel, 300 x 300 x 150 mm</t>
  </si>
  <si>
    <t>809</t>
  </si>
  <si>
    <t>0,25*2</t>
  </si>
  <si>
    <t>810</t>
  </si>
  <si>
    <t>M21</t>
  </si>
  <si>
    <t>Elektromontáže</t>
  </si>
  <si>
    <t>811</t>
  </si>
  <si>
    <t>210290121R00R</t>
  </si>
  <si>
    <t>Demontáž stávajících elektroinstalace, svítidel, ekologická likvidace</t>
  </si>
  <si>
    <t>M21_</t>
  </si>
  <si>
    <t>812</t>
  </si>
  <si>
    <t>Elektroinstalační práce v NN rozvaděči TS</t>
  </si>
  <si>
    <t>813</t>
  </si>
  <si>
    <t>650141133R00R</t>
  </si>
  <si>
    <t>Ukončení laněných vodičů nad průřez 100mm2, vč. materiálu</t>
  </si>
  <si>
    <t>814</t>
  </si>
  <si>
    <t>210810152R00R</t>
  </si>
  <si>
    <t>D+M Kabel 1-YY-240mm2, volně do výkopu (z TS do SR4), volně do výkopu, včetně dodávky kabelu</t>
  </si>
  <si>
    <t>815</t>
  </si>
  <si>
    <t>58541254</t>
  </si>
  <si>
    <t>Sádra stavební bilá, 30 kg bal.</t>
  </si>
  <si>
    <t>816</t>
  </si>
  <si>
    <t>34195</t>
  </si>
  <si>
    <t>Materiál pro elektroinstalaci-doplňkový pomocný</t>
  </si>
  <si>
    <t>M65</t>
  </si>
  <si>
    <t>Elektroinstalace</t>
  </si>
  <si>
    <t>817</t>
  </si>
  <si>
    <t>21002VD</t>
  </si>
  <si>
    <t>Instalace - rozvaděče RH01, vč. zapojení nové a stávající kabeláže, vč. vyzbrojení, jištění, ukončení vodičů v rozvaděči</t>
  </si>
  <si>
    <t>M65_</t>
  </si>
  <si>
    <t>818</t>
  </si>
  <si>
    <t>21004VD</t>
  </si>
  <si>
    <t>Instalace - rozvaděče pojistkové skříňě před fasádu, ukončení vodičů v rozvaděči, vč. přepojení kabeláže a výkopových prací</t>
  </si>
  <si>
    <t>819</t>
  </si>
  <si>
    <t>210201521R00</t>
  </si>
  <si>
    <t>Montáž - instalace svítidla - osazení, zapojení a ukončení vodičů, svítidlo LED technické stropní přisazené</t>
  </si>
  <si>
    <t>820</t>
  </si>
  <si>
    <t>650101921R00</t>
  </si>
  <si>
    <t>Montáž - instalace, osazení nouzové svítidlo, zapojení a ukončení vodičů</t>
  </si>
  <si>
    <t>821</t>
  </si>
  <si>
    <t>220711301R00</t>
  </si>
  <si>
    <t>Montáž detektoru</t>
  </si>
  <si>
    <t>822</t>
  </si>
  <si>
    <t>21012VD</t>
  </si>
  <si>
    <t>Montáž modulu pro měření a vyhodnocení spotřeby energií</t>
  </si>
  <si>
    <t>823</t>
  </si>
  <si>
    <t>210010018RT2</t>
  </si>
  <si>
    <t>D+M Pevná elektroinstalační bezhalogenová trubka vč. příslušenství a kotvení</t>
  </si>
  <si>
    <t>824</t>
  </si>
  <si>
    <t>210020932R00</t>
  </si>
  <si>
    <t>D+M Požární ucpávky, včetně nátěru a instalace</t>
  </si>
  <si>
    <t>825</t>
  </si>
  <si>
    <t>220262111RT2</t>
  </si>
  <si>
    <t>D+M Kabel.žlab s integr.spojkou NKZI 50x62 mm s víkem</t>
  </si>
  <si>
    <t>826</t>
  </si>
  <si>
    <t>220262121R00</t>
  </si>
  <si>
    <t>D+M Kabel.žlab s integr.spojkou NKZI 100x125 mm s víkem</t>
  </si>
  <si>
    <t>827</t>
  </si>
  <si>
    <t>220262142RT2</t>
  </si>
  <si>
    <t>D+M Kabel.žlab s integr.spojkou NKZIN 100x250 mm</t>
  </si>
  <si>
    <t>828</t>
  </si>
  <si>
    <t>21014VD</t>
  </si>
  <si>
    <t>Montáž, instalace - kovový držák kabelů 60/50</t>
  </si>
  <si>
    <t>829</t>
  </si>
  <si>
    <t>210802653RT12</t>
  </si>
  <si>
    <t>D+M Kabel H07RN-F (CGTG) 5 x 25 mm2 volně uložená</t>
  </si>
  <si>
    <t>830</t>
  </si>
  <si>
    <t>D+M Kabel H07RN-F (CGTG) 5 x 10 mm2 volně uložená, včetně kabelu</t>
  </si>
  <si>
    <t>831</t>
  </si>
  <si>
    <t>210802653RT1R</t>
  </si>
  <si>
    <t>D+M Kabel H07RN-F (CGTG) 5 x 6 mm2 volně uložená</t>
  </si>
  <si>
    <t>832</t>
  </si>
  <si>
    <t>210802652RT1</t>
  </si>
  <si>
    <t>D+M Kabel H07RN-F (CGTG) 5 x 2,50 mm2 volně uložená</t>
  </si>
  <si>
    <t>833</t>
  </si>
  <si>
    <t>210800118RT3</t>
  </si>
  <si>
    <t>D+M Kabel CYKY 750 V 5 žil uložený pod omítkou, věetně kabelu 5x25 m</t>
  </si>
  <si>
    <t>834</t>
  </si>
  <si>
    <t>210800118RT2</t>
  </si>
  <si>
    <t>D+M Kabel CYKY 750 V 5 žil uložený pod omítkou, včetně kabelu 5x10 mm2</t>
  </si>
  <si>
    <t>835</t>
  </si>
  <si>
    <t>210800118RT1</t>
  </si>
  <si>
    <t>D+M Kabel CYKY 750 V 5 žil uložený pod omítkou, včetně kabelu 5x6 mm2</t>
  </si>
  <si>
    <t>836</t>
  </si>
  <si>
    <t>210800117RT1</t>
  </si>
  <si>
    <t>D+M Kabel CYKY 750 V 5x4 mm2 uložený pod omítkou, včetně dodávky kabelu</t>
  </si>
  <si>
    <t>837</t>
  </si>
  <si>
    <t>210800116RT1</t>
  </si>
  <si>
    <t>D+M Kabel CYKY 750 V 5x2,5 mm2 uložený pod omítkou, včetně dodávky kabelu</t>
  </si>
  <si>
    <t>838</t>
  </si>
  <si>
    <t>210800106RT1</t>
  </si>
  <si>
    <t>D+M Kabel CYKY 750 V 3x2,5 mm2 uložený pod omítkou, včetně dodávky kabelu</t>
  </si>
  <si>
    <t>1150</t>
  </si>
  <si>
    <t>839</t>
  </si>
  <si>
    <t>210800105RT1</t>
  </si>
  <si>
    <t>D+M Kabel CYKY 750 V 3x1,5 mm2 uložený pod omítkou, včetně dodávky kabelu</t>
  </si>
  <si>
    <t>840</t>
  </si>
  <si>
    <t>21015VD</t>
  </si>
  <si>
    <t>D+M Kabel 1-YY-185mm2 (z SR4 do RH1), do drážky, včetně dodávky kabelu</t>
  </si>
  <si>
    <t>841</t>
  </si>
  <si>
    <t>210800649RT1</t>
  </si>
  <si>
    <t>Vodič H07V-K (CYA) 25 mm2 uložený pevně</t>
  </si>
  <si>
    <t>842</t>
  </si>
  <si>
    <t>210800647RT1</t>
  </si>
  <si>
    <t>Vodič H07V-K (CYA) 10 mm2 uložený pevně</t>
  </si>
  <si>
    <t>843</t>
  </si>
  <si>
    <t>210800646RT1</t>
  </si>
  <si>
    <t>Vodič H07V-K (CYA) 6 mm2 uložený pevně</t>
  </si>
  <si>
    <t>844</t>
  </si>
  <si>
    <t>110061RVD</t>
  </si>
  <si>
    <t>Montáž, instalace - pospojení a uzemnění vodič CYA 6-25mm2, pod omítku</t>
  </si>
  <si>
    <t>84+160+110</t>
  </si>
  <si>
    <t>845</t>
  </si>
  <si>
    <t>110064RVD</t>
  </si>
  <si>
    <t>D+M prostorový termostat pro spínání odtahového ventilátoru, včetně přístrojové krabice, montáž,zapojení a ukončení vodičů</t>
  </si>
  <si>
    <t>846</t>
  </si>
  <si>
    <t>110063RVD</t>
  </si>
  <si>
    <t>D+M Servopohon ON/OFF 230VAC, včetně montáž,zapojení a ukončení vodičů</t>
  </si>
  <si>
    <t>847</t>
  </si>
  <si>
    <t>21017VD</t>
  </si>
  <si>
    <t>D+M Vypínač č.1, včetně přístrojové krabice, montáž,zapojení a ukončení vodičů.</t>
  </si>
  <si>
    <t>848</t>
  </si>
  <si>
    <t>21018VD</t>
  </si>
  <si>
    <t>D+M Vypínač č.6, včetně přístrojové krabice, montáž,zapojení a ukončení vodičů.</t>
  </si>
  <si>
    <t>849</t>
  </si>
  <si>
    <t>21019VD</t>
  </si>
  <si>
    <t>D+M Tlačítko č.1/0, včetně přístrojové krabice, montáž,zapojení a ukončení vodičů</t>
  </si>
  <si>
    <t>850</t>
  </si>
  <si>
    <t>21020VD</t>
  </si>
  <si>
    <t>D+M Vačkový vypínač otočný I-0, nástěnný 32A, 3P, 400VAC, červený knoflík, včetně přístrojové krabice, montáž,zapojení a ukončení vodičů</t>
  </si>
  <si>
    <t>851</t>
  </si>
  <si>
    <t>21021VD</t>
  </si>
  <si>
    <t>D+M Vačkový vypínač otočný I-0, nástěnný 63A, 3P, 400VAC, červený knoflík, včetně přístrojové krabice, montáž,zapojení a ukončení vodičů</t>
  </si>
  <si>
    <t>852</t>
  </si>
  <si>
    <t>21022VD</t>
  </si>
  <si>
    <t>D+M Zásuvka 230V/16A,3p, IP 20, včetně přístrojové krabice, montáž,zapojení a ukončení vodičů.</t>
  </si>
  <si>
    <t>853</t>
  </si>
  <si>
    <t>21023VD</t>
  </si>
  <si>
    <t>D+M Zásuvka 400V/16A,5p, IP 20, včetně přístrojové krabice, montáž,zapojení a ukončení vodičů.</t>
  </si>
  <si>
    <t>854</t>
  </si>
  <si>
    <t>21024VD</t>
  </si>
  <si>
    <t>D+M Rámečky 1R</t>
  </si>
  <si>
    <t>855</t>
  </si>
  <si>
    <t>21025VD</t>
  </si>
  <si>
    <t>D+M Přechodové krabice pro pohyblivé vývody, montáž,zapojení a ukončení vodičů</t>
  </si>
  <si>
    <t>856</t>
  </si>
  <si>
    <t>21026VD</t>
  </si>
  <si>
    <t>D+M Zásuvka CAT5E, UTP, 2x Keystone RJ45, pod omítku včetně přístrojové krabice</t>
  </si>
  <si>
    <t>857</t>
  </si>
  <si>
    <t>21016VD</t>
  </si>
  <si>
    <t>Ekvipotenciální svorkovnice</t>
  </si>
  <si>
    <t>858</t>
  </si>
  <si>
    <t>21027VD</t>
  </si>
  <si>
    <t>Podpůrná trubka D 50mm L 3200mm GFK/Al</t>
  </si>
  <si>
    <t>859</t>
  </si>
  <si>
    <t>Montážní práce HVI LPS, vč. napojení na stávající bleskosvod</t>
  </si>
  <si>
    <t>860</t>
  </si>
  <si>
    <t>21001VD</t>
  </si>
  <si>
    <t>RH01 - (3x600)x400x2000mm (ŠxHxV) Samostatně stojící rozvaděč, 3 pole, včetně jistících přístrojů a kompletního vnitřního vybavení</t>
  </si>
  <si>
    <t>861</t>
  </si>
  <si>
    <t>21003VD</t>
  </si>
  <si>
    <t>Nová pilířová pojistková skříň SR4, pozice dle revizní zprávy: 3x PH1/300A (přívod TR); 3x PH1/300A (přívod SR3); 3x PH1/360A (přívod kuchyň);</t>
  </si>
  <si>
    <t>862</t>
  </si>
  <si>
    <t>21006VD</t>
  </si>
  <si>
    <t>LED svítidlo typ A, viz kniha svítidel</t>
  </si>
  <si>
    <t>863</t>
  </si>
  <si>
    <t>21007VD</t>
  </si>
  <si>
    <t>LED svítidlo typ B, viz kniha svítidel</t>
  </si>
  <si>
    <t>864</t>
  </si>
  <si>
    <t>21008VD</t>
  </si>
  <si>
    <t>LED svítidlo typ C, viz kniha svítidel</t>
  </si>
  <si>
    <t>865</t>
  </si>
  <si>
    <t>21009VD</t>
  </si>
  <si>
    <t>LED svítidlo typ D, viz kniha svítidel</t>
  </si>
  <si>
    <t>866</t>
  </si>
  <si>
    <t>21010VD</t>
  </si>
  <si>
    <t>Nouzové svítidlo N, viz kniha svítidel, integrovaný záložní zdroj, výdrž min. 1h</t>
  </si>
  <si>
    <t>867</t>
  </si>
  <si>
    <t>21011VD</t>
  </si>
  <si>
    <t>Nouzové svítidlo NP, viz kniha svítidel, integrovaný záložní zdroj, výdrž min. 1h</t>
  </si>
  <si>
    <t>868</t>
  </si>
  <si>
    <t>34531510</t>
  </si>
  <si>
    <t>Přítomnostní/pohybový detektor (pole 360°)</t>
  </si>
  <si>
    <t>869</t>
  </si>
  <si>
    <t>21013VD</t>
  </si>
  <si>
    <t>Kovový držák kabelů 60/50, skupinový kotvící materiál</t>
  </si>
  <si>
    <t>870</t>
  </si>
  <si>
    <t>21028VD</t>
  </si>
  <si>
    <t>Jímací hrot 1000mm</t>
  </si>
  <si>
    <t>871</t>
  </si>
  <si>
    <t>21029VD</t>
  </si>
  <si>
    <t>Čtyřramenný stativ sklopný</t>
  </si>
  <si>
    <t>872</t>
  </si>
  <si>
    <t>21030VD</t>
  </si>
  <si>
    <t>Sada prodlužovacích tyček pro betonové podstavce 3x 16x200mm nerez</t>
  </si>
  <si>
    <t>873</t>
  </si>
  <si>
    <t>21031VD</t>
  </si>
  <si>
    <t>Podložka plast D 370mm černá</t>
  </si>
  <si>
    <t>874</t>
  </si>
  <si>
    <t>21032VD</t>
  </si>
  <si>
    <t>Betonový podstavec B55 17kg D 337mm</t>
  </si>
  <si>
    <t>875</t>
  </si>
  <si>
    <t>21033VD</t>
  </si>
  <si>
    <t>Sada pro připojení vodičů HVI</t>
  </si>
  <si>
    <t>876</t>
  </si>
  <si>
    <t>35445030</t>
  </si>
  <si>
    <t>Vodič s vysokonapěťovou izolací HVI, šedý, průměr 23 mm</t>
  </si>
  <si>
    <t>877</t>
  </si>
  <si>
    <t>21035VD</t>
  </si>
  <si>
    <t>Sada připojovacích prvků pro vodič HVI O 23 mm, pro uložení vně podpůrné trubky</t>
  </si>
  <si>
    <t>878</t>
  </si>
  <si>
    <t>21036VD</t>
  </si>
  <si>
    <t>Podpěra vedení se základnou, na střechu</t>
  </si>
  <si>
    <t>879</t>
  </si>
  <si>
    <t>21037VD</t>
  </si>
  <si>
    <t>Podpěra vedení pro vodiče HVI/CUI, na stěnu</t>
  </si>
  <si>
    <t>880</t>
  </si>
  <si>
    <t>3,11281</t>
  </si>
  <si>
    <t>881</t>
  </si>
  <si>
    <t>3,113*5</t>
  </si>
  <si>
    <t>882</t>
  </si>
  <si>
    <t>883</t>
  </si>
  <si>
    <t>884</t>
  </si>
  <si>
    <t>885</t>
  </si>
  <si>
    <t>3,11281*10</t>
  </si>
  <si>
    <t>886</t>
  </si>
  <si>
    <t>D.1.2.5</t>
  </si>
  <si>
    <t>Zařízení slaboproudé elektrotechniky</t>
  </si>
  <si>
    <t>887</t>
  </si>
  <si>
    <t>901      R00</t>
  </si>
  <si>
    <t>Hzs-předběžná obhlídka     čl.17-1a</t>
  </si>
  <si>
    <t>D.1.2.5_9_</t>
  </si>
  <si>
    <t>D.1.2.5_</t>
  </si>
  <si>
    <t>888</t>
  </si>
  <si>
    <t>Zednické výpomoci HSV (průrazy, prostupy) včetně zapravení rých</t>
  </si>
  <si>
    <t>889</t>
  </si>
  <si>
    <t>900      R01</t>
  </si>
  <si>
    <t>Potřebné demontáže stáv. SLP zařízení a rozvodů včetně likvidace a poplatků za likvidaci.</t>
  </si>
  <si>
    <t>890</t>
  </si>
  <si>
    <t>900     R11</t>
  </si>
  <si>
    <t>Dokumentace skutečného provedení stavby SLP (UKS, DZ, PZTS), 5 paré</t>
  </si>
  <si>
    <t>891</t>
  </si>
  <si>
    <t>900     R14</t>
  </si>
  <si>
    <t>Dokladová část k realizaci, vypracování provozních řádů SLP, vypracování návodů k obsluze, zajištění zaškolení obsluhy (USK. DZ, PZTS)</t>
  </si>
  <si>
    <t>892</t>
  </si>
  <si>
    <t>906     R10</t>
  </si>
  <si>
    <t>Výrobní dokumentace SLP (UKS, DZ, PZTS)</t>
  </si>
  <si>
    <t>893</t>
  </si>
  <si>
    <t>22111VD</t>
  </si>
  <si>
    <t>Předběžné obhlídky (UKS, DZ, PZTS)</t>
  </si>
  <si>
    <t>D.1.2.5-2</t>
  </si>
  <si>
    <t>DZ - Dorozumívací zařízení</t>
  </si>
  <si>
    <t>894</t>
  </si>
  <si>
    <t>22101VD</t>
  </si>
  <si>
    <t>D+M Venkovní IP tlačítkové tablo - Hlavní jednotka s kamerou a čtečkou RFID čipů</t>
  </si>
  <si>
    <t>D.1.2.5-2_</t>
  </si>
  <si>
    <t>895</t>
  </si>
  <si>
    <t>22102VD</t>
  </si>
  <si>
    <t>D+M Venkovní IP tlačítkové tablo - Rám pro instalaci do zdi</t>
  </si>
  <si>
    <t>896</t>
  </si>
  <si>
    <t>22103VD</t>
  </si>
  <si>
    <t>D+M Venkovní IP tlačítkové tablo - Krabice pro instalaci do zdi</t>
  </si>
  <si>
    <t>897</t>
  </si>
  <si>
    <t>22104VD</t>
  </si>
  <si>
    <t>D+M Vnitřní IP odpovídací jednotka - display LCD</t>
  </si>
  <si>
    <t>898</t>
  </si>
  <si>
    <t>22105VD</t>
  </si>
  <si>
    <t>RFID karty balení 50ks</t>
  </si>
  <si>
    <t>899</t>
  </si>
  <si>
    <t>22106VD</t>
  </si>
  <si>
    <t>D+M Zálohovaný napájecí zdroj 12V/3A včetně akumulátoru 15Ah - zámky</t>
  </si>
  <si>
    <t>900</t>
  </si>
  <si>
    <t>22107VD</t>
  </si>
  <si>
    <t>D+M Instalační materiál - UTP Cat5e, 2xRJ45 konektory, trubky a příchytky kabelové trasy</t>
  </si>
  <si>
    <t>901</t>
  </si>
  <si>
    <t>22108VD</t>
  </si>
  <si>
    <t>Oživení systému, funkční zkoušky</t>
  </si>
  <si>
    <t>902</t>
  </si>
  <si>
    <t>22109VD</t>
  </si>
  <si>
    <t>Kooordinační činnost s ostatními profsemi</t>
  </si>
  <si>
    <t>903</t>
  </si>
  <si>
    <t>22112VD</t>
  </si>
  <si>
    <t>Revize DZ</t>
  </si>
  <si>
    <t>904</t>
  </si>
  <si>
    <t>22113VD</t>
  </si>
  <si>
    <t>Individuální a komplexní vyzkoušení</t>
  </si>
  <si>
    <t>D.1.2.5-3</t>
  </si>
  <si>
    <t>PTZS</t>
  </si>
  <si>
    <t>905</t>
  </si>
  <si>
    <t>22201VD</t>
  </si>
  <si>
    <t>D+M Ústředna PZTS s GSM/GPRS, LAN, komunikátory a bezdrátovým modulem, sběrnicový expander</t>
  </si>
  <si>
    <t>D.1.2.5-3_</t>
  </si>
  <si>
    <t>906</t>
  </si>
  <si>
    <t>22202VD</t>
  </si>
  <si>
    <t>D+M Sběrnicový expandér</t>
  </si>
  <si>
    <t>907</t>
  </si>
  <si>
    <t>22203VD</t>
  </si>
  <si>
    <t>D+M Akumulátor, bezúdržbový 12 V DC / 24 Ah</t>
  </si>
  <si>
    <t>908</t>
  </si>
  <si>
    <t>22205VD</t>
  </si>
  <si>
    <t>D+M Ovládací klávesnice LCD klávesnice s RFID čtečkou</t>
  </si>
  <si>
    <t>909</t>
  </si>
  <si>
    <t>22206VD</t>
  </si>
  <si>
    <t>D+M Základna s elektronikou sběrnicové venkovní sirény</t>
  </si>
  <si>
    <t>910</t>
  </si>
  <si>
    <t>911</t>
  </si>
  <si>
    <t>22207VD</t>
  </si>
  <si>
    <t>D+M Sběrnicový rohový PIR detektor pohybu, vč. kloubového držáku</t>
  </si>
  <si>
    <t>912</t>
  </si>
  <si>
    <t>22208VD</t>
  </si>
  <si>
    <t>D+M Bezdrátový rohový PIR detektor pohybu, vč. baterií, vč. kloubového držáku</t>
  </si>
  <si>
    <t>913</t>
  </si>
  <si>
    <t>22209VD</t>
  </si>
  <si>
    <t>D+M Sběrnicová siréna pro vnitřní prostředí</t>
  </si>
  <si>
    <t>914</t>
  </si>
  <si>
    <t>22210VD</t>
  </si>
  <si>
    <t>D+M Speciální sběrnicový kabel vč. instalačního materiálu</t>
  </si>
  <si>
    <t>915</t>
  </si>
  <si>
    <t>22211VD</t>
  </si>
  <si>
    <t>916</t>
  </si>
  <si>
    <t>22214VD</t>
  </si>
  <si>
    <t>Revize - SLP - PZTS</t>
  </si>
  <si>
    <t>917</t>
  </si>
  <si>
    <t>22215VD</t>
  </si>
  <si>
    <t>918</t>
  </si>
  <si>
    <t>1,17875</t>
  </si>
  <si>
    <t>919</t>
  </si>
  <si>
    <t>449861018</t>
  </si>
  <si>
    <t>Požární teplotní detektor, bateriový, sběrnicový, samoresetovací, vč. patice</t>
  </si>
  <si>
    <t>920</t>
  </si>
  <si>
    <t>22216VD</t>
  </si>
  <si>
    <t>Plastový kryt sirén</t>
  </si>
  <si>
    <t>921</t>
  </si>
  <si>
    <t>22217VD</t>
  </si>
  <si>
    <t>RFID čip</t>
  </si>
  <si>
    <t>M22</t>
  </si>
  <si>
    <t>UKS - Strukturovaná kabeláž</t>
  </si>
  <si>
    <t>922</t>
  </si>
  <si>
    <t>974051212R00</t>
  </si>
  <si>
    <t>Frézování drážky do 30x30 mm, zdivo,cihla plná</t>
  </si>
  <si>
    <t>M22_</t>
  </si>
  <si>
    <t>923</t>
  </si>
  <si>
    <t>220261665R00</t>
  </si>
  <si>
    <t>Začištění drážky, konečná úprava</t>
  </si>
  <si>
    <t>924</t>
  </si>
  <si>
    <t>22001VD</t>
  </si>
  <si>
    <t>D+M Datový rozvaděč závěsný s integrovanými ventilátory, provedení 18U, zásuvkový panel vč. přepěťové ochrany T3</t>
  </si>
  <si>
    <t>925</t>
  </si>
  <si>
    <t>22002VD</t>
  </si>
  <si>
    <t>D+M Rozvodný panel pro datové rozvaděče</t>
  </si>
  <si>
    <t>926</t>
  </si>
  <si>
    <t>22003VD</t>
  </si>
  <si>
    <t>D+M Vyvazovací panel pro datové rozvaděče provedení 1U s jenostrannou plastovou lištou</t>
  </si>
  <si>
    <t>927</t>
  </si>
  <si>
    <t>22004VD</t>
  </si>
  <si>
    <t>D+M  Patch panel 24 portů, UTP Cat.5e, provedení 1U</t>
  </si>
  <si>
    <t>928</t>
  </si>
  <si>
    <t>22005VD</t>
  </si>
  <si>
    <t>D+M  Aktivní prvek - Manažovatelný PoE switch, 24x Gbit LAN, 2x SFP, PoE+, 250W</t>
  </si>
  <si>
    <t>929</t>
  </si>
  <si>
    <t>22006VD</t>
  </si>
  <si>
    <t>D+M Aktivní prvek - Manažovatelný switch, 24x Gbit LAN, 2x SFP, 250W</t>
  </si>
  <si>
    <t>930</t>
  </si>
  <si>
    <t>22007VD</t>
  </si>
  <si>
    <t>D+M Záložní zdroj 450VA / 280W, 1U rack, Line interactive, 2×IEC Jumpers, 4×IEC 32</t>
  </si>
  <si>
    <t>931</t>
  </si>
  <si>
    <t>22008VD</t>
  </si>
  <si>
    <t>D+M Přístupový bod WiFi/WiFi router</t>
  </si>
  <si>
    <t>932</t>
  </si>
  <si>
    <t>222280214R00</t>
  </si>
  <si>
    <t>Montáž kabel UTP/FTP kat.5e v trubkách</t>
  </si>
  <si>
    <t>180+140</t>
  </si>
  <si>
    <t>933</t>
  </si>
  <si>
    <t>210010002RU2</t>
  </si>
  <si>
    <t>D+M Trubka ohebná pod omítku, vnější průměr 20 mm</t>
  </si>
  <si>
    <t>934</t>
  </si>
  <si>
    <t>D+M Trubka tuhá, bezhalogenová, uložená pevně 32 mm</t>
  </si>
  <si>
    <t>935</t>
  </si>
  <si>
    <t>22009VD</t>
  </si>
  <si>
    <t>Instalace - ukončení UTP kabelů konektory RJ45 na straně zařízení</t>
  </si>
  <si>
    <t>936</t>
  </si>
  <si>
    <t>222290002R00</t>
  </si>
  <si>
    <t>Montáž zásuvka 1xRJ45 STP kat.5e pod omítku</t>
  </si>
  <si>
    <t>937</t>
  </si>
  <si>
    <t>210020932R00R</t>
  </si>
  <si>
    <t>938</t>
  </si>
  <si>
    <t>900      RT9</t>
  </si>
  <si>
    <t>HZS Konfigurace a programování sítě</t>
  </si>
  <si>
    <t>939</t>
  </si>
  <si>
    <t>22019VD</t>
  </si>
  <si>
    <t>Zprovoznění - Výdejní stravovací systém</t>
  </si>
  <si>
    <t>940</t>
  </si>
  <si>
    <t>22011VD</t>
  </si>
  <si>
    <t>Zapojení UTP kabelů vyvázaní v RACKu a ukončení UTP kabelů konektory RJ45</t>
  </si>
  <si>
    <t>941</t>
  </si>
  <si>
    <t>22012VD</t>
  </si>
  <si>
    <t>Popis kabelů v patchpanelech a zásuvkách</t>
  </si>
  <si>
    <t>942</t>
  </si>
  <si>
    <t>22013VD</t>
  </si>
  <si>
    <t>Měření na vývodu + certifikace</t>
  </si>
  <si>
    <t>943</t>
  </si>
  <si>
    <t>22014VD</t>
  </si>
  <si>
    <t>Závěrečná měření na vláknu (1vl. rozvaděč-rozvaděč)</t>
  </si>
  <si>
    <t>944</t>
  </si>
  <si>
    <t>22024VD</t>
  </si>
  <si>
    <t>945</t>
  </si>
  <si>
    <t>22015VD</t>
  </si>
  <si>
    <t>Revize UKS</t>
  </si>
  <si>
    <t>946</t>
  </si>
  <si>
    <t>22016VD</t>
  </si>
  <si>
    <t>947</t>
  </si>
  <si>
    <t>22018VD</t>
  </si>
  <si>
    <t>Zpětná montáž stávajících SLP zařízení - Výdejní stravovací systém</t>
  </si>
  <si>
    <t>948</t>
  </si>
  <si>
    <t>kpl</t>
  </si>
  <si>
    <t>949</t>
  </si>
  <si>
    <t>371201303</t>
  </si>
  <si>
    <t>Kabel UTP dvojitý plášť Cat5e</t>
  </si>
  <si>
    <t>950</t>
  </si>
  <si>
    <t>371202012</t>
  </si>
  <si>
    <t>Zásuvka CAT 5e UTP, 2 x RJ45 KEYSTONE</t>
  </si>
  <si>
    <t>VORN</t>
  </si>
  <si>
    <t>010VD</t>
  </si>
  <si>
    <t>Ostatní náklady</t>
  </si>
  <si>
    <t>951</t>
  </si>
  <si>
    <t>0008VR</t>
  </si>
  <si>
    <t>Dílenská a výrobní dokumentace (zámečnické, truhlářské, klempířské, ostatní výrobky apod)</t>
  </si>
  <si>
    <t>010VD_</t>
  </si>
  <si>
    <t>VORN_0_</t>
  </si>
  <si>
    <t>VORN_</t>
  </si>
  <si>
    <t>952</t>
  </si>
  <si>
    <t>004111020R10</t>
  </si>
  <si>
    <t>Projektová dokumentace skutečného provedení SO 01 - D.1.1, 2 - Architektonicko stavební a stavebně konstrukční část (5 paré)</t>
  </si>
  <si>
    <t>953</t>
  </si>
  <si>
    <t>0003VR</t>
  </si>
  <si>
    <t>Bankovní záruky - náklady na bankovní záruky dle podmínek zadavatele</t>
  </si>
  <si>
    <t>954</t>
  </si>
  <si>
    <t>0004VR</t>
  </si>
  <si>
    <t>Pojištění stavby - náklady na pojištění stavby dle podmínek zadavatele</t>
  </si>
  <si>
    <t>955</t>
  </si>
  <si>
    <t>220890084R00</t>
  </si>
  <si>
    <t>Předání a převzetí staveniště a dokončené stavby, náklady spojené s účastí zhotovitele na předání a převzetí staveniště a dokončené stavby</t>
  </si>
  <si>
    <t>956</t>
  </si>
  <si>
    <t>0006VR</t>
  </si>
  <si>
    <t>Práce inspektora TIČR po dobu stavby včetně vytvoření revize</t>
  </si>
  <si>
    <t>957</t>
  </si>
  <si>
    <t>0009VR</t>
  </si>
  <si>
    <t>Vyrobní dokumentace požárně bezpečnostního řešení omezující šíření požáru dle vyhl.č.246/2001 Sb. - ucpávky, těsnění, požární klapky atd.</t>
  </si>
  <si>
    <t>958</t>
  </si>
  <si>
    <t>00012VR</t>
  </si>
  <si>
    <t>Zajištění povinné publicity projektu - dodávka a montáž billboardu 5100x2400 mm a pamětní desky dle grafického manuálu OPŽP</t>
  </si>
  <si>
    <t>959</t>
  </si>
  <si>
    <t>00010VR</t>
  </si>
  <si>
    <t>Zpracování fotodokumentace : A) fotofokumentace stávajícího stavu před zahájením stavebních prací B) fotodokumentace průběhu realizace stavby C) fotod</t>
  </si>
  <si>
    <t>960</t>
  </si>
  <si>
    <t>00011VR</t>
  </si>
  <si>
    <t>Prohlídka stavby statikem</t>
  </si>
  <si>
    <t>961</t>
  </si>
  <si>
    <t>0005VR</t>
  </si>
  <si>
    <t>Bezpečnostní a hygienická opatření na staveništi - plán BOZP</t>
  </si>
  <si>
    <t>Vedlejší náklady</t>
  </si>
  <si>
    <t>962</t>
  </si>
  <si>
    <t>Vytyčení inženýrských sítí - zaměření a vytýčení stávajících inženýrských sítí v místě stavby z hlediska jejich ochrany při provádění stavby</t>
  </si>
  <si>
    <t>M_</t>
  </si>
  <si>
    <t>VORN_9_</t>
  </si>
  <si>
    <t>963</t>
  </si>
  <si>
    <t>Provedení sondážních prací (ověření polohy stávajících rozvodů a ověření skutečného průběhu nosných konstrukcí atd.)</t>
  </si>
  <si>
    <t>964</t>
  </si>
  <si>
    <t>Pasport objektu ZŠ a přilehlých komunikací a zpevněných ploch před realizací stavby</t>
  </si>
  <si>
    <t>965</t>
  </si>
  <si>
    <t>Provoz objednatele - přemístění a zpětná montáž stávajícího vnitřního vybavení z 1.NP, 2NP vč. napojení, na nové nápojné body</t>
  </si>
  <si>
    <t>966</t>
  </si>
  <si>
    <t>0001VR</t>
  </si>
  <si>
    <t>Provozní vlivy - zohlednění všech cizích vlivů způsobených na stavbě</t>
  </si>
  <si>
    <t>967</t>
  </si>
  <si>
    <t>0002VR</t>
  </si>
  <si>
    <t>Územní vlivy - zohlednění dopravních omezení záborů veřejných ploch vč.dokumentace a povolení přechodné úpravy provozu na pozemních komunikacích,</t>
  </si>
  <si>
    <t>968</t>
  </si>
  <si>
    <t>110      R00</t>
  </si>
  <si>
    <t>Mimostaveništní doprava - mimořádné náklady spojené s dopravou materiálu na staveniště</t>
  </si>
  <si>
    <t>%</t>
  </si>
  <si>
    <t>6892117,1/100</t>
  </si>
  <si>
    <t>969</t>
  </si>
  <si>
    <t>201      R00</t>
  </si>
  <si>
    <t>Koordinační a kompletační činnost generálního dodavatele</t>
  </si>
  <si>
    <t>3092117,1/100</t>
  </si>
  <si>
    <t>ZS</t>
  </si>
  <si>
    <t>Zařízení staveniště</t>
  </si>
  <si>
    <t>Povrchové úpravy terénu</t>
  </si>
  <si>
    <t>970</t>
  </si>
  <si>
    <t>181050010RA0</t>
  </si>
  <si>
    <t>Terénní modelace-všechny úpravy, likvidace zařízení staveniště, výsev trávy apod.</t>
  </si>
  <si>
    <t>18_</t>
  </si>
  <si>
    <t>ZS_1_</t>
  </si>
  <si>
    <t>ZS_</t>
  </si>
  <si>
    <t>971</t>
  </si>
  <si>
    <t>767914130R00</t>
  </si>
  <si>
    <t>Montáž oplocení rámového H do 2,0 m</t>
  </si>
  <si>
    <t>ZS_76_</t>
  </si>
  <si>
    <t>26+15</t>
  </si>
  <si>
    <t>972</t>
  </si>
  <si>
    <t>767914830R00</t>
  </si>
  <si>
    <t>Demontáž oplocení rámového H do 2 m</t>
  </si>
  <si>
    <t>973</t>
  </si>
  <si>
    <t>553437205</t>
  </si>
  <si>
    <t>Panel mobilního oplocení 305x163 cm (jen amortizace), neprůhledné oplocení v.2,0 m včetně uzamykatelné brány</t>
  </si>
  <si>
    <t>41,0/3/10</t>
  </si>
  <si>
    <t>974</t>
  </si>
  <si>
    <t>979097012R00</t>
  </si>
  <si>
    <t>Pronájem kontejneru 7 t</t>
  </si>
  <si>
    <t>den</t>
  </si>
  <si>
    <t>ZS_9_</t>
  </si>
  <si>
    <t>2*31+2*30</t>
  </si>
  <si>
    <t>H01</t>
  </si>
  <si>
    <t>Budovy občanské výstavby</t>
  </si>
  <si>
    <t>975</t>
  </si>
  <si>
    <t>998014205R00</t>
  </si>
  <si>
    <t>Přesun hmot, mobilní buňky, příplatek do 5 km</t>
  </si>
  <si>
    <t>H01_</t>
  </si>
  <si>
    <t>1,3*3</t>
  </si>
  <si>
    <t>976</t>
  </si>
  <si>
    <t>998014206R00</t>
  </si>
  <si>
    <t>Přesun hmot, mobilní buňky, přípl. za dalších 5 km</t>
  </si>
  <si>
    <t>1,3*10*3</t>
  </si>
  <si>
    <t>977</t>
  </si>
  <si>
    <t>220110583R00</t>
  </si>
  <si>
    <t>Montáž celoplech.rozvaděče - provizorní zapojení</t>
  </si>
  <si>
    <t>978</t>
  </si>
  <si>
    <t>37501303</t>
  </si>
  <si>
    <t>Nástěnná rozvaděčová skříň systému, BM103(staveništní rozvaděč hlavní s měření a vedlejší stavebni)</t>
  </si>
  <si>
    <t>M43</t>
  </si>
  <si>
    <t>Montáže ocelových konstrukcí</t>
  </si>
  <si>
    <t>979</t>
  </si>
  <si>
    <t>430941002R00</t>
  </si>
  <si>
    <t>Demont. typ. objektů zařízení staveniště k použití</t>
  </si>
  <si>
    <t>100 kg</t>
  </si>
  <si>
    <t>M43_</t>
  </si>
  <si>
    <t>1,3*3*10</t>
  </si>
  <si>
    <t>980</t>
  </si>
  <si>
    <t>430941001R00</t>
  </si>
  <si>
    <t>Montáž typových objektů zařízení staveniště</t>
  </si>
  <si>
    <t>981</t>
  </si>
  <si>
    <t>430-pronájem</t>
  </si>
  <si>
    <t>Pronájem buněk pro soc.zařízení a sklady stavba, skladová buňka</t>
  </si>
  <si>
    <t>měsíc</t>
  </si>
  <si>
    <t>4*1</t>
  </si>
  <si>
    <t>982</t>
  </si>
  <si>
    <t>430-pronájem WC</t>
  </si>
  <si>
    <t>Pronájem WC zařízení (předpoklad)</t>
  </si>
  <si>
    <t>Celkem:</t>
  </si>
  <si>
    <t>Poznámka:</t>
  </si>
  <si>
    <t>Náklady (Kč) - dodávka</t>
  </si>
  <si>
    <t>Náklady (Kč) - Montáž</t>
  </si>
  <si>
    <t>Náklady (Kč) - celkem</t>
  </si>
  <si>
    <t>Celková hmotnost (t)</t>
  </si>
  <si>
    <t>F</t>
  </si>
  <si>
    <t>T</t>
  </si>
  <si>
    <t>IČO/DIČ:</t>
  </si>
  <si>
    <t>Položek:</t>
  </si>
  <si>
    <t>Datum:</t>
  </si>
  <si>
    <t>Rozpočtové náklady v Kč</t>
  </si>
  <si>
    <t>A</t>
  </si>
  <si>
    <t>Náklady na umístění stavby (NUS)</t>
  </si>
  <si>
    <t>Práce přesčas</t>
  </si>
  <si>
    <t>Bez pevné podl.</t>
  </si>
  <si>
    <t>Mimostav. doprava</t>
  </si>
  <si>
    <t>Kulturní památka</t>
  </si>
  <si>
    <t>Územní vlivy</t>
  </si>
  <si>
    <t>Provozní vlivy</t>
  </si>
  <si>
    <t>NUS z rozpočtu</t>
  </si>
  <si>
    <t>Základ 0%</t>
  </si>
  <si>
    <t>Základ 12%</t>
  </si>
  <si>
    <t>DPH 12%</t>
  </si>
  <si>
    <t>Celkem bez DPH</t>
  </si>
  <si>
    <t>Základ 21%</t>
  </si>
  <si>
    <t>DPH 21%</t>
  </si>
  <si>
    <t>Celkem včetně DPH</t>
  </si>
  <si>
    <t>Projektant</t>
  </si>
  <si>
    <t>Objednatel</t>
  </si>
  <si>
    <t>Zhotovitel</t>
  </si>
  <si>
    <t>Datum, razítko a podpis</t>
  </si>
  <si>
    <t>Vedlejší a ostatní rozpočtové náklady</t>
  </si>
  <si>
    <t>Vedlejší rozpočtové náklady VRN</t>
  </si>
  <si>
    <t>Doplňkové náklady DN</t>
  </si>
  <si>
    <t>Kč</t>
  </si>
  <si>
    <t>Základna</t>
  </si>
  <si>
    <t>Celkem DN</t>
  </si>
  <si>
    <t>Celkem NUS</t>
  </si>
  <si>
    <t>Celkem VRN</t>
  </si>
  <si>
    <t>Ostatní rozpočtové náklady ORN</t>
  </si>
  <si>
    <t>Ostatní rozpočtové náklady (ORN)</t>
  </si>
  <si>
    <t>Celkem ORN</t>
  </si>
  <si>
    <t>Zdi podpěrné a volné</t>
  </si>
  <si>
    <t>Zdi pdpěrné a volné</t>
  </si>
  <si>
    <t>Stavební rozpočet - STAVBA</t>
  </si>
  <si>
    <t>Stavební rozpočet STAVBA - rekapitulace</t>
  </si>
  <si>
    <t>ZRN CELKEM</t>
  </si>
  <si>
    <t>BEZ DPH</t>
  </si>
  <si>
    <t>VRN CELKEM</t>
  </si>
  <si>
    <t>CENA CELKEM</t>
  </si>
  <si>
    <t>ZS CELKEM</t>
  </si>
  <si>
    <t>CELKOVÁ CENA DÍLA</t>
  </si>
  <si>
    <t>Krycí list rozpočtu - STAVBA</t>
  </si>
  <si>
    <r>
      <rPr>
        <b/>
        <sz val="10"/>
        <color rgb="FF000000"/>
        <rFont val="Arial"/>
        <family val="2"/>
        <charset val="238"/>
      </rPr>
      <t xml:space="preserve">Poznámky k manuálu pro vyplnění:     </t>
    </r>
    <r>
      <rPr>
        <sz val="10"/>
        <color rgb="FF000000"/>
        <rFont val="Arial"/>
        <family val="2"/>
        <charset val="238"/>
      </rPr>
      <t xml:space="preserve">                                                                                                                                                                                                                                1)  Měnit lze pouze buňky se zeleným podbarvením!
2)  Upozorňujeme na povinnost uchazeče překontrolovat si funkčnost vzorců (může dojít při přepisu na elektronická média či vlastních výpočtech k porušení vztahů vzorců).
3)  Ceny jednotlivých položek vyplňujte v cenách bez DPH!! DPH (21%) je připočteno v celkovém krycím listu soupisu prací.
</t>
    </r>
    <r>
      <rPr>
        <b/>
        <u/>
        <sz val="10"/>
        <color rgb="FF000000"/>
        <rFont val="Arial"/>
        <family val="2"/>
        <charset val="238"/>
      </rPr>
      <t>Informace pro uchazeče k VŘ:</t>
    </r>
    <r>
      <rPr>
        <sz val="10"/>
        <color rgb="FF000000"/>
        <rFont val="Arial"/>
        <family val="2"/>
        <charset val="238"/>
      </rPr>
      <t xml:space="preserve">
a) Veškeré položky na přípomoci, dopravu, montáž, montážní plochy atd. jsou zahrnuty do jednotlivých jednotkových cen.
b) Součásti prací jsou veškeré zkoušky, potřebná měření, inspekce, uvedení zařízení do provozu, zaškolení obsluhy, provozní řády, manuály a revize v českém jazyce. Za komplexní vyzkoušení se považuje bezporuchový provoz po dobu minimálně 96 hod.
c) Součástí dodávky je zpracování veškeré dokumentace zhotovitele (např. dílenská dokumentace) a dokumentace skutečného provedení stavby.
d) Součástí dodávky je kompletní dokladová část díla nutná k získání kolaudačního souhlasu stavby.
e) V rozsahu prací zhotovitele jsou rovněž jakékoliv prvky, zařízení, práce a pomocné materiály, neuvedené v tomto soupisu výkonů, které jsou ale nezbytně nutné k dodání, instalaci, dokončení a provozování díla, včetně ztratného a prořezů.
f) Součástí dodávky jsou veškerá geodetická měření jako například vytyčení konstrukcí, kontrolní měření, zaměření skutečného stavu apod.
g) Součástí dodávky jsou i náklady na případná  opatření související s ochranou stávajících sítí, komunikací či staveb. 
h) součástí jednotkových cen jsou i vícenáklady související s výstavbou v nepříznivém klimat. období, průběžný úklid staveniště a přilehlých komunikací, likvidaci odpadů, dočasná dopravní omezení atd.
i) Pokud se v dokumentaci vyskytují obchodní názvy, jedná se pouze o vymezení minimálních požadovaných standardů výrobku, technologie či materiálu a zadavatel připouští použití i jiného, kvalitativně či technologicky obdobného řešení.
j) Součástí dodávky jsou náklady spojené s povinným pojištěním stavebního díla či jeho části v rozsahu obchodních podmínek.
Nedílnou součástí výkazu výměr (soupisu prací, dodávek, služeb) je projektová dokumentace!!
Zpracovatel nabídky je povinen prověřit specifikace a výměry uvedené ve výkazu výměr. V případě zjištěných rozdílů má na tyto rozdíly upozornit ve lhůtě pro podání nabídek prostřednictvím žádosti o dodatečné informace k zadávacím podmínkám. Následné změny výměr v průběhu realizace nebudou akceptovány.</t>
    </r>
  </si>
  <si>
    <t>Demontáže - odpojení a demontáž stávající technologie stravování (vč. chladících boxů,agregátů chlazení), ekologická likvidace původních spotřebičů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</si>
</sst>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Calibri"/>
      <charset val="1"/>
    </font>
    <font>
      <sz val="18"/>
      <color rgb="FF000000"/>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i/>
      <sz val="8"/>
      <color rgb="FF000000"/>
      <name val="Arial"/>
      <family val="2"/>
      <charset val="238"/>
    </font>
    <font>
      <b/>
      <sz val="18"/>
      <color rgb="FF000000"/>
      <name val="Arial"/>
      <family val="2"/>
      <charset val="238"/>
    </font>
    <font>
      <b/>
      <sz val="20"/>
      <color rgb="FF000000"/>
      <name val="Arial"/>
      <family val="2"/>
      <charset val="238"/>
    </font>
    <font>
      <b/>
      <sz val="11"/>
      <color rgb="FF000000"/>
      <name val="Arial"/>
      <family val="2"/>
      <charset val="238"/>
    </font>
    <font>
      <b/>
      <sz val="12"/>
      <color rgb="FF000000"/>
      <name val="Arial"/>
      <family val="2"/>
      <charset val="238"/>
    </font>
    <font>
      <sz val="12"/>
      <color rgb="FF000000"/>
      <name val="Arial"/>
      <family val="2"/>
      <charset val="238"/>
    </font>
    <font>
      <b/>
      <sz val="10"/>
      <color rgb="FF000000"/>
      <name val="Arial"/>
      <family val="2"/>
      <charset val="238"/>
    </font>
    <font>
      <sz val="10"/>
      <color rgb="FF000000"/>
      <name val="Arial"/>
      <family val="2"/>
      <charset val="238"/>
    </font>
    <font>
      <sz val="18"/>
      <color rgb="FF000000"/>
      <name val="Arial"/>
      <family val="2"/>
      <charset val="238"/>
    </font>
    <font>
      <b/>
      <sz val="12"/>
      <color rgb="FF000000"/>
      <name val="Arial"/>
      <family val="2"/>
      <charset val="238"/>
    </font>
    <font>
      <b/>
      <sz val="11"/>
      <color rgb="FF000000"/>
      <name val="Arial"/>
      <family val="2"/>
      <charset val="238"/>
    </font>
    <font>
      <b/>
      <u/>
      <sz val="8"/>
      <color rgb="FF000000"/>
      <name val="Arial"/>
      <family val="2"/>
      <charset val="238"/>
    </font>
    <font>
      <b/>
      <u/>
      <sz val="10"/>
      <color rgb="FF000000"/>
      <name val="Arial"/>
      <family val="2"/>
      <charset val="238"/>
    </font>
  </fonts>
  <fills count="6">
    <fill>
      <patternFill patternType="none"/>
    </fill>
    <fill>
      <patternFill patternType="gray125"/>
    </fill>
    <fill>
      <patternFill patternType="solid">
        <fgColor rgb="FFC0C0C0"/>
        <bgColor rgb="FFC0C0C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79998168889431442"/>
        <bgColor rgb="FFC0C0C0"/>
      </patternFill>
    </fill>
  </fills>
  <borders count="89">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right style="thin">
        <color indexed="64"/>
      </right>
      <top/>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6">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6" xfId="0" applyFont="1" applyFill="1" applyBorder="1" applyAlignment="1">
      <alignment horizontal="right" vertical="center"/>
    </xf>
    <xf numFmtId="4" fontId="3" fillId="0" borderId="0" xfId="0" applyNumberFormat="1" applyFont="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0" fillId="0" borderId="5" xfId="0" applyBorder="1"/>
    <xf numFmtId="0" fontId="4" fillId="0" borderId="0" xfId="0" applyFont="1" applyAlignment="1">
      <alignment horizontal="left" vertical="center"/>
    </xf>
    <xf numFmtId="4" fontId="4" fillId="0" borderId="0" xfId="0" applyNumberFormat="1" applyFont="1" applyAlignment="1">
      <alignment horizontal="right" vertical="center"/>
    </xf>
    <xf numFmtId="0" fontId="0" fillId="0" borderId="6" xfId="0" applyBorder="1"/>
    <xf numFmtId="0" fontId="0" fillId="0" borderId="36" xfId="0" applyBorder="1"/>
    <xf numFmtId="0" fontId="0" fillId="0" borderId="37" xfId="0" applyBorder="1"/>
    <xf numFmtId="0" fontId="4" fillId="0" borderId="37" xfId="0" applyFont="1" applyBorder="1" applyAlignment="1">
      <alignment horizontal="left" vertical="center"/>
    </xf>
    <xf numFmtId="4" fontId="4" fillId="0" borderId="37" xfId="0" applyNumberFormat="1" applyFont="1" applyBorder="1" applyAlignment="1">
      <alignment horizontal="right" vertical="center"/>
    </xf>
    <xf numFmtId="0" fontId="0" fillId="0" borderId="38" xfId="0" applyBorder="1"/>
    <xf numFmtId="0" fontId="2" fillId="0" borderId="39" xfId="0" applyFont="1" applyBorder="1" applyAlignment="1">
      <alignment horizontal="left" vertical="center"/>
    </xf>
    <xf numFmtId="4" fontId="2" fillId="0" borderId="39" xfId="0" applyNumberFormat="1" applyFont="1" applyBorder="1" applyAlignment="1">
      <alignment horizontal="right" vertical="center"/>
    </xf>
    <xf numFmtId="0" fontId="5" fillId="0" borderId="0" xfId="0" applyFont="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3" fillId="0" borderId="44" xfId="0" applyFont="1" applyBorder="1" applyAlignment="1">
      <alignment horizontal="right" vertical="center"/>
    </xf>
    <xf numFmtId="4" fontId="3" fillId="0" borderId="6" xfId="0" applyNumberFormat="1" applyFont="1" applyBorder="1" applyAlignment="1">
      <alignment horizontal="righ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4" fontId="3" fillId="0" borderId="37" xfId="0" applyNumberFormat="1" applyFont="1" applyBorder="1" applyAlignment="1">
      <alignment horizontal="right" vertical="center"/>
    </xf>
    <xf numFmtId="4" fontId="3" fillId="0" borderId="38" xfId="0" applyNumberFormat="1" applyFont="1" applyBorder="1" applyAlignment="1">
      <alignment horizontal="right" vertical="center"/>
    </xf>
    <xf numFmtId="4" fontId="9" fillId="2" borderId="47" xfId="0" applyNumberFormat="1" applyFont="1" applyFill="1" applyBorder="1" applyAlignment="1">
      <alignment horizontal="right" vertical="center"/>
    </xf>
    <xf numFmtId="4" fontId="9" fillId="2" borderId="50" xfId="0" applyNumberFormat="1" applyFont="1" applyFill="1" applyBorder="1" applyAlignment="1">
      <alignment horizontal="right" vertical="center"/>
    </xf>
    <xf numFmtId="0" fontId="5" fillId="0" borderId="34" xfId="0" applyFont="1" applyBorder="1" applyAlignment="1">
      <alignment horizontal="left" vertical="center"/>
    </xf>
    <xf numFmtId="0" fontId="2" fillId="0" borderId="18" xfId="0" applyFont="1" applyBorder="1" applyAlignment="1">
      <alignment horizontal="right" vertical="center"/>
    </xf>
    <xf numFmtId="4" fontId="3" fillId="0" borderId="48" xfId="0" applyNumberFormat="1" applyFont="1" applyBorder="1" applyAlignment="1">
      <alignment horizontal="right" vertical="center"/>
    </xf>
    <xf numFmtId="0" fontId="3" fillId="0" borderId="48" xfId="0" applyFont="1" applyBorder="1" applyAlignment="1">
      <alignment horizontal="left" vertical="center"/>
    </xf>
    <xf numFmtId="4" fontId="3" fillId="0" borderId="69" xfId="0" applyNumberFormat="1" applyFont="1" applyBorder="1" applyAlignment="1">
      <alignment horizontal="right" vertical="center"/>
    </xf>
    <xf numFmtId="0" fontId="3" fillId="0" borderId="69" xfId="0" applyFont="1" applyBorder="1" applyAlignment="1">
      <alignment horizontal="left" vertical="center"/>
    </xf>
    <xf numFmtId="0" fontId="2" fillId="0" borderId="73" xfId="0" applyFont="1" applyBorder="1" applyAlignment="1">
      <alignment horizontal="left" vertical="center"/>
    </xf>
    <xf numFmtId="0" fontId="2" fillId="0" borderId="73" xfId="0" applyFont="1" applyBorder="1" applyAlignment="1">
      <alignment horizontal="right" vertical="center"/>
    </xf>
    <xf numFmtId="4" fontId="2" fillId="0" borderId="73" xfId="0" applyNumberFormat="1" applyFont="1" applyBorder="1" applyAlignment="1">
      <alignment horizontal="right" vertical="center"/>
    </xf>
    <xf numFmtId="4" fontId="3" fillId="3" borderId="0" xfId="0" applyNumberFormat="1" applyFont="1" applyFill="1" applyAlignment="1" applyProtection="1">
      <alignment horizontal="right" vertical="center"/>
      <protection locked="0"/>
    </xf>
    <xf numFmtId="0" fontId="0" fillId="0" borderId="0" xfId="0" applyProtection="1">
      <protection locked="0"/>
    </xf>
    <xf numFmtId="0" fontId="3" fillId="2" borderId="0" xfId="0" applyFont="1" applyFill="1" applyAlignment="1" applyProtection="1">
      <alignment horizontal="left" vertical="center"/>
      <protection locked="0"/>
    </xf>
    <xf numFmtId="0" fontId="0" fillId="0" borderId="37" xfId="0" applyBorder="1" applyProtection="1">
      <protection locked="0"/>
    </xf>
    <xf numFmtId="0" fontId="11" fillId="4" borderId="33" xfId="0" applyFont="1" applyFill="1" applyBorder="1" applyAlignment="1">
      <alignment horizontal="left" vertical="center"/>
    </xf>
    <xf numFmtId="0" fontId="11" fillId="4" borderId="34" xfId="0" applyFont="1" applyFill="1" applyBorder="1" applyAlignment="1">
      <alignment horizontal="left" vertical="center"/>
    </xf>
    <xf numFmtId="4" fontId="11" fillId="4" borderId="34" xfId="0" applyNumberFormat="1" applyFont="1" applyFill="1" applyBorder="1" applyAlignment="1">
      <alignment horizontal="right" vertical="center"/>
    </xf>
    <xf numFmtId="4" fontId="11" fillId="4" borderId="35" xfId="0" applyNumberFormat="1" applyFont="1" applyFill="1" applyBorder="1" applyAlignment="1">
      <alignment horizontal="right" vertical="center"/>
    </xf>
    <xf numFmtId="0" fontId="11" fillId="4" borderId="5" xfId="0" applyFont="1" applyFill="1" applyBorder="1" applyAlignment="1">
      <alignment horizontal="left" vertical="center"/>
    </xf>
    <xf numFmtId="0" fontId="11" fillId="4" borderId="0" xfId="0" applyFont="1" applyFill="1" applyAlignment="1">
      <alignment horizontal="left" vertical="center"/>
    </xf>
    <xf numFmtId="4" fontId="11" fillId="4" borderId="0" xfId="0" applyNumberFormat="1" applyFont="1" applyFill="1" applyAlignment="1">
      <alignment horizontal="right" vertical="center"/>
    </xf>
    <xf numFmtId="4" fontId="11" fillId="4" borderId="6" xfId="0" applyNumberFormat="1" applyFont="1" applyFill="1" applyBorder="1" applyAlignment="1">
      <alignment horizontal="right" vertical="center"/>
    </xf>
    <xf numFmtId="0" fontId="12" fillId="0" borderId="0" xfId="0" applyFont="1" applyAlignment="1">
      <alignment horizontal="left" vertical="center"/>
    </xf>
    <xf numFmtId="0" fontId="0" fillId="0" borderId="67" xfId="0" applyBorder="1"/>
    <xf numFmtId="4" fontId="10" fillId="0" borderId="67" xfId="0" applyNumberFormat="1" applyFont="1" applyBorder="1" applyAlignment="1">
      <alignment horizontal="right" vertical="center"/>
    </xf>
    <xf numFmtId="0" fontId="7" fillId="2" borderId="77" xfId="0" applyFont="1" applyFill="1" applyBorder="1" applyAlignment="1">
      <alignment horizontal="center" vertical="center"/>
    </xf>
    <xf numFmtId="4" fontId="10" fillId="0" borderId="50" xfId="0" applyNumberFormat="1" applyFont="1" applyBorder="1" applyAlignment="1">
      <alignment horizontal="right" vertical="center"/>
    </xf>
    <xf numFmtId="4" fontId="10" fillId="0" borderId="79" xfId="0" applyNumberFormat="1" applyFont="1" applyBorder="1" applyAlignment="1">
      <alignment horizontal="right" vertical="center"/>
    </xf>
    <xf numFmtId="0" fontId="10" fillId="0" borderId="50" xfId="0" applyFont="1" applyBorder="1" applyAlignment="1">
      <alignment horizontal="right" vertical="center"/>
    </xf>
    <xf numFmtId="0" fontId="10" fillId="0" borderId="79" xfId="0" applyFont="1" applyBorder="1" applyAlignment="1">
      <alignment horizontal="right" vertical="center"/>
    </xf>
    <xf numFmtId="0" fontId="10" fillId="0" borderId="69" xfId="0" applyFont="1" applyBorder="1" applyAlignment="1">
      <alignment horizontal="right" vertical="center"/>
    </xf>
    <xf numFmtId="0" fontId="10" fillId="0" borderId="80" xfId="0" applyFont="1" applyBorder="1" applyAlignment="1">
      <alignment horizontal="right" vertical="center"/>
    </xf>
    <xf numFmtId="4" fontId="10" fillId="0" borderId="81" xfId="0" applyNumberFormat="1" applyFont="1" applyBorder="1" applyAlignment="1">
      <alignment horizontal="right" vertical="center"/>
    </xf>
    <xf numFmtId="4" fontId="10" fillId="0" borderId="83" xfId="0" applyNumberFormat="1" applyFont="1" applyBorder="1" applyAlignment="1">
      <alignment horizontal="right" vertical="center"/>
    </xf>
    <xf numFmtId="0" fontId="7" fillId="2" borderId="84" xfId="0" applyFont="1" applyFill="1" applyBorder="1" applyAlignment="1">
      <alignment horizontal="center" vertical="center"/>
    </xf>
    <xf numFmtId="4" fontId="10" fillId="0" borderId="75" xfId="0" applyNumberFormat="1" applyFont="1" applyBorder="1" applyAlignment="1">
      <alignment horizontal="right" vertical="center"/>
    </xf>
    <xf numFmtId="4" fontId="14" fillId="0" borderId="75" xfId="0" applyNumberFormat="1" applyFont="1" applyBorder="1" applyAlignment="1">
      <alignment horizontal="right" vertical="center"/>
    </xf>
    <xf numFmtId="0" fontId="3" fillId="5" borderId="33" xfId="0" applyFont="1" applyFill="1" applyBorder="1" applyAlignment="1">
      <alignment horizontal="left" vertical="center"/>
    </xf>
    <xf numFmtId="0" fontId="2" fillId="5" borderId="34" xfId="0" applyFont="1" applyFill="1" applyBorder="1" applyAlignment="1">
      <alignment horizontal="left" vertical="center"/>
    </xf>
    <xf numFmtId="0" fontId="3" fillId="5" borderId="34" xfId="0" applyFont="1" applyFill="1" applyBorder="1" applyAlignment="1">
      <alignment horizontal="left" vertical="center"/>
    </xf>
    <xf numFmtId="4" fontId="2" fillId="5" borderId="34" xfId="0" applyNumberFormat="1" applyFont="1" applyFill="1" applyBorder="1" applyAlignment="1">
      <alignment horizontal="right" vertical="center"/>
    </xf>
    <xf numFmtId="0" fontId="2" fillId="5" borderId="34" xfId="0" applyFont="1" applyFill="1" applyBorder="1" applyAlignment="1">
      <alignment horizontal="right" vertical="center"/>
    </xf>
    <xf numFmtId="0" fontId="2" fillId="5" borderId="35" xfId="0" applyFont="1" applyFill="1" applyBorder="1" applyAlignment="1">
      <alignment horizontal="right" vertical="center"/>
    </xf>
    <xf numFmtId="0" fontId="3" fillId="5" borderId="5" xfId="0" applyFont="1" applyFill="1" applyBorder="1" applyAlignment="1">
      <alignment horizontal="left" vertical="center"/>
    </xf>
    <xf numFmtId="0" fontId="2" fillId="5" borderId="0" xfId="0" applyFont="1" applyFill="1" applyAlignment="1">
      <alignment horizontal="left" vertical="center"/>
    </xf>
    <xf numFmtId="0" fontId="3" fillId="5" borderId="0" xfId="0" applyFont="1" applyFill="1" applyAlignment="1">
      <alignment horizontal="left" vertical="center"/>
    </xf>
    <xf numFmtId="0" fontId="3" fillId="5" borderId="0" xfId="0" applyFont="1" applyFill="1" applyAlignment="1" applyProtection="1">
      <alignment horizontal="left" vertical="center"/>
      <protection locked="0"/>
    </xf>
    <xf numFmtId="4" fontId="2" fillId="5" borderId="0" xfId="0" applyNumberFormat="1" applyFont="1" applyFill="1" applyAlignment="1">
      <alignment horizontal="right" vertical="center"/>
    </xf>
    <xf numFmtId="0" fontId="2" fillId="5" borderId="0" xfId="0" applyFont="1" applyFill="1" applyAlignment="1">
      <alignment horizontal="right" vertical="center"/>
    </xf>
    <xf numFmtId="0" fontId="2" fillId="5" borderId="6" xfId="0" applyFont="1" applyFill="1" applyBorder="1" applyAlignment="1">
      <alignment horizontal="right" vertical="center"/>
    </xf>
    <xf numFmtId="0" fontId="12" fillId="0" borderId="6" xfId="0" applyFont="1" applyBorder="1" applyAlignment="1">
      <alignment horizontal="right" vertical="center"/>
    </xf>
    <xf numFmtId="0" fontId="16" fillId="0" borderId="67" xfId="0" applyFont="1" applyBorder="1" applyAlignment="1">
      <alignment horizontal="left" vertical="center"/>
    </xf>
    <xf numFmtId="0" fontId="13"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3" borderId="0" xfId="0" applyFont="1" applyFill="1" applyAlignment="1" applyProtection="1">
      <alignment horizontal="left" vertical="center" wrapText="1"/>
      <protection locked="0"/>
    </xf>
    <xf numFmtId="0" fontId="3" fillId="3" borderId="0" xfId="0" applyFont="1" applyFill="1" applyAlignment="1" applyProtection="1">
      <alignment horizontal="left" vertical="center"/>
      <protection locked="0"/>
    </xf>
    <xf numFmtId="0" fontId="3" fillId="0" borderId="4" xfId="0" applyFont="1" applyBorder="1" applyAlignment="1">
      <alignment horizontal="left" vertical="center"/>
    </xf>
    <xf numFmtId="0" fontId="3" fillId="0" borderId="6" xfId="0" applyFont="1" applyBorder="1" applyAlignment="1">
      <alignment horizontal="left" vertical="center"/>
    </xf>
    <xf numFmtId="1" fontId="3" fillId="0" borderId="6" xfId="0" applyNumberFormat="1" applyFont="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3" fillId="0" borderId="37" xfId="0" applyFont="1" applyBorder="1" applyAlignment="1">
      <alignment horizontal="left" vertical="center"/>
    </xf>
    <xf numFmtId="0" fontId="3" fillId="0" borderId="6" xfId="0" applyFont="1" applyBorder="1" applyAlignment="1">
      <alignment horizontal="left" vertical="center" wrapText="1"/>
    </xf>
    <xf numFmtId="0" fontId="3" fillId="0" borderId="38" xfId="0" applyFont="1" applyBorder="1" applyAlignment="1">
      <alignment horizontal="left" vertical="center"/>
    </xf>
    <xf numFmtId="0" fontId="6" fillId="0" borderId="45" xfId="0" applyFont="1" applyBorder="1" applyAlignment="1">
      <alignment horizontal="center" vertical="center"/>
    </xf>
    <xf numFmtId="0" fontId="15" fillId="0" borderId="85" xfId="0" applyFont="1" applyBorder="1" applyAlignment="1">
      <alignment horizontal="left" vertical="center"/>
    </xf>
    <xf numFmtId="0" fontId="8" fillId="0" borderId="86" xfId="0" applyFont="1" applyBorder="1" applyAlignment="1">
      <alignment horizontal="left" vertical="center"/>
    </xf>
    <xf numFmtId="0" fontId="8" fillId="0" borderId="76" xfId="0" applyFont="1" applyBorder="1" applyAlignment="1">
      <alignment horizontal="left" vertical="center"/>
    </xf>
    <xf numFmtId="0" fontId="8" fillId="0" borderId="77" xfId="0" applyFont="1" applyBorder="1" applyAlignment="1">
      <alignment horizontal="left" vertical="center"/>
    </xf>
    <xf numFmtId="0" fontId="8" fillId="0" borderId="78" xfId="0" applyFont="1" applyBorder="1" applyAlignment="1">
      <alignment horizontal="left" vertical="center"/>
    </xf>
    <xf numFmtId="0" fontId="3" fillId="0" borderId="36" xfId="0" applyFont="1" applyBorder="1" applyAlignment="1">
      <alignment horizontal="left" vertical="center"/>
    </xf>
    <xf numFmtId="0" fontId="9" fillId="0" borderId="75" xfId="0" applyFont="1" applyBorder="1" applyAlignment="1">
      <alignment horizontal="left" vertical="center"/>
    </xf>
    <xf numFmtId="0" fontId="14" fillId="0" borderId="75" xfId="0" applyFont="1" applyBorder="1" applyAlignment="1">
      <alignment horizontal="left" vertical="center"/>
    </xf>
    <xf numFmtId="0" fontId="10" fillId="0" borderId="54" xfId="0" applyFont="1" applyBorder="1" applyAlignment="1">
      <alignment horizontal="left" vertical="center"/>
    </xf>
    <xf numFmtId="0" fontId="10" fillId="0" borderId="50" xfId="0" applyFont="1" applyBorder="1" applyAlignment="1">
      <alignment horizontal="left" vertical="center"/>
    </xf>
    <xf numFmtId="0" fontId="10" fillId="0" borderId="67" xfId="0" applyFont="1" applyBorder="1" applyAlignment="1">
      <alignment horizontal="left" vertical="center"/>
    </xf>
    <xf numFmtId="0" fontId="10" fillId="0" borderId="69" xfId="0" applyFont="1" applyBorder="1" applyAlignment="1">
      <alignment horizontal="left" vertical="center"/>
    </xf>
    <xf numFmtId="0" fontId="9" fillId="0" borderId="82" xfId="0" applyFont="1" applyBorder="1" applyAlignment="1">
      <alignment horizontal="left" vertical="center"/>
    </xf>
    <xf numFmtId="0" fontId="9" fillId="0" borderId="81" xfId="0" applyFont="1" applyBorder="1" applyAlignment="1">
      <alignment horizontal="left" vertical="center"/>
    </xf>
    <xf numFmtId="0" fontId="9" fillId="0" borderId="67" xfId="0" applyFont="1" applyBorder="1" applyAlignment="1">
      <alignment horizontal="left" vertical="center"/>
    </xf>
    <xf numFmtId="0" fontId="9" fillId="2" borderId="52" xfId="0" applyFont="1" applyFill="1" applyBorder="1" applyAlignment="1">
      <alignment horizontal="left" vertical="center"/>
    </xf>
    <xf numFmtId="0" fontId="9" fillId="2" borderId="53" xfId="0" applyFont="1" applyFill="1" applyBorder="1" applyAlignment="1">
      <alignment horizontal="left" vertical="center"/>
    </xf>
    <xf numFmtId="0" fontId="9" fillId="2" borderId="51" xfId="0" applyFont="1" applyFill="1" applyBorder="1" applyAlignment="1">
      <alignment horizontal="left" vertical="center"/>
    </xf>
    <xf numFmtId="0" fontId="9" fillId="2" borderId="54" xfId="0" applyFont="1" applyFill="1" applyBorder="1" applyAlignment="1">
      <alignment horizontal="left" vertical="center"/>
    </xf>
    <xf numFmtId="0" fontId="9" fillId="2" borderId="46" xfId="0" applyFont="1" applyFill="1" applyBorder="1" applyAlignment="1">
      <alignment horizontal="left" vertical="center"/>
    </xf>
    <xf numFmtId="0" fontId="9" fillId="2" borderId="49" xfId="0" applyFont="1" applyFill="1" applyBorder="1" applyAlignment="1">
      <alignment horizontal="left" vertical="center"/>
    </xf>
    <xf numFmtId="0" fontId="10" fillId="0" borderId="65" xfId="0" applyFont="1" applyBorder="1" applyAlignment="1">
      <alignment horizontal="left" vertical="center"/>
    </xf>
    <xf numFmtId="0" fontId="10" fillId="0" borderId="63" xfId="0" applyFont="1" applyBorder="1" applyAlignment="1">
      <alignment horizontal="left" vertical="center"/>
    </xf>
    <xf numFmtId="0" fontId="10" fillId="0" borderId="64" xfId="0" applyFont="1" applyBorder="1" applyAlignment="1">
      <alignment horizontal="left" vertical="center"/>
    </xf>
    <xf numFmtId="0" fontId="10" fillId="0" borderId="55" xfId="0"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10" fillId="0" borderId="59" xfId="0" applyFont="1" applyBorder="1" applyAlignment="1">
      <alignment horizontal="left" vertical="center"/>
    </xf>
    <xf numFmtId="0" fontId="10" fillId="0" borderId="0" xfId="0" applyFont="1" applyAlignment="1">
      <alignment horizontal="left" vertical="center"/>
    </xf>
    <xf numFmtId="0" fontId="10" fillId="0" borderId="60" xfId="0" applyFont="1" applyBorder="1" applyAlignment="1">
      <alignment horizontal="left" vertical="center"/>
    </xf>
    <xf numFmtId="0" fontId="10" fillId="0" borderId="62" xfId="0" applyFont="1" applyBorder="1" applyAlignment="1">
      <alignment horizontal="left" vertical="center"/>
    </xf>
    <xf numFmtId="0" fontId="14" fillId="0" borderId="87" xfId="0" applyFont="1" applyBorder="1" applyAlignment="1">
      <alignment horizontal="left" vertical="center"/>
    </xf>
    <xf numFmtId="0" fontId="14" fillId="0" borderId="88" xfId="0" applyFont="1" applyBorder="1" applyAlignment="1">
      <alignment horizontal="left" vertical="center"/>
    </xf>
    <xf numFmtId="0" fontId="9" fillId="0" borderId="75" xfId="0" applyFont="1" applyBorder="1" applyAlignment="1">
      <alignment horizontal="center" vertical="center"/>
    </xf>
    <xf numFmtId="0" fontId="10" fillId="0" borderId="58" xfId="0" applyFont="1" applyBorder="1" applyAlignment="1">
      <alignment horizontal="left" vertical="center"/>
    </xf>
    <xf numFmtId="0" fontId="10" fillId="0" borderId="61"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5" borderId="34" xfId="0" applyFont="1" applyFill="1" applyBorder="1" applyAlignment="1">
      <alignment horizontal="left" vertical="center" wrapText="1"/>
    </xf>
    <xf numFmtId="0" fontId="2" fillId="5" borderId="34"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3" fillId="3" borderId="6" xfId="0" applyFont="1" applyFill="1" applyBorder="1" applyAlignment="1" applyProtection="1">
      <alignment horizontal="left" vertical="center"/>
      <protection locked="0"/>
    </xf>
    <xf numFmtId="0" fontId="3" fillId="0" borderId="8" xfId="0" applyFont="1" applyBorder="1" applyAlignment="1">
      <alignment horizontal="left" vertical="center"/>
    </xf>
    <xf numFmtId="0" fontId="3"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3" fillId="0" borderId="1" xfId="0" applyFont="1" applyBorder="1" applyAlignment="1">
      <alignment horizontal="center" vertical="center"/>
    </xf>
    <xf numFmtId="0" fontId="3" fillId="0" borderId="7" xfId="0" applyFont="1" applyBorder="1" applyAlignment="1">
      <alignment horizontal="left" vertical="center"/>
    </xf>
    <xf numFmtId="0" fontId="2" fillId="5" borderId="0" xfId="0" applyFont="1" applyFill="1" applyAlignment="1">
      <alignment horizontal="left" vertical="center" wrapText="1"/>
    </xf>
    <xf numFmtId="0" fontId="2" fillId="5" borderId="0" xfId="0" applyFont="1" applyFill="1" applyAlignment="1">
      <alignment horizontal="left" vertical="center"/>
    </xf>
    <xf numFmtId="0" fontId="11" fillId="2" borderId="0" xfId="0" applyFont="1" applyFill="1" applyAlignment="1">
      <alignment horizontal="left" vertical="center" wrapText="1"/>
    </xf>
    <xf numFmtId="0" fontId="11" fillId="5" borderId="0" xfId="0" applyFont="1" applyFill="1" applyAlignment="1">
      <alignment horizontal="left" vertical="center" wrapText="1"/>
    </xf>
    <xf numFmtId="0" fontId="2" fillId="0" borderId="39" xfId="0" applyFont="1" applyBorder="1" applyAlignment="1">
      <alignment horizontal="left" vertical="center"/>
    </xf>
    <xf numFmtId="0" fontId="3" fillId="0" borderId="4" xfId="0" applyFont="1" applyBorder="1" applyAlignment="1">
      <alignment horizontal="left" vertical="center" wrapText="1"/>
    </xf>
    <xf numFmtId="0" fontId="3" fillId="3" borderId="6" xfId="0"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9"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51" xfId="0" applyFont="1" applyBorder="1" applyAlignment="1">
      <alignment horizontal="left" vertical="center"/>
    </xf>
    <xf numFmtId="0" fontId="3" fillId="0" borderId="54" xfId="0" applyFont="1" applyBorder="1" applyAlignment="1">
      <alignment horizontal="left" vertical="center"/>
    </xf>
    <xf numFmtId="0" fontId="3" fillId="0" borderId="50"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2" fillId="0" borderId="72" xfId="0" applyFont="1" applyBorder="1" applyAlignment="1">
      <alignment horizontal="left" vertical="center"/>
    </xf>
    <xf numFmtId="0" fontId="9" fillId="0" borderId="70" xfId="0" applyFont="1" applyBorder="1" applyAlignment="1">
      <alignment horizontal="left" vertical="center"/>
    </xf>
    <xf numFmtId="0" fontId="9" fillId="0" borderId="71" xfId="0" applyFont="1" applyBorder="1" applyAlignment="1">
      <alignment horizontal="left" vertical="center"/>
    </xf>
    <xf numFmtId="0" fontId="9" fillId="0" borderId="72" xfId="0" applyFont="1" applyBorder="1" applyAlignment="1">
      <alignment horizontal="left" vertical="center"/>
    </xf>
    <xf numFmtId="4" fontId="9" fillId="0" borderId="74" xfId="0" applyNumberFormat="1" applyFont="1" applyBorder="1" applyAlignment="1">
      <alignment horizontal="right" vertical="center"/>
    </xf>
    <xf numFmtId="0" fontId="9" fillId="0" borderId="71" xfId="0" applyFont="1" applyBorder="1" applyAlignment="1">
      <alignment horizontal="right" vertical="center"/>
    </xf>
    <xf numFmtId="0" fontId="9" fillId="0" borderId="72" xfId="0" applyFont="1" applyBorder="1" applyAlignment="1">
      <alignment horizontal="righ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tabSelected="1" topLeftCell="A7" workbookViewId="0">
      <selection activeCell="F6" sqref="F6:G7"/>
    </sheetView>
  </sheetViews>
  <sheetFormatPr defaultColWidth="12.109375" defaultRowHeight="15" customHeight="1" x14ac:dyDescent="0.3"/>
  <cols>
    <col min="1" max="1" width="9.109375" customWidth="1"/>
    <col min="2" max="2" width="12.88671875" customWidth="1"/>
    <col min="3" max="3" width="27.109375" customWidth="1"/>
    <col min="4" max="4" width="10" customWidth="1"/>
    <col min="5" max="5" width="14" customWidth="1"/>
    <col min="6" max="6" width="27.109375" customWidth="1"/>
    <col min="7" max="7" width="9.109375" customWidth="1"/>
    <col min="8" max="8" width="12.88671875" customWidth="1"/>
    <col min="9" max="9" width="27.109375" customWidth="1"/>
  </cols>
  <sheetData>
    <row r="1" spans="1:9" ht="54.75" customHeight="1" x14ac:dyDescent="0.3">
      <c r="A1" s="104" t="s">
        <v>3567</v>
      </c>
      <c r="B1" s="105"/>
      <c r="C1" s="105"/>
      <c r="D1" s="105"/>
      <c r="E1" s="105"/>
      <c r="F1" s="105"/>
      <c r="G1" s="105"/>
      <c r="H1" s="105"/>
      <c r="I1" s="105"/>
    </row>
    <row r="2" spans="1:9" ht="14.4" x14ac:dyDescent="0.3">
      <c r="A2" s="106" t="s">
        <v>0</v>
      </c>
      <c r="B2" s="107"/>
      <c r="C2" s="118" t="str">
        <f>'Stavební rozpočet'!C2</f>
        <v>„Modernizace kuchyně ZŠ Drnovice – zpracování projektové dokumentace“</v>
      </c>
      <c r="D2" s="119"/>
      <c r="E2" s="111" t="s">
        <v>3</v>
      </c>
      <c r="F2" s="111" t="str">
        <f>'Stavební rozpočet'!I2</f>
        <v>ZŠ Drnovice</v>
      </c>
      <c r="G2" s="107"/>
      <c r="H2" s="111" t="s">
        <v>3522</v>
      </c>
      <c r="I2" s="115" t="s">
        <v>52</v>
      </c>
    </row>
    <row r="3" spans="1:9" ht="25.5" customHeight="1" x14ac:dyDescent="0.3">
      <c r="A3" s="108"/>
      <c r="B3" s="109"/>
      <c r="C3" s="120"/>
      <c r="D3" s="120"/>
      <c r="E3" s="109"/>
      <c r="F3" s="109"/>
      <c r="G3" s="109"/>
      <c r="H3" s="109"/>
      <c r="I3" s="116"/>
    </row>
    <row r="4" spans="1:9" ht="14.4" x14ac:dyDescent="0.3">
      <c r="A4" s="110" t="s">
        <v>5</v>
      </c>
      <c r="B4" s="109"/>
      <c r="C4" s="112" t="str">
        <f>'Stavební rozpočet'!C4</f>
        <v>Udržovací práce</v>
      </c>
      <c r="D4" s="109"/>
      <c r="E4" s="112" t="s">
        <v>8</v>
      </c>
      <c r="F4" s="112" t="str">
        <f>'Stavební rozpočet'!I4</f>
        <v>GARANT projekt s.r.o.</v>
      </c>
      <c r="G4" s="109"/>
      <c r="H4" s="112" t="s">
        <v>3522</v>
      </c>
      <c r="I4" s="116" t="s">
        <v>52</v>
      </c>
    </row>
    <row r="5" spans="1:9" ht="15" customHeight="1" x14ac:dyDescent="0.3">
      <c r="A5" s="108"/>
      <c r="B5" s="109"/>
      <c r="C5" s="109"/>
      <c r="D5" s="109"/>
      <c r="E5" s="109"/>
      <c r="F5" s="109"/>
      <c r="G5" s="109"/>
      <c r="H5" s="109"/>
      <c r="I5" s="116"/>
    </row>
    <row r="6" spans="1:9" ht="14.4" x14ac:dyDescent="0.3">
      <c r="A6" s="110" t="s">
        <v>10</v>
      </c>
      <c r="B6" s="109"/>
      <c r="C6" s="112" t="str">
        <f>'Stavební rozpočet'!C6</f>
        <v>Drnovice 109, 68304 Drnovice</v>
      </c>
      <c r="D6" s="109"/>
      <c r="E6" s="112" t="s">
        <v>13</v>
      </c>
      <c r="F6" s="113" t="str">
        <f>'Stavební rozpočet'!I6</f>
        <v> </v>
      </c>
      <c r="G6" s="114"/>
      <c r="H6" s="112" t="s">
        <v>3522</v>
      </c>
      <c r="I6" s="116" t="s">
        <v>52</v>
      </c>
    </row>
    <row r="7" spans="1:9" ht="15" customHeight="1" x14ac:dyDescent="0.3">
      <c r="A7" s="108"/>
      <c r="B7" s="109"/>
      <c r="C7" s="109"/>
      <c r="D7" s="109"/>
      <c r="E7" s="109"/>
      <c r="F7" s="114"/>
      <c r="G7" s="114"/>
      <c r="H7" s="109"/>
      <c r="I7" s="116"/>
    </row>
    <row r="8" spans="1:9" ht="14.4" x14ac:dyDescent="0.3">
      <c r="A8" s="110" t="s">
        <v>7</v>
      </c>
      <c r="B8" s="109"/>
      <c r="C8" s="112"/>
      <c r="D8" s="109"/>
      <c r="E8" s="112" t="s">
        <v>12</v>
      </c>
      <c r="F8" s="112"/>
      <c r="G8" s="109"/>
      <c r="H8" s="109" t="s">
        <v>3523</v>
      </c>
      <c r="I8" s="117"/>
    </row>
    <row r="9" spans="1:9" ht="14.4" x14ac:dyDescent="0.3">
      <c r="A9" s="108"/>
      <c r="B9" s="109"/>
      <c r="C9" s="109"/>
      <c r="D9" s="109"/>
      <c r="E9" s="109"/>
      <c r="F9" s="109"/>
      <c r="G9" s="109"/>
      <c r="H9" s="109"/>
      <c r="I9" s="116"/>
    </row>
    <row r="10" spans="1:9" ht="14.4" x14ac:dyDescent="0.3">
      <c r="A10" s="110" t="s">
        <v>15</v>
      </c>
      <c r="B10" s="109"/>
      <c r="C10" s="112" t="str">
        <f>'Stavební rozpočet'!C8</f>
        <v>801</v>
      </c>
      <c r="D10" s="109"/>
      <c r="E10" s="112" t="s">
        <v>18</v>
      </c>
      <c r="F10" s="112" t="str">
        <f>'Stavební rozpočet'!I8</f>
        <v>GARANT projekt s.r.o.</v>
      </c>
      <c r="G10" s="109"/>
      <c r="H10" s="109" t="s">
        <v>3524</v>
      </c>
      <c r="I10" s="122"/>
    </row>
    <row r="11" spans="1:9" ht="14.4" x14ac:dyDescent="0.3">
      <c r="A11" s="130"/>
      <c r="B11" s="121"/>
      <c r="C11" s="121"/>
      <c r="D11" s="121"/>
      <c r="E11" s="121"/>
      <c r="F11" s="121"/>
      <c r="G11" s="121"/>
      <c r="H11" s="121"/>
      <c r="I11" s="123"/>
    </row>
    <row r="12" spans="1:9" ht="22.8" x14ac:dyDescent="0.3">
      <c r="A12" s="124" t="s">
        <v>3525</v>
      </c>
      <c r="B12" s="124"/>
      <c r="C12" s="124"/>
      <c r="D12" s="124"/>
      <c r="E12" s="124"/>
      <c r="F12" s="124"/>
      <c r="G12" s="124"/>
      <c r="H12" s="124"/>
      <c r="I12" s="124"/>
    </row>
    <row r="13" spans="1:9" ht="26.25" customHeight="1" x14ac:dyDescent="0.3">
      <c r="A13" s="86" t="s">
        <v>3526</v>
      </c>
      <c r="B13" s="125" t="s">
        <v>3566</v>
      </c>
      <c r="C13" s="126"/>
      <c r="D13" s="77"/>
      <c r="E13" s="127"/>
      <c r="F13" s="128"/>
      <c r="G13" s="77"/>
      <c r="H13" s="127"/>
      <c r="I13" s="129"/>
    </row>
    <row r="14" spans="1:9" ht="15.6" x14ac:dyDescent="0.3">
      <c r="A14" s="156" t="s">
        <v>3561</v>
      </c>
      <c r="B14" s="157"/>
      <c r="C14" s="88">
        <f>'Stavební rozpočet - součet'!F11+'Stavební rozpočet - součet'!F19+'Stavební rozpočet - součet'!F30+'Stavební rozpočet - součet'!F57+'Stavební rozpočet - součet'!F82+'Stavební rozpočet - součet'!F99+'Stavební rozpočet - součet'!F110+'Stavební rozpočet - součet'!F123+'Stavební rozpočet - součet'!F134</f>
        <v>0</v>
      </c>
      <c r="D14" s="132" t="s">
        <v>3562</v>
      </c>
      <c r="E14" s="132"/>
      <c r="F14" s="78"/>
      <c r="G14" s="133"/>
      <c r="H14" s="134"/>
      <c r="I14" s="79"/>
    </row>
    <row r="15" spans="1:9" ht="15.6" x14ac:dyDescent="0.3">
      <c r="A15" s="156" t="s">
        <v>3563</v>
      </c>
      <c r="B15" s="157"/>
      <c r="C15" s="88">
        <f>'Stavební rozpočet - součet'!F139</f>
        <v>0</v>
      </c>
      <c r="D15" s="132" t="s">
        <v>3562</v>
      </c>
      <c r="E15" s="132"/>
      <c r="F15" s="78"/>
      <c r="G15" s="133"/>
      <c r="H15" s="134"/>
      <c r="I15" s="79"/>
    </row>
    <row r="16" spans="1:9" ht="15.6" x14ac:dyDescent="0.3">
      <c r="A16" s="156" t="s">
        <v>3565</v>
      </c>
      <c r="B16" s="157"/>
      <c r="C16" s="88">
        <f>'Stavební rozpočet - součet'!F142</f>
        <v>0</v>
      </c>
      <c r="D16" s="132" t="s">
        <v>3562</v>
      </c>
      <c r="E16" s="132"/>
      <c r="F16" s="78"/>
      <c r="G16" s="133"/>
      <c r="H16" s="134"/>
      <c r="I16" s="79"/>
    </row>
    <row r="17" spans="1:9" ht="15.6" x14ac:dyDescent="0.3">
      <c r="A17" s="156" t="s">
        <v>3564</v>
      </c>
      <c r="B17" s="157"/>
      <c r="C17" s="88">
        <f>SUM(C14:C16)</f>
        <v>0</v>
      </c>
      <c r="D17" s="132" t="s">
        <v>3562</v>
      </c>
      <c r="E17" s="132"/>
      <c r="F17" s="80"/>
      <c r="G17" s="133"/>
      <c r="H17" s="134"/>
      <c r="I17" s="79"/>
    </row>
    <row r="18" spans="1:9" ht="15.6" x14ac:dyDescent="0.3">
      <c r="A18" s="158"/>
      <c r="B18" s="158"/>
      <c r="C18" s="87"/>
      <c r="D18" s="133"/>
      <c r="E18" s="134"/>
      <c r="F18" s="80"/>
      <c r="G18" s="133"/>
      <c r="H18" s="134"/>
      <c r="I18" s="79"/>
    </row>
    <row r="19" spans="1:9" ht="15.6" x14ac:dyDescent="0.3">
      <c r="A19" s="158"/>
      <c r="B19" s="158"/>
      <c r="C19" s="87"/>
      <c r="D19" s="133"/>
      <c r="E19" s="134"/>
      <c r="F19" s="80"/>
      <c r="G19" s="133"/>
      <c r="H19" s="134"/>
      <c r="I19" s="79"/>
    </row>
    <row r="20" spans="1:9" ht="15.6" x14ac:dyDescent="0.3">
      <c r="A20" s="131"/>
      <c r="B20" s="131"/>
      <c r="C20" s="87"/>
      <c r="D20" s="133"/>
      <c r="E20" s="134"/>
      <c r="F20" s="80"/>
      <c r="G20" s="133"/>
      <c r="H20" s="134"/>
      <c r="I20" s="81"/>
    </row>
    <row r="21" spans="1:9" ht="15.6" x14ac:dyDescent="0.3">
      <c r="A21" s="131"/>
      <c r="B21" s="131"/>
      <c r="C21" s="87"/>
      <c r="D21" s="135"/>
      <c r="E21" s="136"/>
      <c r="F21" s="82"/>
      <c r="G21" s="135"/>
      <c r="H21" s="136"/>
      <c r="I21" s="83"/>
    </row>
    <row r="22" spans="1:9" ht="16.5" customHeight="1" x14ac:dyDescent="0.3">
      <c r="A22" s="131"/>
      <c r="B22" s="131"/>
      <c r="C22" s="87"/>
      <c r="D22" s="137"/>
      <c r="E22" s="138"/>
      <c r="F22" s="84"/>
      <c r="G22" s="137"/>
      <c r="H22" s="138"/>
      <c r="I22" s="85"/>
    </row>
    <row r="23" spans="1:9" ht="15.6" x14ac:dyDescent="0.3">
      <c r="A23" s="75"/>
      <c r="B23" s="75"/>
      <c r="C23" s="75"/>
      <c r="D23" s="139"/>
      <c r="E23" s="139"/>
      <c r="F23" s="76"/>
      <c r="G23" s="139"/>
      <c r="H23" s="139"/>
      <c r="I23" s="76"/>
    </row>
    <row r="24" spans="1:9" ht="15.6" x14ac:dyDescent="0.3">
      <c r="A24" s="75"/>
      <c r="B24" s="75"/>
      <c r="C24" s="75"/>
      <c r="D24" s="75"/>
      <c r="E24" s="75"/>
      <c r="F24" s="75"/>
      <c r="G24" s="139"/>
      <c r="H24" s="139"/>
      <c r="I24" s="76"/>
    </row>
    <row r="25" spans="1:9" ht="15.6" x14ac:dyDescent="0.3">
      <c r="A25" s="75"/>
      <c r="B25" s="75"/>
      <c r="C25" s="75"/>
      <c r="D25" s="75"/>
      <c r="E25" s="75"/>
      <c r="F25" s="75"/>
      <c r="G25" s="139"/>
      <c r="H25" s="139"/>
      <c r="I25" s="76"/>
    </row>
    <row r="27" spans="1:9" ht="15.6" x14ac:dyDescent="0.3">
      <c r="A27" s="140" t="s">
        <v>3535</v>
      </c>
      <c r="B27" s="141"/>
      <c r="C27" s="51">
        <f>ROUND(SUM('Stavební rozpočet'!AH12:AH5558),2)</f>
        <v>0</v>
      </c>
    </row>
    <row r="28" spans="1:9" ht="15.6" x14ac:dyDescent="0.3">
      <c r="A28" s="142" t="s">
        <v>3536</v>
      </c>
      <c r="B28" s="143"/>
      <c r="C28" s="52">
        <f>ROUND(SUM('Stavební rozpočet'!AI12:AI5558),2)</f>
        <v>0</v>
      </c>
      <c r="D28" s="144" t="s">
        <v>3537</v>
      </c>
      <c r="E28" s="141"/>
      <c r="F28" s="51">
        <f>ROUND(C28*(12/100),2)</f>
        <v>0</v>
      </c>
      <c r="G28" s="144" t="s">
        <v>3538</v>
      </c>
      <c r="H28" s="141"/>
      <c r="I28" s="51">
        <f>ROUND(SUM(C27:C29),2)</f>
        <v>0</v>
      </c>
    </row>
    <row r="29" spans="1:9" ht="15.6" x14ac:dyDescent="0.3">
      <c r="A29" s="142" t="s">
        <v>3539</v>
      </c>
      <c r="B29" s="143"/>
      <c r="C29" s="52">
        <f>C17</f>
        <v>0</v>
      </c>
      <c r="D29" s="145" t="s">
        <v>3540</v>
      </c>
      <c r="E29" s="143"/>
      <c r="F29" s="52">
        <f>ROUND(C29*(21/100),2)</f>
        <v>0</v>
      </c>
      <c r="G29" s="145" t="s">
        <v>3541</v>
      </c>
      <c r="H29" s="143"/>
      <c r="I29" s="52">
        <f>ROUND(SUM(F28:F29)+I28,2)</f>
        <v>0</v>
      </c>
    </row>
    <row r="31" spans="1:9" x14ac:dyDescent="0.3">
      <c r="A31" s="149" t="s">
        <v>3542</v>
      </c>
      <c r="B31" s="150"/>
      <c r="C31" s="151"/>
      <c r="D31" s="159" t="s">
        <v>3543</v>
      </c>
      <c r="E31" s="150"/>
      <c r="F31" s="151"/>
      <c r="G31" s="159" t="s">
        <v>3544</v>
      </c>
      <c r="H31" s="150"/>
      <c r="I31" s="151"/>
    </row>
    <row r="32" spans="1:9" x14ac:dyDescent="0.3">
      <c r="A32" s="152" t="s">
        <v>52</v>
      </c>
      <c r="B32" s="153"/>
      <c r="C32" s="154"/>
      <c r="D32" s="160" t="s">
        <v>52</v>
      </c>
      <c r="E32" s="153"/>
      <c r="F32" s="154"/>
      <c r="G32" s="160" t="s">
        <v>52</v>
      </c>
      <c r="H32" s="153"/>
      <c r="I32" s="154"/>
    </row>
    <row r="33" spans="1:9" x14ac:dyDescent="0.3">
      <c r="A33" s="152" t="s">
        <v>52</v>
      </c>
      <c r="B33" s="153"/>
      <c r="C33" s="154"/>
      <c r="D33" s="160" t="s">
        <v>52</v>
      </c>
      <c r="E33" s="153"/>
      <c r="F33" s="154"/>
      <c r="G33" s="160" t="s">
        <v>52</v>
      </c>
      <c r="H33" s="153"/>
      <c r="I33" s="154"/>
    </row>
    <row r="34" spans="1:9" x14ac:dyDescent="0.3">
      <c r="A34" s="152" t="s">
        <v>52</v>
      </c>
      <c r="B34" s="153"/>
      <c r="C34" s="154"/>
      <c r="D34" s="160" t="s">
        <v>52</v>
      </c>
      <c r="E34" s="153"/>
      <c r="F34" s="154"/>
      <c r="G34" s="160" t="s">
        <v>52</v>
      </c>
      <c r="H34" s="153"/>
      <c r="I34" s="154"/>
    </row>
    <row r="35" spans="1:9" x14ac:dyDescent="0.3">
      <c r="A35" s="155" t="s">
        <v>3545</v>
      </c>
      <c r="B35" s="147"/>
      <c r="C35" s="148"/>
      <c r="D35" s="146" t="s">
        <v>3545</v>
      </c>
      <c r="E35" s="147"/>
      <c r="F35" s="148"/>
      <c r="G35" s="146" t="s">
        <v>3545</v>
      </c>
      <c r="H35" s="147"/>
      <c r="I35" s="148"/>
    </row>
    <row r="36" spans="1:9" ht="14.4" x14ac:dyDescent="0.3">
      <c r="A36" s="53" t="s">
        <v>3515</v>
      </c>
    </row>
    <row r="37" spans="1:9" ht="9" customHeight="1" x14ac:dyDescent="0.3">
      <c r="A37" s="103"/>
    </row>
    <row r="38" spans="1:9" ht="314.39999999999998" customHeight="1" x14ac:dyDescent="0.3">
      <c r="A38" s="112" t="s">
        <v>3568</v>
      </c>
      <c r="B38" s="109"/>
      <c r="C38" s="109"/>
      <c r="D38" s="109"/>
      <c r="E38" s="109"/>
      <c r="F38" s="109"/>
      <c r="G38" s="109"/>
      <c r="H38" s="109"/>
      <c r="I38" s="109"/>
    </row>
  </sheetData>
  <sheetProtection algorithmName="SHA-512" hashValue="TTBMT0o4LofX2OuJZFu6fNj6i1NoUQglh/yQzzxK5b1W0q1y1VODrnwWJJU4fQLMLPaHTxMfDejeeYaXK/nVmQ==" saltValue="0IG5noypemQ/o0fjjdzC9w==" spinCount="100000" sheet="1" objects="1" scenarios="1"/>
  <mergeCells count="89">
    <mergeCell ref="A38:I38"/>
    <mergeCell ref="A14:B14"/>
    <mergeCell ref="A15:B15"/>
    <mergeCell ref="A16:B16"/>
    <mergeCell ref="A17:B17"/>
    <mergeCell ref="A18:B18"/>
    <mergeCell ref="A19:B19"/>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2782"/>
  <sheetViews>
    <sheetView tabSelected="1" zoomScaleNormal="100" workbookViewId="0">
      <pane ySplit="11" topLeftCell="A12" activePane="bottomLeft" state="frozen"/>
      <selection activeCell="F6" sqref="F6:G7"/>
      <selection pane="bottomLeft" activeCell="F6" sqref="F6:G7"/>
    </sheetView>
  </sheetViews>
  <sheetFormatPr defaultColWidth="12.109375" defaultRowHeight="15" customHeight="1" x14ac:dyDescent="0.3"/>
  <cols>
    <col min="1" max="1" width="4" customWidth="1"/>
    <col min="2" max="2" width="9.109375" customWidth="1"/>
    <col min="3" max="3" width="17.88671875" customWidth="1"/>
    <col min="4" max="4" width="42.88671875" customWidth="1"/>
    <col min="5" max="5" width="35.6640625" customWidth="1"/>
    <col min="6" max="6" width="8" customWidth="1"/>
    <col min="7" max="7" width="12.88671875" customWidth="1"/>
    <col min="8" max="8" width="12" customWidth="1"/>
    <col min="9" max="11" width="15.6640625" customWidth="1"/>
    <col min="12" max="13" width="11.6640625" customWidth="1"/>
    <col min="14" max="14" width="14.6640625" customWidth="1"/>
    <col min="23" max="73" width="12.109375" hidden="1"/>
    <col min="74" max="74" width="78.5546875" hidden="1" customWidth="1"/>
    <col min="75" max="76" width="12.109375" hidden="1"/>
  </cols>
  <sheetData>
    <row r="1" spans="1:74" ht="54.75" customHeight="1" x14ac:dyDescent="0.3">
      <c r="A1" s="177" t="s">
        <v>3559</v>
      </c>
      <c r="B1" s="105"/>
      <c r="C1" s="105"/>
      <c r="D1" s="105"/>
      <c r="E1" s="105"/>
      <c r="F1" s="105"/>
      <c r="G1" s="105"/>
      <c r="H1" s="105"/>
      <c r="I1" s="105"/>
      <c r="J1" s="105"/>
      <c r="K1" s="105"/>
      <c r="L1" s="105"/>
      <c r="M1" s="105"/>
      <c r="N1" s="105"/>
      <c r="AQ1" s="1">
        <f>SUM(AH1:AH2)</f>
        <v>0</v>
      </c>
      <c r="AR1" s="1">
        <f>SUM(AI1:AI2)</f>
        <v>0</v>
      </c>
      <c r="AS1" s="1">
        <f>SUM(AJ1:AJ2)</f>
        <v>0</v>
      </c>
    </row>
    <row r="2" spans="1:74" ht="14.4" x14ac:dyDescent="0.3">
      <c r="A2" s="106" t="s">
        <v>0</v>
      </c>
      <c r="B2" s="107"/>
      <c r="C2" s="118" t="s">
        <v>1</v>
      </c>
      <c r="D2" s="119"/>
      <c r="E2" s="107" t="s">
        <v>2</v>
      </c>
      <c r="F2" s="107"/>
      <c r="G2" s="107"/>
      <c r="H2" s="111" t="s">
        <v>3</v>
      </c>
      <c r="I2" s="111" t="s">
        <v>4</v>
      </c>
      <c r="J2" s="107"/>
      <c r="K2" s="107"/>
      <c r="L2" s="107"/>
      <c r="M2" s="107"/>
      <c r="N2" s="115"/>
    </row>
    <row r="3" spans="1:74" ht="14.4" x14ac:dyDescent="0.3">
      <c r="A3" s="108"/>
      <c r="B3" s="109"/>
      <c r="C3" s="120"/>
      <c r="D3" s="120"/>
      <c r="E3" s="109"/>
      <c r="F3" s="109"/>
      <c r="G3" s="109"/>
      <c r="H3" s="109"/>
      <c r="I3" s="109"/>
      <c r="J3" s="109"/>
      <c r="K3" s="109"/>
      <c r="L3" s="109"/>
      <c r="M3" s="109"/>
      <c r="N3" s="116"/>
    </row>
    <row r="4" spans="1:74" ht="14.4" x14ac:dyDescent="0.3">
      <c r="A4" s="110" t="s">
        <v>5</v>
      </c>
      <c r="B4" s="109"/>
      <c r="C4" s="112" t="s">
        <v>6</v>
      </c>
      <c r="D4" s="109"/>
      <c r="E4" s="109" t="s">
        <v>7</v>
      </c>
      <c r="F4" s="109"/>
      <c r="G4" s="109"/>
      <c r="H4" s="112" t="s">
        <v>8</v>
      </c>
      <c r="I4" s="112" t="s">
        <v>9</v>
      </c>
      <c r="J4" s="109"/>
      <c r="K4" s="109"/>
      <c r="L4" s="109"/>
      <c r="M4" s="109"/>
      <c r="N4" s="116"/>
    </row>
    <row r="5" spans="1:74" ht="14.4" x14ac:dyDescent="0.3">
      <c r="A5" s="108"/>
      <c r="B5" s="109"/>
      <c r="C5" s="109"/>
      <c r="D5" s="109"/>
      <c r="E5" s="109"/>
      <c r="F5" s="109"/>
      <c r="G5" s="109"/>
      <c r="H5" s="109"/>
      <c r="I5" s="109"/>
      <c r="J5" s="109"/>
      <c r="K5" s="109"/>
      <c r="L5" s="109"/>
      <c r="M5" s="109"/>
      <c r="N5" s="116"/>
    </row>
    <row r="6" spans="1:74" ht="14.4" x14ac:dyDescent="0.3">
      <c r="A6" s="110" t="s">
        <v>10</v>
      </c>
      <c r="B6" s="109"/>
      <c r="C6" s="112" t="s">
        <v>11</v>
      </c>
      <c r="D6" s="109"/>
      <c r="E6" s="109" t="s">
        <v>12</v>
      </c>
      <c r="F6" s="109"/>
      <c r="G6" s="109"/>
      <c r="H6" s="112" t="s">
        <v>13</v>
      </c>
      <c r="I6" s="114" t="s">
        <v>14</v>
      </c>
      <c r="J6" s="114"/>
      <c r="K6" s="114"/>
      <c r="L6" s="114"/>
      <c r="M6" s="114"/>
      <c r="N6" s="172"/>
    </row>
    <row r="7" spans="1:74" ht="14.4" x14ac:dyDescent="0.3">
      <c r="A7" s="108"/>
      <c r="B7" s="109"/>
      <c r="C7" s="109"/>
      <c r="D7" s="109"/>
      <c r="E7" s="109"/>
      <c r="F7" s="109"/>
      <c r="G7" s="109"/>
      <c r="H7" s="109"/>
      <c r="I7" s="114"/>
      <c r="J7" s="114"/>
      <c r="K7" s="114"/>
      <c r="L7" s="114"/>
      <c r="M7" s="114"/>
      <c r="N7" s="172"/>
    </row>
    <row r="8" spans="1:74" ht="14.4" x14ac:dyDescent="0.3">
      <c r="A8" s="110" t="s">
        <v>15</v>
      </c>
      <c r="B8" s="109"/>
      <c r="C8" s="112" t="s">
        <v>16</v>
      </c>
      <c r="D8" s="109"/>
      <c r="E8" s="109" t="s">
        <v>17</v>
      </c>
      <c r="F8" s="109"/>
      <c r="G8" s="109"/>
      <c r="H8" s="112" t="s">
        <v>18</v>
      </c>
      <c r="I8" s="112" t="s">
        <v>9</v>
      </c>
      <c r="J8" s="109"/>
      <c r="K8" s="109"/>
      <c r="L8" s="109"/>
      <c r="M8" s="109"/>
      <c r="N8" s="116"/>
    </row>
    <row r="9" spans="1:74" thickBot="1" x14ac:dyDescent="0.35">
      <c r="A9" s="178"/>
      <c r="B9" s="173"/>
      <c r="C9" s="173"/>
      <c r="D9" s="173"/>
      <c r="E9" s="173"/>
      <c r="F9" s="173"/>
      <c r="G9" s="173"/>
      <c r="H9" s="173"/>
      <c r="I9" s="173"/>
      <c r="J9" s="173"/>
      <c r="K9" s="173"/>
      <c r="L9" s="173"/>
      <c r="M9" s="173"/>
      <c r="N9" s="174"/>
    </row>
    <row r="10" spans="1:74" ht="14.4" x14ac:dyDescent="0.3">
      <c r="A10" s="5" t="s">
        <v>19</v>
      </c>
      <c r="B10" s="6" t="s">
        <v>20</v>
      </c>
      <c r="C10" s="6" t="s">
        <v>21</v>
      </c>
      <c r="D10" s="175" t="s">
        <v>22</v>
      </c>
      <c r="E10" s="176"/>
      <c r="F10" s="6" t="s">
        <v>23</v>
      </c>
      <c r="G10" s="7" t="s">
        <v>24</v>
      </c>
      <c r="H10" s="8" t="s">
        <v>25</v>
      </c>
      <c r="I10" s="163" t="s">
        <v>26</v>
      </c>
      <c r="J10" s="164"/>
      <c r="K10" s="165"/>
      <c r="L10" s="166" t="s">
        <v>27</v>
      </c>
      <c r="M10" s="167"/>
      <c r="N10" s="9" t="s">
        <v>28</v>
      </c>
      <c r="BI10" s="10" t="s">
        <v>29</v>
      </c>
      <c r="BJ10" s="11" t="s">
        <v>30</v>
      </c>
      <c r="BU10" s="11" t="s">
        <v>31</v>
      </c>
    </row>
    <row r="11" spans="1:74" ht="28.8" customHeight="1" thickBot="1" x14ac:dyDescent="0.35">
      <c r="A11" s="12" t="s">
        <v>32</v>
      </c>
      <c r="B11" s="13" t="s">
        <v>32</v>
      </c>
      <c r="C11" s="13" t="s">
        <v>32</v>
      </c>
      <c r="D11" s="161" t="s">
        <v>33</v>
      </c>
      <c r="E11" s="162"/>
      <c r="F11" s="13" t="s">
        <v>32</v>
      </c>
      <c r="G11" s="13" t="s">
        <v>32</v>
      </c>
      <c r="H11" s="14" t="s">
        <v>34</v>
      </c>
      <c r="I11" s="15" t="s">
        <v>35</v>
      </c>
      <c r="J11" s="16" t="s">
        <v>36</v>
      </c>
      <c r="K11" s="17" t="s">
        <v>37</v>
      </c>
      <c r="L11" s="18" t="s">
        <v>38</v>
      </c>
      <c r="M11" s="19" t="s">
        <v>37</v>
      </c>
      <c r="N11" s="20" t="s">
        <v>39</v>
      </c>
      <c r="X11" s="10" t="s">
        <v>40</v>
      </c>
      <c r="Y11" s="10" t="s">
        <v>41</v>
      </c>
      <c r="Z11" s="10" t="s">
        <v>42</v>
      </c>
      <c r="AA11" s="10" t="s">
        <v>43</v>
      </c>
      <c r="AB11" s="10" t="s">
        <v>44</v>
      </c>
      <c r="AC11" s="10" t="s">
        <v>45</v>
      </c>
      <c r="AD11" s="10" t="s">
        <v>46</v>
      </c>
      <c r="AE11" s="10" t="s">
        <v>47</v>
      </c>
      <c r="AF11" s="10" t="s">
        <v>48</v>
      </c>
      <c r="BF11" s="10" t="s">
        <v>49</v>
      </c>
      <c r="BG11" s="10" t="s">
        <v>50</v>
      </c>
      <c r="BH11" s="10" t="s">
        <v>51</v>
      </c>
    </row>
    <row r="12" spans="1:74" ht="12" customHeight="1" x14ac:dyDescent="0.3">
      <c r="A12" s="89" t="s">
        <v>52</v>
      </c>
      <c r="B12" s="90" t="s">
        <v>53</v>
      </c>
      <c r="C12" s="90" t="s">
        <v>52</v>
      </c>
      <c r="D12" s="168" t="s">
        <v>54</v>
      </c>
      <c r="E12" s="169"/>
      <c r="F12" s="91" t="s">
        <v>32</v>
      </c>
      <c r="G12" s="91" t="s">
        <v>32</v>
      </c>
      <c r="H12" s="91" t="s">
        <v>32</v>
      </c>
      <c r="I12" s="92">
        <f>I13+I22+I32+I35+I40+I102+I156</f>
        <v>0</v>
      </c>
      <c r="J12" s="92">
        <f>J13+J22+J32+J35+J40+J102+J156</f>
        <v>0</v>
      </c>
      <c r="K12" s="92">
        <f>K13+K22+K32+K35+K40+K102+K156</f>
        <v>0</v>
      </c>
      <c r="L12" s="93" t="s">
        <v>52</v>
      </c>
      <c r="M12" s="92">
        <f>M13+M22+M32+M35+M40+M102+M156</f>
        <v>37.622843279999998</v>
      </c>
      <c r="N12" s="94" t="s">
        <v>52</v>
      </c>
    </row>
    <row r="13" spans="1:74" ht="14.4" customHeight="1" x14ac:dyDescent="0.3">
      <c r="A13" s="21" t="s">
        <v>52</v>
      </c>
      <c r="B13" s="22" t="s">
        <v>53</v>
      </c>
      <c r="C13" s="22" t="s">
        <v>55</v>
      </c>
      <c r="D13" s="170" t="s">
        <v>56</v>
      </c>
      <c r="E13" s="171"/>
      <c r="F13" s="23" t="s">
        <v>32</v>
      </c>
      <c r="G13" s="23" t="s">
        <v>32</v>
      </c>
      <c r="H13" s="23" t="s">
        <v>32</v>
      </c>
      <c r="I13" s="1">
        <f>SUM(I14:I14)</f>
        <v>0</v>
      </c>
      <c r="J13" s="1">
        <f>SUM(J14:J14)</f>
        <v>0</v>
      </c>
      <c r="K13" s="1">
        <f>SUM(K14:K14)</f>
        <v>0</v>
      </c>
      <c r="L13" s="10" t="s">
        <v>52</v>
      </c>
      <c r="M13" s="1">
        <f>SUM(M14:M14)</f>
        <v>4.5723999999999994E-2</v>
      </c>
      <c r="N13" s="24" t="s">
        <v>52</v>
      </c>
      <c r="AG13" s="10" t="s">
        <v>53</v>
      </c>
      <c r="AQ13" s="1">
        <f>SUM(AH14:AH14)</f>
        <v>0</v>
      </c>
      <c r="AR13" s="1">
        <f>SUM(AI14:AI14)</f>
        <v>0</v>
      </c>
      <c r="AS13" s="1">
        <f>SUM(AJ14:AJ14)</f>
        <v>0</v>
      </c>
    </row>
    <row r="14" spans="1:74" ht="14.4" x14ac:dyDescent="0.3">
      <c r="A14" s="2" t="s">
        <v>57</v>
      </c>
      <c r="B14" s="3" t="s">
        <v>53</v>
      </c>
      <c r="C14" s="3" t="s">
        <v>58</v>
      </c>
      <c r="D14" s="112" t="s">
        <v>59</v>
      </c>
      <c r="E14" s="109"/>
      <c r="F14" s="3" t="s">
        <v>60</v>
      </c>
      <c r="G14" s="25">
        <v>39.76</v>
      </c>
      <c r="H14" s="62"/>
      <c r="I14" s="25">
        <f>ROUND(G14*AM14,2)</f>
        <v>0</v>
      </c>
      <c r="J14" s="25">
        <f>ROUND(G14*AN14,2)</f>
        <v>0</v>
      </c>
      <c r="K14" s="25">
        <f>ROUND(G14*H14,2)</f>
        <v>0</v>
      </c>
      <c r="L14" s="25">
        <v>1.15E-3</v>
      </c>
      <c r="M14" s="25">
        <f>G14*L14</f>
        <v>4.5723999999999994E-2</v>
      </c>
      <c r="N14" s="26"/>
      <c r="X14" s="25">
        <f>ROUND(IF(AO14="5",BH14,0),2)</f>
        <v>0</v>
      </c>
      <c r="Z14" s="25">
        <f>ROUND(IF(AO14="1",BF14,0),2)</f>
        <v>0</v>
      </c>
      <c r="AA14" s="25">
        <f>ROUND(IF(AO14="1",BG14,0),2)</f>
        <v>0</v>
      </c>
      <c r="AB14" s="25">
        <f>ROUND(IF(AO14="7",BF14,0),2)</f>
        <v>0</v>
      </c>
      <c r="AC14" s="25">
        <f>ROUND(IF(AO14="7",BG14,0),2)</f>
        <v>0</v>
      </c>
      <c r="AD14" s="25">
        <f>ROUND(IF(AO14="2",BF14,0),2)</f>
        <v>0</v>
      </c>
      <c r="AE14" s="25">
        <f>ROUND(IF(AO14="2",BG14,0),2)</f>
        <v>0</v>
      </c>
      <c r="AF14" s="25">
        <f>ROUND(IF(AO14="0",BH14,0),2)</f>
        <v>0</v>
      </c>
      <c r="AG14" s="10" t="s">
        <v>53</v>
      </c>
      <c r="AH14" s="25">
        <f>IF(AL14=0,K14,0)</f>
        <v>0</v>
      </c>
      <c r="AI14" s="25">
        <f>IF(AL14=12,K14,0)</f>
        <v>0</v>
      </c>
      <c r="AJ14" s="25">
        <f>IF(AL14=21,K14,0)</f>
        <v>0</v>
      </c>
      <c r="AL14" s="25">
        <v>21</v>
      </c>
      <c r="AM14" s="25">
        <f>H14*0</f>
        <v>0</v>
      </c>
      <c r="AN14" s="25">
        <f>H14*(1-0)</f>
        <v>0</v>
      </c>
      <c r="AO14" s="27" t="s">
        <v>61</v>
      </c>
      <c r="AT14" s="25">
        <f>ROUND(AU14+AV14,2)</f>
        <v>0</v>
      </c>
      <c r="AU14" s="25">
        <f>ROUND(G14*AM14,2)</f>
        <v>0</v>
      </c>
      <c r="AV14" s="25">
        <f>ROUND(G14*AN14,2)</f>
        <v>0</v>
      </c>
      <c r="AW14" s="27" t="s">
        <v>62</v>
      </c>
      <c r="AX14" s="27" t="s">
        <v>63</v>
      </c>
      <c r="AY14" s="10" t="s">
        <v>64</v>
      </c>
      <c r="BA14" s="25">
        <f>AU14+AV14</f>
        <v>0</v>
      </c>
      <c r="BB14" s="25">
        <f>H14/(100-BC14)*100</f>
        <v>0</v>
      </c>
      <c r="BC14" s="25">
        <v>0</v>
      </c>
      <c r="BD14" s="25">
        <f>M14</f>
        <v>4.5723999999999994E-2</v>
      </c>
      <c r="BF14" s="25">
        <f>G14*AM14</f>
        <v>0</v>
      </c>
      <c r="BG14" s="25">
        <f>G14*AN14</f>
        <v>0</v>
      </c>
      <c r="BH14" s="25">
        <f>G14*H14</f>
        <v>0</v>
      </c>
      <c r="BI14" s="27" t="s">
        <v>65</v>
      </c>
      <c r="BJ14" s="25">
        <v>711</v>
      </c>
      <c r="BU14" s="25" t="e">
        <f>#REF!</f>
        <v>#REF!</v>
      </c>
      <c r="BV14" s="4" t="s">
        <v>59</v>
      </c>
    </row>
    <row r="15" spans="1:74" ht="14.4" x14ac:dyDescent="0.3">
      <c r="A15" s="28"/>
      <c r="D15" s="29" t="s">
        <v>66</v>
      </c>
      <c r="E15" s="29" t="s">
        <v>67</v>
      </c>
      <c r="G15" s="30">
        <v>16.760000000000002</v>
      </c>
      <c r="H15" s="63"/>
      <c r="N15" s="31"/>
    </row>
    <row r="16" spans="1:74" ht="14.4" x14ac:dyDescent="0.3">
      <c r="A16" s="28"/>
      <c r="D16" s="29" t="s">
        <v>68</v>
      </c>
      <c r="E16" s="29" t="s">
        <v>69</v>
      </c>
      <c r="G16" s="30">
        <v>2.5</v>
      </c>
      <c r="H16" s="63"/>
      <c r="N16" s="31"/>
    </row>
    <row r="17" spans="1:74" ht="14.4" x14ac:dyDescent="0.3">
      <c r="A17" s="28"/>
      <c r="D17" s="29" t="s">
        <v>68</v>
      </c>
      <c r="E17" s="29" t="s">
        <v>70</v>
      </c>
      <c r="G17" s="30">
        <v>2.5</v>
      </c>
      <c r="H17" s="63"/>
      <c r="N17" s="31"/>
    </row>
    <row r="18" spans="1:74" ht="14.4" x14ac:dyDescent="0.3">
      <c r="A18" s="28"/>
      <c r="D18" s="29" t="s">
        <v>71</v>
      </c>
      <c r="E18" s="29" t="s">
        <v>72</v>
      </c>
      <c r="G18" s="30">
        <v>0.5</v>
      </c>
      <c r="H18" s="63"/>
      <c r="N18" s="31"/>
    </row>
    <row r="19" spans="1:74" ht="14.4" x14ac:dyDescent="0.3">
      <c r="A19" s="28"/>
      <c r="D19" s="29" t="s">
        <v>73</v>
      </c>
      <c r="E19" s="29" t="s">
        <v>74</v>
      </c>
      <c r="G19" s="30">
        <v>5.5</v>
      </c>
      <c r="H19" s="63"/>
      <c r="N19" s="31"/>
    </row>
    <row r="20" spans="1:74" ht="14.4" x14ac:dyDescent="0.3">
      <c r="A20" s="28"/>
      <c r="D20" s="29" t="s">
        <v>75</v>
      </c>
      <c r="E20" s="29" t="s">
        <v>76</v>
      </c>
      <c r="G20" s="30">
        <v>6.1</v>
      </c>
      <c r="H20" s="63"/>
      <c r="N20" s="31"/>
    </row>
    <row r="21" spans="1:74" ht="14.4" x14ac:dyDescent="0.3">
      <c r="A21" s="28"/>
      <c r="D21" s="29" t="s">
        <v>77</v>
      </c>
      <c r="E21" s="29" t="s">
        <v>78</v>
      </c>
      <c r="G21" s="30">
        <v>5.9</v>
      </c>
      <c r="H21" s="63"/>
      <c r="N21" s="31"/>
    </row>
    <row r="22" spans="1:74" ht="14.4" x14ac:dyDescent="0.3">
      <c r="A22" s="21" t="s">
        <v>52</v>
      </c>
      <c r="B22" s="22" t="s">
        <v>53</v>
      </c>
      <c r="C22" s="22" t="s">
        <v>79</v>
      </c>
      <c r="D22" s="170" t="s">
        <v>80</v>
      </c>
      <c r="E22" s="171"/>
      <c r="F22" s="23" t="s">
        <v>32</v>
      </c>
      <c r="G22" s="23" t="s">
        <v>32</v>
      </c>
      <c r="H22" s="64"/>
      <c r="I22" s="1">
        <f>SUM(I23:I29)</f>
        <v>0</v>
      </c>
      <c r="J22" s="1">
        <f>SUM(J23:J29)</f>
        <v>0</v>
      </c>
      <c r="K22" s="1">
        <f>SUM(K23:K29)</f>
        <v>0</v>
      </c>
      <c r="L22" s="10" t="s">
        <v>52</v>
      </c>
      <c r="M22" s="1">
        <f>SUM(M23:M29)</f>
        <v>0.38520299999999996</v>
      </c>
      <c r="N22" s="24"/>
      <c r="AG22" s="10" t="s">
        <v>53</v>
      </c>
      <c r="AQ22" s="1">
        <f>SUM(AH23:AH29)</f>
        <v>0</v>
      </c>
      <c r="AR22" s="1">
        <f>SUM(AI23:AI29)</f>
        <v>0</v>
      </c>
      <c r="AS22" s="1">
        <f>SUM(AJ23:AJ29)</f>
        <v>0</v>
      </c>
    </row>
    <row r="23" spans="1:74" ht="14.4" x14ac:dyDescent="0.3">
      <c r="A23" s="2" t="s">
        <v>81</v>
      </c>
      <c r="B23" s="3" t="s">
        <v>53</v>
      </c>
      <c r="C23" s="3" t="s">
        <v>82</v>
      </c>
      <c r="D23" s="112" t="s">
        <v>83</v>
      </c>
      <c r="E23" s="109"/>
      <c r="F23" s="3" t="s">
        <v>60</v>
      </c>
      <c r="G23" s="25">
        <v>12</v>
      </c>
      <c r="H23" s="62"/>
      <c r="I23" s="25">
        <f>ROUND(G23*AM23,2)</f>
        <v>0</v>
      </c>
      <c r="J23" s="25">
        <f>ROUND(G23*AN23,2)</f>
        <v>0</v>
      </c>
      <c r="K23" s="25">
        <f>ROUND(G23*H23,2)</f>
        <v>0</v>
      </c>
      <c r="L23" s="25">
        <v>4.0000000000000001E-3</v>
      </c>
      <c r="M23" s="25">
        <f>G23*L23</f>
        <v>4.8000000000000001E-2</v>
      </c>
      <c r="N23" s="26"/>
      <c r="X23" s="25">
        <f>ROUND(IF(AO23="5",BH23,0),2)</f>
        <v>0</v>
      </c>
      <c r="Z23" s="25">
        <f>ROUND(IF(AO23="1",BF23,0),2)</f>
        <v>0</v>
      </c>
      <c r="AA23" s="25">
        <f>ROUND(IF(AO23="1",BG23,0),2)</f>
        <v>0</v>
      </c>
      <c r="AB23" s="25">
        <f>ROUND(IF(AO23="7",BF23,0),2)</f>
        <v>0</v>
      </c>
      <c r="AC23" s="25">
        <f>ROUND(IF(AO23="7",BG23,0),2)</f>
        <v>0</v>
      </c>
      <c r="AD23" s="25">
        <f>ROUND(IF(AO23="2",BF23,0),2)</f>
        <v>0</v>
      </c>
      <c r="AE23" s="25">
        <f>ROUND(IF(AO23="2",BG23,0),2)</f>
        <v>0</v>
      </c>
      <c r="AF23" s="25">
        <f>ROUND(IF(AO23="0",BH23,0),2)</f>
        <v>0</v>
      </c>
      <c r="AG23" s="10" t="s">
        <v>53</v>
      </c>
      <c r="AH23" s="25">
        <f>IF(AL23=0,K23,0)</f>
        <v>0</v>
      </c>
      <c r="AI23" s="25">
        <f>IF(AL23=12,K23,0)</f>
        <v>0</v>
      </c>
      <c r="AJ23" s="25">
        <f>IF(AL23=21,K23,0)</f>
        <v>0</v>
      </c>
      <c r="AL23" s="25">
        <v>21</v>
      </c>
      <c r="AM23" s="25">
        <f>H23*0</f>
        <v>0</v>
      </c>
      <c r="AN23" s="25">
        <f>H23*(1-0)</f>
        <v>0</v>
      </c>
      <c r="AO23" s="27" t="s">
        <v>61</v>
      </c>
      <c r="AT23" s="25">
        <f>ROUND(AU23+AV23,2)</f>
        <v>0</v>
      </c>
      <c r="AU23" s="25">
        <f>ROUND(G23*AM23,2)</f>
        <v>0</v>
      </c>
      <c r="AV23" s="25">
        <f>ROUND(G23*AN23,2)</f>
        <v>0</v>
      </c>
      <c r="AW23" s="27" t="s">
        <v>84</v>
      </c>
      <c r="AX23" s="27" t="s">
        <v>63</v>
      </c>
      <c r="AY23" s="10" t="s">
        <v>64</v>
      </c>
      <c r="BA23" s="25">
        <f>AU23+AV23</f>
        <v>0</v>
      </c>
      <c r="BB23" s="25">
        <f>H23/(100-BC23)*100</f>
        <v>0</v>
      </c>
      <c r="BC23" s="25">
        <v>0</v>
      </c>
      <c r="BD23" s="25">
        <f>M23</f>
        <v>4.8000000000000001E-2</v>
      </c>
      <c r="BF23" s="25">
        <f>G23*AM23</f>
        <v>0</v>
      </c>
      <c r="BG23" s="25">
        <f>G23*AN23</f>
        <v>0</v>
      </c>
      <c r="BH23" s="25">
        <f>G23*H23</f>
        <v>0</v>
      </c>
      <c r="BI23" s="27" t="s">
        <v>65</v>
      </c>
      <c r="BJ23" s="25">
        <v>713</v>
      </c>
      <c r="BU23" s="25" t="e">
        <f>#REF!</f>
        <v>#REF!</v>
      </c>
      <c r="BV23" s="4" t="s">
        <v>83</v>
      </c>
    </row>
    <row r="24" spans="1:74" ht="14.4" x14ac:dyDescent="0.3">
      <c r="A24" s="28"/>
      <c r="D24" s="29" t="s">
        <v>75</v>
      </c>
      <c r="E24" s="29" t="s">
        <v>85</v>
      </c>
      <c r="G24" s="30">
        <v>6.1</v>
      </c>
      <c r="H24" s="63"/>
      <c r="N24" s="31"/>
    </row>
    <row r="25" spans="1:74" ht="14.4" x14ac:dyDescent="0.3">
      <c r="A25" s="28"/>
      <c r="D25" s="29" t="s">
        <v>77</v>
      </c>
      <c r="E25" s="29" t="s">
        <v>86</v>
      </c>
      <c r="G25" s="30">
        <v>5.9</v>
      </c>
      <c r="H25" s="63"/>
      <c r="N25" s="31"/>
    </row>
    <row r="26" spans="1:74" ht="14.4" x14ac:dyDescent="0.3">
      <c r="A26" s="2" t="s">
        <v>87</v>
      </c>
      <c r="B26" s="3" t="s">
        <v>53</v>
      </c>
      <c r="C26" s="3" t="s">
        <v>88</v>
      </c>
      <c r="D26" s="112" t="s">
        <v>89</v>
      </c>
      <c r="E26" s="109"/>
      <c r="F26" s="3" t="s">
        <v>60</v>
      </c>
      <c r="G26" s="25">
        <v>12</v>
      </c>
      <c r="H26" s="62"/>
      <c r="I26" s="25">
        <f>ROUND(G26*AM26,2)</f>
        <v>0</v>
      </c>
      <c r="J26" s="25">
        <f>ROUND(G26*AN26,2)</f>
        <v>0</v>
      </c>
      <c r="K26" s="25">
        <f>ROUND(G26*H26,2)</f>
        <v>0</v>
      </c>
      <c r="L26" s="25">
        <v>5.4299999999999999E-3</v>
      </c>
      <c r="M26" s="25">
        <f>G26*L26</f>
        <v>6.5159999999999996E-2</v>
      </c>
      <c r="N26" s="26"/>
      <c r="X26" s="25">
        <f>ROUND(IF(AO26="5",BH26,0),2)</f>
        <v>0</v>
      </c>
      <c r="Z26" s="25">
        <f>ROUND(IF(AO26="1",BF26,0),2)</f>
        <v>0</v>
      </c>
      <c r="AA26" s="25">
        <f>ROUND(IF(AO26="1",BG26,0),2)</f>
        <v>0</v>
      </c>
      <c r="AB26" s="25">
        <f>ROUND(IF(AO26="7",BF26,0),2)</f>
        <v>0</v>
      </c>
      <c r="AC26" s="25">
        <f>ROUND(IF(AO26="7",BG26,0),2)</f>
        <v>0</v>
      </c>
      <c r="AD26" s="25">
        <f>ROUND(IF(AO26="2",BF26,0),2)</f>
        <v>0</v>
      </c>
      <c r="AE26" s="25">
        <f>ROUND(IF(AO26="2",BG26,0),2)</f>
        <v>0</v>
      </c>
      <c r="AF26" s="25">
        <f>ROUND(IF(AO26="0",BH26,0),2)</f>
        <v>0</v>
      </c>
      <c r="AG26" s="10" t="s">
        <v>53</v>
      </c>
      <c r="AH26" s="25">
        <f>IF(AL26=0,K26,0)</f>
        <v>0</v>
      </c>
      <c r="AI26" s="25">
        <f>IF(AL26=12,K26,0)</f>
        <v>0</v>
      </c>
      <c r="AJ26" s="25">
        <f>IF(AL26=21,K26,0)</f>
        <v>0</v>
      </c>
      <c r="AL26" s="25">
        <v>21</v>
      </c>
      <c r="AM26" s="25">
        <f>H26*0</f>
        <v>0</v>
      </c>
      <c r="AN26" s="25">
        <f>H26*(1-0)</f>
        <v>0</v>
      </c>
      <c r="AO26" s="27" t="s">
        <v>61</v>
      </c>
      <c r="AT26" s="25">
        <f>ROUND(AU26+AV26,2)</f>
        <v>0</v>
      </c>
      <c r="AU26" s="25">
        <f>ROUND(G26*AM26,2)</f>
        <v>0</v>
      </c>
      <c r="AV26" s="25">
        <f>ROUND(G26*AN26,2)</f>
        <v>0</v>
      </c>
      <c r="AW26" s="27" t="s">
        <v>84</v>
      </c>
      <c r="AX26" s="27" t="s">
        <v>63</v>
      </c>
      <c r="AY26" s="10" t="s">
        <v>64</v>
      </c>
      <c r="BA26" s="25">
        <f>AU26+AV26</f>
        <v>0</v>
      </c>
      <c r="BB26" s="25">
        <f>H26/(100-BC26)*100</f>
        <v>0</v>
      </c>
      <c r="BC26" s="25">
        <v>0</v>
      </c>
      <c r="BD26" s="25">
        <f>M26</f>
        <v>6.5159999999999996E-2</v>
      </c>
      <c r="BF26" s="25">
        <f>G26*AM26</f>
        <v>0</v>
      </c>
      <c r="BG26" s="25">
        <f>G26*AN26</f>
        <v>0</v>
      </c>
      <c r="BH26" s="25">
        <f>G26*H26</f>
        <v>0</v>
      </c>
      <c r="BI26" s="27" t="s">
        <v>65</v>
      </c>
      <c r="BJ26" s="25">
        <v>713</v>
      </c>
      <c r="BU26" s="25" t="e">
        <f>#REF!</f>
        <v>#REF!</v>
      </c>
      <c r="BV26" s="4" t="s">
        <v>89</v>
      </c>
    </row>
    <row r="27" spans="1:74" ht="14.4" x14ac:dyDescent="0.3">
      <c r="A27" s="28"/>
      <c r="D27" s="29" t="s">
        <v>75</v>
      </c>
      <c r="E27" s="29" t="s">
        <v>85</v>
      </c>
      <c r="G27" s="30">
        <v>6.1</v>
      </c>
      <c r="H27" s="63"/>
      <c r="N27" s="31"/>
    </row>
    <row r="28" spans="1:74" ht="14.4" x14ac:dyDescent="0.3">
      <c r="A28" s="28"/>
      <c r="D28" s="29" t="s">
        <v>77</v>
      </c>
      <c r="E28" s="29" t="s">
        <v>86</v>
      </c>
      <c r="G28" s="30">
        <v>5.9</v>
      </c>
      <c r="H28" s="63"/>
      <c r="N28" s="31"/>
    </row>
    <row r="29" spans="1:74" ht="14.4" x14ac:dyDescent="0.3">
      <c r="A29" s="2" t="s">
        <v>90</v>
      </c>
      <c r="B29" s="3" t="s">
        <v>53</v>
      </c>
      <c r="C29" s="3" t="s">
        <v>91</v>
      </c>
      <c r="D29" s="112" t="s">
        <v>92</v>
      </c>
      <c r="E29" s="109"/>
      <c r="F29" s="3" t="s">
        <v>60</v>
      </c>
      <c r="G29" s="25">
        <v>50.1</v>
      </c>
      <c r="H29" s="62"/>
      <c r="I29" s="25">
        <f>ROUND(G29*AM29,2)</f>
        <v>0</v>
      </c>
      <c r="J29" s="25">
        <f>ROUND(G29*AN29,2)</f>
        <v>0</v>
      </c>
      <c r="K29" s="25">
        <f>ROUND(G29*H29,2)</f>
        <v>0</v>
      </c>
      <c r="L29" s="25">
        <v>5.4299999999999999E-3</v>
      </c>
      <c r="M29" s="25">
        <f>G29*L29</f>
        <v>0.27204299999999998</v>
      </c>
      <c r="N29" s="26"/>
      <c r="X29" s="25">
        <f>ROUND(IF(AO29="5",BH29,0),2)</f>
        <v>0</v>
      </c>
      <c r="Z29" s="25">
        <f>ROUND(IF(AO29="1",BF29,0),2)</f>
        <v>0</v>
      </c>
      <c r="AA29" s="25">
        <f>ROUND(IF(AO29="1",BG29,0),2)</f>
        <v>0</v>
      </c>
      <c r="AB29" s="25">
        <f>ROUND(IF(AO29="7",BF29,0),2)</f>
        <v>0</v>
      </c>
      <c r="AC29" s="25">
        <f>ROUND(IF(AO29="7",BG29,0),2)</f>
        <v>0</v>
      </c>
      <c r="AD29" s="25">
        <f>ROUND(IF(AO29="2",BF29,0),2)</f>
        <v>0</v>
      </c>
      <c r="AE29" s="25">
        <f>ROUND(IF(AO29="2",BG29,0),2)</f>
        <v>0</v>
      </c>
      <c r="AF29" s="25">
        <f>ROUND(IF(AO29="0",BH29,0),2)</f>
        <v>0</v>
      </c>
      <c r="AG29" s="10" t="s">
        <v>53</v>
      </c>
      <c r="AH29" s="25">
        <f>IF(AL29=0,K29,0)</f>
        <v>0</v>
      </c>
      <c r="AI29" s="25">
        <f>IF(AL29=12,K29,0)</f>
        <v>0</v>
      </c>
      <c r="AJ29" s="25">
        <f>IF(AL29=21,K29,0)</f>
        <v>0</v>
      </c>
      <c r="AL29" s="25">
        <v>21</v>
      </c>
      <c r="AM29" s="25">
        <f>H29*0</f>
        <v>0</v>
      </c>
      <c r="AN29" s="25">
        <f>H29*(1-0)</f>
        <v>0</v>
      </c>
      <c r="AO29" s="27" t="s">
        <v>61</v>
      </c>
      <c r="AT29" s="25">
        <f>ROUND(AU29+AV29,2)</f>
        <v>0</v>
      </c>
      <c r="AU29" s="25">
        <f>ROUND(G29*AM29,2)</f>
        <v>0</v>
      </c>
      <c r="AV29" s="25">
        <f>ROUND(G29*AN29,2)</f>
        <v>0</v>
      </c>
      <c r="AW29" s="27" t="s">
        <v>84</v>
      </c>
      <c r="AX29" s="27" t="s">
        <v>63</v>
      </c>
      <c r="AY29" s="10" t="s">
        <v>64</v>
      </c>
      <c r="BA29" s="25">
        <f>AU29+AV29</f>
        <v>0</v>
      </c>
      <c r="BB29" s="25">
        <f>H29/(100-BC29)*100</f>
        <v>0</v>
      </c>
      <c r="BC29" s="25">
        <v>0</v>
      </c>
      <c r="BD29" s="25">
        <f>M29</f>
        <v>0.27204299999999998</v>
      </c>
      <c r="BF29" s="25">
        <f>G29*AM29</f>
        <v>0</v>
      </c>
      <c r="BG29" s="25">
        <f>G29*AN29</f>
        <v>0</v>
      </c>
      <c r="BH29" s="25">
        <f>G29*H29</f>
        <v>0</v>
      </c>
      <c r="BI29" s="27" t="s">
        <v>65</v>
      </c>
      <c r="BJ29" s="25">
        <v>713</v>
      </c>
      <c r="BU29" s="25" t="e">
        <f>#REF!</f>
        <v>#REF!</v>
      </c>
      <c r="BV29" s="4" t="s">
        <v>92</v>
      </c>
    </row>
    <row r="30" spans="1:74" ht="14.4" x14ac:dyDescent="0.3">
      <c r="A30" s="28"/>
      <c r="D30" s="29" t="s">
        <v>93</v>
      </c>
      <c r="E30" s="29" t="s">
        <v>86</v>
      </c>
      <c r="G30" s="30">
        <v>22.9</v>
      </c>
      <c r="H30" s="63"/>
      <c r="N30" s="31"/>
    </row>
    <row r="31" spans="1:74" ht="14.4" x14ac:dyDescent="0.3">
      <c r="A31" s="28"/>
      <c r="D31" s="29" t="s">
        <v>94</v>
      </c>
      <c r="E31" s="29" t="s">
        <v>85</v>
      </c>
      <c r="G31" s="30">
        <v>27.2</v>
      </c>
      <c r="H31" s="63"/>
      <c r="N31" s="31"/>
    </row>
    <row r="32" spans="1:74" ht="14.4" x14ac:dyDescent="0.3">
      <c r="A32" s="21" t="s">
        <v>52</v>
      </c>
      <c r="B32" s="22" t="s">
        <v>53</v>
      </c>
      <c r="C32" s="22" t="s">
        <v>95</v>
      </c>
      <c r="D32" s="170" t="s">
        <v>96</v>
      </c>
      <c r="E32" s="171"/>
      <c r="F32" s="23" t="s">
        <v>32</v>
      </c>
      <c r="G32" s="23" t="s">
        <v>32</v>
      </c>
      <c r="H32" s="64"/>
      <c r="I32" s="1">
        <f>SUM(I33:I33)</f>
        <v>0</v>
      </c>
      <c r="J32" s="1">
        <f>SUM(J33:J33)</f>
        <v>0</v>
      </c>
      <c r="K32" s="1">
        <f>SUM(K33:K33)</f>
        <v>0</v>
      </c>
      <c r="L32" s="10" t="s">
        <v>52</v>
      </c>
      <c r="M32" s="1">
        <f>SUM(M33:M33)</f>
        <v>0</v>
      </c>
      <c r="N32" s="24"/>
      <c r="AG32" s="10" t="s">
        <v>53</v>
      </c>
      <c r="AQ32" s="1">
        <f>SUM(AH33:AH33)</f>
        <v>0</v>
      </c>
      <c r="AR32" s="1">
        <f>SUM(AI33:AI33)</f>
        <v>0</v>
      </c>
      <c r="AS32" s="1">
        <f>SUM(AJ33:AJ33)</f>
        <v>0</v>
      </c>
    </row>
    <row r="33" spans="1:74" ht="26.4" x14ac:dyDescent="0.3">
      <c r="A33" s="2" t="s">
        <v>97</v>
      </c>
      <c r="B33" s="3" t="s">
        <v>53</v>
      </c>
      <c r="C33" s="3" t="s">
        <v>98</v>
      </c>
      <c r="D33" s="112" t="s">
        <v>3569</v>
      </c>
      <c r="E33" s="109"/>
      <c r="F33" s="3" t="s">
        <v>100</v>
      </c>
      <c r="G33" s="25">
        <v>24</v>
      </c>
      <c r="H33" s="62"/>
      <c r="I33" s="25">
        <f>ROUND(G33*AM33,2)</f>
        <v>0</v>
      </c>
      <c r="J33" s="25">
        <f>ROUND(G33*AN33,2)</f>
        <v>0</v>
      </c>
      <c r="K33" s="25">
        <f>ROUND(G33*H33,2)</f>
        <v>0</v>
      </c>
      <c r="L33" s="25">
        <v>0</v>
      </c>
      <c r="M33" s="25">
        <f>G33*L33</f>
        <v>0</v>
      </c>
      <c r="N33" s="26"/>
      <c r="X33" s="25">
        <f>ROUND(IF(AO33="5",BH33,0),2)</f>
        <v>0</v>
      </c>
      <c r="Z33" s="25">
        <f>ROUND(IF(AO33="1",BF33,0),2)</f>
        <v>0</v>
      </c>
      <c r="AA33" s="25">
        <f>ROUND(IF(AO33="1",BG33,0),2)</f>
        <v>0</v>
      </c>
      <c r="AB33" s="25">
        <f>ROUND(IF(AO33="7",BF33,0),2)</f>
        <v>0</v>
      </c>
      <c r="AC33" s="25">
        <f>ROUND(IF(AO33="7",BG33,0),2)</f>
        <v>0</v>
      </c>
      <c r="AD33" s="25">
        <f>ROUND(IF(AO33="2",BF33,0),2)</f>
        <v>0</v>
      </c>
      <c r="AE33" s="25">
        <f>ROUND(IF(AO33="2",BG33,0),2)</f>
        <v>0</v>
      </c>
      <c r="AF33" s="25">
        <f>ROUND(IF(AO33="0",BH33,0),2)</f>
        <v>0</v>
      </c>
      <c r="AG33" s="10" t="s">
        <v>53</v>
      </c>
      <c r="AH33" s="25">
        <f>IF(AL33=0,K33,0)</f>
        <v>0</v>
      </c>
      <c r="AI33" s="25">
        <f>IF(AL33=12,K33,0)</f>
        <v>0</v>
      </c>
      <c r="AJ33" s="25">
        <f>IF(AL33=21,K33,0)</f>
        <v>0</v>
      </c>
      <c r="AL33" s="25">
        <v>21</v>
      </c>
      <c r="AM33" s="25">
        <f>H33*0</f>
        <v>0</v>
      </c>
      <c r="AN33" s="25">
        <f>H33*(1-0)</f>
        <v>0</v>
      </c>
      <c r="AO33" s="27" t="s">
        <v>61</v>
      </c>
      <c r="AT33" s="25">
        <f>ROUND(AU33+AV33,2)</f>
        <v>0</v>
      </c>
      <c r="AU33" s="25">
        <f>ROUND(G33*AM33,2)</f>
        <v>0</v>
      </c>
      <c r="AV33" s="25">
        <f>ROUND(G33*AN33,2)</f>
        <v>0</v>
      </c>
      <c r="AW33" s="27" t="s">
        <v>101</v>
      </c>
      <c r="AX33" s="27" t="s">
        <v>102</v>
      </c>
      <c r="AY33" s="10" t="s">
        <v>64</v>
      </c>
      <c r="BA33" s="25">
        <f>AU33+AV33</f>
        <v>0</v>
      </c>
      <c r="BB33" s="25">
        <f>H33/(100-BC33)*100</f>
        <v>0</v>
      </c>
      <c r="BC33" s="25">
        <v>0</v>
      </c>
      <c r="BD33" s="25">
        <f>M33</f>
        <v>0</v>
      </c>
      <c r="BF33" s="25">
        <f>G33*AM33</f>
        <v>0</v>
      </c>
      <c r="BG33" s="25">
        <f>G33*AN33</f>
        <v>0</v>
      </c>
      <c r="BH33" s="25">
        <f>G33*H33</f>
        <v>0</v>
      </c>
      <c r="BI33" s="27" t="s">
        <v>65</v>
      </c>
      <c r="BJ33" s="25">
        <v>725</v>
      </c>
      <c r="BU33" s="25" t="e">
        <f>#REF!</f>
        <v>#REF!</v>
      </c>
      <c r="BV33" s="4" t="s">
        <v>99</v>
      </c>
    </row>
    <row r="34" spans="1:74" ht="14.4" x14ac:dyDescent="0.3">
      <c r="A34" s="28"/>
      <c r="D34" s="29" t="s">
        <v>103</v>
      </c>
      <c r="E34" s="29" t="s">
        <v>52</v>
      </c>
      <c r="G34" s="30">
        <v>24</v>
      </c>
      <c r="H34" s="63"/>
      <c r="N34" s="31"/>
    </row>
    <row r="35" spans="1:74" ht="14.4" x14ac:dyDescent="0.3">
      <c r="A35" s="21" t="s">
        <v>52</v>
      </c>
      <c r="B35" s="22" t="s">
        <v>53</v>
      </c>
      <c r="C35" s="22" t="s">
        <v>104</v>
      </c>
      <c r="D35" s="170" t="s">
        <v>105</v>
      </c>
      <c r="E35" s="171"/>
      <c r="F35" s="23" t="s">
        <v>32</v>
      </c>
      <c r="G35" s="23" t="s">
        <v>32</v>
      </c>
      <c r="H35" s="64"/>
      <c r="I35" s="1">
        <f>SUM(I36:I38)</f>
        <v>0</v>
      </c>
      <c r="J35" s="1">
        <f>SUM(J36:J38)</f>
        <v>0</v>
      </c>
      <c r="K35" s="1">
        <f>SUM(K36:K38)</f>
        <v>0</v>
      </c>
      <c r="L35" s="10" t="s">
        <v>52</v>
      </c>
      <c r="M35" s="1">
        <f>SUM(M36:M38)</f>
        <v>3.2277400000000005E-2</v>
      </c>
      <c r="N35" s="24"/>
      <c r="AG35" s="10" t="s">
        <v>53</v>
      </c>
      <c r="AQ35" s="1">
        <f>SUM(AH36:AH38)</f>
        <v>0</v>
      </c>
      <c r="AR35" s="1">
        <f>SUM(AI36:AI38)</f>
        <v>0</v>
      </c>
      <c r="AS35" s="1">
        <f>SUM(AJ36:AJ38)</f>
        <v>0</v>
      </c>
    </row>
    <row r="36" spans="1:74" ht="14.4" x14ac:dyDescent="0.3">
      <c r="A36" s="2" t="s">
        <v>106</v>
      </c>
      <c r="B36" s="3" t="s">
        <v>53</v>
      </c>
      <c r="C36" s="3" t="s">
        <v>107</v>
      </c>
      <c r="D36" s="112" t="s">
        <v>108</v>
      </c>
      <c r="E36" s="109"/>
      <c r="F36" s="3" t="s">
        <v>60</v>
      </c>
      <c r="G36" s="25">
        <v>8.9700000000000006</v>
      </c>
      <c r="H36" s="62"/>
      <c r="I36" s="25">
        <f>ROUND(G36*AM36,2)</f>
        <v>0</v>
      </c>
      <c r="J36" s="25">
        <f>ROUND(G36*AN36,2)</f>
        <v>0</v>
      </c>
      <c r="K36" s="25">
        <f>ROUND(G36*H36,2)</f>
        <v>0</v>
      </c>
      <c r="L36" s="25">
        <v>3.5000000000000001E-3</v>
      </c>
      <c r="M36" s="25">
        <f>G36*L36</f>
        <v>3.1395000000000006E-2</v>
      </c>
      <c r="N36" s="26"/>
      <c r="X36" s="25">
        <f>ROUND(IF(AO36="5",BH36,0),2)</f>
        <v>0</v>
      </c>
      <c r="Z36" s="25">
        <f>ROUND(IF(AO36="1",BF36,0),2)</f>
        <v>0</v>
      </c>
      <c r="AA36" s="25">
        <f>ROUND(IF(AO36="1",BG36,0),2)</f>
        <v>0</v>
      </c>
      <c r="AB36" s="25">
        <f>ROUND(IF(AO36="7",BF36,0),2)</f>
        <v>0</v>
      </c>
      <c r="AC36" s="25">
        <f>ROUND(IF(AO36="7",BG36,0),2)</f>
        <v>0</v>
      </c>
      <c r="AD36" s="25">
        <f>ROUND(IF(AO36="2",BF36,0),2)</f>
        <v>0</v>
      </c>
      <c r="AE36" s="25">
        <f>ROUND(IF(AO36="2",BG36,0),2)</f>
        <v>0</v>
      </c>
      <c r="AF36" s="25">
        <f>ROUND(IF(AO36="0",BH36,0),2)</f>
        <v>0</v>
      </c>
      <c r="AG36" s="10" t="s">
        <v>53</v>
      </c>
      <c r="AH36" s="25">
        <f>IF(AL36=0,K36,0)</f>
        <v>0</v>
      </c>
      <c r="AI36" s="25">
        <f>IF(AL36=12,K36,0)</f>
        <v>0</v>
      </c>
      <c r="AJ36" s="25">
        <f>IF(AL36=21,K36,0)</f>
        <v>0</v>
      </c>
      <c r="AL36" s="25">
        <v>21</v>
      </c>
      <c r="AM36" s="25">
        <f>H36*0</f>
        <v>0</v>
      </c>
      <c r="AN36" s="25">
        <f>H36*(1-0)</f>
        <v>0</v>
      </c>
      <c r="AO36" s="27" t="s">
        <v>61</v>
      </c>
      <c r="AT36" s="25">
        <f>ROUND(AU36+AV36,2)</f>
        <v>0</v>
      </c>
      <c r="AU36" s="25">
        <f>ROUND(G36*AM36,2)</f>
        <v>0</v>
      </c>
      <c r="AV36" s="25">
        <f>ROUND(G36*AN36,2)</f>
        <v>0</v>
      </c>
      <c r="AW36" s="27" t="s">
        <v>109</v>
      </c>
      <c r="AX36" s="27" t="s">
        <v>110</v>
      </c>
      <c r="AY36" s="10" t="s">
        <v>64</v>
      </c>
      <c r="BA36" s="25">
        <f>AU36+AV36</f>
        <v>0</v>
      </c>
      <c r="BB36" s="25">
        <f>H36/(100-BC36)*100</f>
        <v>0</v>
      </c>
      <c r="BC36" s="25">
        <v>0</v>
      </c>
      <c r="BD36" s="25">
        <f>M36</f>
        <v>3.1395000000000006E-2</v>
      </c>
      <c r="BF36" s="25">
        <f>G36*AM36</f>
        <v>0</v>
      </c>
      <c r="BG36" s="25">
        <f>G36*AN36</f>
        <v>0</v>
      </c>
      <c r="BH36" s="25">
        <f>G36*H36</f>
        <v>0</v>
      </c>
      <c r="BI36" s="27" t="s">
        <v>65</v>
      </c>
      <c r="BJ36" s="25">
        <v>776</v>
      </c>
      <c r="BU36" s="25" t="e">
        <f>#REF!</f>
        <v>#REF!</v>
      </c>
      <c r="BV36" s="4" t="s">
        <v>108</v>
      </c>
    </row>
    <row r="37" spans="1:74" ht="14.4" x14ac:dyDescent="0.3">
      <c r="A37" s="28"/>
      <c r="D37" s="29" t="s">
        <v>111</v>
      </c>
      <c r="E37" s="29" t="s">
        <v>112</v>
      </c>
      <c r="G37" s="30">
        <v>8.9700000000000006</v>
      </c>
      <c r="H37" s="63"/>
      <c r="N37" s="31"/>
    </row>
    <row r="38" spans="1:74" ht="14.4" x14ac:dyDescent="0.3">
      <c r="A38" s="2" t="s">
        <v>61</v>
      </c>
      <c r="B38" s="3" t="s">
        <v>53</v>
      </c>
      <c r="C38" s="3" t="s">
        <v>113</v>
      </c>
      <c r="D38" s="112" t="s">
        <v>114</v>
      </c>
      <c r="E38" s="109"/>
      <c r="F38" s="3" t="s">
        <v>115</v>
      </c>
      <c r="G38" s="25">
        <v>11.03</v>
      </c>
      <c r="H38" s="62"/>
      <c r="I38" s="25">
        <f>ROUND(G38*AM38,2)</f>
        <v>0</v>
      </c>
      <c r="J38" s="25">
        <f>ROUND(G38*AN38,2)</f>
        <v>0</v>
      </c>
      <c r="K38" s="25">
        <f>ROUND(G38*H38,2)</f>
        <v>0</v>
      </c>
      <c r="L38" s="25">
        <v>8.0000000000000007E-5</v>
      </c>
      <c r="M38" s="25">
        <f>G38*L38</f>
        <v>8.8239999999999998E-4</v>
      </c>
      <c r="N38" s="26"/>
      <c r="X38" s="25">
        <f>ROUND(IF(AO38="5",BH38,0),2)</f>
        <v>0</v>
      </c>
      <c r="Z38" s="25">
        <f>ROUND(IF(AO38="1",BF38,0),2)</f>
        <v>0</v>
      </c>
      <c r="AA38" s="25">
        <f>ROUND(IF(AO38="1",BG38,0),2)</f>
        <v>0</v>
      </c>
      <c r="AB38" s="25">
        <f>ROUND(IF(AO38="7",BF38,0),2)</f>
        <v>0</v>
      </c>
      <c r="AC38" s="25">
        <f>ROUND(IF(AO38="7",BG38,0),2)</f>
        <v>0</v>
      </c>
      <c r="AD38" s="25">
        <f>ROUND(IF(AO38="2",BF38,0),2)</f>
        <v>0</v>
      </c>
      <c r="AE38" s="25">
        <f>ROUND(IF(AO38="2",BG38,0),2)</f>
        <v>0</v>
      </c>
      <c r="AF38" s="25">
        <f>ROUND(IF(AO38="0",BH38,0),2)</f>
        <v>0</v>
      </c>
      <c r="AG38" s="10" t="s">
        <v>53</v>
      </c>
      <c r="AH38" s="25">
        <f>IF(AL38=0,K38,0)</f>
        <v>0</v>
      </c>
      <c r="AI38" s="25">
        <f>IF(AL38=12,K38,0)</f>
        <v>0</v>
      </c>
      <c r="AJ38" s="25">
        <f>IF(AL38=21,K38,0)</f>
        <v>0</v>
      </c>
      <c r="AL38" s="25">
        <v>21</v>
      </c>
      <c r="AM38" s="25">
        <f>H38*0</f>
        <v>0</v>
      </c>
      <c r="AN38" s="25">
        <f>H38*(1-0)</f>
        <v>0</v>
      </c>
      <c r="AO38" s="27" t="s">
        <v>61</v>
      </c>
      <c r="AT38" s="25">
        <f>ROUND(AU38+AV38,2)</f>
        <v>0</v>
      </c>
      <c r="AU38" s="25">
        <f>ROUND(G38*AM38,2)</f>
        <v>0</v>
      </c>
      <c r="AV38" s="25">
        <f>ROUND(G38*AN38,2)</f>
        <v>0</v>
      </c>
      <c r="AW38" s="27" t="s">
        <v>109</v>
      </c>
      <c r="AX38" s="27" t="s">
        <v>110</v>
      </c>
      <c r="AY38" s="10" t="s">
        <v>64</v>
      </c>
      <c r="BA38" s="25">
        <f>AU38+AV38</f>
        <v>0</v>
      </c>
      <c r="BB38" s="25">
        <f>H38/(100-BC38)*100</f>
        <v>0</v>
      </c>
      <c r="BC38" s="25">
        <v>0</v>
      </c>
      <c r="BD38" s="25">
        <f>M38</f>
        <v>8.8239999999999998E-4</v>
      </c>
      <c r="BF38" s="25">
        <f>G38*AM38</f>
        <v>0</v>
      </c>
      <c r="BG38" s="25">
        <f>G38*AN38</f>
        <v>0</v>
      </c>
      <c r="BH38" s="25">
        <f>G38*H38</f>
        <v>0</v>
      </c>
      <c r="BI38" s="27" t="s">
        <v>65</v>
      </c>
      <c r="BJ38" s="25">
        <v>776</v>
      </c>
      <c r="BU38" s="25" t="e">
        <f>#REF!</f>
        <v>#REF!</v>
      </c>
      <c r="BV38" s="4" t="s">
        <v>114</v>
      </c>
    </row>
    <row r="39" spans="1:74" ht="14.4" x14ac:dyDescent="0.3">
      <c r="A39" s="28"/>
      <c r="D39" s="29" t="s">
        <v>116</v>
      </c>
      <c r="E39" s="29" t="s">
        <v>52</v>
      </c>
      <c r="G39" s="30">
        <v>11.03</v>
      </c>
      <c r="H39" s="63"/>
      <c r="N39" s="31"/>
    </row>
    <row r="40" spans="1:74" ht="14.4" x14ac:dyDescent="0.3">
      <c r="A40" s="21" t="s">
        <v>52</v>
      </c>
      <c r="B40" s="22" t="s">
        <v>53</v>
      </c>
      <c r="C40" s="22" t="s">
        <v>117</v>
      </c>
      <c r="D40" s="170" t="s">
        <v>118</v>
      </c>
      <c r="E40" s="171"/>
      <c r="F40" s="23" t="s">
        <v>32</v>
      </c>
      <c r="G40" s="23" t="s">
        <v>32</v>
      </c>
      <c r="H40" s="64"/>
      <c r="I40" s="1">
        <f>SUM(I41:I97)</f>
        <v>0</v>
      </c>
      <c r="J40" s="1">
        <f>SUM(J41:J97)</f>
        <v>0</v>
      </c>
      <c r="K40" s="1">
        <f>SUM(K41:K97)</f>
        <v>0</v>
      </c>
      <c r="L40" s="10" t="s">
        <v>52</v>
      </c>
      <c r="M40" s="1">
        <f>SUM(M41:M97)</f>
        <v>21.132531980000003</v>
      </c>
      <c r="N40" s="24"/>
      <c r="AG40" s="10" t="s">
        <v>53</v>
      </c>
      <c r="AQ40" s="1">
        <f>SUM(AH41:AH97)</f>
        <v>0</v>
      </c>
      <c r="AR40" s="1">
        <f>SUM(AI41:AI97)</f>
        <v>0</v>
      </c>
      <c r="AS40" s="1">
        <f>SUM(AJ41:AJ97)</f>
        <v>0</v>
      </c>
    </row>
    <row r="41" spans="1:74" ht="14.4" x14ac:dyDescent="0.3">
      <c r="A41" s="2" t="s">
        <v>119</v>
      </c>
      <c r="B41" s="3" t="s">
        <v>53</v>
      </c>
      <c r="C41" s="3" t="s">
        <v>120</v>
      </c>
      <c r="D41" s="112" t="s">
        <v>121</v>
      </c>
      <c r="E41" s="109"/>
      <c r="F41" s="3" t="s">
        <v>122</v>
      </c>
      <c r="G41" s="25">
        <v>2</v>
      </c>
      <c r="H41" s="62"/>
      <c r="I41" s="25">
        <f>ROUND(G41*AM41,2)</f>
        <v>0</v>
      </c>
      <c r="J41" s="25">
        <f>ROUND(G41*AN41,2)</f>
        <v>0</v>
      </c>
      <c r="K41" s="25">
        <f>ROUND(G41*H41,2)</f>
        <v>0</v>
      </c>
      <c r="L41" s="25">
        <v>0</v>
      </c>
      <c r="M41" s="25">
        <f>G41*L41</f>
        <v>0</v>
      </c>
      <c r="N41" s="26"/>
      <c r="X41" s="25">
        <f>ROUND(IF(AO41="5",BH41,0),2)</f>
        <v>0</v>
      </c>
      <c r="Z41" s="25">
        <f>ROUND(IF(AO41="1",BF41,0),2)</f>
        <v>0</v>
      </c>
      <c r="AA41" s="25">
        <f>ROUND(IF(AO41="1",BG41,0),2)</f>
        <v>0</v>
      </c>
      <c r="AB41" s="25">
        <f>ROUND(IF(AO41="7",BF41,0),2)</f>
        <v>0</v>
      </c>
      <c r="AC41" s="25">
        <f>ROUND(IF(AO41="7",BG41,0),2)</f>
        <v>0</v>
      </c>
      <c r="AD41" s="25">
        <f>ROUND(IF(AO41="2",BF41,0),2)</f>
        <v>0</v>
      </c>
      <c r="AE41" s="25">
        <f>ROUND(IF(AO41="2",BG41,0),2)</f>
        <v>0</v>
      </c>
      <c r="AF41" s="25">
        <f>ROUND(IF(AO41="0",BH41,0),2)</f>
        <v>0</v>
      </c>
      <c r="AG41" s="10" t="s">
        <v>53</v>
      </c>
      <c r="AH41" s="25">
        <f>IF(AL41=0,K41,0)</f>
        <v>0</v>
      </c>
      <c r="AI41" s="25">
        <f>IF(AL41=12,K41,0)</f>
        <v>0</v>
      </c>
      <c r="AJ41" s="25">
        <f>IF(AL41=21,K41,0)</f>
        <v>0</v>
      </c>
      <c r="AL41" s="25">
        <v>21</v>
      </c>
      <c r="AM41" s="25">
        <f>H41*0</f>
        <v>0</v>
      </c>
      <c r="AN41" s="25">
        <f>H41*(1-0)</f>
        <v>0</v>
      </c>
      <c r="AO41" s="27" t="s">
        <v>57</v>
      </c>
      <c r="AT41" s="25">
        <f>ROUND(AU41+AV41,2)</f>
        <v>0</v>
      </c>
      <c r="AU41" s="25">
        <f>ROUND(G41*AM41,2)</f>
        <v>0</v>
      </c>
      <c r="AV41" s="25">
        <f>ROUND(G41*AN41,2)</f>
        <v>0</v>
      </c>
      <c r="AW41" s="27" t="s">
        <v>123</v>
      </c>
      <c r="AX41" s="27" t="s">
        <v>124</v>
      </c>
      <c r="AY41" s="10" t="s">
        <v>64</v>
      </c>
      <c r="BA41" s="25">
        <f>AU41+AV41</f>
        <v>0</v>
      </c>
      <c r="BB41" s="25">
        <f>H41/(100-BC41)*100</f>
        <v>0</v>
      </c>
      <c r="BC41" s="25">
        <v>0</v>
      </c>
      <c r="BD41" s="25">
        <f>M41</f>
        <v>0</v>
      </c>
      <c r="BF41" s="25">
        <f>G41*AM41</f>
        <v>0</v>
      </c>
      <c r="BG41" s="25">
        <f>G41*AN41</f>
        <v>0</v>
      </c>
      <c r="BH41" s="25">
        <f>G41*H41</f>
        <v>0</v>
      </c>
      <c r="BI41" s="27" t="s">
        <v>65</v>
      </c>
      <c r="BJ41" s="25">
        <v>96</v>
      </c>
      <c r="BU41" s="25" t="e">
        <f>#REF!</f>
        <v>#REF!</v>
      </c>
      <c r="BV41" s="4" t="s">
        <v>121</v>
      </c>
    </row>
    <row r="42" spans="1:74" ht="14.4" x14ac:dyDescent="0.3">
      <c r="A42" s="28"/>
      <c r="D42" s="29" t="s">
        <v>81</v>
      </c>
      <c r="E42" s="29" t="s">
        <v>125</v>
      </c>
      <c r="G42" s="30">
        <v>2</v>
      </c>
      <c r="H42" s="63"/>
      <c r="N42" s="31"/>
    </row>
    <row r="43" spans="1:74" ht="14.4" x14ac:dyDescent="0.3">
      <c r="A43" s="2" t="s">
        <v>126</v>
      </c>
      <c r="B43" s="3" t="s">
        <v>53</v>
      </c>
      <c r="C43" s="3" t="s">
        <v>127</v>
      </c>
      <c r="D43" s="112" t="s">
        <v>128</v>
      </c>
      <c r="E43" s="109"/>
      <c r="F43" s="3" t="s">
        <v>122</v>
      </c>
      <c r="G43" s="25">
        <v>10</v>
      </c>
      <c r="H43" s="62"/>
      <c r="I43" s="25">
        <f>ROUND(G43*AM43,2)</f>
        <v>0</v>
      </c>
      <c r="J43" s="25">
        <f>ROUND(G43*AN43,2)</f>
        <v>0</v>
      </c>
      <c r="K43" s="25">
        <f>ROUND(G43*H43,2)</f>
        <v>0</v>
      </c>
      <c r="L43" s="25">
        <v>3.7999999999999999E-2</v>
      </c>
      <c r="M43" s="25">
        <f>G43*L43</f>
        <v>0.38</v>
      </c>
      <c r="N43" s="26"/>
      <c r="X43" s="25">
        <f>ROUND(IF(AO43="5",BH43,0),2)</f>
        <v>0</v>
      </c>
      <c r="Z43" s="25">
        <f>ROUND(IF(AO43="1",BF43,0),2)</f>
        <v>0</v>
      </c>
      <c r="AA43" s="25">
        <f>ROUND(IF(AO43="1",BG43,0),2)</f>
        <v>0</v>
      </c>
      <c r="AB43" s="25">
        <f>ROUND(IF(AO43="7",BF43,0),2)</f>
        <v>0</v>
      </c>
      <c r="AC43" s="25">
        <f>ROUND(IF(AO43="7",BG43,0),2)</f>
        <v>0</v>
      </c>
      <c r="AD43" s="25">
        <f>ROUND(IF(AO43="2",BF43,0),2)</f>
        <v>0</v>
      </c>
      <c r="AE43" s="25">
        <f>ROUND(IF(AO43="2",BG43,0),2)</f>
        <v>0</v>
      </c>
      <c r="AF43" s="25">
        <f>ROUND(IF(AO43="0",BH43,0),2)</f>
        <v>0</v>
      </c>
      <c r="AG43" s="10" t="s">
        <v>53</v>
      </c>
      <c r="AH43" s="25">
        <f>IF(AL43=0,K43,0)</f>
        <v>0</v>
      </c>
      <c r="AI43" s="25">
        <f>IF(AL43=12,K43,0)</f>
        <v>0</v>
      </c>
      <c r="AJ43" s="25">
        <f>IF(AL43=21,K43,0)</f>
        <v>0</v>
      </c>
      <c r="AL43" s="25">
        <v>21</v>
      </c>
      <c r="AM43" s="25">
        <f>H43*0</f>
        <v>0</v>
      </c>
      <c r="AN43" s="25">
        <f>H43*(1-0)</f>
        <v>0</v>
      </c>
      <c r="AO43" s="27" t="s">
        <v>57</v>
      </c>
      <c r="AT43" s="25">
        <f>ROUND(AU43+AV43,2)</f>
        <v>0</v>
      </c>
      <c r="AU43" s="25">
        <f>ROUND(G43*AM43,2)</f>
        <v>0</v>
      </c>
      <c r="AV43" s="25">
        <f>ROUND(G43*AN43,2)</f>
        <v>0</v>
      </c>
      <c r="AW43" s="27" t="s">
        <v>123</v>
      </c>
      <c r="AX43" s="27" t="s">
        <v>124</v>
      </c>
      <c r="AY43" s="10" t="s">
        <v>64</v>
      </c>
      <c r="BA43" s="25">
        <f>AU43+AV43</f>
        <v>0</v>
      </c>
      <c r="BB43" s="25">
        <f>H43/(100-BC43)*100</f>
        <v>0</v>
      </c>
      <c r="BC43" s="25">
        <v>0</v>
      </c>
      <c r="BD43" s="25">
        <f>M43</f>
        <v>0.38</v>
      </c>
      <c r="BF43" s="25">
        <f>G43*AM43</f>
        <v>0</v>
      </c>
      <c r="BG43" s="25">
        <f>G43*AN43</f>
        <v>0</v>
      </c>
      <c r="BH43" s="25">
        <f>G43*H43</f>
        <v>0</v>
      </c>
      <c r="BI43" s="27" t="s">
        <v>65</v>
      </c>
      <c r="BJ43" s="25">
        <v>96</v>
      </c>
      <c r="BU43" s="25" t="e">
        <f>#REF!</f>
        <v>#REF!</v>
      </c>
      <c r="BV43" s="4" t="s">
        <v>128</v>
      </c>
    </row>
    <row r="44" spans="1:74" ht="14.4" x14ac:dyDescent="0.3">
      <c r="A44" s="2" t="s">
        <v>129</v>
      </c>
      <c r="B44" s="3" t="s">
        <v>53</v>
      </c>
      <c r="C44" s="3" t="s">
        <v>130</v>
      </c>
      <c r="D44" s="112" t="s">
        <v>131</v>
      </c>
      <c r="E44" s="109"/>
      <c r="F44" s="3" t="s">
        <v>60</v>
      </c>
      <c r="G44" s="25">
        <v>1.78</v>
      </c>
      <c r="H44" s="62"/>
      <c r="I44" s="25">
        <f>ROUND(G44*AM44,2)</f>
        <v>0</v>
      </c>
      <c r="J44" s="25">
        <f>ROUND(G44*AN44,2)</f>
        <v>0</v>
      </c>
      <c r="K44" s="25">
        <f>ROUND(G44*H44,2)</f>
        <v>0</v>
      </c>
      <c r="L44" s="25">
        <v>5.5E-2</v>
      </c>
      <c r="M44" s="25">
        <f>G44*L44</f>
        <v>9.7900000000000001E-2</v>
      </c>
      <c r="N44" s="26"/>
      <c r="X44" s="25">
        <f>ROUND(IF(AO44="5",BH44,0),2)</f>
        <v>0</v>
      </c>
      <c r="Z44" s="25">
        <f>ROUND(IF(AO44="1",BF44,0),2)</f>
        <v>0</v>
      </c>
      <c r="AA44" s="25">
        <f>ROUND(IF(AO44="1",BG44,0),2)</f>
        <v>0</v>
      </c>
      <c r="AB44" s="25">
        <f>ROUND(IF(AO44="7",BF44,0),2)</f>
        <v>0</v>
      </c>
      <c r="AC44" s="25">
        <f>ROUND(IF(AO44="7",BG44,0),2)</f>
        <v>0</v>
      </c>
      <c r="AD44" s="25">
        <f>ROUND(IF(AO44="2",BF44,0),2)</f>
        <v>0</v>
      </c>
      <c r="AE44" s="25">
        <f>ROUND(IF(AO44="2",BG44,0),2)</f>
        <v>0</v>
      </c>
      <c r="AF44" s="25">
        <f>ROUND(IF(AO44="0",BH44,0),2)</f>
        <v>0</v>
      </c>
      <c r="AG44" s="10" t="s">
        <v>53</v>
      </c>
      <c r="AH44" s="25">
        <f>IF(AL44=0,K44,0)</f>
        <v>0</v>
      </c>
      <c r="AI44" s="25">
        <f>IF(AL44=12,K44,0)</f>
        <v>0</v>
      </c>
      <c r="AJ44" s="25">
        <f>IF(AL44=21,K44,0)</f>
        <v>0</v>
      </c>
      <c r="AL44" s="25">
        <v>21</v>
      </c>
      <c r="AM44" s="25">
        <f>H44*0</f>
        <v>0</v>
      </c>
      <c r="AN44" s="25">
        <f>H44*(1-0)</f>
        <v>0</v>
      </c>
      <c r="AO44" s="27" t="s">
        <v>57</v>
      </c>
      <c r="AT44" s="25">
        <f>ROUND(AU44+AV44,2)</f>
        <v>0</v>
      </c>
      <c r="AU44" s="25">
        <f>ROUND(G44*AM44,2)</f>
        <v>0</v>
      </c>
      <c r="AV44" s="25">
        <f>ROUND(G44*AN44,2)</f>
        <v>0</v>
      </c>
      <c r="AW44" s="27" t="s">
        <v>123</v>
      </c>
      <c r="AX44" s="27" t="s">
        <v>124</v>
      </c>
      <c r="AY44" s="10" t="s">
        <v>64</v>
      </c>
      <c r="BA44" s="25">
        <f>AU44+AV44</f>
        <v>0</v>
      </c>
      <c r="BB44" s="25">
        <f>H44/(100-BC44)*100</f>
        <v>0</v>
      </c>
      <c r="BC44" s="25">
        <v>0</v>
      </c>
      <c r="BD44" s="25">
        <f>M44</f>
        <v>9.7900000000000001E-2</v>
      </c>
      <c r="BF44" s="25">
        <f>G44*AM44</f>
        <v>0</v>
      </c>
      <c r="BG44" s="25">
        <f>G44*AN44</f>
        <v>0</v>
      </c>
      <c r="BH44" s="25">
        <f>G44*H44</f>
        <v>0</v>
      </c>
      <c r="BI44" s="27" t="s">
        <v>65</v>
      </c>
      <c r="BJ44" s="25">
        <v>96</v>
      </c>
      <c r="BU44" s="25" t="e">
        <f>#REF!</f>
        <v>#REF!</v>
      </c>
      <c r="BV44" s="4" t="s">
        <v>131</v>
      </c>
    </row>
    <row r="45" spans="1:74" ht="14.4" x14ac:dyDescent="0.3">
      <c r="A45" s="28"/>
      <c r="D45" s="29" t="s">
        <v>132</v>
      </c>
      <c r="E45" s="29" t="s">
        <v>133</v>
      </c>
      <c r="G45" s="30">
        <v>0.36</v>
      </c>
      <c r="H45" s="63"/>
      <c r="N45" s="31"/>
    </row>
    <row r="46" spans="1:74" ht="14.4" x14ac:dyDescent="0.3">
      <c r="A46" s="28"/>
      <c r="D46" s="29" t="s">
        <v>132</v>
      </c>
      <c r="E46" s="29" t="s">
        <v>134</v>
      </c>
      <c r="G46" s="30">
        <v>0.36</v>
      </c>
      <c r="H46" s="63"/>
      <c r="N46" s="31"/>
    </row>
    <row r="47" spans="1:74" ht="14.4" x14ac:dyDescent="0.3">
      <c r="A47" s="28"/>
      <c r="D47" s="29" t="s">
        <v>135</v>
      </c>
      <c r="E47" s="29" t="s">
        <v>136</v>
      </c>
      <c r="G47" s="30">
        <v>0.34</v>
      </c>
      <c r="H47" s="63"/>
      <c r="N47" s="31"/>
    </row>
    <row r="48" spans="1:74" ht="14.4" x14ac:dyDescent="0.3">
      <c r="A48" s="28"/>
      <c r="D48" s="29" t="s">
        <v>137</v>
      </c>
      <c r="E48" s="29" t="s">
        <v>138</v>
      </c>
      <c r="G48" s="30">
        <v>0.36</v>
      </c>
      <c r="H48" s="63"/>
      <c r="N48" s="31"/>
    </row>
    <row r="49" spans="1:74" ht="14.4" x14ac:dyDescent="0.3">
      <c r="A49" s="28"/>
      <c r="D49" s="29" t="s">
        <v>137</v>
      </c>
      <c r="E49" s="29" t="s">
        <v>139</v>
      </c>
      <c r="G49" s="30">
        <v>0.36</v>
      </c>
      <c r="H49" s="63"/>
      <c r="N49" s="31"/>
    </row>
    <row r="50" spans="1:74" ht="14.4" x14ac:dyDescent="0.3">
      <c r="A50" s="2" t="s">
        <v>140</v>
      </c>
      <c r="B50" s="3" t="s">
        <v>53</v>
      </c>
      <c r="C50" s="3" t="s">
        <v>141</v>
      </c>
      <c r="D50" s="112" t="s">
        <v>142</v>
      </c>
      <c r="E50" s="109"/>
      <c r="F50" s="3" t="s">
        <v>115</v>
      </c>
      <c r="G50" s="25">
        <v>15.3</v>
      </c>
      <c r="H50" s="62"/>
      <c r="I50" s="25">
        <f>ROUND(G50*AM50,2)</f>
        <v>0</v>
      </c>
      <c r="J50" s="25">
        <f>ROUND(G50*AN50,2)</f>
        <v>0</v>
      </c>
      <c r="K50" s="25">
        <f>ROUND(G50*H50,2)</f>
        <v>0</v>
      </c>
      <c r="L50" s="25">
        <v>1.0000000000000001E-5</v>
      </c>
      <c r="M50" s="25">
        <f>G50*L50</f>
        <v>1.5300000000000003E-4</v>
      </c>
      <c r="N50" s="26"/>
      <c r="X50" s="25">
        <f>ROUND(IF(AO50="5",BH50,0),2)</f>
        <v>0</v>
      </c>
      <c r="Z50" s="25">
        <f>ROUND(IF(AO50="1",BF50,0),2)</f>
        <v>0</v>
      </c>
      <c r="AA50" s="25">
        <f>ROUND(IF(AO50="1",BG50,0),2)</f>
        <v>0</v>
      </c>
      <c r="AB50" s="25">
        <f>ROUND(IF(AO50="7",BF50,0),2)</f>
        <v>0</v>
      </c>
      <c r="AC50" s="25">
        <f>ROUND(IF(AO50="7",BG50,0),2)</f>
        <v>0</v>
      </c>
      <c r="AD50" s="25">
        <f>ROUND(IF(AO50="2",BF50,0),2)</f>
        <v>0</v>
      </c>
      <c r="AE50" s="25">
        <f>ROUND(IF(AO50="2",BG50,0),2)</f>
        <v>0</v>
      </c>
      <c r="AF50" s="25">
        <f>ROUND(IF(AO50="0",BH50,0),2)</f>
        <v>0</v>
      </c>
      <c r="AG50" s="10" t="s">
        <v>53</v>
      </c>
      <c r="AH50" s="25">
        <f>IF(AL50=0,K50,0)</f>
        <v>0</v>
      </c>
      <c r="AI50" s="25">
        <f>IF(AL50=12,K50,0)</f>
        <v>0</v>
      </c>
      <c r="AJ50" s="25">
        <f>IF(AL50=21,K50,0)</f>
        <v>0</v>
      </c>
      <c r="AL50" s="25">
        <v>21</v>
      </c>
      <c r="AM50" s="25">
        <f>H50*0.498699651</f>
        <v>0</v>
      </c>
      <c r="AN50" s="25">
        <f>H50*(1-0.498699651)</f>
        <v>0</v>
      </c>
      <c r="AO50" s="27" t="s">
        <v>57</v>
      </c>
      <c r="AT50" s="25">
        <f>ROUND(AU50+AV50,2)</f>
        <v>0</v>
      </c>
      <c r="AU50" s="25">
        <f>ROUND(G50*AM50,2)</f>
        <v>0</v>
      </c>
      <c r="AV50" s="25">
        <f>ROUND(G50*AN50,2)</f>
        <v>0</v>
      </c>
      <c r="AW50" s="27" t="s">
        <v>123</v>
      </c>
      <c r="AX50" s="27" t="s">
        <v>124</v>
      </c>
      <c r="AY50" s="10" t="s">
        <v>64</v>
      </c>
      <c r="BA50" s="25">
        <f>AU50+AV50</f>
        <v>0</v>
      </c>
      <c r="BB50" s="25">
        <f>H50/(100-BC50)*100</f>
        <v>0</v>
      </c>
      <c r="BC50" s="25">
        <v>0</v>
      </c>
      <c r="BD50" s="25">
        <f>M50</f>
        <v>1.5300000000000003E-4</v>
      </c>
      <c r="BF50" s="25">
        <f>G50*AM50</f>
        <v>0</v>
      </c>
      <c r="BG50" s="25">
        <f>G50*AN50</f>
        <v>0</v>
      </c>
      <c r="BH50" s="25">
        <f>G50*H50</f>
        <v>0</v>
      </c>
      <c r="BI50" s="27" t="s">
        <v>65</v>
      </c>
      <c r="BJ50" s="25">
        <v>96</v>
      </c>
      <c r="BU50" s="25" t="e">
        <f>#REF!</f>
        <v>#REF!</v>
      </c>
      <c r="BV50" s="4" t="s">
        <v>142</v>
      </c>
    </row>
    <row r="51" spans="1:74" ht="14.4" x14ac:dyDescent="0.3">
      <c r="A51" s="28"/>
      <c r="D51" s="29" t="s">
        <v>143</v>
      </c>
      <c r="E51" s="29" t="s">
        <v>69</v>
      </c>
      <c r="G51" s="30">
        <v>7.3</v>
      </c>
      <c r="H51" s="63"/>
      <c r="N51" s="31"/>
    </row>
    <row r="52" spans="1:74" ht="14.4" x14ac:dyDescent="0.3">
      <c r="A52" s="28"/>
      <c r="D52" s="29" t="s">
        <v>144</v>
      </c>
      <c r="E52" s="29" t="s">
        <v>70</v>
      </c>
      <c r="G52" s="30">
        <v>8</v>
      </c>
      <c r="H52" s="63"/>
      <c r="N52" s="31"/>
    </row>
    <row r="53" spans="1:74" ht="14.4" x14ac:dyDescent="0.3">
      <c r="A53" s="2" t="s">
        <v>145</v>
      </c>
      <c r="B53" s="3" t="s">
        <v>53</v>
      </c>
      <c r="C53" s="3" t="s">
        <v>146</v>
      </c>
      <c r="D53" s="112" t="s">
        <v>147</v>
      </c>
      <c r="E53" s="109"/>
      <c r="F53" s="3" t="s">
        <v>148</v>
      </c>
      <c r="G53" s="25">
        <v>0.89</v>
      </c>
      <c r="H53" s="62"/>
      <c r="I53" s="25">
        <f>ROUND(G53*AM53,2)</f>
        <v>0</v>
      </c>
      <c r="J53" s="25">
        <f>ROUND(G53*AN53,2)</f>
        <v>0</v>
      </c>
      <c r="K53" s="25">
        <f>ROUND(G53*H53,2)</f>
        <v>0</v>
      </c>
      <c r="L53" s="25">
        <v>2.2000000000000002</v>
      </c>
      <c r="M53" s="25">
        <f>G53*L53</f>
        <v>1.9580000000000002</v>
      </c>
      <c r="N53" s="26"/>
      <c r="X53" s="25">
        <f>ROUND(IF(AO53="5",BH53,0),2)</f>
        <v>0</v>
      </c>
      <c r="Z53" s="25">
        <f>ROUND(IF(AO53="1",BF53,0),2)</f>
        <v>0</v>
      </c>
      <c r="AA53" s="25">
        <f>ROUND(IF(AO53="1",BG53,0),2)</f>
        <v>0</v>
      </c>
      <c r="AB53" s="25">
        <f>ROUND(IF(AO53="7",BF53,0),2)</f>
        <v>0</v>
      </c>
      <c r="AC53" s="25">
        <f>ROUND(IF(AO53="7",BG53,0),2)</f>
        <v>0</v>
      </c>
      <c r="AD53" s="25">
        <f>ROUND(IF(AO53="2",BF53,0),2)</f>
        <v>0</v>
      </c>
      <c r="AE53" s="25">
        <f>ROUND(IF(AO53="2",BG53,0),2)</f>
        <v>0</v>
      </c>
      <c r="AF53" s="25">
        <f>ROUND(IF(AO53="0",BH53,0),2)</f>
        <v>0</v>
      </c>
      <c r="AG53" s="10" t="s">
        <v>53</v>
      </c>
      <c r="AH53" s="25">
        <f>IF(AL53=0,K53,0)</f>
        <v>0</v>
      </c>
      <c r="AI53" s="25">
        <f>IF(AL53=12,K53,0)</f>
        <v>0</v>
      </c>
      <c r="AJ53" s="25">
        <f>IF(AL53=21,K53,0)</f>
        <v>0</v>
      </c>
      <c r="AL53" s="25">
        <v>21</v>
      </c>
      <c r="AM53" s="25">
        <f>H53*0</f>
        <v>0</v>
      </c>
      <c r="AN53" s="25">
        <f>H53*(1-0)</f>
        <v>0</v>
      </c>
      <c r="AO53" s="27" t="s">
        <v>57</v>
      </c>
      <c r="AT53" s="25">
        <f>ROUND(AU53+AV53,2)</f>
        <v>0</v>
      </c>
      <c r="AU53" s="25">
        <f>ROUND(G53*AM53,2)</f>
        <v>0</v>
      </c>
      <c r="AV53" s="25">
        <f>ROUND(G53*AN53,2)</f>
        <v>0</v>
      </c>
      <c r="AW53" s="27" t="s">
        <v>123</v>
      </c>
      <c r="AX53" s="27" t="s">
        <v>124</v>
      </c>
      <c r="AY53" s="10" t="s">
        <v>64</v>
      </c>
      <c r="BA53" s="25">
        <f>AU53+AV53</f>
        <v>0</v>
      </c>
      <c r="BB53" s="25">
        <f>H53/(100-BC53)*100</f>
        <v>0</v>
      </c>
      <c r="BC53" s="25">
        <v>0</v>
      </c>
      <c r="BD53" s="25">
        <f>M53</f>
        <v>1.9580000000000002</v>
      </c>
      <c r="BF53" s="25">
        <f>G53*AM53</f>
        <v>0</v>
      </c>
      <c r="BG53" s="25">
        <f>G53*AN53</f>
        <v>0</v>
      </c>
      <c r="BH53" s="25">
        <f>G53*H53</f>
        <v>0</v>
      </c>
      <c r="BI53" s="27" t="s">
        <v>65</v>
      </c>
      <c r="BJ53" s="25">
        <v>96</v>
      </c>
      <c r="BU53" s="25" t="e">
        <f>#REF!</f>
        <v>#REF!</v>
      </c>
      <c r="BV53" s="4" t="s">
        <v>147</v>
      </c>
    </row>
    <row r="54" spans="1:74" ht="14.4" x14ac:dyDescent="0.3">
      <c r="A54" s="28"/>
      <c r="D54" s="29" t="s">
        <v>149</v>
      </c>
      <c r="E54" s="29" t="s">
        <v>69</v>
      </c>
      <c r="G54" s="30">
        <v>0.42499999999999999</v>
      </c>
      <c r="H54" s="63"/>
      <c r="N54" s="31"/>
    </row>
    <row r="55" spans="1:74" ht="14.4" x14ac:dyDescent="0.3">
      <c r="A55" s="28"/>
      <c r="D55" s="29" t="s">
        <v>149</v>
      </c>
      <c r="E55" s="29" t="s">
        <v>70</v>
      </c>
      <c r="G55" s="30">
        <v>0.42499999999999999</v>
      </c>
      <c r="H55" s="63"/>
      <c r="N55" s="31"/>
    </row>
    <row r="56" spans="1:74" ht="14.4" x14ac:dyDescent="0.3">
      <c r="A56" s="28"/>
      <c r="D56" s="29" t="s">
        <v>150</v>
      </c>
      <c r="E56" s="29" t="s">
        <v>72</v>
      </c>
      <c r="G56" s="30">
        <v>0.04</v>
      </c>
      <c r="H56" s="63"/>
      <c r="N56" s="31"/>
    </row>
    <row r="57" spans="1:74" ht="14.4" x14ac:dyDescent="0.3">
      <c r="A57" s="2" t="s">
        <v>151</v>
      </c>
      <c r="B57" s="3" t="s">
        <v>53</v>
      </c>
      <c r="C57" s="3" t="s">
        <v>152</v>
      </c>
      <c r="D57" s="112" t="s">
        <v>153</v>
      </c>
      <c r="E57" s="109"/>
      <c r="F57" s="3" t="s">
        <v>148</v>
      </c>
      <c r="G57" s="25">
        <v>1.7010000000000001</v>
      </c>
      <c r="H57" s="62"/>
      <c r="I57" s="25">
        <f>ROUND(G57*AM57,2)</f>
        <v>0</v>
      </c>
      <c r="J57" s="25">
        <f>ROUND(G57*AN57,2)</f>
        <v>0</v>
      </c>
      <c r="K57" s="25">
        <f>ROUND(G57*H57,2)</f>
        <v>0</v>
      </c>
      <c r="L57" s="25">
        <v>0</v>
      </c>
      <c r="M57" s="25">
        <f>G57*L57</f>
        <v>0</v>
      </c>
      <c r="N57" s="26"/>
      <c r="X57" s="25">
        <f>ROUND(IF(AO57="5",BH57,0),2)</f>
        <v>0</v>
      </c>
      <c r="Z57" s="25">
        <f>ROUND(IF(AO57="1",BF57,0),2)</f>
        <v>0</v>
      </c>
      <c r="AA57" s="25">
        <f>ROUND(IF(AO57="1",BG57,0),2)</f>
        <v>0</v>
      </c>
      <c r="AB57" s="25">
        <f>ROUND(IF(AO57="7",BF57,0),2)</f>
        <v>0</v>
      </c>
      <c r="AC57" s="25">
        <f>ROUND(IF(AO57="7",BG57,0),2)</f>
        <v>0</v>
      </c>
      <c r="AD57" s="25">
        <f>ROUND(IF(AO57="2",BF57,0),2)</f>
        <v>0</v>
      </c>
      <c r="AE57" s="25">
        <f>ROUND(IF(AO57="2",BG57,0),2)</f>
        <v>0</v>
      </c>
      <c r="AF57" s="25">
        <f>ROUND(IF(AO57="0",BH57,0),2)</f>
        <v>0</v>
      </c>
      <c r="AG57" s="10" t="s">
        <v>53</v>
      </c>
      <c r="AH57" s="25">
        <f>IF(AL57=0,K57,0)</f>
        <v>0</v>
      </c>
      <c r="AI57" s="25">
        <f>IF(AL57=12,K57,0)</f>
        <v>0</v>
      </c>
      <c r="AJ57" s="25">
        <f>IF(AL57=21,K57,0)</f>
        <v>0</v>
      </c>
      <c r="AL57" s="25">
        <v>21</v>
      </c>
      <c r="AM57" s="25">
        <f>H57*0</f>
        <v>0</v>
      </c>
      <c r="AN57" s="25">
        <f>H57*(1-0)</f>
        <v>0</v>
      </c>
      <c r="AO57" s="27" t="s">
        <v>57</v>
      </c>
      <c r="AT57" s="25">
        <f>ROUND(AU57+AV57,2)</f>
        <v>0</v>
      </c>
      <c r="AU57" s="25">
        <f>ROUND(G57*AM57,2)</f>
        <v>0</v>
      </c>
      <c r="AV57" s="25">
        <f>ROUND(G57*AN57,2)</f>
        <v>0</v>
      </c>
      <c r="AW57" s="27" t="s">
        <v>123</v>
      </c>
      <c r="AX57" s="27" t="s">
        <v>124</v>
      </c>
      <c r="AY57" s="10" t="s">
        <v>64</v>
      </c>
      <c r="BA57" s="25">
        <f>AU57+AV57</f>
        <v>0</v>
      </c>
      <c r="BB57" s="25">
        <f>H57/(100-BC57)*100</f>
        <v>0</v>
      </c>
      <c r="BC57" s="25">
        <v>0</v>
      </c>
      <c r="BD57" s="25">
        <f>M57</f>
        <v>0</v>
      </c>
      <c r="BF57" s="25">
        <f>G57*AM57</f>
        <v>0</v>
      </c>
      <c r="BG57" s="25">
        <f>G57*AN57</f>
        <v>0</v>
      </c>
      <c r="BH57" s="25">
        <f>G57*H57</f>
        <v>0</v>
      </c>
      <c r="BI57" s="27" t="s">
        <v>65</v>
      </c>
      <c r="BJ57" s="25">
        <v>96</v>
      </c>
      <c r="BU57" s="25" t="e">
        <f>#REF!</f>
        <v>#REF!</v>
      </c>
      <c r="BV57" s="4" t="s">
        <v>153</v>
      </c>
    </row>
    <row r="58" spans="1:74" ht="14.4" x14ac:dyDescent="0.3">
      <c r="A58" s="28"/>
      <c r="D58" s="29" t="s">
        <v>154</v>
      </c>
      <c r="E58" s="29" t="s">
        <v>155</v>
      </c>
      <c r="G58" s="30">
        <v>1.161</v>
      </c>
      <c r="H58" s="63"/>
      <c r="N58" s="31"/>
    </row>
    <row r="59" spans="1:74" ht="14.4" x14ac:dyDescent="0.3">
      <c r="A59" s="28"/>
      <c r="D59" s="29" t="s">
        <v>156</v>
      </c>
      <c r="E59" s="29" t="s">
        <v>157</v>
      </c>
      <c r="G59" s="30">
        <v>0.5</v>
      </c>
      <c r="H59" s="63"/>
      <c r="N59" s="31"/>
    </row>
    <row r="60" spans="1:74" ht="14.4" x14ac:dyDescent="0.3">
      <c r="A60" s="28"/>
      <c r="D60" s="29" t="s">
        <v>150</v>
      </c>
      <c r="E60" s="29" t="s">
        <v>158</v>
      </c>
      <c r="G60" s="30">
        <v>0.04</v>
      </c>
      <c r="H60" s="63"/>
      <c r="N60" s="31"/>
    </row>
    <row r="61" spans="1:74" ht="14.4" x14ac:dyDescent="0.3">
      <c r="A61" s="2" t="s">
        <v>159</v>
      </c>
      <c r="B61" s="3" t="s">
        <v>53</v>
      </c>
      <c r="C61" s="3" t="s">
        <v>160</v>
      </c>
      <c r="D61" s="112" t="s">
        <v>161</v>
      </c>
      <c r="E61" s="109"/>
      <c r="F61" s="3" t="s">
        <v>148</v>
      </c>
      <c r="G61" s="25">
        <v>0.93100000000000005</v>
      </c>
      <c r="H61" s="62"/>
      <c r="I61" s="25">
        <f>ROUND(G61*AM61,2)</f>
        <v>0</v>
      </c>
      <c r="J61" s="25">
        <f>ROUND(G61*AN61,2)</f>
        <v>0</v>
      </c>
      <c r="K61" s="25">
        <f>ROUND(G61*H61,2)</f>
        <v>0</v>
      </c>
      <c r="L61" s="25">
        <v>2.2000000000000002</v>
      </c>
      <c r="M61" s="25">
        <f>G61*L61</f>
        <v>2.0482000000000005</v>
      </c>
      <c r="N61" s="26"/>
      <c r="X61" s="25">
        <f>ROUND(IF(AO61="5",BH61,0),2)</f>
        <v>0</v>
      </c>
      <c r="Z61" s="25">
        <f>ROUND(IF(AO61="1",BF61,0),2)</f>
        <v>0</v>
      </c>
      <c r="AA61" s="25">
        <f>ROUND(IF(AO61="1",BG61,0),2)</f>
        <v>0</v>
      </c>
      <c r="AB61" s="25">
        <f>ROUND(IF(AO61="7",BF61,0),2)</f>
        <v>0</v>
      </c>
      <c r="AC61" s="25">
        <f>ROUND(IF(AO61="7",BG61,0),2)</f>
        <v>0</v>
      </c>
      <c r="AD61" s="25">
        <f>ROUND(IF(AO61="2",BF61,0),2)</f>
        <v>0</v>
      </c>
      <c r="AE61" s="25">
        <f>ROUND(IF(AO61="2",BG61,0),2)</f>
        <v>0</v>
      </c>
      <c r="AF61" s="25">
        <f>ROUND(IF(AO61="0",BH61,0),2)</f>
        <v>0</v>
      </c>
      <c r="AG61" s="10" t="s">
        <v>53</v>
      </c>
      <c r="AH61" s="25">
        <f>IF(AL61=0,K61,0)</f>
        <v>0</v>
      </c>
      <c r="AI61" s="25">
        <f>IF(AL61=12,K61,0)</f>
        <v>0</v>
      </c>
      <c r="AJ61" s="25">
        <f>IF(AL61=21,K61,0)</f>
        <v>0</v>
      </c>
      <c r="AL61" s="25">
        <v>21</v>
      </c>
      <c r="AM61" s="25">
        <f>H61*0</f>
        <v>0</v>
      </c>
      <c r="AN61" s="25">
        <f>H61*(1-0)</f>
        <v>0</v>
      </c>
      <c r="AO61" s="27" t="s">
        <v>57</v>
      </c>
      <c r="AT61" s="25">
        <f>ROUND(AU61+AV61,2)</f>
        <v>0</v>
      </c>
      <c r="AU61" s="25">
        <f>ROUND(G61*AM61,2)</f>
        <v>0</v>
      </c>
      <c r="AV61" s="25">
        <f>ROUND(G61*AN61,2)</f>
        <v>0</v>
      </c>
      <c r="AW61" s="27" t="s">
        <v>123</v>
      </c>
      <c r="AX61" s="27" t="s">
        <v>124</v>
      </c>
      <c r="AY61" s="10" t="s">
        <v>64</v>
      </c>
      <c r="BA61" s="25">
        <f>AU61+AV61</f>
        <v>0</v>
      </c>
      <c r="BB61" s="25">
        <f>H61/(100-BC61)*100</f>
        <v>0</v>
      </c>
      <c r="BC61" s="25">
        <v>0</v>
      </c>
      <c r="BD61" s="25">
        <f>M61</f>
        <v>2.0482000000000005</v>
      </c>
      <c r="BF61" s="25">
        <f>G61*AM61</f>
        <v>0</v>
      </c>
      <c r="BG61" s="25">
        <f>G61*AN61</f>
        <v>0</v>
      </c>
      <c r="BH61" s="25">
        <f>G61*H61</f>
        <v>0</v>
      </c>
      <c r="BI61" s="27" t="s">
        <v>65</v>
      </c>
      <c r="BJ61" s="25">
        <v>96</v>
      </c>
      <c r="BU61" s="25" t="e">
        <f>#REF!</f>
        <v>#REF!</v>
      </c>
      <c r="BV61" s="4" t="s">
        <v>161</v>
      </c>
    </row>
    <row r="62" spans="1:74" ht="14.4" x14ac:dyDescent="0.3">
      <c r="A62" s="28"/>
      <c r="D62" s="29" t="s">
        <v>162</v>
      </c>
      <c r="E62" s="29" t="s">
        <v>163</v>
      </c>
      <c r="G62" s="30">
        <v>0.27500000000000002</v>
      </c>
      <c r="H62" s="63"/>
      <c r="N62" s="31"/>
    </row>
    <row r="63" spans="1:74" ht="14.4" x14ac:dyDescent="0.3">
      <c r="A63" s="28"/>
      <c r="D63" s="29" t="s">
        <v>164</v>
      </c>
      <c r="E63" s="29" t="s">
        <v>72</v>
      </c>
      <c r="G63" s="30">
        <v>0.216</v>
      </c>
      <c r="H63" s="63"/>
      <c r="N63" s="31"/>
    </row>
    <row r="64" spans="1:74" ht="14.4" x14ac:dyDescent="0.3">
      <c r="A64" s="28"/>
      <c r="D64" s="29" t="s">
        <v>165</v>
      </c>
      <c r="E64" s="29" t="s">
        <v>74</v>
      </c>
      <c r="G64" s="30">
        <v>0.44</v>
      </c>
      <c r="H64" s="63"/>
      <c r="N64" s="31"/>
    </row>
    <row r="65" spans="1:74" ht="14.4" x14ac:dyDescent="0.3">
      <c r="A65" s="2" t="s">
        <v>166</v>
      </c>
      <c r="B65" s="3" t="s">
        <v>53</v>
      </c>
      <c r="C65" s="3" t="s">
        <v>167</v>
      </c>
      <c r="D65" s="112" t="s">
        <v>168</v>
      </c>
      <c r="E65" s="109"/>
      <c r="F65" s="3" t="s">
        <v>60</v>
      </c>
      <c r="G65" s="25">
        <v>58.16</v>
      </c>
      <c r="H65" s="62"/>
      <c r="I65" s="25">
        <f>ROUND(G65*AM65,2)</f>
        <v>0</v>
      </c>
      <c r="J65" s="25">
        <f>ROUND(G65*AN65,2)</f>
        <v>0</v>
      </c>
      <c r="K65" s="25">
        <f>ROUND(G65*H65,2)</f>
        <v>0</v>
      </c>
      <c r="L65" s="25">
        <v>1.26E-2</v>
      </c>
      <c r="M65" s="25">
        <f>G65*L65</f>
        <v>0.73281599999999991</v>
      </c>
      <c r="N65" s="26"/>
      <c r="X65" s="25">
        <f>ROUND(IF(AO65="5",BH65,0),2)</f>
        <v>0</v>
      </c>
      <c r="Z65" s="25">
        <f>ROUND(IF(AO65="1",BF65,0),2)</f>
        <v>0</v>
      </c>
      <c r="AA65" s="25">
        <f>ROUND(IF(AO65="1",BG65,0),2)</f>
        <v>0</v>
      </c>
      <c r="AB65" s="25">
        <f>ROUND(IF(AO65="7",BF65,0),2)</f>
        <v>0</v>
      </c>
      <c r="AC65" s="25">
        <f>ROUND(IF(AO65="7",BG65,0),2)</f>
        <v>0</v>
      </c>
      <c r="AD65" s="25">
        <f>ROUND(IF(AO65="2",BF65,0),2)</f>
        <v>0</v>
      </c>
      <c r="AE65" s="25">
        <f>ROUND(IF(AO65="2",BG65,0),2)</f>
        <v>0</v>
      </c>
      <c r="AF65" s="25">
        <f>ROUND(IF(AO65="0",BH65,0),2)</f>
        <v>0</v>
      </c>
      <c r="AG65" s="10" t="s">
        <v>53</v>
      </c>
      <c r="AH65" s="25">
        <f>IF(AL65=0,K65,0)</f>
        <v>0</v>
      </c>
      <c r="AI65" s="25">
        <f>IF(AL65=12,K65,0)</f>
        <v>0</v>
      </c>
      <c r="AJ65" s="25">
        <f>IF(AL65=21,K65,0)</f>
        <v>0</v>
      </c>
      <c r="AL65" s="25">
        <v>21</v>
      </c>
      <c r="AM65" s="25">
        <f>H65*0</f>
        <v>0</v>
      </c>
      <c r="AN65" s="25">
        <f>H65*(1-0)</f>
        <v>0</v>
      </c>
      <c r="AO65" s="27" t="s">
        <v>57</v>
      </c>
      <c r="AT65" s="25">
        <f>ROUND(AU65+AV65,2)</f>
        <v>0</v>
      </c>
      <c r="AU65" s="25">
        <f>ROUND(G65*AM65,2)</f>
        <v>0</v>
      </c>
      <c r="AV65" s="25">
        <f>ROUND(G65*AN65,2)</f>
        <v>0</v>
      </c>
      <c r="AW65" s="27" t="s">
        <v>123</v>
      </c>
      <c r="AX65" s="27" t="s">
        <v>124</v>
      </c>
      <c r="AY65" s="10" t="s">
        <v>64</v>
      </c>
      <c r="BA65" s="25">
        <f>AU65+AV65</f>
        <v>0</v>
      </c>
      <c r="BB65" s="25">
        <f>H65/(100-BC65)*100</f>
        <v>0</v>
      </c>
      <c r="BC65" s="25">
        <v>0</v>
      </c>
      <c r="BD65" s="25">
        <f>M65</f>
        <v>0.73281599999999991</v>
      </c>
      <c r="BF65" s="25">
        <f>G65*AM65</f>
        <v>0</v>
      </c>
      <c r="BG65" s="25">
        <f>G65*AN65</f>
        <v>0</v>
      </c>
      <c r="BH65" s="25">
        <f>G65*H65</f>
        <v>0</v>
      </c>
      <c r="BI65" s="27" t="s">
        <v>65</v>
      </c>
      <c r="BJ65" s="25">
        <v>96</v>
      </c>
      <c r="BU65" s="25" t="e">
        <f>#REF!</f>
        <v>#REF!</v>
      </c>
      <c r="BV65" s="4" t="s">
        <v>168</v>
      </c>
    </row>
    <row r="66" spans="1:74" ht="14.4" x14ac:dyDescent="0.3">
      <c r="A66" s="28"/>
      <c r="D66" s="29" t="s">
        <v>169</v>
      </c>
      <c r="E66" s="29" t="s">
        <v>170</v>
      </c>
      <c r="G66" s="30">
        <v>14.2</v>
      </c>
      <c r="H66" s="63"/>
      <c r="N66" s="31"/>
    </row>
    <row r="67" spans="1:74" ht="14.4" x14ac:dyDescent="0.3">
      <c r="A67" s="28"/>
      <c r="D67" s="29" t="s">
        <v>111</v>
      </c>
      <c r="E67" s="29" t="s">
        <v>112</v>
      </c>
      <c r="G67" s="30">
        <v>8.9700000000000006</v>
      </c>
      <c r="H67" s="63"/>
      <c r="N67" s="31"/>
    </row>
    <row r="68" spans="1:74" ht="14.4" x14ac:dyDescent="0.3">
      <c r="A68" s="28"/>
      <c r="D68" s="29" t="s">
        <v>171</v>
      </c>
      <c r="E68" s="29" t="s">
        <v>69</v>
      </c>
      <c r="G68" s="30">
        <v>9.9</v>
      </c>
      <c r="H68" s="63"/>
      <c r="N68" s="31"/>
    </row>
    <row r="69" spans="1:74" ht="14.4" x14ac:dyDescent="0.3">
      <c r="A69" s="28"/>
      <c r="D69" s="29" t="s">
        <v>172</v>
      </c>
      <c r="E69" s="29" t="s">
        <v>70</v>
      </c>
      <c r="G69" s="30">
        <v>19.670000000000002</v>
      </c>
      <c r="H69" s="63"/>
      <c r="N69" s="31"/>
    </row>
    <row r="70" spans="1:74" ht="14.4" x14ac:dyDescent="0.3">
      <c r="A70" s="28"/>
      <c r="D70" s="29" t="s">
        <v>173</v>
      </c>
      <c r="E70" s="29" t="s">
        <v>174</v>
      </c>
      <c r="G70" s="30">
        <v>5.42</v>
      </c>
      <c r="H70" s="63"/>
      <c r="N70" s="31"/>
    </row>
    <row r="71" spans="1:74" ht="14.4" x14ac:dyDescent="0.3">
      <c r="A71" s="2" t="s">
        <v>175</v>
      </c>
      <c r="B71" s="3" t="s">
        <v>53</v>
      </c>
      <c r="C71" s="3" t="s">
        <v>176</v>
      </c>
      <c r="D71" s="112" t="s">
        <v>177</v>
      </c>
      <c r="E71" s="109"/>
      <c r="F71" s="3" t="s">
        <v>60</v>
      </c>
      <c r="G71" s="25">
        <v>55.98</v>
      </c>
      <c r="H71" s="62"/>
      <c r="I71" s="25">
        <f>ROUND(G71*AM71,2)</f>
        <v>0</v>
      </c>
      <c r="J71" s="25">
        <f>ROUND(G71*AN71,2)</f>
        <v>0</v>
      </c>
      <c r="K71" s="25">
        <f>ROUND(G71*H71,2)</f>
        <v>0</v>
      </c>
      <c r="L71" s="25">
        <v>0.02</v>
      </c>
      <c r="M71" s="25">
        <f>G71*L71</f>
        <v>1.1195999999999999</v>
      </c>
      <c r="N71" s="26"/>
      <c r="X71" s="25">
        <f>ROUND(IF(AO71="5",BH71,0),2)</f>
        <v>0</v>
      </c>
      <c r="Z71" s="25">
        <f>ROUND(IF(AO71="1",BF71,0),2)</f>
        <v>0</v>
      </c>
      <c r="AA71" s="25">
        <f>ROUND(IF(AO71="1",BG71,0),2)</f>
        <v>0</v>
      </c>
      <c r="AB71" s="25">
        <f>ROUND(IF(AO71="7",BF71,0),2)</f>
        <v>0</v>
      </c>
      <c r="AC71" s="25">
        <f>ROUND(IF(AO71="7",BG71,0),2)</f>
        <v>0</v>
      </c>
      <c r="AD71" s="25">
        <f>ROUND(IF(AO71="2",BF71,0),2)</f>
        <v>0</v>
      </c>
      <c r="AE71" s="25">
        <f>ROUND(IF(AO71="2",BG71,0),2)</f>
        <v>0</v>
      </c>
      <c r="AF71" s="25">
        <f>ROUND(IF(AO71="0",BH71,0),2)</f>
        <v>0</v>
      </c>
      <c r="AG71" s="10" t="s">
        <v>53</v>
      </c>
      <c r="AH71" s="25">
        <f>IF(AL71=0,K71,0)</f>
        <v>0</v>
      </c>
      <c r="AI71" s="25">
        <f>IF(AL71=12,K71,0)</f>
        <v>0</v>
      </c>
      <c r="AJ71" s="25">
        <f>IF(AL71=21,K71,0)</f>
        <v>0</v>
      </c>
      <c r="AL71" s="25">
        <v>21</v>
      </c>
      <c r="AM71" s="25">
        <f>H71*0</f>
        <v>0</v>
      </c>
      <c r="AN71" s="25">
        <f>H71*(1-0)</f>
        <v>0</v>
      </c>
      <c r="AO71" s="27" t="s">
        <v>57</v>
      </c>
      <c r="AT71" s="25">
        <f>ROUND(AU71+AV71,2)</f>
        <v>0</v>
      </c>
      <c r="AU71" s="25">
        <f>ROUND(G71*AM71,2)</f>
        <v>0</v>
      </c>
      <c r="AV71" s="25">
        <f>ROUND(G71*AN71,2)</f>
        <v>0</v>
      </c>
      <c r="AW71" s="27" t="s">
        <v>123</v>
      </c>
      <c r="AX71" s="27" t="s">
        <v>124</v>
      </c>
      <c r="AY71" s="10" t="s">
        <v>64</v>
      </c>
      <c r="BA71" s="25">
        <f>AU71+AV71</f>
        <v>0</v>
      </c>
      <c r="BB71" s="25">
        <f>H71/(100-BC71)*100</f>
        <v>0</v>
      </c>
      <c r="BC71" s="25">
        <v>0</v>
      </c>
      <c r="BD71" s="25">
        <f>M71</f>
        <v>1.1195999999999999</v>
      </c>
      <c r="BF71" s="25">
        <f>G71*AM71</f>
        <v>0</v>
      </c>
      <c r="BG71" s="25">
        <f>G71*AN71</f>
        <v>0</v>
      </c>
      <c r="BH71" s="25">
        <f>G71*H71</f>
        <v>0</v>
      </c>
      <c r="BI71" s="27" t="s">
        <v>65</v>
      </c>
      <c r="BJ71" s="25">
        <v>96</v>
      </c>
      <c r="BU71" s="25" t="e">
        <f>#REF!</f>
        <v>#REF!</v>
      </c>
      <c r="BV71" s="4" t="s">
        <v>177</v>
      </c>
    </row>
    <row r="72" spans="1:74" ht="14.4" x14ac:dyDescent="0.3">
      <c r="A72" s="28"/>
      <c r="D72" s="29" t="s">
        <v>169</v>
      </c>
      <c r="E72" s="29" t="s">
        <v>170</v>
      </c>
      <c r="G72" s="30">
        <v>14.2</v>
      </c>
      <c r="H72" s="63"/>
      <c r="N72" s="31"/>
    </row>
    <row r="73" spans="1:74" ht="14.4" x14ac:dyDescent="0.3">
      <c r="A73" s="28"/>
      <c r="D73" s="29" t="s">
        <v>178</v>
      </c>
      <c r="E73" s="29" t="s">
        <v>85</v>
      </c>
      <c r="G73" s="30">
        <v>4.8600000000000003</v>
      </c>
      <c r="H73" s="63"/>
      <c r="N73" s="31"/>
    </row>
    <row r="74" spans="1:74" ht="14.4" x14ac:dyDescent="0.3">
      <c r="A74" s="28"/>
      <c r="D74" s="29" t="s">
        <v>179</v>
      </c>
      <c r="E74" s="29" t="s">
        <v>86</v>
      </c>
      <c r="G74" s="30">
        <v>4.76</v>
      </c>
      <c r="H74" s="63"/>
      <c r="N74" s="31"/>
    </row>
    <row r="75" spans="1:74" ht="14.4" x14ac:dyDescent="0.3">
      <c r="A75" s="28"/>
      <c r="D75" s="29" t="s">
        <v>172</v>
      </c>
      <c r="E75" s="29" t="s">
        <v>70</v>
      </c>
      <c r="G75" s="30">
        <v>19.670000000000002</v>
      </c>
      <c r="H75" s="63"/>
      <c r="N75" s="31"/>
    </row>
    <row r="76" spans="1:74" ht="14.4" x14ac:dyDescent="0.3">
      <c r="A76" s="28"/>
      <c r="D76" s="29" t="s">
        <v>173</v>
      </c>
      <c r="E76" s="29" t="s">
        <v>174</v>
      </c>
      <c r="G76" s="30">
        <v>5.42</v>
      </c>
      <c r="H76" s="63"/>
      <c r="N76" s="31"/>
    </row>
    <row r="77" spans="1:74" ht="14.4" x14ac:dyDescent="0.3">
      <c r="A77" s="28"/>
      <c r="D77" s="29" t="s">
        <v>87</v>
      </c>
      <c r="E77" s="29" t="s">
        <v>180</v>
      </c>
      <c r="G77" s="30">
        <v>3</v>
      </c>
      <c r="H77" s="63"/>
      <c r="N77" s="31"/>
    </row>
    <row r="78" spans="1:74" ht="14.4" x14ac:dyDescent="0.3">
      <c r="A78" s="28"/>
      <c r="D78" s="29" t="s">
        <v>181</v>
      </c>
      <c r="E78" s="29" t="s">
        <v>182</v>
      </c>
      <c r="G78" s="30">
        <v>1.37</v>
      </c>
      <c r="H78" s="63"/>
      <c r="N78" s="31"/>
    </row>
    <row r="79" spans="1:74" ht="14.4" x14ac:dyDescent="0.3">
      <c r="A79" s="28"/>
      <c r="D79" s="29" t="s">
        <v>183</v>
      </c>
      <c r="E79" s="29" t="s">
        <v>72</v>
      </c>
      <c r="G79" s="30">
        <v>2.7</v>
      </c>
      <c r="H79" s="63"/>
      <c r="N79" s="31"/>
    </row>
    <row r="80" spans="1:74" ht="14.4" x14ac:dyDescent="0.3">
      <c r="A80" s="2" t="s">
        <v>184</v>
      </c>
      <c r="B80" s="3" t="s">
        <v>53</v>
      </c>
      <c r="C80" s="3" t="s">
        <v>185</v>
      </c>
      <c r="D80" s="112" t="s">
        <v>186</v>
      </c>
      <c r="E80" s="109"/>
      <c r="F80" s="3" t="s">
        <v>60</v>
      </c>
      <c r="G80" s="25">
        <v>48.91</v>
      </c>
      <c r="H80" s="62"/>
      <c r="I80" s="25">
        <f>ROUND(G80*AM80,2)</f>
        <v>0</v>
      </c>
      <c r="J80" s="25">
        <f>ROUND(G80*AN80,2)</f>
        <v>0</v>
      </c>
      <c r="K80" s="25">
        <f>ROUND(G80*H80,2)</f>
        <v>0</v>
      </c>
      <c r="L80" s="25">
        <v>2.5510000000000001E-2</v>
      </c>
      <c r="M80" s="25">
        <f>G80*L80</f>
        <v>1.2476940999999999</v>
      </c>
      <c r="N80" s="26"/>
      <c r="X80" s="25">
        <f>ROUND(IF(AO80="5",BH80,0),2)</f>
        <v>0</v>
      </c>
      <c r="Z80" s="25">
        <f>ROUND(IF(AO80="1",BF80,0),2)</f>
        <v>0</v>
      </c>
      <c r="AA80" s="25">
        <f>ROUND(IF(AO80="1",BG80,0),2)</f>
        <v>0</v>
      </c>
      <c r="AB80" s="25">
        <f>ROUND(IF(AO80="7",BF80,0),2)</f>
        <v>0</v>
      </c>
      <c r="AC80" s="25">
        <f>ROUND(IF(AO80="7",BG80,0),2)</f>
        <v>0</v>
      </c>
      <c r="AD80" s="25">
        <f>ROUND(IF(AO80="2",BF80,0),2)</f>
        <v>0</v>
      </c>
      <c r="AE80" s="25">
        <f>ROUND(IF(AO80="2",BG80,0),2)</f>
        <v>0</v>
      </c>
      <c r="AF80" s="25">
        <f>ROUND(IF(AO80="0",BH80,0),2)</f>
        <v>0</v>
      </c>
      <c r="AG80" s="10" t="s">
        <v>53</v>
      </c>
      <c r="AH80" s="25">
        <f>IF(AL80=0,K80,0)</f>
        <v>0</v>
      </c>
      <c r="AI80" s="25">
        <f>IF(AL80=12,K80,0)</f>
        <v>0</v>
      </c>
      <c r="AJ80" s="25">
        <f>IF(AL80=21,K80,0)</f>
        <v>0</v>
      </c>
      <c r="AL80" s="25">
        <v>21</v>
      </c>
      <c r="AM80" s="25">
        <f>H80*0</f>
        <v>0</v>
      </c>
      <c r="AN80" s="25">
        <f>H80*(1-0)</f>
        <v>0</v>
      </c>
      <c r="AO80" s="27" t="s">
        <v>57</v>
      </c>
      <c r="AT80" s="25">
        <f>ROUND(AU80+AV80,2)</f>
        <v>0</v>
      </c>
      <c r="AU80" s="25">
        <f>ROUND(G80*AM80,2)</f>
        <v>0</v>
      </c>
      <c r="AV80" s="25">
        <f>ROUND(G80*AN80,2)</f>
        <v>0</v>
      </c>
      <c r="AW80" s="27" t="s">
        <v>123</v>
      </c>
      <c r="AX80" s="27" t="s">
        <v>124</v>
      </c>
      <c r="AY80" s="10" t="s">
        <v>64</v>
      </c>
      <c r="BA80" s="25">
        <f>AU80+AV80</f>
        <v>0</v>
      </c>
      <c r="BB80" s="25">
        <f>H80/(100-BC80)*100</f>
        <v>0</v>
      </c>
      <c r="BC80" s="25">
        <v>0</v>
      </c>
      <c r="BD80" s="25">
        <f>M80</f>
        <v>1.2476940999999999</v>
      </c>
      <c r="BF80" s="25">
        <f>G80*AM80</f>
        <v>0</v>
      </c>
      <c r="BG80" s="25">
        <f>G80*AN80</f>
        <v>0</v>
      </c>
      <c r="BH80" s="25">
        <f>G80*H80</f>
        <v>0</v>
      </c>
      <c r="BI80" s="27" t="s">
        <v>65</v>
      </c>
      <c r="BJ80" s="25">
        <v>96</v>
      </c>
      <c r="BU80" s="25" t="e">
        <f>#REF!</f>
        <v>#REF!</v>
      </c>
      <c r="BV80" s="4" t="s">
        <v>186</v>
      </c>
    </row>
    <row r="81" spans="1:74" ht="14.4" x14ac:dyDescent="0.3">
      <c r="A81" s="28"/>
      <c r="D81" s="29" t="s">
        <v>169</v>
      </c>
      <c r="E81" s="29" t="s">
        <v>170</v>
      </c>
      <c r="G81" s="30">
        <v>14.2</v>
      </c>
      <c r="H81" s="63"/>
      <c r="N81" s="31"/>
    </row>
    <row r="82" spans="1:74" ht="14.4" x14ac:dyDescent="0.3">
      <c r="A82" s="28"/>
      <c r="D82" s="29" t="s">
        <v>178</v>
      </c>
      <c r="E82" s="29" t="s">
        <v>85</v>
      </c>
      <c r="G82" s="30">
        <v>4.8600000000000003</v>
      </c>
      <c r="H82" s="63"/>
      <c r="N82" s="31"/>
    </row>
    <row r="83" spans="1:74" ht="14.4" x14ac:dyDescent="0.3">
      <c r="A83" s="28"/>
      <c r="D83" s="29" t="s">
        <v>179</v>
      </c>
      <c r="E83" s="29" t="s">
        <v>86</v>
      </c>
      <c r="G83" s="30">
        <v>4.76</v>
      </c>
      <c r="H83" s="63"/>
      <c r="N83" s="31"/>
    </row>
    <row r="84" spans="1:74" ht="14.4" x14ac:dyDescent="0.3">
      <c r="A84" s="28"/>
      <c r="D84" s="29" t="s">
        <v>172</v>
      </c>
      <c r="E84" s="29" t="s">
        <v>70</v>
      </c>
      <c r="G84" s="30">
        <v>19.670000000000002</v>
      </c>
      <c r="H84" s="63"/>
      <c r="N84" s="31"/>
    </row>
    <row r="85" spans="1:74" ht="14.4" x14ac:dyDescent="0.3">
      <c r="A85" s="28"/>
      <c r="D85" s="29" t="s">
        <v>173</v>
      </c>
      <c r="E85" s="29" t="s">
        <v>174</v>
      </c>
      <c r="G85" s="30">
        <v>5.42</v>
      </c>
      <c r="H85" s="63"/>
      <c r="N85" s="31"/>
    </row>
    <row r="86" spans="1:74" ht="14.4" x14ac:dyDescent="0.3">
      <c r="A86" s="2" t="s">
        <v>187</v>
      </c>
      <c r="B86" s="3" t="s">
        <v>53</v>
      </c>
      <c r="C86" s="3" t="s">
        <v>188</v>
      </c>
      <c r="D86" s="112" t="s">
        <v>189</v>
      </c>
      <c r="E86" s="109"/>
      <c r="F86" s="3" t="s">
        <v>60</v>
      </c>
      <c r="G86" s="25">
        <v>36.863999999999997</v>
      </c>
      <c r="H86" s="62"/>
      <c r="I86" s="25">
        <f>ROUND(G86*AM86,2)</f>
        <v>0</v>
      </c>
      <c r="J86" s="25">
        <f>ROUND(G86*AN86,2)</f>
        <v>0</v>
      </c>
      <c r="K86" s="25">
        <f>ROUND(G86*H86,2)</f>
        <v>0</v>
      </c>
      <c r="L86" s="25">
        <v>0.31967000000000001</v>
      </c>
      <c r="M86" s="25">
        <f>G86*L86</f>
        <v>11.78431488</v>
      </c>
      <c r="N86" s="26"/>
      <c r="X86" s="25">
        <f>ROUND(IF(AO86="5",BH86,0),2)</f>
        <v>0</v>
      </c>
      <c r="Z86" s="25">
        <f>ROUND(IF(AO86="1",BF86,0),2)</f>
        <v>0</v>
      </c>
      <c r="AA86" s="25">
        <f>ROUND(IF(AO86="1",BG86,0),2)</f>
        <v>0</v>
      </c>
      <c r="AB86" s="25">
        <f>ROUND(IF(AO86="7",BF86,0),2)</f>
        <v>0</v>
      </c>
      <c r="AC86" s="25">
        <f>ROUND(IF(AO86="7",BG86,0),2)</f>
        <v>0</v>
      </c>
      <c r="AD86" s="25">
        <f>ROUND(IF(AO86="2",BF86,0),2)</f>
        <v>0</v>
      </c>
      <c r="AE86" s="25">
        <f>ROUND(IF(AO86="2",BG86,0),2)</f>
        <v>0</v>
      </c>
      <c r="AF86" s="25">
        <f>ROUND(IF(AO86="0",BH86,0),2)</f>
        <v>0</v>
      </c>
      <c r="AG86" s="10" t="s">
        <v>53</v>
      </c>
      <c r="AH86" s="25">
        <f>IF(AL86=0,K86,0)</f>
        <v>0</v>
      </c>
      <c r="AI86" s="25">
        <f>IF(AL86=12,K86,0)</f>
        <v>0</v>
      </c>
      <c r="AJ86" s="25">
        <f>IF(AL86=21,K86,0)</f>
        <v>0</v>
      </c>
      <c r="AL86" s="25">
        <v>21</v>
      </c>
      <c r="AM86" s="25">
        <f>H86*0.083390866</f>
        <v>0</v>
      </c>
      <c r="AN86" s="25">
        <f>H86*(1-0.083390866)</f>
        <v>0</v>
      </c>
      <c r="AO86" s="27" t="s">
        <v>57</v>
      </c>
      <c r="AT86" s="25">
        <f>ROUND(AU86+AV86,2)</f>
        <v>0</v>
      </c>
      <c r="AU86" s="25">
        <f>ROUND(G86*AM86,2)</f>
        <v>0</v>
      </c>
      <c r="AV86" s="25">
        <f>ROUND(G86*AN86,2)</f>
        <v>0</v>
      </c>
      <c r="AW86" s="27" t="s">
        <v>123</v>
      </c>
      <c r="AX86" s="27" t="s">
        <v>124</v>
      </c>
      <c r="AY86" s="10" t="s">
        <v>64</v>
      </c>
      <c r="BA86" s="25">
        <f>AU86+AV86</f>
        <v>0</v>
      </c>
      <c r="BB86" s="25">
        <f>H86/(100-BC86)*100</f>
        <v>0</v>
      </c>
      <c r="BC86" s="25">
        <v>0</v>
      </c>
      <c r="BD86" s="25">
        <f>M86</f>
        <v>11.78431488</v>
      </c>
      <c r="BF86" s="25">
        <f>G86*AM86</f>
        <v>0</v>
      </c>
      <c r="BG86" s="25">
        <f>G86*AN86</f>
        <v>0</v>
      </c>
      <c r="BH86" s="25">
        <f>G86*H86</f>
        <v>0</v>
      </c>
      <c r="BI86" s="27" t="s">
        <v>65</v>
      </c>
      <c r="BJ86" s="25">
        <v>96</v>
      </c>
      <c r="BU86" s="25" t="e">
        <f>#REF!</f>
        <v>#REF!</v>
      </c>
      <c r="BV86" s="4" t="s">
        <v>189</v>
      </c>
    </row>
    <row r="87" spans="1:74" ht="14.4" x14ac:dyDescent="0.3">
      <c r="A87" s="28"/>
      <c r="D87" s="29" t="s">
        <v>190</v>
      </c>
      <c r="E87" s="29" t="s">
        <v>85</v>
      </c>
      <c r="G87" s="30">
        <v>19.564</v>
      </c>
      <c r="H87" s="63"/>
      <c r="N87" s="31"/>
    </row>
    <row r="88" spans="1:74" ht="14.4" x14ac:dyDescent="0.3">
      <c r="A88" s="28"/>
      <c r="D88" s="29" t="s">
        <v>191</v>
      </c>
      <c r="E88" s="29" t="s">
        <v>174</v>
      </c>
      <c r="G88" s="30">
        <v>10.566000000000001</v>
      </c>
      <c r="H88" s="63"/>
      <c r="N88" s="31"/>
    </row>
    <row r="89" spans="1:74" ht="14.4" x14ac:dyDescent="0.3">
      <c r="A89" s="28"/>
      <c r="D89" s="29" t="s">
        <v>192</v>
      </c>
      <c r="E89" s="29" t="s">
        <v>182</v>
      </c>
      <c r="G89" s="30">
        <v>4.2880000000000003</v>
      </c>
      <c r="H89" s="63"/>
      <c r="N89" s="31"/>
    </row>
    <row r="90" spans="1:74" ht="14.4" x14ac:dyDescent="0.3">
      <c r="A90" s="28"/>
      <c r="D90" s="29" t="s">
        <v>193</v>
      </c>
      <c r="E90" s="29" t="s">
        <v>180</v>
      </c>
      <c r="G90" s="30">
        <v>2.4460000000000002</v>
      </c>
      <c r="H90" s="63"/>
      <c r="N90" s="31"/>
    </row>
    <row r="91" spans="1:74" ht="14.4" x14ac:dyDescent="0.3">
      <c r="A91" s="2" t="s">
        <v>194</v>
      </c>
      <c r="B91" s="3" t="s">
        <v>53</v>
      </c>
      <c r="C91" s="3" t="s">
        <v>195</v>
      </c>
      <c r="D91" s="112" t="s">
        <v>196</v>
      </c>
      <c r="E91" s="109"/>
      <c r="F91" s="3" t="s">
        <v>115</v>
      </c>
      <c r="G91" s="25">
        <v>49.53</v>
      </c>
      <c r="H91" s="62"/>
      <c r="I91" s="25">
        <f>ROUND(G91*AM91,2)</f>
        <v>0</v>
      </c>
      <c r="J91" s="25">
        <f>ROUND(G91*AN91,2)</f>
        <v>0</v>
      </c>
      <c r="K91" s="25">
        <f>ROUND(G91*H91,2)</f>
        <v>0</v>
      </c>
      <c r="L91" s="25">
        <v>4.0000000000000002E-4</v>
      </c>
      <c r="M91" s="25">
        <f>G91*L91</f>
        <v>1.9812E-2</v>
      </c>
      <c r="N91" s="26"/>
      <c r="X91" s="25">
        <f>ROUND(IF(AO91="5",BH91,0),2)</f>
        <v>0</v>
      </c>
      <c r="Z91" s="25">
        <f>ROUND(IF(AO91="1",BF91,0),2)</f>
        <v>0</v>
      </c>
      <c r="AA91" s="25">
        <f>ROUND(IF(AO91="1",BG91,0),2)</f>
        <v>0</v>
      </c>
      <c r="AB91" s="25">
        <f>ROUND(IF(AO91="7",BF91,0),2)</f>
        <v>0</v>
      </c>
      <c r="AC91" s="25">
        <f>ROUND(IF(AO91="7",BG91,0),2)</f>
        <v>0</v>
      </c>
      <c r="AD91" s="25">
        <f>ROUND(IF(AO91="2",BF91,0),2)</f>
        <v>0</v>
      </c>
      <c r="AE91" s="25">
        <f>ROUND(IF(AO91="2",BG91,0),2)</f>
        <v>0</v>
      </c>
      <c r="AF91" s="25">
        <f>ROUND(IF(AO91="0",BH91,0),2)</f>
        <v>0</v>
      </c>
      <c r="AG91" s="10" t="s">
        <v>53</v>
      </c>
      <c r="AH91" s="25">
        <f>IF(AL91=0,K91,0)</f>
        <v>0</v>
      </c>
      <c r="AI91" s="25">
        <f>IF(AL91=12,K91,0)</f>
        <v>0</v>
      </c>
      <c r="AJ91" s="25">
        <f>IF(AL91=21,K91,0)</f>
        <v>0</v>
      </c>
      <c r="AL91" s="25">
        <v>21</v>
      </c>
      <c r="AM91" s="25">
        <f>H91*0</f>
        <v>0</v>
      </c>
      <c r="AN91" s="25">
        <f>H91*(1-0)</f>
        <v>0</v>
      </c>
      <c r="AO91" s="27" t="s">
        <v>57</v>
      </c>
      <c r="AT91" s="25">
        <f>ROUND(AU91+AV91,2)</f>
        <v>0</v>
      </c>
      <c r="AU91" s="25">
        <f>ROUND(G91*AM91,2)</f>
        <v>0</v>
      </c>
      <c r="AV91" s="25">
        <f>ROUND(G91*AN91,2)</f>
        <v>0</v>
      </c>
      <c r="AW91" s="27" t="s">
        <v>123</v>
      </c>
      <c r="AX91" s="27" t="s">
        <v>124</v>
      </c>
      <c r="AY91" s="10" t="s">
        <v>64</v>
      </c>
      <c r="BA91" s="25">
        <f>AU91+AV91</f>
        <v>0</v>
      </c>
      <c r="BB91" s="25">
        <f>H91/(100-BC91)*100</f>
        <v>0</v>
      </c>
      <c r="BC91" s="25">
        <v>0</v>
      </c>
      <c r="BD91" s="25">
        <f>M91</f>
        <v>1.9812E-2</v>
      </c>
      <c r="BF91" s="25">
        <f>G91*AM91</f>
        <v>0</v>
      </c>
      <c r="BG91" s="25">
        <f>G91*AN91</f>
        <v>0</v>
      </c>
      <c r="BH91" s="25">
        <f>G91*H91</f>
        <v>0</v>
      </c>
      <c r="BI91" s="27" t="s">
        <v>65</v>
      </c>
      <c r="BJ91" s="25">
        <v>96</v>
      </c>
      <c r="BU91" s="25" t="e">
        <f>#REF!</f>
        <v>#REF!</v>
      </c>
      <c r="BV91" s="4" t="s">
        <v>196</v>
      </c>
    </row>
    <row r="92" spans="1:74" ht="14.4" x14ac:dyDescent="0.3">
      <c r="A92" s="28"/>
      <c r="D92" s="29" t="s">
        <v>197</v>
      </c>
      <c r="E92" s="29" t="s">
        <v>170</v>
      </c>
      <c r="G92" s="30">
        <v>16.2</v>
      </c>
      <c r="H92" s="63"/>
      <c r="N92" s="31"/>
    </row>
    <row r="93" spans="1:74" ht="14.4" x14ac:dyDescent="0.3">
      <c r="A93" s="28"/>
      <c r="D93" s="29" t="s">
        <v>198</v>
      </c>
      <c r="E93" s="29" t="s">
        <v>163</v>
      </c>
      <c r="G93" s="30">
        <v>7.65</v>
      </c>
      <c r="H93" s="63"/>
      <c r="N93" s="31"/>
    </row>
    <row r="94" spans="1:74" ht="14.4" x14ac:dyDescent="0.3">
      <c r="A94" s="28"/>
      <c r="D94" s="29" t="s">
        <v>199</v>
      </c>
      <c r="E94" s="29" t="s">
        <v>69</v>
      </c>
      <c r="G94" s="30">
        <v>11.75</v>
      </c>
      <c r="H94" s="63"/>
      <c r="N94" s="31"/>
    </row>
    <row r="95" spans="1:74" ht="14.4" x14ac:dyDescent="0.3">
      <c r="A95" s="28"/>
      <c r="D95" s="29" t="s">
        <v>200</v>
      </c>
      <c r="E95" s="29" t="s">
        <v>70</v>
      </c>
      <c r="G95" s="30">
        <v>8.27</v>
      </c>
      <c r="H95" s="63"/>
      <c r="N95" s="31"/>
    </row>
    <row r="96" spans="1:74" ht="14.4" x14ac:dyDescent="0.3">
      <c r="A96" s="28"/>
      <c r="D96" s="29" t="s">
        <v>201</v>
      </c>
      <c r="E96" s="29" t="s">
        <v>174</v>
      </c>
      <c r="G96" s="30">
        <v>5.66</v>
      </c>
      <c r="H96" s="63"/>
      <c r="N96" s="31"/>
    </row>
    <row r="97" spans="1:74" ht="14.4" x14ac:dyDescent="0.3">
      <c r="A97" s="2" t="s">
        <v>202</v>
      </c>
      <c r="B97" s="3" t="s">
        <v>53</v>
      </c>
      <c r="C97" s="3" t="s">
        <v>203</v>
      </c>
      <c r="D97" s="112" t="s">
        <v>204</v>
      </c>
      <c r="E97" s="109"/>
      <c r="F97" s="3" t="s">
        <v>60</v>
      </c>
      <c r="G97" s="25">
        <v>22.6</v>
      </c>
      <c r="H97" s="62"/>
      <c r="I97" s="25">
        <f>ROUND(G97*AM97,2)</f>
        <v>0</v>
      </c>
      <c r="J97" s="25">
        <f>ROUND(G97*AN97,2)</f>
        <v>0</v>
      </c>
      <c r="K97" s="25">
        <f>ROUND(G97*H97,2)</f>
        <v>0</v>
      </c>
      <c r="L97" s="25">
        <v>7.7170000000000002E-2</v>
      </c>
      <c r="M97" s="25">
        <f>G97*L97</f>
        <v>1.7440420000000001</v>
      </c>
      <c r="N97" s="26"/>
      <c r="X97" s="25">
        <f>ROUND(IF(AO97="5",BH97,0),2)</f>
        <v>0</v>
      </c>
      <c r="Z97" s="25">
        <f>ROUND(IF(AO97="1",BF97,0),2)</f>
        <v>0</v>
      </c>
      <c r="AA97" s="25">
        <f>ROUND(IF(AO97="1",BG97,0),2)</f>
        <v>0</v>
      </c>
      <c r="AB97" s="25">
        <f>ROUND(IF(AO97="7",BF97,0),2)</f>
        <v>0</v>
      </c>
      <c r="AC97" s="25">
        <f>ROUND(IF(AO97="7",BG97,0),2)</f>
        <v>0</v>
      </c>
      <c r="AD97" s="25">
        <f>ROUND(IF(AO97="2",BF97,0),2)</f>
        <v>0</v>
      </c>
      <c r="AE97" s="25">
        <f>ROUND(IF(AO97="2",BG97,0),2)</f>
        <v>0</v>
      </c>
      <c r="AF97" s="25">
        <f>ROUND(IF(AO97="0",BH97,0),2)</f>
        <v>0</v>
      </c>
      <c r="AG97" s="10" t="s">
        <v>53</v>
      </c>
      <c r="AH97" s="25">
        <f>IF(AL97=0,K97,0)</f>
        <v>0</v>
      </c>
      <c r="AI97" s="25">
        <f>IF(AL97=12,K97,0)</f>
        <v>0</v>
      </c>
      <c r="AJ97" s="25">
        <f>IF(AL97=21,K97,0)</f>
        <v>0</v>
      </c>
      <c r="AL97" s="25">
        <v>21</v>
      </c>
      <c r="AM97" s="25">
        <f>H97*0.074770047</f>
        <v>0</v>
      </c>
      <c r="AN97" s="25">
        <f>H97*(1-0.074770047)</f>
        <v>0</v>
      </c>
      <c r="AO97" s="27" t="s">
        <v>57</v>
      </c>
      <c r="AT97" s="25">
        <f>ROUND(AU97+AV97,2)</f>
        <v>0</v>
      </c>
      <c r="AU97" s="25">
        <f>ROUND(G97*AM97,2)</f>
        <v>0</v>
      </c>
      <c r="AV97" s="25">
        <f>ROUND(G97*AN97,2)</f>
        <v>0</v>
      </c>
      <c r="AW97" s="27" t="s">
        <v>123</v>
      </c>
      <c r="AX97" s="27" t="s">
        <v>124</v>
      </c>
      <c r="AY97" s="10" t="s">
        <v>64</v>
      </c>
      <c r="BA97" s="25">
        <f>AU97+AV97</f>
        <v>0</v>
      </c>
      <c r="BB97" s="25">
        <f>H97/(100-BC97)*100</f>
        <v>0</v>
      </c>
      <c r="BC97" s="25">
        <v>0</v>
      </c>
      <c r="BD97" s="25">
        <f>M97</f>
        <v>1.7440420000000001</v>
      </c>
      <c r="BF97" s="25">
        <f>G97*AM97</f>
        <v>0</v>
      </c>
      <c r="BG97" s="25">
        <f>G97*AN97</f>
        <v>0</v>
      </c>
      <c r="BH97" s="25">
        <f>G97*H97</f>
        <v>0</v>
      </c>
      <c r="BI97" s="27" t="s">
        <v>65</v>
      </c>
      <c r="BJ97" s="25">
        <v>96</v>
      </c>
      <c r="BU97" s="25" t="e">
        <f>#REF!</f>
        <v>#REF!</v>
      </c>
      <c r="BV97" s="4" t="s">
        <v>204</v>
      </c>
    </row>
    <row r="98" spans="1:74" ht="14.4" x14ac:dyDescent="0.3">
      <c r="A98" s="28"/>
      <c r="D98" s="29" t="s">
        <v>205</v>
      </c>
      <c r="E98" s="29" t="s">
        <v>52</v>
      </c>
      <c r="G98" s="30">
        <v>4.8</v>
      </c>
      <c r="H98" s="63"/>
      <c r="N98" s="31"/>
    </row>
    <row r="99" spans="1:74" ht="14.4" x14ac:dyDescent="0.3">
      <c r="A99" s="28"/>
      <c r="D99" s="29" t="s">
        <v>206</v>
      </c>
      <c r="E99" s="29" t="s">
        <v>52</v>
      </c>
      <c r="G99" s="30">
        <v>10</v>
      </c>
      <c r="H99" s="63"/>
      <c r="N99" s="31"/>
    </row>
    <row r="100" spans="1:74" ht="14.4" x14ac:dyDescent="0.3">
      <c r="A100" s="28"/>
      <c r="D100" s="29" t="s">
        <v>207</v>
      </c>
      <c r="E100" s="29" t="s">
        <v>52</v>
      </c>
      <c r="G100" s="30">
        <v>3.6</v>
      </c>
      <c r="H100" s="63"/>
      <c r="N100" s="31"/>
    </row>
    <row r="101" spans="1:74" ht="14.4" x14ac:dyDescent="0.3">
      <c r="A101" s="28"/>
      <c r="D101" s="29" t="s">
        <v>208</v>
      </c>
      <c r="E101" s="29" t="s">
        <v>52</v>
      </c>
      <c r="G101" s="30">
        <v>4.2</v>
      </c>
      <c r="H101" s="63"/>
      <c r="N101" s="31"/>
    </row>
    <row r="102" spans="1:74" ht="14.4" x14ac:dyDescent="0.3">
      <c r="A102" s="21" t="s">
        <v>52</v>
      </c>
      <c r="B102" s="22" t="s">
        <v>53</v>
      </c>
      <c r="C102" s="22" t="s">
        <v>209</v>
      </c>
      <c r="D102" s="170" t="s">
        <v>210</v>
      </c>
      <c r="E102" s="171"/>
      <c r="F102" s="23" t="s">
        <v>32</v>
      </c>
      <c r="G102" s="23" t="s">
        <v>32</v>
      </c>
      <c r="H102" s="64"/>
      <c r="I102" s="1">
        <f>SUM(I103:I154)</f>
        <v>0</v>
      </c>
      <c r="J102" s="1">
        <f>SUM(J103:J154)</f>
        <v>0</v>
      </c>
      <c r="K102" s="1">
        <f>SUM(K103:K154)</f>
        <v>0</v>
      </c>
      <c r="L102" s="10" t="s">
        <v>52</v>
      </c>
      <c r="M102" s="1">
        <f>SUM(M103:M154)</f>
        <v>16.0271069</v>
      </c>
      <c r="N102" s="24"/>
      <c r="AG102" s="10" t="s">
        <v>53</v>
      </c>
      <c r="AQ102" s="1">
        <f>SUM(AH103:AH154)</f>
        <v>0</v>
      </c>
      <c r="AR102" s="1">
        <f>SUM(AI103:AI154)</f>
        <v>0</v>
      </c>
      <c r="AS102" s="1">
        <f>SUM(AJ103:AJ154)</f>
        <v>0</v>
      </c>
    </row>
    <row r="103" spans="1:74" ht="14.4" x14ac:dyDescent="0.3">
      <c r="A103" s="2" t="s">
        <v>211</v>
      </c>
      <c r="B103" s="3" t="s">
        <v>53</v>
      </c>
      <c r="C103" s="3" t="s">
        <v>212</v>
      </c>
      <c r="D103" s="112" t="s">
        <v>213</v>
      </c>
      <c r="E103" s="109"/>
      <c r="F103" s="3" t="s">
        <v>115</v>
      </c>
      <c r="G103" s="25">
        <v>14.7</v>
      </c>
      <c r="H103" s="62"/>
      <c r="I103" s="25">
        <f>ROUND(G103*AM103,2)</f>
        <v>0</v>
      </c>
      <c r="J103" s="25">
        <f>ROUND(G103*AN103,2)</f>
        <v>0</v>
      </c>
      <c r="K103" s="25">
        <f>ROUND(G103*H103,2)</f>
        <v>0</v>
      </c>
      <c r="L103" s="25">
        <v>4.2000000000000003E-2</v>
      </c>
      <c r="M103" s="25">
        <f>G103*L103</f>
        <v>0.61740000000000006</v>
      </c>
      <c r="N103" s="26"/>
      <c r="X103" s="25">
        <f>ROUND(IF(AO103="5",BH103,0),2)</f>
        <v>0</v>
      </c>
      <c r="Z103" s="25">
        <f>ROUND(IF(AO103="1",BF103,0),2)</f>
        <v>0</v>
      </c>
      <c r="AA103" s="25">
        <f>ROUND(IF(AO103="1",BG103,0),2)</f>
        <v>0</v>
      </c>
      <c r="AB103" s="25">
        <f>ROUND(IF(AO103="7",BF103,0),2)</f>
        <v>0</v>
      </c>
      <c r="AC103" s="25">
        <f>ROUND(IF(AO103="7",BG103,0),2)</f>
        <v>0</v>
      </c>
      <c r="AD103" s="25">
        <f>ROUND(IF(AO103="2",BF103,0),2)</f>
        <v>0</v>
      </c>
      <c r="AE103" s="25">
        <f>ROUND(IF(AO103="2",BG103,0),2)</f>
        <v>0</v>
      </c>
      <c r="AF103" s="25">
        <f>ROUND(IF(AO103="0",BH103,0),2)</f>
        <v>0</v>
      </c>
      <c r="AG103" s="10" t="s">
        <v>53</v>
      </c>
      <c r="AH103" s="25">
        <f>IF(AL103=0,K103,0)</f>
        <v>0</v>
      </c>
      <c r="AI103" s="25">
        <f>IF(AL103=12,K103,0)</f>
        <v>0</v>
      </c>
      <c r="AJ103" s="25">
        <f>IF(AL103=21,K103,0)</f>
        <v>0</v>
      </c>
      <c r="AL103" s="25">
        <v>21</v>
      </c>
      <c r="AM103" s="25">
        <f>H103*0</f>
        <v>0</v>
      </c>
      <c r="AN103" s="25">
        <f>H103*(1-0)</f>
        <v>0</v>
      </c>
      <c r="AO103" s="27" t="s">
        <v>57</v>
      </c>
      <c r="AT103" s="25">
        <f>ROUND(AU103+AV103,2)</f>
        <v>0</v>
      </c>
      <c r="AU103" s="25">
        <f>ROUND(G103*AM103,2)</f>
        <v>0</v>
      </c>
      <c r="AV103" s="25">
        <f>ROUND(G103*AN103,2)</f>
        <v>0</v>
      </c>
      <c r="AW103" s="27" t="s">
        <v>214</v>
      </c>
      <c r="AX103" s="27" t="s">
        <v>124</v>
      </c>
      <c r="AY103" s="10" t="s">
        <v>64</v>
      </c>
      <c r="BA103" s="25">
        <f>AU103+AV103</f>
        <v>0</v>
      </c>
      <c r="BB103" s="25">
        <f>H103/(100-BC103)*100</f>
        <v>0</v>
      </c>
      <c r="BC103" s="25">
        <v>0</v>
      </c>
      <c r="BD103" s="25">
        <f>M103</f>
        <v>0.61740000000000006</v>
      </c>
      <c r="BF103" s="25">
        <f>G103*AM103</f>
        <v>0</v>
      </c>
      <c r="BG103" s="25">
        <f>G103*AN103</f>
        <v>0</v>
      </c>
      <c r="BH103" s="25">
        <f>G103*H103</f>
        <v>0</v>
      </c>
      <c r="BI103" s="27" t="s">
        <v>65</v>
      </c>
      <c r="BJ103" s="25">
        <v>97</v>
      </c>
      <c r="BU103" s="25" t="e">
        <f>#REF!</f>
        <v>#REF!</v>
      </c>
      <c r="BV103" s="4" t="s">
        <v>213</v>
      </c>
    </row>
    <row r="104" spans="1:74" ht="14.4" x14ac:dyDescent="0.3">
      <c r="A104" s="28"/>
      <c r="D104" s="29" t="s">
        <v>215</v>
      </c>
      <c r="E104" s="29" t="s">
        <v>216</v>
      </c>
      <c r="G104" s="30">
        <v>7.5</v>
      </c>
      <c r="H104" s="63"/>
      <c r="N104" s="31"/>
    </row>
    <row r="105" spans="1:74" ht="14.4" x14ac:dyDescent="0.3">
      <c r="A105" s="28"/>
      <c r="D105" s="29" t="s">
        <v>217</v>
      </c>
      <c r="E105" s="29" t="s">
        <v>218</v>
      </c>
      <c r="G105" s="30">
        <v>7.2</v>
      </c>
      <c r="H105" s="63"/>
      <c r="N105" s="31"/>
    </row>
    <row r="106" spans="1:74" ht="26.4" x14ac:dyDescent="0.3">
      <c r="A106" s="2" t="s">
        <v>219</v>
      </c>
      <c r="B106" s="3" t="s">
        <v>53</v>
      </c>
      <c r="C106" s="3" t="s">
        <v>220</v>
      </c>
      <c r="D106" s="112" t="s">
        <v>221</v>
      </c>
      <c r="E106" s="109"/>
      <c r="F106" s="3" t="s">
        <v>122</v>
      </c>
      <c r="G106" s="25">
        <v>15</v>
      </c>
      <c r="H106" s="62"/>
      <c r="I106" s="25">
        <f>ROUND(G106*AM106,2)</f>
        <v>0</v>
      </c>
      <c r="J106" s="25">
        <f>ROUND(G106*AN106,2)</f>
        <v>0</v>
      </c>
      <c r="K106" s="25">
        <f>ROUND(G106*H106,2)</f>
        <v>0</v>
      </c>
      <c r="L106" s="25">
        <v>1E-3</v>
      </c>
      <c r="M106" s="25">
        <f>G106*L106</f>
        <v>1.4999999999999999E-2</v>
      </c>
      <c r="N106" s="26"/>
      <c r="X106" s="25">
        <f>ROUND(IF(AO106="5",BH106,0),2)</f>
        <v>0</v>
      </c>
      <c r="Z106" s="25">
        <f>ROUND(IF(AO106="1",BF106,0),2)</f>
        <v>0</v>
      </c>
      <c r="AA106" s="25">
        <f>ROUND(IF(AO106="1",BG106,0),2)</f>
        <v>0</v>
      </c>
      <c r="AB106" s="25">
        <f>ROUND(IF(AO106="7",BF106,0),2)</f>
        <v>0</v>
      </c>
      <c r="AC106" s="25">
        <f>ROUND(IF(AO106="7",BG106,0),2)</f>
        <v>0</v>
      </c>
      <c r="AD106" s="25">
        <f>ROUND(IF(AO106="2",BF106,0),2)</f>
        <v>0</v>
      </c>
      <c r="AE106" s="25">
        <f>ROUND(IF(AO106="2",BG106,0),2)</f>
        <v>0</v>
      </c>
      <c r="AF106" s="25">
        <f>ROUND(IF(AO106="0",BH106,0),2)</f>
        <v>0</v>
      </c>
      <c r="AG106" s="10" t="s">
        <v>53</v>
      </c>
      <c r="AH106" s="25">
        <f>IF(AL106=0,K106,0)</f>
        <v>0</v>
      </c>
      <c r="AI106" s="25">
        <f>IF(AL106=12,K106,0)</f>
        <v>0</v>
      </c>
      <c r="AJ106" s="25">
        <f>IF(AL106=21,K106,0)</f>
        <v>0</v>
      </c>
      <c r="AL106" s="25">
        <v>21</v>
      </c>
      <c r="AM106" s="25">
        <f>H106*0</f>
        <v>0</v>
      </c>
      <c r="AN106" s="25">
        <f>H106*(1-0)</f>
        <v>0</v>
      </c>
      <c r="AO106" s="27" t="s">
        <v>57</v>
      </c>
      <c r="AT106" s="25">
        <f>ROUND(AU106+AV106,2)</f>
        <v>0</v>
      </c>
      <c r="AU106" s="25">
        <f>ROUND(G106*AM106,2)</f>
        <v>0</v>
      </c>
      <c r="AV106" s="25">
        <f>ROUND(G106*AN106,2)</f>
        <v>0</v>
      </c>
      <c r="AW106" s="27" t="s">
        <v>214</v>
      </c>
      <c r="AX106" s="27" t="s">
        <v>124</v>
      </c>
      <c r="AY106" s="10" t="s">
        <v>64</v>
      </c>
      <c r="BA106" s="25">
        <f>AU106+AV106</f>
        <v>0</v>
      </c>
      <c r="BB106" s="25">
        <f>H106/(100-BC106)*100</f>
        <v>0</v>
      </c>
      <c r="BC106" s="25">
        <v>0</v>
      </c>
      <c r="BD106" s="25">
        <f>M106</f>
        <v>1.4999999999999999E-2</v>
      </c>
      <c r="BF106" s="25">
        <f>G106*AM106</f>
        <v>0</v>
      </c>
      <c r="BG106" s="25">
        <f>G106*AN106</f>
        <v>0</v>
      </c>
      <c r="BH106" s="25">
        <f>G106*H106</f>
        <v>0</v>
      </c>
      <c r="BI106" s="27" t="s">
        <v>65</v>
      </c>
      <c r="BJ106" s="25">
        <v>97</v>
      </c>
      <c r="BU106" s="25" t="e">
        <f>#REF!</f>
        <v>#REF!</v>
      </c>
      <c r="BV106" s="4" t="s">
        <v>221</v>
      </c>
    </row>
    <row r="107" spans="1:74" ht="14.4" x14ac:dyDescent="0.3">
      <c r="A107" s="2" t="s">
        <v>222</v>
      </c>
      <c r="B107" s="3" t="s">
        <v>53</v>
      </c>
      <c r="C107" s="3" t="s">
        <v>223</v>
      </c>
      <c r="D107" s="112" t="s">
        <v>224</v>
      </c>
      <c r="E107" s="109"/>
      <c r="F107" s="3" t="s">
        <v>60</v>
      </c>
      <c r="G107" s="25">
        <v>80.381</v>
      </c>
      <c r="H107" s="62"/>
      <c r="I107" s="25">
        <f>ROUND(G107*AM107,2)</f>
        <v>0</v>
      </c>
      <c r="J107" s="25">
        <f>ROUND(G107*AN107,2)</f>
        <v>0</v>
      </c>
      <c r="K107" s="25">
        <f>ROUND(G107*H107,2)</f>
        <v>0</v>
      </c>
      <c r="L107" s="25">
        <v>6.8000000000000005E-2</v>
      </c>
      <c r="M107" s="25">
        <f>G107*L107</f>
        <v>5.4659080000000007</v>
      </c>
      <c r="N107" s="26"/>
      <c r="X107" s="25">
        <f>ROUND(IF(AO107="5",BH107,0),2)</f>
        <v>0</v>
      </c>
      <c r="Z107" s="25">
        <f>ROUND(IF(AO107="1",BF107,0),2)</f>
        <v>0</v>
      </c>
      <c r="AA107" s="25">
        <f>ROUND(IF(AO107="1",BG107,0),2)</f>
        <v>0</v>
      </c>
      <c r="AB107" s="25">
        <f>ROUND(IF(AO107="7",BF107,0),2)</f>
        <v>0</v>
      </c>
      <c r="AC107" s="25">
        <f>ROUND(IF(AO107="7",BG107,0),2)</f>
        <v>0</v>
      </c>
      <c r="AD107" s="25">
        <f>ROUND(IF(AO107="2",BF107,0),2)</f>
        <v>0</v>
      </c>
      <c r="AE107" s="25">
        <f>ROUND(IF(AO107="2",BG107,0),2)</f>
        <v>0</v>
      </c>
      <c r="AF107" s="25">
        <f>ROUND(IF(AO107="0",BH107,0),2)</f>
        <v>0</v>
      </c>
      <c r="AG107" s="10" t="s">
        <v>53</v>
      </c>
      <c r="AH107" s="25">
        <f>IF(AL107=0,K107,0)</f>
        <v>0</v>
      </c>
      <c r="AI107" s="25">
        <f>IF(AL107=12,K107,0)</f>
        <v>0</v>
      </c>
      <c r="AJ107" s="25">
        <f>IF(AL107=21,K107,0)</f>
        <v>0</v>
      </c>
      <c r="AL107" s="25">
        <v>21</v>
      </c>
      <c r="AM107" s="25">
        <f>H107*0</f>
        <v>0</v>
      </c>
      <c r="AN107" s="25">
        <f>H107*(1-0)</f>
        <v>0</v>
      </c>
      <c r="AO107" s="27" t="s">
        <v>57</v>
      </c>
      <c r="AT107" s="25">
        <f>ROUND(AU107+AV107,2)</f>
        <v>0</v>
      </c>
      <c r="AU107" s="25">
        <f>ROUND(G107*AM107,2)</f>
        <v>0</v>
      </c>
      <c r="AV107" s="25">
        <f>ROUND(G107*AN107,2)</f>
        <v>0</v>
      </c>
      <c r="AW107" s="27" t="s">
        <v>214</v>
      </c>
      <c r="AX107" s="27" t="s">
        <v>124</v>
      </c>
      <c r="AY107" s="10" t="s">
        <v>64</v>
      </c>
      <c r="BA107" s="25">
        <f>AU107+AV107</f>
        <v>0</v>
      </c>
      <c r="BB107" s="25">
        <f>H107/(100-BC107)*100</f>
        <v>0</v>
      </c>
      <c r="BC107" s="25">
        <v>0</v>
      </c>
      <c r="BD107" s="25">
        <f>M107</f>
        <v>5.4659080000000007</v>
      </c>
      <c r="BF107" s="25">
        <f>G107*AM107</f>
        <v>0</v>
      </c>
      <c r="BG107" s="25">
        <f>G107*AN107</f>
        <v>0</v>
      </c>
      <c r="BH107" s="25">
        <f>G107*H107</f>
        <v>0</v>
      </c>
      <c r="BI107" s="27" t="s">
        <v>65</v>
      </c>
      <c r="BJ107" s="25">
        <v>97</v>
      </c>
      <c r="BU107" s="25" t="e">
        <f>#REF!</f>
        <v>#REF!</v>
      </c>
      <c r="BV107" s="4" t="s">
        <v>224</v>
      </c>
    </row>
    <row r="108" spans="1:74" ht="14.4" x14ac:dyDescent="0.3">
      <c r="A108" s="28"/>
      <c r="D108" s="29" t="s">
        <v>225</v>
      </c>
      <c r="E108" s="29" t="s">
        <v>85</v>
      </c>
      <c r="G108" s="30">
        <v>19.5</v>
      </c>
      <c r="H108" s="63"/>
      <c r="N108" s="31"/>
    </row>
    <row r="109" spans="1:74" ht="14.4" x14ac:dyDescent="0.3">
      <c r="A109" s="28"/>
      <c r="D109" s="29" t="s">
        <v>226</v>
      </c>
      <c r="E109" s="29" t="s">
        <v>86</v>
      </c>
      <c r="G109" s="30">
        <v>19.350000000000001</v>
      </c>
      <c r="H109" s="63"/>
      <c r="N109" s="31"/>
    </row>
    <row r="110" spans="1:74" ht="14.4" x14ac:dyDescent="0.3">
      <c r="A110" s="28"/>
      <c r="D110" s="29" t="s">
        <v>227</v>
      </c>
      <c r="E110" s="29" t="s">
        <v>70</v>
      </c>
      <c r="G110" s="30">
        <v>11.081</v>
      </c>
      <c r="H110" s="63"/>
      <c r="N110" s="31"/>
    </row>
    <row r="111" spans="1:74" ht="14.4" x14ac:dyDescent="0.3">
      <c r="A111" s="28"/>
      <c r="D111" s="29" t="s">
        <v>228</v>
      </c>
      <c r="E111" s="29" t="s">
        <v>72</v>
      </c>
      <c r="G111" s="30">
        <v>8.4420000000000002</v>
      </c>
      <c r="H111" s="63"/>
      <c r="N111" s="31"/>
    </row>
    <row r="112" spans="1:74" ht="14.4" x14ac:dyDescent="0.3">
      <c r="A112" s="28"/>
      <c r="D112" s="29" t="s">
        <v>229</v>
      </c>
      <c r="E112" s="29" t="s">
        <v>174</v>
      </c>
      <c r="G112" s="30">
        <v>2.8</v>
      </c>
      <c r="H112" s="63"/>
      <c r="N112" s="31"/>
    </row>
    <row r="113" spans="1:74" ht="14.4" x14ac:dyDescent="0.3">
      <c r="A113" s="28"/>
      <c r="D113" s="29" t="s">
        <v>230</v>
      </c>
      <c r="E113" s="29" t="s">
        <v>180</v>
      </c>
      <c r="G113" s="30">
        <v>13.635999999999999</v>
      </c>
      <c r="H113" s="63"/>
      <c r="N113" s="31"/>
    </row>
    <row r="114" spans="1:74" ht="14.4" x14ac:dyDescent="0.3">
      <c r="A114" s="28"/>
      <c r="D114" s="29" t="s">
        <v>231</v>
      </c>
      <c r="E114" s="29" t="s">
        <v>182</v>
      </c>
      <c r="G114" s="30">
        <v>5.5720000000000001</v>
      </c>
      <c r="H114" s="63"/>
      <c r="N114" s="31"/>
    </row>
    <row r="115" spans="1:74" ht="14.4" x14ac:dyDescent="0.3">
      <c r="A115" s="2" t="s">
        <v>232</v>
      </c>
      <c r="B115" s="3" t="s">
        <v>53</v>
      </c>
      <c r="C115" s="3" t="s">
        <v>233</v>
      </c>
      <c r="D115" s="112" t="s">
        <v>234</v>
      </c>
      <c r="E115" s="109"/>
      <c r="F115" s="3" t="s">
        <v>60</v>
      </c>
      <c r="G115" s="25">
        <v>74.715000000000003</v>
      </c>
      <c r="H115" s="62"/>
      <c r="I115" s="25">
        <f>ROUND(G115*AM115,2)</f>
        <v>0</v>
      </c>
      <c r="J115" s="25">
        <f>ROUND(G115*AN115,2)</f>
        <v>0</v>
      </c>
      <c r="K115" s="25">
        <f>ROUND(G115*H115,2)</f>
        <v>0</v>
      </c>
      <c r="L115" s="25">
        <v>2.546E-2</v>
      </c>
      <c r="M115" s="25">
        <f>G115*L115</f>
        <v>1.9022439</v>
      </c>
      <c r="N115" s="26"/>
      <c r="X115" s="25">
        <f>ROUND(IF(AO115="5",BH115,0),2)</f>
        <v>0</v>
      </c>
      <c r="Z115" s="25">
        <f>ROUND(IF(AO115="1",BF115,0),2)</f>
        <v>0</v>
      </c>
      <c r="AA115" s="25">
        <f>ROUND(IF(AO115="1",BG115,0),2)</f>
        <v>0</v>
      </c>
      <c r="AB115" s="25">
        <f>ROUND(IF(AO115="7",BF115,0),2)</f>
        <v>0</v>
      </c>
      <c r="AC115" s="25">
        <f>ROUND(IF(AO115="7",BG115,0),2)</f>
        <v>0</v>
      </c>
      <c r="AD115" s="25">
        <f>ROUND(IF(AO115="2",BF115,0),2)</f>
        <v>0</v>
      </c>
      <c r="AE115" s="25">
        <f>ROUND(IF(AO115="2",BG115,0),2)</f>
        <v>0</v>
      </c>
      <c r="AF115" s="25">
        <f>ROUND(IF(AO115="0",BH115,0),2)</f>
        <v>0</v>
      </c>
      <c r="AG115" s="10" t="s">
        <v>53</v>
      </c>
      <c r="AH115" s="25">
        <f>IF(AL115=0,K115,0)</f>
        <v>0</v>
      </c>
      <c r="AI115" s="25">
        <f>IF(AL115=12,K115,0)</f>
        <v>0</v>
      </c>
      <c r="AJ115" s="25">
        <f>IF(AL115=21,K115,0)</f>
        <v>0</v>
      </c>
      <c r="AL115" s="25">
        <v>21</v>
      </c>
      <c r="AM115" s="25">
        <f>H115*0</f>
        <v>0</v>
      </c>
      <c r="AN115" s="25">
        <f>H115*(1-0)</f>
        <v>0</v>
      </c>
      <c r="AO115" s="27" t="s">
        <v>57</v>
      </c>
      <c r="AT115" s="25">
        <f>ROUND(AU115+AV115,2)</f>
        <v>0</v>
      </c>
      <c r="AU115" s="25">
        <f>ROUND(G115*AM115,2)</f>
        <v>0</v>
      </c>
      <c r="AV115" s="25">
        <f>ROUND(G115*AN115,2)</f>
        <v>0</v>
      </c>
      <c r="AW115" s="27" t="s">
        <v>214</v>
      </c>
      <c r="AX115" s="27" t="s">
        <v>124</v>
      </c>
      <c r="AY115" s="10" t="s">
        <v>64</v>
      </c>
      <c r="BA115" s="25">
        <f>AU115+AV115</f>
        <v>0</v>
      </c>
      <c r="BB115" s="25">
        <f>H115/(100-BC115)*100</f>
        <v>0</v>
      </c>
      <c r="BC115" s="25">
        <v>0</v>
      </c>
      <c r="BD115" s="25">
        <f>M115</f>
        <v>1.9022439</v>
      </c>
      <c r="BF115" s="25">
        <f>G115*AM115</f>
        <v>0</v>
      </c>
      <c r="BG115" s="25">
        <f>G115*AN115</f>
        <v>0</v>
      </c>
      <c r="BH115" s="25">
        <f>G115*H115</f>
        <v>0</v>
      </c>
      <c r="BI115" s="27" t="s">
        <v>65</v>
      </c>
      <c r="BJ115" s="25">
        <v>97</v>
      </c>
      <c r="BU115" s="25" t="e">
        <f>#REF!</f>
        <v>#REF!</v>
      </c>
      <c r="BV115" s="4" t="s">
        <v>234</v>
      </c>
    </row>
    <row r="116" spans="1:74" ht="14.4" x14ac:dyDescent="0.3">
      <c r="A116" s="28"/>
      <c r="D116" s="29" t="s">
        <v>235</v>
      </c>
      <c r="E116" s="29" t="s">
        <v>67</v>
      </c>
      <c r="G116" s="30">
        <v>16.849</v>
      </c>
      <c r="H116" s="63"/>
      <c r="N116" s="31"/>
    </row>
    <row r="117" spans="1:74" ht="14.4" x14ac:dyDescent="0.3">
      <c r="A117" s="28"/>
      <c r="D117" s="29" t="s">
        <v>236</v>
      </c>
      <c r="E117" s="29" t="s">
        <v>69</v>
      </c>
      <c r="G117" s="30">
        <v>10.08</v>
      </c>
      <c r="H117" s="63"/>
      <c r="N117" s="31"/>
    </row>
    <row r="118" spans="1:74" ht="14.4" x14ac:dyDescent="0.3">
      <c r="A118" s="28"/>
      <c r="D118" s="29" t="s">
        <v>237</v>
      </c>
      <c r="E118" s="29" t="s">
        <v>70</v>
      </c>
      <c r="G118" s="30">
        <v>19.98</v>
      </c>
      <c r="H118" s="63"/>
      <c r="N118" s="31"/>
    </row>
    <row r="119" spans="1:74" ht="14.4" x14ac:dyDescent="0.3">
      <c r="A119" s="28"/>
      <c r="D119" s="29" t="s">
        <v>238</v>
      </c>
      <c r="E119" s="29" t="s">
        <v>239</v>
      </c>
      <c r="G119" s="30">
        <v>10.8</v>
      </c>
      <c r="H119" s="63"/>
      <c r="N119" s="31"/>
    </row>
    <row r="120" spans="1:74" ht="14.4" x14ac:dyDescent="0.3">
      <c r="A120" s="28"/>
      <c r="D120" s="29" t="s">
        <v>240</v>
      </c>
      <c r="E120" s="29" t="s">
        <v>72</v>
      </c>
      <c r="G120" s="30">
        <v>2.706</v>
      </c>
      <c r="H120" s="63"/>
      <c r="N120" s="31"/>
    </row>
    <row r="121" spans="1:74" ht="14.4" x14ac:dyDescent="0.3">
      <c r="A121" s="28"/>
      <c r="D121" s="29" t="s">
        <v>241</v>
      </c>
      <c r="E121" s="29" t="s">
        <v>170</v>
      </c>
      <c r="G121" s="30">
        <v>14.3</v>
      </c>
      <c r="H121" s="63"/>
      <c r="N121" s="31"/>
    </row>
    <row r="122" spans="1:74" ht="14.4" x14ac:dyDescent="0.3">
      <c r="A122" s="2" t="s">
        <v>242</v>
      </c>
      <c r="B122" s="3" t="s">
        <v>53</v>
      </c>
      <c r="C122" s="3" t="s">
        <v>243</v>
      </c>
      <c r="D122" s="112" t="s">
        <v>244</v>
      </c>
      <c r="E122" s="109"/>
      <c r="F122" s="3" t="s">
        <v>60</v>
      </c>
      <c r="G122" s="25">
        <v>2.02</v>
      </c>
      <c r="H122" s="62"/>
      <c r="I122" s="25">
        <f>ROUND(G122*AM122,2)</f>
        <v>0</v>
      </c>
      <c r="J122" s="25">
        <f>ROUND(G122*AN122,2)</f>
        <v>0</v>
      </c>
      <c r="K122" s="25">
        <f>ROUND(G122*H122,2)</f>
        <v>0</v>
      </c>
      <c r="L122" s="25">
        <v>0.54054999999999997</v>
      </c>
      <c r="M122" s="25">
        <f>G122*L122</f>
        <v>1.0919109999999999</v>
      </c>
      <c r="N122" s="26"/>
      <c r="X122" s="25">
        <f>ROUND(IF(AO122="5",BH122,0),2)</f>
        <v>0</v>
      </c>
      <c r="Z122" s="25">
        <f>ROUND(IF(AO122="1",BF122,0),2)</f>
        <v>0</v>
      </c>
      <c r="AA122" s="25">
        <f>ROUND(IF(AO122="1",BG122,0),2)</f>
        <v>0</v>
      </c>
      <c r="AB122" s="25">
        <f>ROUND(IF(AO122="7",BF122,0),2)</f>
        <v>0</v>
      </c>
      <c r="AC122" s="25">
        <f>ROUND(IF(AO122="7",BG122,0),2)</f>
        <v>0</v>
      </c>
      <c r="AD122" s="25">
        <f>ROUND(IF(AO122="2",BF122,0),2)</f>
        <v>0</v>
      </c>
      <c r="AE122" s="25">
        <f>ROUND(IF(AO122="2",BG122,0),2)</f>
        <v>0</v>
      </c>
      <c r="AF122" s="25">
        <f>ROUND(IF(AO122="0",BH122,0),2)</f>
        <v>0</v>
      </c>
      <c r="AG122" s="10" t="s">
        <v>53</v>
      </c>
      <c r="AH122" s="25">
        <f>IF(AL122=0,K122,0)</f>
        <v>0</v>
      </c>
      <c r="AI122" s="25">
        <f>IF(AL122=12,K122,0)</f>
        <v>0</v>
      </c>
      <c r="AJ122" s="25">
        <f>IF(AL122=21,K122,0)</f>
        <v>0</v>
      </c>
      <c r="AL122" s="25">
        <v>21</v>
      </c>
      <c r="AM122" s="25">
        <f>H122*0.010762308</f>
        <v>0</v>
      </c>
      <c r="AN122" s="25">
        <f>H122*(1-0.010762308)</f>
        <v>0</v>
      </c>
      <c r="AO122" s="27" t="s">
        <v>57</v>
      </c>
      <c r="AT122" s="25">
        <f>ROUND(AU122+AV122,2)</f>
        <v>0</v>
      </c>
      <c r="AU122" s="25">
        <f>ROUND(G122*AM122,2)</f>
        <v>0</v>
      </c>
      <c r="AV122" s="25">
        <f>ROUND(G122*AN122,2)</f>
        <v>0</v>
      </c>
      <c r="AW122" s="27" t="s">
        <v>214</v>
      </c>
      <c r="AX122" s="27" t="s">
        <v>124</v>
      </c>
      <c r="AY122" s="10" t="s">
        <v>64</v>
      </c>
      <c r="BA122" s="25">
        <f>AU122+AV122</f>
        <v>0</v>
      </c>
      <c r="BB122" s="25">
        <f>H122/(100-BC122)*100</f>
        <v>0</v>
      </c>
      <c r="BC122" s="25">
        <v>0</v>
      </c>
      <c r="BD122" s="25">
        <f>M122</f>
        <v>1.0919109999999999</v>
      </c>
      <c r="BF122" s="25">
        <f>G122*AM122</f>
        <v>0</v>
      </c>
      <c r="BG122" s="25">
        <f>G122*AN122</f>
        <v>0</v>
      </c>
      <c r="BH122" s="25">
        <f>G122*H122</f>
        <v>0</v>
      </c>
      <c r="BI122" s="27" t="s">
        <v>65</v>
      </c>
      <c r="BJ122" s="25">
        <v>97</v>
      </c>
      <c r="BU122" s="25" t="e">
        <f>#REF!</f>
        <v>#REF!</v>
      </c>
      <c r="BV122" s="4" t="s">
        <v>244</v>
      </c>
    </row>
    <row r="123" spans="1:74" ht="14.4" x14ac:dyDescent="0.3">
      <c r="A123" s="28"/>
      <c r="D123" s="29" t="s">
        <v>245</v>
      </c>
      <c r="E123" s="29" t="s">
        <v>52</v>
      </c>
      <c r="G123" s="30">
        <v>2.02</v>
      </c>
      <c r="H123" s="63"/>
      <c r="N123" s="31"/>
    </row>
    <row r="124" spans="1:74" ht="14.4" x14ac:dyDescent="0.3">
      <c r="A124" s="2" t="s">
        <v>246</v>
      </c>
      <c r="B124" s="3" t="s">
        <v>53</v>
      </c>
      <c r="C124" s="3" t="s">
        <v>247</v>
      </c>
      <c r="D124" s="112" t="s">
        <v>248</v>
      </c>
      <c r="E124" s="109"/>
      <c r="F124" s="3" t="s">
        <v>60</v>
      </c>
      <c r="G124" s="25">
        <v>213.83500000000001</v>
      </c>
      <c r="H124" s="62"/>
      <c r="I124" s="25">
        <f>ROUND(G124*AM124,2)</f>
        <v>0</v>
      </c>
      <c r="J124" s="25">
        <f>ROUND(G124*AN124,2)</f>
        <v>0</v>
      </c>
      <c r="K124" s="25">
        <f>ROUND(G124*H124,2)</f>
        <v>0</v>
      </c>
      <c r="L124" s="25">
        <v>4.1999999999999997E-3</v>
      </c>
      <c r="M124" s="25">
        <f>G124*L124</f>
        <v>0.89810699999999999</v>
      </c>
      <c r="N124" s="26"/>
      <c r="X124" s="25">
        <f>ROUND(IF(AO124="5",BH124,0),2)</f>
        <v>0</v>
      </c>
      <c r="Z124" s="25">
        <f>ROUND(IF(AO124="1",BF124,0),2)</f>
        <v>0</v>
      </c>
      <c r="AA124" s="25">
        <f>ROUND(IF(AO124="1",BG124,0),2)</f>
        <v>0</v>
      </c>
      <c r="AB124" s="25">
        <f>ROUND(IF(AO124="7",BF124,0),2)</f>
        <v>0</v>
      </c>
      <c r="AC124" s="25">
        <f>ROUND(IF(AO124="7",BG124,0),2)</f>
        <v>0</v>
      </c>
      <c r="AD124" s="25">
        <f>ROUND(IF(AO124="2",BF124,0),2)</f>
        <v>0</v>
      </c>
      <c r="AE124" s="25">
        <f>ROUND(IF(AO124="2",BG124,0),2)</f>
        <v>0</v>
      </c>
      <c r="AF124" s="25">
        <f>ROUND(IF(AO124="0",BH124,0),2)</f>
        <v>0</v>
      </c>
      <c r="AG124" s="10" t="s">
        <v>53</v>
      </c>
      <c r="AH124" s="25">
        <f>IF(AL124=0,K124,0)</f>
        <v>0</v>
      </c>
      <c r="AI124" s="25">
        <f>IF(AL124=12,K124,0)</f>
        <v>0</v>
      </c>
      <c r="AJ124" s="25">
        <f>IF(AL124=21,K124,0)</f>
        <v>0</v>
      </c>
      <c r="AL124" s="25">
        <v>21</v>
      </c>
      <c r="AM124" s="25">
        <f>H124*0</f>
        <v>0</v>
      </c>
      <c r="AN124" s="25">
        <f>H124*(1-0)</f>
        <v>0</v>
      </c>
      <c r="AO124" s="27" t="s">
        <v>57</v>
      </c>
      <c r="AT124" s="25">
        <f>ROUND(AU124+AV124,2)</f>
        <v>0</v>
      </c>
      <c r="AU124" s="25">
        <f>ROUND(G124*AM124,2)</f>
        <v>0</v>
      </c>
      <c r="AV124" s="25">
        <f>ROUND(G124*AN124,2)</f>
        <v>0</v>
      </c>
      <c r="AW124" s="27" t="s">
        <v>214</v>
      </c>
      <c r="AX124" s="27" t="s">
        <v>124</v>
      </c>
      <c r="AY124" s="10" t="s">
        <v>64</v>
      </c>
      <c r="BA124" s="25">
        <f>AU124+AV124</f>
        <v>0</v>
      </c>
      <c r="BB124" s="25">
        <f>H124/(100-BC124)*100</f>
        <v>0</v>
      </c>
      <c r="BC124" s="25">
        <v>0</v>
      </c>
      <c r="BD124" s="25">
        <f>M124</f>
        <v>0.89810699999999999</v>
      </c>
      <c r="BF124" s="25">
        <f>G124*AM124</f>
        <v>0</v>
      </c>
      <c r="BG124" s="25">
        <f>G124*AN124</f>
        <v>0</v>
      </c>
      <c r="BH124" s="25">
        <f>G124*H124</f>
        <v>0</v>
      </c>
      <c r="BI124" s="27" t="s">
        <v>65</v>
      </c>
      <c r="BJ124" s="25">
        <v>97</v>
      </c>
      <c r="BU124" s="25" t="e">
        <f>#REF!</f>
        <v>#REF!</v>
      </c>
      <c r="BV124" s="4" t="s">
        <v>248</v>
      </c>
    </row>
    <row r="125" spans="1:74" ht="14.4" x14ac:dyDescent="0.3">
      <c r="A125" s="28"/>
      <c r="D125" s="29" t="s">
        <v>249</v>
      </c>
      <c r="E125" s="29" t="s">
        <v>163</v>
      </c>
      <c r="G125" s="30">
        <v>15.46</v>
      </c>
      <c r="H125" s="63"/>
      <c r="N125" s="31"/>
    </row>
    <row r="126" spans="1:74" ht="14.4" x14ac:dyDescent="0.3">
      <c r="A126" s="28"/>
      <c r="D126" s="29" t="s">
        <v>250</v>
      </c>
      <c r="E126" s="29" t="s">
        <v>170</v>
      </c>
      <c r="G126" s="30">
        <v>47.912999999999997</v>
      </c>
      <c r="H126" s="63"/>
      <c r="N126" s="31"/>
    </row>
    <row r="127" spans="1:74" ht="14.4" x14ac:dyDescent="0.3">
      <c r="A127" s="28"/>
      <c r="D127" s="29" t="s">
        <v>251</v>
      </c>
      <c r="E127" s="29" t="s">
        <v>69</v>
      </c>
      <c r="G127" s="30">
        <v>39.417000000000002</v>
      </c>
      <c r="H127" s="63"/>
      <c r="N127" s="31"/>
    </row>
    <row r="128" spans="1:74" ht="14.4" x14ac:dyDescent="0.3">
      <c r="A128" s="28"/>
      <c r="D128" s="29" t="s">
        <v>252</v>
      </c>
      <c r="E128" s="29" t="s">
        <v>70</v>
      </c>
      <c r="G128" s="30">
        <v>35.421999999999997</v>
      </c>
      <c r="H128" s="63"/>
      <c r="N128" s="31"/>
    </row>
    <row r="129" spans="1:74" ht="14.4" x14ac:dyDescent="0.3">
      <c r="A129" s="28"/>
      <c r="D129" s="29" t="s">
        <v>253</v>
      </c>
      <c r="E129" s="29" t="s">
        <v>72</v>
      </c>
      <c r="G129" s="30">
        <v>11.377000000000001</v>
      </c>
      <c r="H129" s="63"/>
      <c r="N129" s="31"/>
    </row>
    <row r="130" spans="1:74" ht="14.4" x14ac:dyDescent="0.3">
      <c r="A130" s="28"/>
      <c r="D130" s="29" t="s">
        <v>254</v>
      </c>
      <c r="E130" s="29" t="s">
        <v>174</v>
      </c>
      <c r="G130" s="30">
        <v>22.004000000000001</v>
      </c>
      <c r="H130" s="63"/>
      <c r="N130" s="31"/>
    </row>
    <row r="131" spans="1:74" ht="14.4" x14ac:dyDescent="0.3">
      <c r="A131" s="28"/>
      <c r="D131" s="29" t="s">
        <v>255</v>
      </c>
      <c r="E131" s="29" t="s">
        <v>182</v>
      </c>
      <c r="G131" s="30">
        <v>4.0049999999999999</v>
      </c>
      <c r="H131" s="63"/>
      <c r="N131" s="31"/>
    </row>
    <row r="132" spans="1:74" ht="14.4" x14ac:dyDescent="0.3">
      <c r="A132" s="28"/>
      <c r="D132" s="29" t="s">
        <v>256</v>
      </c>
      <c r="E132" s="29" t="s">
        <v>180</v>
      </c>
      <c r="G132" s="30">
        <v>3.61</v>
      </c>
      <c r="H132" s="63"/>
      <c r="N132" s="31"/>
    </row>
    <row r="133" spans="1:74" ht="14.4" x14ac:dyDescent="0.3">
      <c r="A133" s="28"/>
      <c r="D133" s="29" t="s">
        <v>257</v>
      </c>
      <c r="E133" s="29" t="s">
        <v>112</v>
      </c>
      <c r="G133" s="30">
        <v>34.627000000000002</v>
      </c>
      <c r="H133" s="63"/>
      <c r="N133" s="31"/>
    </row>
    <row r="134" spans="1:74" ht="14.4" x14ac:dyDescent="0.3">
      <c r="A134" s="2" t="s">
        <v>258</v>
      </c>
      <c r="B134" s="3" t="s">
        <v>53</v>
      </c>
      <c r="C134" s="3" t="s">
        <v>259</v>
      </c>
      <c r="D134" s="112" t="s">
        <v>260</v>
      </c>
      <c r="E134" s="109"/>
      <c r="F134" s="3" t="s">
        <v>60</v>
      </c>
      <c r="G134" s="25">
        <v>80.381</v>
      </c>
      <c r="H134" s="62"/>
      <c r="I134" s="25">
        <f>ROUND(G134*AM134,2)</f>
        <v>0</v>
      </c>
      <c r="J134" s="25">
        <f>ROUND(G134*AN134,2)</f>
        <v>0</v>
      </c>
      <c r="K134" s="25">
        <f>ROUND(G134*H134,2)</f>
        <v>0</v>
      </c>
      <c r="L134" s="25">
        <v>4.5999999999999999E-2</v>
      </c>
      <c r="M134" s="25">
        <f>G134*L134</f>
        <v>3.6975259999999999</v>
      </c>
      <c r="N134" s="26"/>
      <c r="X134" s="25">
        <f>ROUND(IF(AO134="5",BH134,0),2)</f>
        <v>0</v>
      </c>
      <c r="Z134" s="25">
        <f>ROUND(IF(AO134="1",BF134,0),2)</f>
        <v>0</v>
      </c>
      <c r="AA134" s="25">
        <f>ROUND(IF(AO134="1",BG134,0),2)</f>
        <v>0</v>
      </c>
      <c r="AB134" s="25">
        <f>ROUND(IF(AO134="7",BF134,0),2)</f>
        <v>0</v>
      </c>
      <c r="AC134" s="25">
        <f>ROUND(IF(AO134="7",BG134,0),2)</f>
        <v>0</v>
      </c>
      <c r="AD134" s="25">
        <f>ROUND(IF(AO134="2",BF134,0),2)</f>
        <v>0</v>
      </c>
      <c r="AE134" s="25">
        <f>ROUND(IF(AO134="2",BG134,0),2)</f>
        <v>0</v>
      </c>
      <c r="AF134" s="25">
        <f>ROUND(IF(AO134="0",BH134,0),2)</f>
        <v>0</v>
      </c>
      <c r="AG134" s="10" t="s">
        <v>53</v>
      </c>
      <c r="AH134" s="25">
        <f>IF(AL134=0,K134,0)</f>
        <v>0</v>
      </c>
      <c r="AI134" s="25">
        <f>IF(AL134=12,K134,0)</f>
        <v>0</v>
      </c>
      <c r="AJ134" s="25">
        <f>IF(AL134=21,K134,0)</f>
        <v>0</v>
      </c>
      <c r="AL134" s="25">
        <v>21</v>
      </c>
      <c r="AM134" s="25">
        <f>H134*0</f>
        <v>0</v>
      </c>
      <c r="AN134" s="25">
        <f>H134*(1-0)</f>
        <v>0</v>
      </c>
      <c r="AO134" s="27" t="s">
        <v>57</v>
      </c>
      <c r="AT134" s="25">
        <f>ROUND(AU134+AV134,2)</f>
        <v>0</v>
      </c>
      <c r="AU134" s="25">
        <f>ROUND(G134*AM134,2)</f>
        <v>0</v>
      </c>
      <c r="AV134" s="25">
        <f>ROUND(G134*AN134,2)</f>
        <v>0</v>
      </c>
      <c r="AW134" s="27" t="s">
        <v>214</v>
      </c>
      <c r="AX134" s="27" t="s">
        <v>124</v>
      </c>
      <c r="AY134" s="10" t="s">
        <v>64</v>
      </c>
      <c r="BA134" s="25">
        <f>AU134+AV134</f>
        <v>0</v>
      </c>
      <c r="BB134" s="25">
        <f>H134/(100-BC134)*100</f>
        <v>0</v>
      </c>
      <c r="BC134" s="25">
        <v>0</v>
      </c>
      <c r="BD134" s="25">
        <f>M134</f>
        <v>3.6975259999999999</v>
      </c>
      <c r="BF134" s="25">
        <f>G134*AM134</f>
        <v>0</v>
      </c>
      <c r="BG134" s="25">
        <f>G134*AN134</f>
        <v>0</v>
      </c>
      <c r="BH134" s="25">
        <f>G134*H134</f>
        <v>0</v>
      </c>
      <c r="BI134" s="27" t="s">
        <v>65</v>
      </c>
      <c r="BJ134" s="25">
        <v>97</v>
      </c>
      <c r="BU134" s="25" t="e">
        <f>#REF!</f>
        <v>#REF!</v>
      </c>
      <c r="BV134" s="4" t="s">
        <v>260</v>
      </c>
    </row>
    <row r="135" spans="1:74" ht="14.4" x14ac:dyDescent="0.3">
      <c r="A135" s="28"/>
      <c r="D135" s="29" t="s">
        <v>225</v>
      </c>
      <c r="E135" s="29" t="s">
        <v>85</v>
      </c>
      <c r="G135" s="30">
        <v>19.5</v>
      </c>
      <c r="H135" s="63"/>
      <c r="N135" s="31"/>
    </row>
    <row r="136" spans="1:74" ht="14.4" x14ac:dyDescent="0.3">
      <c r="A136" s="28"/>
      <c r="D136" s="29" t="s">
        <v>226</v>
      </c>
      <c r="E136" s="29" t="s">
        <v>86</v>
      </c>
      <c r="G136" s="30">
        <v>19.350000000000001</v>
      </c>
      <c r="H136" s="63"/>
      <c r="N136" s="31"/>
    </row>
    <row r="137" spans="1:74" ht="14.4" x14ac:dyDescent="0.3">
      <c r="A137" s="28"/>
      <c r="D137" s="29" t="s">
        <v>227</v>
      </c>
      <c r="E137" s="29" t="s">
        <v>70</v>
      </c>
      <c r="G137" s="30">
        <v>11.081</v>
      </c>
      <c r="H137" s="63"/>
      <c r="N137" s="31"/>
    </row>
    <row r="138" spans="1:74" ht="14.4" x14ac:dyDescent="0.3">
      <c r="A138" s="28"/>
      <c r="D138" s="29" t="s">
        <v>228</v>
      </c>
      <c r="E138" s="29" t="s">
        <v>72</v>
      </c>
      <c r="G138" s="30">
        <v>8.4420000000000002</v>
      </c>
      <c r="H138" s="63"/>
      <c r="N138" s="31"/>
    </row>
    <row r="139" spans="1:74" ht="14.4" x14ac:dyDescent="0.3">
      <c r="A139" s="28"/>
      <c r="D139" s="29" t="s">
        <v>229</v>
      </c>
      <c r="E139" s="29" t="s">
        <v>174</v>
      </c>
      <c r="G139" s="30">
        <v>2.8</v>
      </c>
      <c r="H139" s="63"/>
      <c r="N139" s="31"/>
    </row>
    <row r="140" spans="1:74" ht="14.4" x14ac:dyDescent="0.3">
      <c r="A140" s="28"/>
      <c r="D140" s="29" t="s">
        <v>230</v>
      </c>
      <c r="E140" s="29" t="s">
        <v>180</v>
      </c>
      <c r="G140" s="30">
        <v>13.635999999999999</v>
      </c>
      <c r="H140" s="63"/>
      <c r="N140" s="31"/>
    </row>
    <row r="141" spans="1:74" ht="14.4" x14ac:dyDescent="0.3">
      <c r="A141" s="28"/>
      <c r="D141" s="29" t="s">
        <v>231</v>
      </c>
      <c r="E141" s="29" t="s">
        <v>182</v>
      </c>
      <c r="G141" s="30">
        <v>5.5720000000000001</v>
      </c>
      <c r="H141" s="63"/>
      <c r="N141" s="31"/>
    </row>
    <row r="142" spans="1:74" ht="14.4" x14ac:dyDescent="0.3">
      <c r="A142" s="2" t="s">
        <v>261</v>
      </c>
      <c r="B142" s="3" t="s">
        <v>53</v>
      </c>
      <c r="C142" s="3" t="s">
        <v>262</v>
      </c>
      <c r="D142" s="112" t="s">
        <v>263</v>
      </c>
      <c r="E142" s="109"/>
      <c r="F142" s="3" t="s">
        <v>60</v>
      </c>
      <c r="G142" s="25">
        <v>213.83500000000001</v>
      </c>
      <c r="H142" s="62"/>
      <c r="I142" s="25">
        <f>ROUND(G142*AM142,2)</f>
        <v>0</v>
      </c>
      <c r="J142" s="25">
        <f>ROUND(G142*AN142,2)</f>
        <v>0</v>
      </c>
      <c r="K142" s="25">
        <f>ROUND(G142*H142,2)</f>
        <v>0</v>
      </c>
      <c r="L142" s="25">
        <v>0.01</v>
      </c>
      <c r="M142" s="25">
        <f>G142*L142</f>
        <v>2.13835</v>
      </c>
      <c r="N142" s="26"/>
      <c r="X142" s="25">
        <f>ROUND(IF(AO142="5",BH142,0),2)</f>
        <v>0</v>
      </c>
      <c r="Z142" s="25">
        <f>ROUND(IF(AO142="1",BF142,0),2)</f>
        <v>0</v>
      </c>
      <c r="AA142" s="25">
        <f>ROUND(IF(AO142="1",BG142,0),2)</f>
        <v>0</v>
      </c>
      <c r="AB142" s="25">
        <f>ROUND(IF(AO142="7",BF142,0),2)</f>
        <v>0</v>
      </c>
      <c r="AC142" s="25">
        <f>ROUND(IF(AO142="7",BG142,0),2)</f>
        <v>0</v>
      </c>
      <c r="AD142" s="25">
        <f>ROUND(IF(AO142="2",BF142,0),2)</f>
        <v>0</v>
      </c>
      <c r="AE142" s="25">
        <f>ROUND(IF(AO142="2",BG142,0),2)</f>
        <v>0</v>
      </c>
      <c r="AF142" s="25">
        <f>ROUND(IF(AO142="0",BH142,0),2)</f>
        <v>0</v>
      </c>
      <c r="AG142" s="10" t="s">
        <v>53</v>
      </c>
      <c r="AH142" s="25">
        <f>IF(AL142=0,K142,0)</f>
        <v>0</v>
      </c>
      <c r="AI142" s="25">
        <f>IF(AL142=12,K142,0)</f>
        <v>0</v>
      </c>
      <c r="AJ142" s="25">
        <f>IF(AL142=21,K142,0)</f>
        <v>0</v>
      </c>
      <c r="AL142" s="25">
        <v>21</v>
      </c>
      <c r="AM142" s="25">
        <f>H142*0</f>
        <v>0</v>
      </c>
      <c r="AN142" s="25">
        <f>H142*(1-0)</f>
        <v>0</v>
      </c>
      <c r="AO142" s="27" t="s">
        <v>57</v>
      </c>
      <c r="AT142" s="25">
        <f>ROUND(AU142+AV142,2)</f>
        <v>0</v>
      </c>
      <c r="AU142" s="25">
        <f>ROUND(G142*AM142,2)</f>
        <v>0</v>
      </c>
      <c r="AV142" s="25">
        <f>ROUND(G142*AN142,2)</f>
        <v>0</v>
      </c>
      <c r="AW142" s="27" t="s">
        <v>214</v>
      </c>
      <c r="AX142" s="27" t="s">
        <v>124</v>
      </c>
      <c r="AY142" s="10" t="s">
        <v>64</v>
      </c>
      <c r="BA142" s="25">
        <f>AU142+AV142</f>
        <v>0</v>
      </c>
      <c r="BB142" s="25">
        <f>H142/(100-BC142)*100</f>
        <v>0</v>
      </c>
      <c r="BC142" s="25">
        <v>0</v>
      </c>
      <c r="BD142" s="25">
        <f>M142</f>
        <v>2.13835</v>
      </c>
      <c r="BF142" s="25">
        <f>G142*AM142</f>
        <v>0</v>
      </c>
      <c r="BG142" s="25">
        <f>G142*AN142</f>
        <v>0</v>
      </c>
      <c r="BH142" s="25">
        <f>G142*H142</f>
        <v>0</v>
      </c>
      <c r="BI142" s="27" t="s">
        <v>65</v>
      </c>
      <c r="BJ142" s="25">
        <v>97</v>
      </c>
      <c r="BU142" s="25" t="e">
        <f>#REF!</f>
        <v>#REF!</v>
      </c>
      <c r="BV142" s="4" t="s">
        <v>263</v>
      </c>
    </row>
    <row r="143" spans="1:74" ht="14.4" x14ac:dyDescent="0.3">
      <c r="A143" s="28"/>
      <c r="D143" s="29" t="s">
        <v>249</v>
      </c>
      <c r="E143" s="29" t="s">
        <v>163</v>
      </c>
      <c r="G143" s="30">
        <v>15.46</v>
      </c>
      <c r="H143" s="63"/>
      <c r="N143" s="31"/>
    </row>
    <row r="144" spans="1:74" ht="14.4" x14ac:dyDescent="0.3">
      <c r="A144" s="28"/>
      <c r="D144" s="29" t="s">
        <v>250</v>
      </c>
      <c r="E144" s="29" t="s">
        <v>170</v>
      </c>
      <c r="G144" s="30">
        <v>47.912999999999997</v>
      </c>
      <c r="H144" s="63"/>
      <c r="N144" s="31"/>
    </row>
    <row r="145" spans="1:74" ht="14.4" x14ac:dyDescent="0.3">
      <c r="A145" s="28"/>
      <c r="D145" s="29" t="s">
        <v>251</v>
      </c>
      <c r="E145" s="29" t="s">
        <v>69</v>
      </c>
      <c r="G145" s="30">
        <v>39.417000000000002</v>
      </c>
      <c r="H145" s="63"/>
      <c r="N145" s="31"/>
    </row>
    <row r="146" spans="1:74" ht="14.4" x14ac:dyDescent="0.3">
      <c r="A146" s="28"/>
      <c r="D146" s="29" t="s">
        <v>252</v>
      </c>
      <c r="E146" s="29" t="s">
        <v>70</v>
      </c>
      <c r="G146" s="30">
        <v>35.421999999999997</v>
      </c>
      <c r="H146" s="63"/>
      <c r="N146" s="31"/>
    </row>
    <row r="147" spans="1:74" ht="14.4" x14ac:dyDescent="0.3">
      <c r="A147" s="28"/>
      <c r="D147" s="29" t="s">
        <v>253</v>
      </c>
      <c r="E147" s="29" t="s">
        <v>72</v>
      </c>
      <c r="G147" s="30">
        <v>11.377000000000001</v>
      </c>
      <c r="H147" s="63"/>
      <c r="N147" s="31"/>
    </row>
    <row r="148" spans="1:74" ht="14.4" x14ac:dyDescent="0.3">
      <c r="A148" s="28"/>
      <c r="D148" s="29" t="s">
        <v>254</v>
      </c>
      <c r="E148" s="29" t="s">
        <v>174</v>
      </c>
      <c r="G148" s="30">
        <v>22.004000000000001</v>
      </c>
      <c r="H148" s="63"/>
      <c r="N148" s="31"/>
    </row>
    <row r="149" spans="1:74" ht="14.4" x14ac:dyDescent="0.3">
      <c r="A149" s="28"/>
      <c r="D149" s="29" t="s">
        <v>255</v>
      </c>
      <c r="E149" s="29" t="s">
        <v>182</v>
      </c>
      <c r="G149" s="30">
        <v>4.0049999999999999</v>
      </c>
      <c r="H149" s="63"/>
      <c r="N149" s="31"/>
    </row>
    <row r="150" spans="1:74" ht="14.4" x14ac:dyDescent="0.3">
      <c r="A150" s="28"/>
      <c r="D150" s="29" t="s">
        <v>256</v>
      </c>
      <c r="E150" s="29" t="s">
        <v>180</v>
      </c>
      <c r="G150" s="30">
        <v>3.61</v>
      </c>
      <c r="H150" s="63"/>
      <c r="N150" s="31"/>
    </row>
    <row r="151" spans="1:74" ht="14.4" x14ac:dyDescent="0.3">
      <c r="A151" s="28"/>
      <c r="D151" s="29" t="s">
        <v>257</v>
      </c>
      <c r="E151" s="29" t="s">
        <v>112</v>
      </c>
      <c r="G151" s="30">
        <v>34.627000000000002</v>
      </c>
      <c r="H151" s="63"/>
      <c r="N151" s="31"/>
    </row>
    <row r="152" spans="1:74" ht="14.4" x14ac:dyDescent="0.3">
      <c r="A152" s="2" t="s">
        <v>264</v>
      </c>
      <c r="B152" s="3" t="s">
        <v>53</v>
      </c>
      <c r="C152" s="3" t="s">
        <v>265</v>
      </c>
      <c r="D152" s="112" t="s">
        <v>266</v>
      </c>
      <c r="E152" s="109"/>
      <c r="F152" s="3" t="s">
        <v>115</v>
      </c>
      <c r="G152" s="25">
        <v>0.9</v>
      </c>
      <c r="H152" s="62"/>
      <c r="I152" s="25">
        <f>ROUND(G152*AM152,2)</f>
        <v>0</v>
      </c>
      <c r="J152" s="25">
        <f>ROUND(G152*AN152,2)</f>
        <v>0</v>
      </c>
      <c r="K152" s="25">
        <f>ROUND(G152*H152,2)</f>
        <v>0</v>
      </c>
      <c r="L152" s="25">
        <v>0.18082000000000001</v>
      </c>
      <c r="M152" s="25">
        <f>G152*L152</f>
        <v>0.16273800000000002</v>
      </c>
      <c r="N152" s="26"/>
      <c r="X152" s="25">
        <f>ROUND(IF(AO152="5",BH152,0),2)</f>
        <v>0</v>
      </c>
      <c r="Z152" s="25">
        <f>ROUND(IF(AO152="1",BF152,0),2)</f>
        <v>0</v>
      </c>
      <c r="AA152" s="25">
        <f>ROUND(IF(AO152="1",BG152,0),2)</f>
        <v>0</v>
      </c>
      <c r="AB152" s="25">
        <f>ROUND(IF(AO152="7",BF152,0),2)</f>
        <v>0</v>
      </c>
      <c r="AC152" s="25">
        <f>ROUND(IF(AO152="7",BG152,0),2)</f>
        <v>0</v>
      </c>
      <c r="AD152" s="25">
        <f>ROUND(IF(AO152="2",BF152,0),2)</f>
        <v>0</v>
      </c>
      <c r="AE152" s="25">
        <f>ROUND(IF(AO152="2",BG152,0),2)</f>
        <v>0</v>
      </c>
      <c r="AF152" s="25">
        <f>ROUND(IF(AO152="0",BH152,0),2)</f>
        <v>0</v>
      </c>
      <c r="AG152" s="10" t="s">
        <v>53</v>
      </c>
      <c r="AH152" s="25">
        <f>IF(AL152=0,K152,0)</f>
        <v>0</v>
      </c>
      <c r="AI152" s="25">
        <f>IF(AL152=12,K152,0)</f>
        <v>0</v>
      </c>
      <c r="AJ152" s="25">
        <f>IF(AL152=21,K152,0)</f>
        <v>0</v>
      </c>
      <c r="AL152" s="25">
        <v>21</v>
      </c>
      <c r="AM152" s="25">
        <f>H152*0.314797123</f>
        <v>0</v>
      </c>
      <c r="AN152" s="25">
        <f>H152*(1-0.314797123)</f>
        <v>0</v>
      </c>
      <c r="AO152" s="27" t="s">
        <v>57</v>
      </c>
      <c r="AT152" s="25">
        <f>ROUND(AU152+AV152,2)</f>
        <v>0</v>
      </c>
      <c r="AU152" s="25">
        <f>ROUND(G152*AM152,2)</f>
        <v>0</v>
      </c>
      <c r="AV152" s="25">
        <f>ROUND(G152*AN152,2)</f>
        <v>0</v>
      </c>
      <c r="AW152" s="27" t="s">
        <v>214</v>
      </c>
      <c r="AX152" s="27" t="s">
        <v>124</v>
      </c>
      <c r="AY152" s="10" t="s">
        <v>64</v>
      </c>
      <c r="BA152" s="25">
        <f>AU152+AV152</f>
        <v>0</v>
      </c>
      <c r="BB152" s="25">
        <f>H152/(100-BC152)*100</f>
        <v>0</v>
      </c>
      <c r="BC152" s="25">
        <v>0</v>
      </c>
      <c r="BD152" s="25">
        <f>M152</f>
        <v>0.16273800000000002</v>
      </c>
      <c r="BF152" s="25">
        <f>G152*AM152</f>
        <v>0</v>
      </c>
      <c r="BG152" s="25">
        <f>G152*AN152</f>
        <v>0</v>
      </c>
      <c r="BH152" s="25">
        <f>G152*H152</f>
        <v>0</v>
      </c>
      <c r="BI152" s="27" t="s">
        <v>65</v>
      </c>
      <c r="BJ152" s="25">
        <v>97</v>
      </c>
      <c r="BU152" s="25" t="e">
        <f>#REF!</f>
        <v>#REF!</v>
      </c>
      <c r="BV152" s="4" t="s">
        <v>266</v>
      </c>
    </row>
    <row r="153" spans="1:74" ht="14.4" x14ac:dyDescent="0.3">
      <c r="A153" s="28"/>
      <c r="D153" s="29" t="s">
        <v>267</v>
      </c>
      <c r="E153" s="29" t="s">
        <v>268</v>
      </c>
      <c r="G153" s="30">
        <v>0.9</v>
      </c>
      <c r="H153" s="63"/>
      <c r="N153" s="31"/>
    </row>
    <row r="154" spans="1:74" ht="14.4" x14ac:dyDescent="0.3">
      <c r="A154" s="2" t="s">
        <v>269</v>
      </c>
      <c r="B154" s="3" t="s">
        <v>53</v>
      </c>
      <c r="C154" s="3" t="s">
        <v>270</v>
      </c>
      <c r="D154" s="112" t="s">
        <v>271</v>
      </c>
      <c r="E154" s="109"/>
      <c r="F154" s="3" t="s">
        <v>115</v>
      </c>
      <c r="G154" s="25">
        <v>0.3</v>
      </c>
      <c r="H154" s="62"/>
      <c r="I154" s="25">
        <f>ROUND(G154*AM154,2)</f>
        <v>0</v>
      </c>
      <c r="J154" s="25">
        <f>ROUND(G154*AN154,2)</f>
        <v>0</v>
      </c>
      <c r="K154" s="25">
        <f>ROUND(G154*H154,2)</f>
        <v>0</v>
      </c>
      <c r="L154" s="25">
        <v>0.12640999999999999</v>
      </c>
      <c r="M154" s="25">
        <f>G154*L154</f>
        <v>3.7922999999999998E-2</v>
      </c>
      <c r="N154" s="26"/>
      <c r="X154" s="25">
        <f>ROUND(IF(AO154="5",BH154,0),2)</f>
        <v>0</v>
      </c>
      <c r="Z154" s="25">
        <f>ROUND(IF(AO154="1",BF154,0),2)</f>
        <v>0</v>
      </c>
      <c r="AA154" s="25">
        <f>ROUND(IF(AO154="1",BG154,0),2)</f>
        <v>0</v>
      </c>
      <c r="AB154" s="25">
        <f>ROUND(IF(AO154="7",BF154,0),2)</f>
        <v>0</v>
      </c>
      <c r="AC154" s="25">
        <f>ROUND(IF(AO154="7",BG154,0),2)</f>
        <v>0</v>
      </c>
      <c r="AD154" s="25">
        <f>ROUND(IF(AO154="2",BF154,0),2)</f>
        <v>0</v>
      </c>
      <c r="AE154" s="25">
        <f>ROUND(IF(AO154="2",BG154,0),2)</f>
        <v>0</v>
      </c>
      <c r="AF154" s="25">
        <f>ROUND(IF(AO154="0",BH154,0),2)</f>
        <v>0</v>
      </c>
      <c r="AG154" s="10" t="s">
        <v>53</v>
      </c>
      <c r="AH154" s="25">
        <f>IF(AL154=0,K154,0)</f>
        <v>0</v>
      </c>
      <c r="AI154" s="25">
        <f>IF(AL154=12,K154,0)</f>
        <v>0</v>
      </c>
      <c r="AJ154" s="25">
        <f>IF(AL154=21,K154,0)</f>
        <v>0</v>
      </c>
      <c r="AL154" s="25">
        <v>21</v>
      </c>
      <c r="AM154" s="25">
        <f>H154*0.299101969</f>
        <v>0</v>
      </c>
      <c r="AN154" s="25">
        <f>H154*(1-0.299101969)</f>
        <v>0</v>
      </c>
      <c r="AO154" s="27" t="s">
        <v>57</v>
      </c>
      <c r="AT154" s="25">
        <f>ROUND(AU154+AV154,2)</f>
        <v>0</v>
      </c>
      <c r="AU154" s="25">
        <f>ROUND(G154*AM154,2)</f>
        <v>0</v>
      </c>
      <c r="AV154" s="25">
        <f>ROUND(G154*AN154,2)</f>
        <v>0</v>
      </c>
      <c r="AW154" s="27" t="s">
        <v>214</v>
      </c>
      <c r="AX154" s="27" t="s">
        <v>124</v>
      </c>
      <c r="AY154" s="10" t="s">
        <v>64</v>
      </c>
      <c r="BA154" s="25">
        <f>AU154+AV154</f>
        <v>0</v>
      </c>
      <c r="BB154" s="25">
        <f>H154/(100-BC154)*100</f>
        <v>0</v>
      </c>
      <c r="BC154" s="25">
        <v>0</v>
      </c>
      <c r="BD154" s="25">
        <f>M154</f>
        <v>3.7922999999999998E-2</v>
      </c>
      <c r="BF154" s="25">
        <f>G154*AM154</f>
        <v>0</v>
      </c>
      <c r="BG154" s="25">
        <f>G154*AN154</f>
        <v>0</v>
      </c>
      <c r="BH154" s="25">
        <f>G154*H154</f>
        <v>0</v>
      </c>
      <c r="BI154" s="27" t="s">
        <v>65</v>
      </c>
      <c r="BJ154" s="25">
        <v>97</v>
      </c>
      <c r="BU154" s="25" t="e">
        <f>#REF!</f>
        <v>#REF!</v>
      </c>
      <c r="BV154" s="4" t="s">
        <v>271</v>
      </c>
    </row>
    <row r="155" spans="1:74" ht="14.4" x14ac:dyDescent="0.3">
      <c r="A155" s="28"/>
      <c r="D155" s="29" t="s">
        <v>272</v>
      </c>
      <c r="E155" s="29" t="s">
        <v>268</v>
      </c>
      <c r="G155" s="30">
        <v>0.3</v>
      </c>
      <c r="H155" s="63"/>
      <c r="N155" s="31"/>
    </row>
    <row r="156" spans="1:74" ht="14.4" x14ac:dyDescent="0.3">
      <c r="A156" s="21" t="s">
        <v>52</v>
      </c>
      <c r="B156" s="22" t="s">
        <v>53</v>
      </c>
      <c r="C156" s="22" t="s">
        <v>273</v>
      </c>
      <c r="D156" s="170" t="s">
        <v>274</v>
      </c>
      <c r="E156" s="171"/>
      <c r="F156" s="23" t="s">
        <v>32</v>
      </c>
      <c r="G156" s="23" t="s">
        <v>32</v>
      </c>
      <c r="H156" s="64"/>
      <c r="I156" s="1">
        <f>SUM(I157:I169)</f>
        <v>0</v>
      </c>
      <c r="J156" s="1">
        <f>SUM(J157:J169)</f>
        <v>0</v>
      </c>
      <c r="K156" s="1">
        <f>SUM(K157:K169)</f>
        <v>0</v>
      </c>
      <c r="L156" s="10" t="s">
        <v>52</v>
      </c>
      <c r="M156" s="1">
        <f>SUM(M157:M169)</f>
        <v>0</v>
      </c>
      <c r="N156" s="24"/>
      <c r="AG156" s="10" t="s">
        <v>53</v>
      </c>
      <c r="AQ156" s="1">
        <f>SUM(AH157:AH169)</f>
        <v>0</v>
      </c>
      <c r="AR156" s="1">
        <f>SUM(AI157:AI169)</f>
        <v>0</v>
      </c>
      <c r="AS156" s="1">
        <f>SUM(AJ157:AJ169)</f>
        <v>0</v>
      </c>
    </row>
    <row r="157" spans="1:74" ht="14.4" x14ac:dyDescent="0.3">
      <c r="A157" s="2" t="s">
        <v>275</v>
      </c>
      <c r="B157" s="3" t="s">
        <v>53</v>
      </c>
      <c r="C157" s="3" t="s">
        <v>276</v>
      </c>
      <c r="D157" s="112" t="s">
        <v>277</v>
      </c>
      <c r="E157" s="109"/>
      <c r="F157" s="3" t="s">
        <v>278</v>
      </c>
      <c r="G157" s="25">
        <v>37.622999999999998</v>
      </c>
      <c r="H157" s="62"/>
      <c r="I157" s="25">
        <f>ROUND(G157*AM157,2)</f>
        <v>0</v>
      </c>
      <c r="J157" s="25">
        <f>ROUND(G157*AN157,2)</f>
        <v>0</v>
      </c>
      <c r="K157" s="25">
        <f>ROUND(G157*H157,2)</f>
        <v>0</v>
      </c>
      <c r="L157" s="25">
        <v>0</v>
      </c>
      <c r="M157" s="25">
        <f>G157*L157</f>
        <v>0</v>
      </c>
      <c r="N157" s="26"/>
      <c r="X157" s="25">
        <f>ROUND(IF(AO157="5",BH157,0),2)</f>
        <v>0</v>
      </c>
      <c r="Z157" s="25">
        <f>ROUND(IF(AO157="1",BF157,0),2)</f>
        <v>0</v>
      </c>
      <c r="AA157" s="25">
        <f>ROUND(IF(AO157="1",BG157,0),2)</f>
        <v>0</v>
      </c>
      <c r="AB157" s="25">
        <f>ROUND(IF(AO157="7",BF157,0),2)</f>
        <v>0</v>
      </c>
      <c r="AC157" s="25">
        <f>ROUND(IF(AO157="7",BG157,0),2)</f>
        <v>0</v>
      </c>
      <c r="AD157" s="25">
        <f>ROUND(IF(AO157="2",BF157,0),2)</f>
        <v>0</v>
      </c>
      <c r="AE157" s="25">
        <f>ROUND(IF(AO157="2",BG157,0),2)</f>
        <v>0</v>
      </c>
      <c r="AF157" s="25">
        <f>ROUND(IF(AO157="0",BH157,0),2)</f>
        <v>0</v>
      </c>
      <c r="AG157" s="10" t="s">
        <v>53</v>
      </c>
      <c r="AH157" s="25">
        <f>IF(AL157=0,K157,0)</f>
        <v>0</v>
      </c>
      <c r="AI157" s="25">
        <f>IF(AL157=12,K157,0)</f>
        <v>0</v>
      </c>
      <c r="AJ157" s="25">
        <f>IF(AL157=21,K157,0)</f>
        <v>0</v>
      </c>
      <c r="AL157" s="25">
        <v>21</v>
      </c>
      <c r="AM157" s="25">
        <f>H157*0</f>
        <v>0</v>
      </c>
      <c r="AN157" s="25">
        <f>H157*(1-0)</f>
        <v>0</v>
      </c>
      <c r="AO157" s="27" t="s">
        <v>97</v>
      </c>
      <c r="AT157" s="25">
        <f>ROUND(AU157+AV157,2)</f>
        <v>0</v>
      </c>
      <c r="AU157" s="25">
        <f>ROUND(G157*AM157,2)</f>
        <v>0</v>
      </c>
      <c r="AV157" s="25">
        <f>ROUND(G157*AN157,2)</f>
        <v>0</v>
      </c>
      <c r="AW157" s="27" t="s">
        <v>279</v>
      </c>
      <c r="AX157" s="27" t="s">
        <v>124</v>
      </c>
      <c r="AY157" s="10" t="s">
        <v>64</v>
      </c>
      <c r="BA157" s="25">
        <f>AU157+AV157</f>
        <v>0</v>
      </c>
      <c r="BB157" s="25">
        <f>H157/(100-BC157)*100</f>
        <v>0</v>
      </c>
      <c r="BC157" s="25">
        <v>0</v>
      </c>
      <c r="BD157" s="25">
        <f>M157</f>
        <v>0</v>
      </c>
      <c r="BF157" s="25">
        <f>G157*AM157</f>
        <v>0</v>
      </c>
      <c r="BG157" s="25">
        <f>G157*AN157</f>
        <v>0</v>
      </c>
      <c r="BH157" s="25">
        <f>G157*H157</f>
        <v>0</v>
      </c>
      <c r="BI157" s="27" t="s">
        <v>65</v>
      </c>
      <c r="BJ157" s="25"/>
      <c r="BU157" s="25" t="e">
        <f>#REF!</f>
        <v>#REF!</v>
      </c>
      <c r="BV157" s="4" t="s">
        <v>277</v>
      </c>
    </row>
    <row r="158" spans="1:74" ht="14.4" x14ac:dyDescent="0.3">
      <c r="A158" s="28"/>
      <c r="D158" s="29" t="s">
        <v>280</v>
      </c>
      <c r="E158" s="29" t="s">
        <v>52</v>
      </c>
      <c r="G158" s="30">
        <v>37.622999999999998</v>
      </c>
      <c r="H158" s="63"/>
      <c r="N158" s="31"/>
    </row>
    <row r="159" spans="1:74" ht="14.4" x14ac:dyDescent="0.3">
      <c r="A159" s="2" t="s">
        <v>281</v>
      </c>
      <c r="B159" s="3" t="s">
        <v>53</v>
      </c>
      <c r="C159" s="3" t="s">
        <v>282</v>
      </c>
      <c r="D159" s="112" t="s">
        <v>283</v>
      </c>
      <c r="E159" s="109"/>
      <c r="F159" s="3" t="s">
        <v>278</v>
      </c>
      <c r="G159" s="25">
        <v>188.114</v>
      </c>
      <c r="H159" s="62"/>
      <c r="I159" s="25">
        <f>ROUND(G159*AM159,2)</f>
        <v>0</v>
      </c>
      <c r="J159" s="25">
        <f>ROUND(G159*AN159,2)</f>
        <v>0</v>
      </c>
      <c r="K159" s="25">
        <f>ROUND(G159*H159,2)</f>
        <v>0</v>
      </c>
      <c r="L159" s="25">
        <v>0</v>
      </c>
      <c r="M159" s="25">
        <f>G159*L159</f>
        <v>0</v>
      </c>
      <c r="N159" s="26"/>
      <c r="X159" s="25">
        <f>ROUND(IF(AO159="5",BH159,0),2)</f>
        <v>0</v>
      </c>
      <c r="Z159" s="25">
        <f>ROUND(IF(AO159="1",BF159,0),2)</f>
        <v>0</v>
      </c>
      <c r="AA159" s="25">
        <f>ROUND(IF(AO159="1",BG159,0),2)</f>
        <v>0</v>
      </c>
      <c r="AB159" s="25">
        <f>ROUND(IF(AO159="7",BF159,0),2)</f>
        <v>0</v>
      </c>
      <c r="AC159" s="25">
        <f>ROUND(IF(AO159="7",BG159,0),2)</f>
        <v>0</v>
      </c>
      <c r="AD159" s="25">
        <f>ROUND(IF(AO159="2",BF159,0),2)</f>
        <v>0</v>
      </c>
      <c r="AE159" s="25">
        <f>ROUND(IF(AO159="2",BG159,0),2)</f>
        <v>0</v>
      </c>
      <c r="AF159" s="25">
        <f>ROUND(IF(AO159="0",BH159,0),2)</f>
        <v>0</v>
      </c>
      <c r="AG159" s="10" t="s">
        <v>53</v>
      </c>
      <c r="AH159" s="25">
        <f>IF(AL159=0,K159,0)</f>
        <v>0</v>
      </c>
      <c r="AI159" s="25">
        <f>IF(AL159=12,K159,0)</f>
        <v>0</v>
      </c>
      <c r="AJ159" s="25">
        <f>IF(AL159=21,K159,0)</f>
        <v>0</v>
      </c>
      <c r="AL159" s="25">
        <v>21</v>
      </c>
      <c r="AM159" s="25">
        <f>H159*0</f>
        <v>0</v>
      </c>
      <c r="AN159" s="25">
        <f>H159*(1-0)</f>
        <v>0</v>
      </c>
      <c r="AO159" s="27" t="s">
        <v>97</v>
      </c>
      <c r="AT159" s="25">
        <f>ROUND(AU159+AV159,2)</f>
        <v>0</v>
      </c>
      <c r="AU159" s="25">
        <f>ROUND(G159*AM159,2)</f>
        <v>0</v>
      </c>
      <c r="AV159" s="25">
        <f>ROUND(G159*AN159,2)</f>
        <v>0</v>
      </c>
      <c r="AW159" s="27" t="s">
        <v>279</v>
      </c>
      <c r="AX159" s="27" t="s">
        <v>124</v>
      </c>
      <c r="AY159" s="10" t="s">
        <v>64</v>
      </c>
      <c r="BA159" s="25">
        <f>AU159+AV159</f>
        <v>0</v>
      </c>
      <c r="BB159" s="25">
        <f>H159/(100-BC159)*100</f>
        <v>0</v>
      </c>
      <c r="BC159" s="25">
        <v>0</v>
      </c>
      <c r="BD159" s="25">
        <f>M159</f>
        <v>0</v>
      </c>
      <c r="BF159" s="25">
        <f>G159*AM159</f>
        <v>0</v>
      </c>
      <c r="BG159" s="25">
        <f>G159*AN159</f>
        <v>0</v>
      </c>
      <c r="BH159" s="25">
        <f>G159*H159</f>
        <v>0</v>
      </c>
      <c r="BI159" s="27" t="s">
        <v>65</v>
      </c>
      <c r="BJ159" s="25"/>
      <c r="BU159" s="25" t="e">
        <f>#REF!</f>
        <v>#REF!</v>
      </c>
      <c r="BV159" s="4" t="s">
        <v>283</v>
      </c>
    </row>
    <row r="160" spans="1:74" ht="14.4" x14ac:dyDescent="0.3">
      <c r="A160" s="28"/>
      <c r="D160" s="29" t="s">
        <v>284</v>
      </c>
      <c r="E160" s="29" t="s">
        <v>52</v>
      </c>
      <c r="G160" s="30">
        <v>188.114</v>
      </c>
      <c r="H160" s="63"/>
      <c r="N160" s="31"/>
    </row>
    <row r="161" spans="1:74" ht="14.4" x14ac:dyDescent="0.3">
      <c r="A161" s="2" t="s">
        <v>285</v>
      </c>
      <c r="B161" s="3" t="s">
        <v>53</v>
      </c>
      <c r="C161" s="3" t="s">
        <v>286</v>
      </c>
      <c r="D161" s="112" t="s">
        <v>287</v>
      </c>
      <c r="E161" s="109"/>
      <c r="F161" s="3" t="s">
        <v>278</v>
      </c>
      <c r="G161" s="25">
        <v>37.622999999999998</v>
      </c>
      <c r="H161" s="62"/>
      <c r="I161" s="25">
        <f>ROUND(G161*AM161,2)</f>
        <v>0</v>
      </c>
      <c r="J161" s="25">
        <f>ROUND(G161*AN161,2)</f>
        <v>0</v>
      </c>
      <c r="K161" s="25">
        <f>ROUND(G161*H161,2)</f>
        <v>0</v>
      </c>
      <c r="L161" s="25">
        <v>0</v>
      </c>
      <c r="M161" s="25">
        <f>G161*L161</f>
        <v>0</v>
      </c>
      <c r="N161" s="26"/>
      <c r="X161" s="25">
        <f>ROUND(IF(AO161="5",BH161,0),2)</f>
        <v>0</v>
      </c>
      <c r="Z161" s="25">
        <f>ROUND(IF(AO161="1",BF161,0),2)</f>
        <v>0</v>
      </c>
      <c r="AA161" s="25">
        <f>ROUND(IF(AO161="1",BG161,0),2)</f>
        <v>0</v>
      </c>
      <c r="AB161" s="25">
        <f>ROUND(IF(AO161="7",BF161,0),2)</f>
        <v>0</v>
      </c>
      <c r="AC161" s="25">
        <f>ROUND(IF(AO161="7",BG161,0),2)</f>
        <v>0</v>
      </c>
      <c r="AD161" s="25">
        <f>ROUND(IF(AO161="2",BF161,0),2)</f>
        <v>0</v>
      </c>
      <c r="AE161" s="25">
        <f>ROUND(IF(AO161="2",BG161,0),2)</f>
        <v>0</v>
      </c>
      <c r="AF161" s="25">
        <f>ROUND(IF(AO161="0",BH161,0),2)</f>
        <v>0</v>
      </c>
      <c r="AG161" s="10" t="s">
        <v>53</v>
      </c>
      <c r="AH161" s="25">
        <f>IF(AL161=0,K161,0)</f>
        <v>0</v>
      </c>
      <c r="AI161" s="25">
        <f>IF(AL161=12,K161,0)</f>
        <v>0</v>
      </c>
      <c r="AJ161" s="25">
        <f>IF(AL161=21,K161,0)</f>
        <v>0</v>
      </c>
      <c r="AL161" s="25">
        <v>21</v>
      </c>
      <c r="AM161" s="25">
        <f>H161*0</f>
        <v>0</v>
      </c>
      <c r="AN161" s="25">
        <f>H161*(1-0)</f>
        <v>0</v>
      </c>
      <c r="AO161" s="27" t="s">
        <v>97</v>
      </c>
      <c r="AT161" s="25">
        <f>ROUND(AU161+AV161,2)</f>
        <v>0</v>
      </c>
      <c r="AU161" s="25">
        <f>ROUND(G161*AM161,2)</f>
        <v>0</v>
      </c>
      <c r="AV161" s="25">
        <f>ROUND(G161*AN161,2)</f>
        <v>0</v>
      </c>
      <c r="AW161" s="27" t="s">
        <v>279</v>
      </c>
      <c r="AX161" s="27" t="s">
        <v>124</v>
      </c>
      <c r="AY161" s="10" t="s">
        <v>64</v>
      </c>
      <c r="BA161" s="25">
        <f>AU161+AV161</f>
        <v>0</v>
      </c>
      <c r="BB161" s="25">
        <f>H161/(100-BC161)*100</f>
        <v>0</v>
      </c>
      <c r="BC161" s="25">
        <v>0</v>
      </c>
      <c r="BD161" s="25">
        <f>M161</f>
        <v>0</v>
      </c>
      <c r="BF161" s="25">
        <f>G161*AM161</f>
        <v>0</v>
      </c>
      <c r="BG161" s="25">
        <f>G161*AN161</f>
        <v>0</v>
      </c>
      <c r="BH161" s="25">
        <f>G161*H161</f>
        <v>0</v>
      </c>
      <c r="BI161" s="27" t="s">
        <v>65</v>
      </c>
      <c r="BJ161" s="25"/>
      <c r="BU161" s="25" t="e">
        <f>#REF!</f>
        <v>#REF!</v>
      </c>
      <c r="BV161" s="4" t="s">
        <v>287</v>
      </c>
    </row>
    <row r="162" spans="1:74" ht="14.4" x14ac:dyDescent="0.3">
      <c r="A162" s="28"/>
      <c r="D162" s="29" t="s">
        <v>280</v>
      </c>
      <c r="E162" s="29" t="s">
        <v>52</v>
      </c>
      <c r="G162" s="30">
        <v>37.622999999999998</v>
      </c>
      <c r="H162" s="63"/>
      <c r="N162" s="31"/>
    </row>
    <row r="163" spans="1:74" ht="14.4" x14ac:dyDescent="0.3">
      <c r="A163" s="2" t="s">
        <v>288</v>
      </c>
      <c r="B163" s="3" t="s">
        <v>53</v>
      </c>
      <c r="C163" s="3" t="s">
        <v>289</v>
      </c>
      <c r="D163" s="112" t="s">
        <v>290</v>
      </c>
      <c r="E163" s="109"/>
      <c r="F163" s="3" t="s">
        <v>278</v>
      </c>
      <c r="G163" s="25">
        <v>37.622999999999998</v>
      </c>
      <c r="H163" s="62"/>
      <c r="I163" s="25">
        <f>ROUND(G163*AM163,2)</f>
        <v>0</v>
      </c>
      <c r="J163" s="25">
        <f>ROUND(G163*AN163,2)</f>
        <v>0</v>
      </c>
      <c r="K163" s="25">
        <f>ROUND(G163*H163,2)</f>
        <v>0</v>
      </c>
      <c r="L163" s="25">
        <v>0</v>
      </c>
      <c r="M163" s="25">
        <f>G163*L163</f>
        <v>0</v>
      </c>
      <c r="N163" s="26"/>
      <c r="X163" s="25">
        <f>ROUND(IF(AO163="5",BH163,0),2)</f>
        <v>0</v>
      </c>
      <c r="Z163" s="25">
        <f>ROUND(IF(AO163="1",BF163,0),2)</f>
        <v>0</v>
      </c>
      <c r="AA163" s="25">
        <f>ROUND(IF(AO163="1",BG163,0),2)</f>
        <v>0</v>
      </c>
      <c r="AB163" s="25">
        <f>ROUND(IF(AO163="7",BF163,0),2)</f>
        <v>0</v>
      </c>
      <c r="AC163" s="25">
        <f>ROUND(IF(AO163="7",BG163,0),2)</f>
        <v>0</v>
      </c>
      <c r="AD163" s="25">
        <f>ROUND(IF(AO163="2",BF163,0),2)</f>
        <v>0</v>
      </c>
      <c r="AE163" s="25">
        <f>ROUND(IF(AO163="2",BG163,0),2)</f>
        <v>0</v>
      </c>
      <c r="AF163" s="25">
        <f>ROUND(IF(AO163="0",BH163,0),2)</f>
        <v>0</v>
      </c>
      <c r="AG163" s="10" t="s">
        <v>53</v>
      </c>
      <c r="AH163" s="25">
        <f>IF(AL163=0,K163,0)</f>
        <v>0</v>
      </c>
      <c r="AI163" s="25">
        <f>IF(AL163=12,K163,0)</f>
        <v>0</v>
      </c>
      <c r="AJ163" s="25">
        <f>IF(AL163=21,K163,0)</f>
        <v>0</v>
      </c>
      <c r="AL163" s="25">
        <v>21</v>
      </c>
      <c r="AM163" s="25">
        <f>H163*0</f>
        <v>0</v>
      </c>
      <c r="AN163" s="25">
        <f>H163*(1-0)</f>
        <v>0</v>
      </c>
      <c r="AO163" s="27" t="s">
        <v>97</v>
      </c>
      <c r="AT163" s="25">
        <f>ROUND(AU163+AV163,2)</f>
        <v>0</v>
      </c>
      <c r="AU163" s="25">
        <f>ROUND(G163*AM163,2)</f>
        <v>0</v>
      </c>
      <c r="AV163" s="25">
        <f>ROUND(G163*AN163,2)</f>
        <v>0</v>
      </c>
      <c r="AW163" s="27" t="s">
        <v>279</v>
      </c>
      <c r="AX163" s="27" t="s">
        <v>124</v>
      </c>
      <c r="AY163" s="10" t="s">
        <v>64</v>
      </c>
      <c r="BA163" s="25">
        <f>AU163+AV163</f>
        <v>0</v>
      </c>
      <c r="BB163" s="25">
        <f>H163/(100-BC163)*100</f>
        <v>0</v>
      </c>
      <c r="BC163" s="25">
        <v>0</v>
      </c>
      <c r="BD163" s="25">
        <f>M163</f>
        <v>0</v>
      </c>
      <c r="BF163" s="25">
        <f>G163*AM163</f>
        <v>0</v>
      </c>
      <c r="BG163" s="25">
        <f>G163*AN163</f>
        <v>0</v>
      </c>
      <c r="BH163" s="25">
        <f>G163*H163</f>
        <v>0</v>
      </c>
      <c r="BI163" s="27" t="s">
        <v>65</v>
      </c>
      <c r="BJ163" s="25"/>
      <c r="BU163" s="25" t="e">
        <f>#REF!</f>
        <v>#REF!</v>
      </c>
      <c r="BV163" s="4" t="s">
        <v>290</v>
      </c>
    </row>
    <row r="164" spans="1:74" ht="14.4" x14ac:dyDescent="0.3">
      <c r="A164" s="28"/>
      <c r="D164" s="29" t="s">
        <v>280</v>
      </c>
      <c r="E164" s="29" t="s">
        <v>52</v>
      </c>
      <c r="G164" s="30">
        <v>37.622999999999998</v>
      </c>
      <c r="H164" s="63"/>
      <c r="N164" s="31"/>
    </row>
    <row r="165" spans="1:74" ht="14.4" x14ac:dyDescent="0.3">
      <c r="A165" s="2" t="s">
        <v>291</v>
      </c>
      <c r="B165" s="3" t="s">
        <v>53</v>
      </c>
      <c r="C165" s="3" t="s">
        <v>292</v>
      </c>
      <c r="D165" s="112" t="s">
        <v>293</v>
      </c>
      <c r="E165" s="109"/>
      <c r="F165" s="3" t="s">
        <v>278</v>
      </c>
      <c r="G165" s="25">
        <v>37.622999999999998</v>
      </c>
      <c r="H165" s="62"/>
      <c r="I165" s="25">
        <f>ROUND(G165*AM165,2)</f>
        <v>0</v>
      </c>
      <c r="J165" s="25">
        <f>ROUND(G165*AN165,2)</f>
        <v>0</v>
      </c>
      <c r="K165" s="25">
        <f>ROUND(G165*H165,2)</f>
        <v>0</v>
      </c>
      <c r="L165" s="25">
        <v>0</v>
      </c>
      <c r="M165" s="25">
        <f>G165*L165</f>
        <v>0</v>
      </c>
      <c r="N165" s="26"/>
      <c r="X165" s="25">
        <f>ROUND(IF(AO165="5",BH165,0),2)</f>
        <v>0</v>
      </c>
      <c r="Z165" s="25">
        <f>ROUND(IF(AO165="1",BF165,0),2)</f>
        <v>0</v>
      </c>
      <c r="AA165" s="25">
        <f>ROUND(IF(AO165="1",BG165,0),2)</f>
        <v>0</v>
      </c>
      <c r="AB165" s="25">
        <f>ROUND(IF(AO165="7",BF165,0),2)</f>
        <v>0</v>
      </c>
      <c r="AC165" s="25">
        <f>ROUND(IF(AO165="7",BG165,0),2)</f>
        <v>0</v>
      </c>
      <c r="AD165" s="25">
        <f>ROUND(IF(AO165="2",BF165,0),2)</f>
        <v>0</v>
      </c>
      <c r="AE165" s="25">
        <f>ROUND(IF(AO165="2",BG165,0),2)</f>
        <v>0</v>
      </c>
      <c r="AF165" s="25">
        <f>ROUND(IF(AO165="0",BH165,0),2)</f>
        <v>0</v>
      </c>
      <c r="AG165" s="10" t="s">
        <v>53</v>
      </c>
      <c r="AH165" s="25">
        <f>IF(AL165=0,K165,0)</f>
        <v>0</v>
      </c>
      <c r="AI165" s="25">
        <f>IF(AL165=12,K165,0)</f>
        <v>0</v>
      </c>
      <c r="AJ165" s="25">
        <f>IF(AL165=21,K165,0)</f>
        <v>0</v>
      </c>
      <c r="AL165" s="25">
        <v>21</v>
      </c>
      <c r="AM165" s="25">
        <f>H165*0</f>
        <v>0</v>
      </c>
      <c r="AN165" s="25">
        <f>H165*(1-0)</f>
        <v>0</v>
      </c>
      <c r="AO165" s="27" t="s">
        <v>97</v>
      </c>
      <c r="AT165" s="25">
        <f>ROUND(AU165+AV165,2)</f>
        <v>0</v>
      </c>
      <c r="AU165" s="25">
        <f>ROUND(G165*AM165,2)</f>
        <v>0</v>
      </c>
      <c r="AV165" s="25">
        <f>ROUND(G165*AN165,2)</f>
        <v>0</v>
      </c>
      <c r="AW165" s="27" t="s">
        <v>279</v>
      </c>
      <c r="AX165" s="27" t="s">
        <v>124</v>
      </c>
      <c r="AY165" s="10" t="s">
        <v>64</v>
      </c>
      <c r="BA165" s="25">
        <f>AU165+AV165</f>
        <v>0</v>
      </c>
      <c r="BB165" s="25">
        <f>H165/(100-BC165)*100</f>
        <v>0</v>
      </c>
      <c r="BC165" s="25">
        <v>0</v>
      </c>
      <c r="BD165" s="25">
        <f>M165</f>
        <v>0</v>
      </c>
      <c r="BF165" s="25">
        <f>G165*AM165</f>
        <v>0</v>
      </c>
      <c r="BG165" s="25">
        <f>G165*AN165</f>
        <v>0</v>
      </c>
      <c r="BH165" s="25">
        <f>G165*H165</f>
        <v>0</v>
      </c>
      <c r="BI165" s="27" t="s">
        <v>65</v>
      </c>
      <c r="BJ165" s="25"/>
      <c r="BU165" s="25" t="e">
        <f>#REF!</f>
        <v>#REF!</v>
      </c>
      <c r="BV165" s="4" t="s">
        <v>293</v>
      </c>
    </row>
    <row r="166" spans="1:74" ht="14.4" x14ac:dyDescent="0.3">
      <c r="A166" s="28"/>
      <c r="D166" s="29" t="s">
        <v>280</v>
      </c>
      <c r="E166" s="29" t="s">
        <v>52</v>
      </c>
      <c r="G166" s="30">
        <v>37.622999999999998</v>
      </c>
      <c r="H166" s="63"/>
      <c r="N166" s="31"/>
    </row>
    <row r="167" spans="1:74" ht="14.4" x14ac:dyDescent="0.3">
      <c r="A167" s="2" t="s">
        <v>294</v>
      </c>
      <c r="B167" s="3" t="s">
        <v>53</v>
      </c>
      <c r="C167" s="3" t="s">
        <v>295</v>
      </c>
      <c r="D167" s="112" t="s">
        <v>296</v>
      </c>
      <c r="E167" s="109"/>
      <c r="F167" s="3" t="s">
        <v>278</v>
      </c>
      <c r="G167" s="25">
        <v>376.22800000000001</v>
      </c>
      <c r="H167" s="62"/>
      <c r="I167" s="25">
        <f>ROUND(G167*AM167,2)</f>
        <v>0</v>
      </c>
      <c r="J167" s="25">
        <f>ROUND(G167*AN167,2)</f>
        <v>0</v>
      </c>
      <c r="K167" s="25">
        <f>ROUND(G167*H167,2)</f>
        <v>0</v>
      </c>
      <c r="L167" s="25">
        <v>0</v>
      </c>
      <c r="M167" s="25">
        <f>G167*L167</f>
        <v>0</v>
      </c>
      <c r="N167" s="26"/>
      <c r="X167" s="25">
        <f>ROUND(IF(AO167="5",BH167,0),2)</f>
        <v>0</v>
      </c>
      <c r="Z167" s="25">
        <f>ROUND(IF(AO167="1",BF167,0),2)</f>
        <v>0</v>
      </c>
      <c r="AA167" s="25">
        <f>ROUND(IF(AO167="1",BG167,0),2)</f>
        <v>0</v>
      </c>
      <c r="AB167" s="25">
        <f>ROUND(IF(AO167="7",BF167,0),2)</f>
        <v>0</v>
      </c>
      <c r="AC167" s="25">
        <f>ROUND(IF(AO167="7",BG167,0),2)</f>
        <v>0</v>
      </c>
      <c r="AD167" s="25">
        <f>ROUND(IF(AO167="2",BF167,0),2)</f>
        <v>0</v>
      </c>
      <c r="AE167" s="25">
        <f>ROUND(IF(AO167="2",BG167,0),2)</f>
        <v>0</v>
      </c>
      <c r="AF167" s="25">
        <f>ROUND(IF(AO167="0",BH167,0),2)</f>
        <v>0</v>
      </c>
      <c r="AG167" s="10" t="s">
        <v>53</v>
      </c>
      <c r="AH167" s="25">
        <f>IF(AL167=0,K167,0)</f>
        <v>0</v>
      </c>
      <c r="AI167" s="25">
        <f>IF(AL167=12,K167,0)</f>
        <v>0</v>
      </c>
      <c r="AJ167" s="25">
        <f>IF(AL167=21,K167,0)</f>
        <v>0</v>
      </c>
      <c r="AL167" s="25">
        <v>21</v>
      </c>
      <c r="AM167" s="25">
        <f>H167*0</f>
        <v>0</v>
      </c>
      <c r="AN167" s="25">
        <f>H167*(1-0)</f>
        <v>0</v>
      </c>
      <c r="AO167" s="27" t="s">
        <v>97</v>
      </c>
      <c r="AT167" s="25">
        <f>ROUND(AU167+AV167,2)</f>
        <v>0</v>
      </c>
      <c r="AU167" s="25">
        <f>ROUND(G167*AM167,2)</f>
        <v>0</v>
      </c>
      <c r="AV167" s="25">
        <f>ROUND(G167*AN167,2)</f>
        <v>0</v>
      </c>
      <c r="AW167" s="27" t="s">
        <v>279</v>
      </c>
      <c r="AX167" s="27" t="s">
        <v>124</v>
      </c>
      <c r="AY167" s="10" t="s">
        <v>64</v>
      </c>
      <c r="BA167" s="25">
        <f>AU167+AV167</f>
        <v>0</v>
      </c>
      <c r="BB167" s="25">
        <f>H167/(100-BC167)*100</f>
        <v>0</v>
      </c>
      <c r="BC167" s="25">
        <v>0</v>
      </c>
      <c r="BD167" s="25">
        <f>M167</f>
        <v>0</v>
      </c>
      <c r="BF167" s="25">
        <f>G167*AM167</f>
        <v>0</v>
      </c>
      <c r="BG167" s="25">
        <f>G167*AN167</f>
        <v>0</v>
      </c>
      <c r="BH167" s="25">
        <f>G167*H167</f>
        <v>0</v>
      </c>
      <c r="BI167" s="27" t="s">
        <v>65</v>
      </c>
      <c r="BJ167" s="25"/>
      <c r="BU167" s="25" t="e">
        <f>#REF!</f>
        <v>#REF!</v>
      </c>
      <c r="BV167" s="4" t="s">
        <v>296</v>
      </c>
    </row>
    <row r="168" spans="1:74" ht="14.4" x14ac:dyDescent="0.3">
      <c r="A168" s="28"/>
      <c r="D168" s="29" t="s">
        <v>297</v>
      </c>
      <c r="E168" s="29" t="s">
        <v>52</v>
      </c>
      <c r="G168" s="30">
        <v>376.22800000000001</v>
      </c>
      <c r="H168" s="63"/>
      <c r="N168" s="31"/>
    </row>
    <row r="169" spans="1:74" ht="14.4" x14ac:dyDescent="0.3">
      <c r="A169" s="2" t="s">
        <v>298</v>
      </c>
      <c r="B169" s="3" t="s">
        <v>53</v>
      </c>
      <c r="C169" s="3" t="s">
        <v>299</v>
      </c>
      <c r="D169" s="112" t="s">
        <v>300</v>
      </c>
      <c r="E169" s="109"/>
      <c r="F169" s="3" t="s">
        <v>278</v>
      </c>
      <c r="G169" s="25">
        <v>37.622999999999998</v>
      </c>
      <c r="H169" s="62"/>
      <c r="I169" s="25">
        <f>ROUND(G169*AM169,2)</f>
        <v>0</v>
      </c>
      <c r="J169" s="25">
        <f>ROUND(G169*AN169,2)</f>
        <v>0</v>
      </c>
      <c r="K169" s="25">
        <f>ROUND(G169*H169,2)</f>
        <v>0</v>
      </c>
      <c r="L169" s="25">
        <v>0</v>
      </c>
      <c r="M169" s="25">
        <f>G169*L169</f>
        <v>0</v>
      </c>
      <c r="N169" s="26"/>
      <c r="X169" s="25">
        <f>ROUND(IF(AO169="5",BH169,0),2)</f>
        <v>0</v>
      </c>
      <c r="Z169" s="25">
        <f>ROUND(IF(AO169="1",BF169,0),2)</f>
        <v>0</v>
      </c>
      <c r="AA169" s="25">
        <f>ROUND(IF(AO169="1",BG169,0),2)</f>
        <v>0</v>
      </c>
      <c r="AB169" s="25">
        <f>ROUND(IF(AO169="7",BF169,0),2)</f>
        <v>0</v>
      </c>
      <c r="AC169" s="25">
        <f>ROUND(IF(AO169="7",BG169,0),2)</f>
        <v>0</v>
      </c>
      <c r="AD169" s="25">
        <f>ROUND(IF(AO169="2",BF169,0),2)</f>
        <v>0</v>
      </c>
      <c r="AE169" s="25">
        <f>ROUND(IF(AO169="2",BG169,0),2)</f>
        <v>0</v>
      </c>
      <c r="AF169" s="25">
        <f>ROUND(IF(AO169="0",BH169,0),2)</f>
        <v>0</v>
      </c>
      <c r="AG169" s="10" t="s">
        <v>53</v>
      </c>
      <c r="AH169" s="25">
        <f>IF(AL169=0,K169,0)</f>
        <v>0</v>
      </c>
      <c r="AI169" s="25">
        <f>IF(AL169=12,K169,0)</f>
        <v>0</v>
      </c>
      <c r="AJ169" s="25">
        <f>IF(AL169=21,K169,0)</f>
        <v>0</v>
      </c>
      <c r="AL169" s="25">
        <v>21</v>
      </c>
      <c r="AM169" s="25">
        <f>H169*0</f>
        <v>0</v>
      </c>
      <c r="AN169" s="25">
        <f>H169*(1-0)</f>
        <v>0</v>
      </c>
      <c r="AO169" s="27" t="s">
        <v>97</v>
      </c>
      <c r="AT169" s="25">
        <f>ROUND(AU169+AV169,2)</f>
        <v>0</v>
      </c>
      <c r="AU169" s="25">
        <f>ROUND(G169*AM169,2)</f>
        <v>0</v>
      </c>
      <c r="AV169" s="25">
        <f>ROUND(G169*AN169,2)</f>
        <v>0</v>
      </c>
      <c r="AW169" s="27" t="s">
        <v>279</v>
      </c>
      <c r="AX169" s="27" t="s">
        <v>124</v>
      </c>
      <c r="AY169" s="10" t="s">
        <v>64</v>
      </c>
      <c r="BA169" s="25">
        <f>AU169+AV169</f>
        <v>0</v>
      </c>
      <c r="BB169" s="25">
        <f>H169/(100-BC169)*100</f>
        <v>0</v>
      </c>
      <c r="BC169" s="25">
        <v>0</v>
      </c>
      <c r="BD169" s="25">
        <f>M169</f>
        <v>0</v>
      </c>
      <c r="BF169" s="25">
        <f>G169*AM169</f>
        <v>0</v>
      </c>
      <c r="BG169" s="25">
        <f>G169*AN169</f>
        <v>0</v>
      </c>
      <c r="BH169" s="25">
        <f>G169*H169</f>
        <v>0</v>
      </c>
      <c r="BI169" s="27" t="s">
        <v>65</v>
      </c>
      <c r="BJ169" s="25"/>
      <c r="BU169" s="25" t="e">
        <f>#REF!</f>
        <v>#REF!</v>
      </c>
      <c r="BV169" s="4" t="s">
        <v>300</v>
      </c>
    </row>
    <row r="170" spans="1:74" ht="14.4" x14ac:dyDescent="0.3">
      <c r="A170" s="28"/>
      <c r="D170" s="29" t="s">
        <v>280</v>
      </c>
      <c r="E170" s="29" t="s">
        <v>52</v>
      </c>
      <c r="G170" s="30">
        <v>37.622999999999998</v>
      </c>
      <c r="H170" s="63"/>
      <c r="N170" s="31"/>
    </row>
    <row r="171" spans="1:74" ht="14.4" x14ac:dyDescent="0.3">
      <c r="A171" s="95" t="s">
        <v>52</v>
      </c>
      <c r="B171" s="96" t="s">
        <v>301</v>
      </c>
      <c r="C171" s="96" t="s">
        <v>52</v>
      </c>
      <c r="D171" s="179" t="s">
        <v>302</v>
      </c>
      <c r="E171" s="180"/>
      <c r="F171" s="97" t="s">
        <v>32</v>
      </c>
      <c r="G171" s="97" t="s">
        <v>32</v>
      </c>
      <c r="H171" s="98"/>
      <c r="I171" s="99">
        <f>I172+I181+I186+I189+I192+I198+I201+I204+I273+I343</f>
        <v>0</v>
      </c>
      <c r="J171" s="99">
        <f>J172+J181+J186+J189+J192+J198+J201+J204+J273+J343</f>
        <v>0</v>
      </c>
      <c r="K171" s="99">
        <f>K172+K181+K186+K189+K192+K198+K201+K204+K273+K343</f>
        <v>0</v>
      </c>
      <c r="L171" s="100" t="s">
        <v>52</v>
      </c>
      <c r="M171" s="99">
        <f>M172+M181+M186+M189+M192+M198+M201+M204+M273+M343</f>
        <v>101.04042373999999</v>
      </c>
      <c r="N171" s="101"/>
    </row>
    <row r="172" spans="1:74" ht="14.4" x14ac:dyDescent="0.3">
      <c r="A172" s="21" t="s">
        <v>52</v>
      </c>
      <c r="B172" s="22" t="s">
        <v>301</v>
      </c>
      <c r="C172" s="22" t="s">
        <v>55</v>
      </c>
      <c r="D172" s="170" t="s">
        <v>56</v>
      </c>
      <c r="E172" s="171"/>
      <c r="F172" s="23" t="s">
        <v>32</v>
      </c>
      <c r="G172" s="23" t="s">
        <v>32</v>
      </c>
      <c r="H172" s="64"/>
      <c r="I172" s="1">
        <f>SUM(I173:I177)</f>
        <v>0</v>
      </c>
      <c r="J172" s="1">
        <f>SUM(J173:J177)</f>
        <v>0</v>
      </c>
      <c r="K172" s="1">
        <f>SUM(K173:K177)</f>
        <v>0</v>
      </c>
      <c r="L172" s="10" t="s">
        <v>52</v>
      </c>
      <c r="M172" s="1">
        <f>SUM(M173:M177)</f>
        <v>0.13441284000000001</v>
      </c>
      <c r="N172" s="24"/>
      <c r="AG172" s="10" t="s">
        <v>301</v>
      </c>
      <c r="AQ172" s="1">
        <f>SUM(AH173:AH177)</f>
        <v>0</v>
      </c>
      <c r="AR172" s="1">
        <f>SUM(AI173:AI177)</f>
        <v>0</v>
      </c>
      <c r="AS172" s="1">
        <f>SUM(AJ173:AJ177)</f>
        <v>0</v>
      </c>
    </row>
    <row r="173" spans="1:74" ht="14.4" x14ac:dyDescent="0.3">
      <c r="A173" s="2" t="s">
        <v>303</v>
      </c>
      <c r="B173" s="3" t="s">
        <v>301</v>
      </c>
      <c r="C173" s="3" t="s">
        <v>58</v>
      </c>
      <c r="D173" s="112" t="s">
        <v>304</v>
      </c>
      <c r="E173" s="109"/>
      <c r="F173" s="3" t="s">
        <v>60</v>
      </c>
      <c r="G173" s="25">
        <v>52.097999999999999</v>
      </c>
      <c r="H173" s="62"/>
      <c r="I173" s="25">
        <f>ROUND(G173*AM173,2)</f>
        <v>0</v>
      </c>
      <c r="J173" s="25">
        <f>ROUND(G173*AN173,2)</f>
        <v>0</v>
      </c>
      <c r="K173" s="25">
        <f>ROUND(G173*H173,2)</f>
        <v>0</v>
      </c>
      <c r="L173" s="25">
        <v>1.15E-3</v>
      </c>
      <c r="M173" s="25">
        <f>G173*L173</f>
        <v>5.9912699999999999E-2</v>
      </c>
      <c r="N173" s="26"/>
      <c r="X173" s="25">
        <f>ROUND(IF(AO173="5",BH173,0),2)</f>
        <v>0</v>
      </c>
      <c r="Z173" s="25">
        <f>ROUND(IF(AO173="1",BF173,0),2)</f>
        <v>0</v>
      </c>
      <c r="AA173" s="25">
        <f>ROUND(IF(AO173="1",BG173,0),2)</f>
        <v>0</v>
      </c>
      <c r="AB173" s="25">
        <f>ROUND(IF(AO173="7",BF173,0),2)</f>
        <v>0</v>
      </c>
      <c r="AC173" s="25">
        <f>ROUND(IF(AO173="7",BG173,0),2)</f>
        <v>0</v>
      </c>
      <c r="AD173" s="25">
        <f>ROUND(IF(AO173="2",BF173,0),2)</f>
        <v>0</v>
      </c>
      <c r="AE173" s="25">
        <f>ROUND(IF(AO173="2",BG173,0),2)</f>
        <v>0</v>
      </c>
      <c r="AF173" s="25">
        <f>ROUND(IF(AO173="0",BH173,0),2)</f>
        <v>0</v>
      </c>
      <c r="AG173" s="10" t="s">
        <v>301</v>
      </c>
      <c r="AH173" s="25">
        <f>IF(AL173=0,K173,0)</f>
        <v>0</v>
      </c>
      <c r="AI173" s="25">
        <f>IF(AL173=12,K173,0)</f>
        <v>0</v>
      </c>
      <c r="AJ173" s="25">
        <f>IF(AL173=21,K173,0)</f>
        <v>0</v>
      </c>
      <c r="AL173" s="25">
        <v>21</v>
      </c>
      <c r="AM173" s="25">
        <f>H173*0</f>
        <v>0</v>
      </c>
      <c r="AN173" s="25">
        <f>H173*(1-0)</f>
        <v>0</v>
      </c>
      <c r="AO173" s="27" t="s">
        <v>61</v>
      </c>
      <c r="AT173" s="25">
        <f>ROUND(AU173+AV173,2)</f>
        <v>0</v>
      </c>
      <c r="AU173" s="25">
        <f>ROUND(G173*AM173,2)</f>
        <v>0</v>
      </c>
      <c r="AV173" s="25">
        <f>ROUND(G173*AN173,2)</f>
        <v>0</v>
      </c>
      <c r="AW173" s="27" t="s">
        <v>62</v>
      </c>
      <c r="AX173" s="27" t="s">
        <v>305</v>
      </c>
      <c r="AY173" s="10" t="s">
        <v>306</v>
      </c>
      <c r="BA173" s="25">
        <f>AU173+AV173</f>
        <v>0</v>
      </c>
      <c r="BB173" s="25">
        <f>H173/(100-BC173)*100</f>
        <v>0</v>
      </c>
      <c r="BC173" s="25">
        <v>0</v>
      </c>
      <c r="BD173" s="25">
        <f>M173</f>
        <v>5.9912699999999999E-2</v>
      </c>
      <c r="BF173" s="25">
        <f>G173*AM173</f>
        <v>0</v>
      </c>
      <c r="BG173" s="25">
        <f>G173*AN173</f>
        <v>0</v>
      </c>
      <c r="BH173" s="25">
        <f>G173*H173</f>
        <v>0</v>
      </c>
      <c r="BI173" s="27" t="s">
        <v>65</v>
      </c>
      <c r="BJ173" s="25">
        <v>711</v>
      </c>
      <c r="BU173" s="25" t="e">
        <f>#REF!</f>
        <v>#REF!</v>
      </c>
      <c r="BV173" s="4" t="s">
        <v>304</v>
      </c>
    </row>
    <row r="174" spans="1:74" ht="14.4" x14ac:dyDescent="0.3">
      <c r="A174" s="28"/>
      <c r="D174" s="29" t="s">
        <v>307</v>
      </c>
      <c r="E174" s="29" t="s">
        <v>308</v>
      </c>
      <c r="G174" s="30">
        <v>38.590000000000003</v>
      </c>
      <c r="H174" s="63"/>
      <c r="N174" s="31"/>
    </row>
    <row r="175" spans="1:74" ht="14.4" x14ac:dyDescent="0.3">
      <c r="A175" s="28"/>
      <c r="D175" s="29" t="s">
        <v>309</v>
      </c>
      <c r="E175" s="29" t="s">
        <v>310</v>
      </c>
      <c r="G175" s="30">
        <v>9.0280000000000005</v>
      </c>
      <c r="H175" s="63"/>
      <c r="N175" s="31"/>
    </row>
    <row r="176" spans="1:74" ht="14.4" x14ac:dyDescent="0.3">
      <c r="A176" s="28"/>
      <c r="D176" s="29" t="s">
        <v>311</v>
      </c>
      <c r="E176" s="29" t="s">
        <v>312</v>
      </c>
      <c r="G176" s="30">
        <v>4.4800000000000004</v>
      </c>
      <c r="H176" s="63"/>
      <c r="N176" s="31"/>
    </row>
    <row r="177" spans="1:74" ht="14.4" x14ac:dyDescent="0.3">
      <c r="A177" s="2" t="s">
        <v>313</v>
      </c>
      <c r="B177" s="3" t="s">
        <v>301</v>
      </c>
      <c r="C177" s="3" t="s">
        <v>314</v>
      </c>
      <c r="D177" s="112" t="s">
        <v>315</v>
      </c>
      <c r="E177" s="109"/>
      <c r="F177" s="3" t="s">
        <v>60</v>
      </c>
      <c r="G177" s="25">
        <v>52.097999999999999</v>
      </c>
      <c r="H177" s="62"/>
      <c r="I177" s="25">
        <f>ROUND(G177*AM177,2)</f>
        <v>0</v>
      </c>
      <c r="J177" s="25">
        <f>ROUND(G177*AN177,2)</f>
        <v>0</v>
      </c>
      <c r="K177" s="25">
        <f>ROUND(G177*H177,2)</f>
        <v>0</v>
      </c>
      <c r="L177" s="25">
        <v>1.4300000000000001E-3</v>
      </c>
      <c r="M177" s="25">
        <f>G177*L177</f>
        <v>7.4500140000000006E-2</v>
      </c>
      <c r="N177" s="26"/>
      <c r="X177" s="25">
        <f>ROUND(IF(AO177="5",BH177,0),2)</f>
        <v>0</v>
      </c>
      <c r="Z177" s="25">
        <f>ROUND(IF(AO177="1",BF177,0),2)</f>
        <v>0</v>
      </c>
      <c r="AA177" s="25">
        <f>ROUND(IF(AO177="1",BG177,0),2)</f>
        <v>0</v>
      </c>
      <c r="AB177" s="25">
        <f>ROUND(IF(AO177="7",BF177,0),2)</f>
        <v>0</v>
      </c>
      <c r="AC177" s="25">
        <f>ROUND(IF(AO177="7",BG177,0),2)</f>
        <v>0</v>
      </c>
      <c r="AD177" s="25">
        <f>ROUND(IF(AO177="2",BF177,0),2)</f>
        <v>0</v>
      </c>
      <c r="AE177" s="25">
        <f>ROUND(IF(AO177="2",BG177,0),2)</f>
        <v>0</v>
      </c>
      <c r="AF177" s="25">
        <f>ROUND(IF(AO177="0",BH177,0),2)</f>
        <v>0</v>
      </c>
      <c r="AG177" s="10" t="s">
        <v>301</v>
      </c>
      <c r="AH177" s="25">
        <f>IF(AL177=0,K177,0)</f>
        <v>0</v>
      </c>
      <c r="AI177" s="25">
        <f>IF(AL177=12,K177,0)</f>
        <v>0</v>
      </c>
      <c r="AJ177" s="25">
        <f>IF(AL177=21,K177,0)</f>
        <v>0</v>
      </c>
      <c r="AL177" s="25">
        <v>21</v>
      </c>
      <c r="AM177" s="25">
        <f>H177*0</f>
        <v>0</v>
      </c>
      <c r="AN177" s="25">
        <f>H177*(1-0)</f>
        <v>0</v>
      </c>
      <c r="AO177" s="27" t="s">
        <v>61</v>
      </c>
      <c r="AT177" s="25">
        <f>ROUND(AU177+AV177,2)</f>
        <v>0</v>
      </c>
      <c r="AU177" s="25">
        <f>ROUND(G177*AM177,2)</f>
        <v>0</v>
      </c>
      <c r="AV177" s="25">
        <f>ROUND(G177*AN177,2)</f>
        <v>0</v>
      </c>
      <c r="AW177" s="27" t="s">
        <v>62</v>
      </c>
      <c r="AX177" s="27" t="s">
        <v>305</v>
      </c>
      <c r="AY177" s="10" t="s">
        <v>306</v>
      </c>
      <c r="BA177" s="25">
        <f>AU177+AV177</f>
        <v>0</v>
      </c>
      <c r="BB177" s="25">
        <f>H177/(100-BC177)*100</f>
        <v>0</v>
      </c>
      <c r="BC177" s="25">
        <v>0</v>
      </c>
      <c r="BD177" s="25">
        <f>M177</f>
        <v>7.4500140000000006E-2</v>
      </c>
      <c r="BF177" s="25">
        <f>G177*AM177</f>
        <v>0</v>
      </c>
      <c r="BG177" s="25">
        <f>G177*AN177</f>
        <v>0</v>
      </c>
      <c r="BH177" s="25">
        <f>G177*H177</f>
        <v>0</v>
      </c>
      <c r="BI177" s="27" t="s">
        <v>65</v>
      </c>
      <c r="BJ177" s="25">
        <v>711</v>
      </c>
      <c r="BU177" s="25" t="e">
        <f>#REF!</f>
        <v>#REF!</v>
      </c>
      <c r="BV177" s="4" t="s">
        <v>315</v>
      </c>
    </row>
    <row r="178" spans="1:74" ht="14.4" x14ac:dyDescent="0.3">
      <c r="A178" s="28"/>
      <c r="D178" s="29" t="s">
        <v>307</v>
      </c>
      <c r="E178" s="29" t="s">
        <v>316</v>
      </c>
      <c r="G178" s="30">
        <v>38.590000000000003</v>
      </c>
      <c r="H178" s="63"/>
      <c r="N178" s="31"/>
    </row>
    <row r="179" spans="1:74" ht="14.4" x14ac:dyDescent="0.3">
      <c r="A179" s="28"/>
      <c r="D179" s="29" t="s">
        <v>309</v>
      </c>
      <c r="E179" s="29" t="s">
        <v>310</v>
      </c>
      <c r="G179" s="30">
        <v>9.0280000000000005</v>
      </c>
      <c r="H179" s="63"/>
      <c r="N179" s="31"/>
    </row>
    <row r="180" spans="1:74" ht="14.4" x14ac:dyDescent="0.3">
      <c r="A180" s="28"/>
      <c r="D180" s="29" t="s">
        <v>311</v>
      </c>
      <c r="E180" s="29" t="s">
        <v>312</v>
      </c>
      <c r="G180" s="30">
        <v>4.4800000000000004</v>
      </c>
      <c r="H180" s="63"/>
      <c r="N180" s="31"/>
    </row>
    <row r="181" spans="1:74" ht="14.4" x14ac:dyDescent="0.3">
      <c r="A181" s="21" t="s">
        <v>52</v>
      </c>
      <c r="B181" s="22" t="s">
        <v>301</v>
      </c>
      <c r="C181" s="22" t="s">
        <v>79</v>
      </c>
      <c r="D181" s="170" t="s">
        <v>80</v>
      </c>
      <c r="E181" s="171"/>
      <c r="F181" s="23" t="s">
        <v>32</v>
      </c>
      <c r="G181" s="23" t="s">
        <v>32</v>
      </c>
      <c r="H181" s="64"/>
      <c r="I181" s="1">
        <f>SUM(I182:I182)</f>
        <v>0</v>
      </c>
      <c r="J181" s="1">
        <f>SUM(J182:J182)</f>
        <v>0</v>
      </c>
      <c r="K181" s="1">
        <f>SUM(K182:K182)</f>
        <v>0</v>
      </c>
      <c r="L181" s="10" t="s">
        <v>52</v>
      </c>
      <c r="M181" s="1">
        <f>SUM(M182:M182)</f>
        <v>0.26882567999999996</v>
      </c>
      <c r="N181" s="24"/>
      <c r="AG181" s="10" t="s">
        <v>301</v>
      </c>
      <c r="AQ181" s="1">
        <f>SUM(AH182:AH182)</f>
        <v>0</v>
      </c>
      <c r="AR181" s="1">
        <f>SUM(AI182:AI182)</f>
        <v>0</v>
      </c>
      <c r="AS181" s="1">
        <f>SUM(AJ182:AJ182)</f>
        <v>0</v>
      </c>
    </row>
    <row r="182" spans="1:74" ht="14.4" x14ac:dyDescent="0.3">
      <c r="A182" s="2" t="s">
        <v>317</v>
      </c>
      <c r="B182" s="3" t="s">
        <v>301</v>
      </c>
      <c r="C182" s="3" t="s">
        <v>318</v>
      </c>
      <c r="D182" s="112" t="s">
        <v>319</v>
      </c>
      <c r="E182" s="109"/>
      <c r="F182" s="3" t="s">
        <v>60</v>
      </c>
      <c r="G182" s="25">
        <v>52.097999999999999</v>
      </c>
      <c r="H182" s="62"/>
      <c r="I182" s="25">
        <f>ROUND(G182*AM182,2)</f>
        <v>0</v>
      </c>
      <c r="J182" s="25">
        <f>ROUND(G182*AN182,2)</f>
        <v>0</v>
      </c>
      <c r="K182" s="25">
        <f>ROUND(G182*H182,2)</f>
        <v>0</v>
      </c>
      <c r="L182" s="25">
        <v>5.1599999999999997E-3</v>
      </c>
      <c r="M182" s="25">
        <f>G182*L182</f>
        <v>0.26882567999999996</v>
      </c>
      <c r="N182" s="26"/>
      <c r="X182" s="25">
        <f>ROUND(IF(AO182="5",BH182,0),2)</f>
        <v>0</v>
      </c>
      <c r="Z182" s="25">
        <f>ROUND(IF(AO182="1",BF182,0),2)</f>
        <v>0</v>
      </c>
      <c r="AA182" s="25">
        <f>ROUND(IF(AO182="1",BG182,0),2)</f>
        <v>0</v>
      </c>
      <c r="AB182" s="25">
        <f>ROUND(IF(AO182="7",BF182,0),2)</f>
        <v>0</v>
      </c>
      <c r="AC182" s="25">
        <f>ROUND(IF(AO182="7",BG182,0),2)</f>
        <v>0</v>
      </c>
      <c r="AD182" s="25">
        <f>ROUND(IF(AO182="2",BF182,0),2)</f>
        <v>0</v>
      </c>
      <c r="AE182" s="25">
        <f>ROUND(IF(AO182="2",BG182,0),2)</f>
        <v>0</v>
      </c>
      <c r="AF182" s="25">
        <f>ROUND(IF(AO182="0",BH182,0),2)</f>
        <v>0</v>
      </c>
      <c r="AG182" s="10" t="s">
        <v>301</v>
      </c>
      <c r="AH182" s="25">
        <f>IF(AL182=0,K182,0)</f>
        <v>0</v>
      </c>
      <c r="AI182" s="25">
        <f>IF(AL182=12,K182,0)</f>
        <v>0</v>
      </c>
      <c r="AJ182" s="25">
        <f>IF(AL182=21,K182,0)</f>
        <v>0</v>
      </c>
      <c r="AL182" s="25">
        <v>21</v>
      </c>
      <c r="AM182" s="25">
        <f>H182*0</f>
        <v>0</v>
      </c>
      <c r="AN182" s="25">
        <f>H182*(1-0)</f>
        <v>0</v>
      </c>
      <c r="AO182" s="27" t="s">
        <v>61</v>
      </c>
      <c r="AT182" s="25">
        <f>ROUND(AU182+AV182,2)</f>
        <v>0</v>
      </c>
      <c r="AU182" s="25">
        <f>ROUND(G182*AM182,2)</f>
        <v>0</v>
      </c>
      <c r="AV182" s="25">
        <f>ROUND(G182*AN182,2)</f>
        <v>0</v>
      </c>
      <c r="AW182" s="27" t="s">
        <v>84</v>
      </c>
      <c r="AX182" s="27" t="s">
        <v>305</v>
      </c>
      <c r="AY182" s="10" t="s">
        <v>306</v>
      </c>
      <c r="BA182" s="25">
        <f>AU182+AV182</f>
        <v>0</v>
      </c>
      <c r="BB182" s="25">
        <f>H182/(100-BC182)*100</f>
        <v>0</v>
      </c>
      <c r="BC182" s="25">
        <v>0</v>
      </c>
      <c r="BD182" s="25">
        <f>M182</f>
        <v>0.26882567999999996</v>
      </c>
      <c r="BF182" s="25">
        <f>G182*AM182</f>
        <v>0</v>
      </c>
      <c r="BG182" s="25">
        <f>G182*AN182</f>
        <v>0</v>
      </c>
      <c r="BH182" s="25">
        <f>G182*H182</f>
        <v>0</v>
      </c>
      <c r="BI182" s="27" t="s">
        <v>65</v>
      </c>
      <c r="BJ182" s="25">
        <v>713</v>
      </c>
      <c r="BU182" s="25" t="e">
        <f>#REF!</f>
        <v>#REF!</v>
      </c>
      <c r="BV182" s="4" t="s">
        <v>319</v>
      </c>
    </row>
    <row r="183" spans="1:74" ht="14.4" x14ac:dyDescent="0.3">
      <c r="A183" s="28"/>
      <c r="D183" s="29" t="s">
        <v>307</v>
      </c>
      <c r="E183" s="29" t="s">
        <v>316</v>
      </c>
      <c r="G183" s="30">
        <v>38.590000000000003</v>
      </c>
      <c r="H183" s="63"/>
      <c r="N183" s="31"/>
    </row>
    <row r="184" spans="1:74" ht="14.4" x14ac:dyDescent="0.3">
      <c r="A184" s="28"/>
      <c r="D184" s="29" t="s">
        <v>309</v>
      </c>
      <c r="E184" s="29" t="s">
        <v>310</v>
      </c>
      <c r="G184" s="30">
        <v>9.0280000000000005</v>
      </c>
      <c r="H184" s="63"/>
      <c r="N184" s="31"/>
    </row>
    <row r="185" spans="1:74" ht="14.4" x14ac:dyDescent="0.3">
      <c r="A185" s="28"/>
      <c r="D185" s="29" t="s">
        <v>311</v>
      </c>
      <c r="E185" s="29" t="s">
        <v>312</v>
      </c>
      <c r="G185" s="30">
        <v>4.4800000000000004</v>
      </c>
      <c r="H185" s="63"/>
      <c r="N185" s="31"/>
    </row>
    <row r="186" spans="1:74" ht="14.4" x14ac:dyDescent="0.3">
      <c r="A186" s="21" t="s">
        <v>52</v>
      </c>
      <c r="B186" s="22" t="s">
        <v>301</v>
      </c>
      <c r="C186" s="22" t="s">
        <v>95</v>
      </c>
      <c r="D186" s="170" t="s">
        <v>96</v>
      </c>
      <c r="E186" s="171"/>
      <c r="F186" s="23" t="s">
        <v>32</v>
      </c>
      <c r="G186" s="23" t="s">
        <v>32</v>
      </c>
      <c r="H186" s="64"/>
      <c r="I186" s="1">
        <f>SUM(I187:I187)</f>
        <v>0</v>
      </c>
      <c r="J186" s="1">
        <f>SUM(J187:J187)</f>
        <v>0</v>
      </c>
      <c r="K186" s="1">
        <f>SUM(K187:K187)</f>
        <v>0</v>
      </c>
      <c r="L186" s="10" t="s">
        <v>52</v>
      </c>
      <c r="M186" s="1">
        <f>SUM(M187:M187)</f>
        <v>0</v>
      </c>
      <c r="N186" s="24"/>
      <c r="AG186" s="10" t="s">
        <v>301</v>
      </c>
      <c r="AQ186" s="1">
        <f>SUM(AH187:AH187)</f>
        <v>0</v>
      </c>
      <c r="AR186" s="1">
        <f>SUM(AI187:AI187)</f>
        <v>0</v>
      </c>
      <c r="AS186" s="1">
        <f>SUM(AJ187:AJ187)</f>
        <v>0</v>
      </c>
    </row>
    <row r="187" spans="1:74" ht="26.4" x14ac:dyDescent="0.3">
      <c r="A187" s="2" t="s">
        <v>320</v>
      </c>
      <c r="B187" s="3" t="s">
        <v>301</v>
      </c>
      <c r="C187" s="3" t="s">
        <v>98</v>
      </c>
      <c r="D187" s="112" t="s">
        <v>321</v>
      </c>
      <c r="E187" s="109"/>
      <c r="F187" s="3" t="s">
        <v>100</v>
      </c>
      <c r="G187" s="25">
        <v>40</v>
      </c>
      <c r="H187" s="62"/>
      <c r="I187" s="25">
        <f>ROUND(G187*AM187,2)</f>
        <v>0</v>
      </c>
      <c r="J187" s="25">
        <f>ROUND(G187*AN187,2)</f>
        <v>0</v>
      </c>
      <c r="K187" s="25">
        <f>ROUND(G187*H187,2)</f>
        <v>0</v>
      </c>
      <c r="L187" s="25">
        <v>0</v>
      </c>
      <c r="M187" s="25">
        <f>G187*L187</f>
        <v>0</v>
      </c>
      <c r="N187" s="26"/>
      <c r="X187" s="25">
        <f>ROUND(IF(AO187="5",BH187,0),2)</f>
        <v>0</v>
      </c>
      <c r="Z187" s="25">
        <f>ROUND(IF(AO187="1",BF187,0),2)</f>
        <v>0</v>
      </c>
      <c r="AA187" s="25">
        <f>ROUND(IF(AO187="1",BG187,0),2)</f>
        <v>0</v>
      </c>
      <c r="AB187" s="25">
        <f>ROUND(IF(AO187="7",BF187,0),2)</f>
        <v>0</v>
      </c>
      <c r="AC187" s="25">
        <f>ROUND(IF(AO187="7",BG187,0),2)</f>
        <v>0</v>
      </c>
      <c r="AD187" s="25">
        <f>ROUND(IF(AO187="2",BF187,0),2)</f>
        <v>0</v>
      </c>
      <c r="AE187" s="25">
        <f>ROUND(IF(AO187="2",BG187,0),2)</f>
        <v>0</v>
      </c>
      <c r="AF187" s="25">
        <f>ROUND(IF(AO187="0",BH187,0),2)</f>
        <v>0</v>
      </c>
      <c r="AG187" s="10" t="s">
        <v>301</v>
      </c>
      <c r="AH187" s="25">
        <f>IF(AL187=0,K187,0)</f>
        <v>0</v>
      </c>
      <c r="AI187" s="25">
        <f>IF(AL187=12,K187,0)</f>
        <v>0</v>
      </c>
      <c r="AJ187" s="25">
        <f>IF(AL187=21,K187,0)</f>
        <v>0</v>
      </c>
      <c r="AL187" s="25">
        <v>21</v>
      </c>
      <c r="AM187" s="25">
        <f>H187*0</f>
        <v>0</v>
      </c>
      <c r="AN187" s="25">
        <f>H187*(1-0)</f>
        <v>0</v>
      </c>
      <c r="AO187" s="27" t="s">
        <v>61</v>
      </c>
      <c r="AT187" s="25">
        <f>ROUND(AU187+AV187,2)</f>
        <v>0</v>
      </c>
      <c r="AU187" s="25">
        <f>ROUND(G187*AM187,2)</f>
        <v>0</v>
      </c>
      <c r="AV187" s="25">
        <f>ROUND(G187*AN187,2)</f>
        <v>0</v>
      </c>
      <c r="AW187" s="27" t="s">
        <v>101</v>
      </c>
      <c r="AX187" s="27" t="s">
        <v>322</v>
      </c>
      <c r="AY187" s="10" t="s">
        <v>306</v>
      </c>
      <c r="BA187" s="25">
        <f>AU187+AV187</f>
        <v>0</v>
      </c>
      <c r="BB187" s="25">
        <f>H187/(100-BC187)*100</f>
        <v>0</v>
      </c>
      <c r="BC187" s="25">
        <v>0</v>
      </c>
      <c r="BD187" s="25">
        <f>M187</f>
        <v>0</v>
      </c>
      <c r="BF187" s="25">
        <f>G187*AM187</f>
        <v>0</v>
      </c>
      <c r="BG187" s="25">
        <f>G187*AN187</f>
        <v>0</v>
      </c>
      <c r="BH187" s="25">
        <f>G187*H187</f>
        <v>0</v>
      </c>
      <c r="BI187" s="27" t="s">
        <v>65</v>
      </c>
      <c r="BJ187" s="25">
        <v>725</v>
      </c>
      <c r="BU187" s="25" t="e">
        <f>#REF!</f>
        <v>#REF!</v>
      </c>
      <c r="BV187" s="4" t="s">
        <v>321</v>
      </c>
    </row>
    <row r="188" spans="1:74" ht="14.4" x14ac:dyDescent="0.3">
      <c r="A188" s="28"/>
      <c r="D188" s="29" t="s">
        <v>323</v>
      </c>
      <c r="E188" s="29" t="s">
        <v>52</v>
      </c>
      <c r="G188" s="30">
        <v>40</v>
      </c>
      <c r="H188" s="63"/>
      <c r="N188" s="31"/>
    </row>
    <row r="189" spans="1:74" ht="14.4" x14ac:dyDescent="0.3">
      <c r="A189" s="21" t="s">
        <v>52</v>
      </c>
      <c r="B189" s="22" t="s">
        <v>301</v>
      </c>
      <c r="C189" s="22" t="s">
        <v>324</v>
      </c>
      <c r="D189" s="170" t="s">
        <v>325</v>
      </c>
      <c r="E189" s="171"/>
      <c r="F189" s="23" t="s">
        <v>32</v>
      </c>
      <c r="G189" s="23" t="s">
        <v>32</v>
      </c>
      <c r="H189" s="64"/>
      <c r="I189" s="1">
        <f>SUM(I190:I190)</f>
        <v>0</v>
      </c>
      <c r="J189" s="1">
        <f>SUM(J190:J190)</f>
        <v>0</v>
      </c>
      <c r="K189" s="1">
        <f>SUM(K190:K190)</f>
        <v>0</v>
      </c>
      <c r="L189" s="10" t="s">
        <v>52</v>
      </c>
      <c r="M189" s="1">
        <f>SUM(M190:M190)</f>
        <v>0.10947545</v>
      </c>
      <c r="N189" s="24"/>
      <c r="AG189" s="10" t="s">
        <v>301</v>
      </c>
      <c r="AQ189" s="1">
        <f>SUM(AH190:AH190)</f>
        <v>0</v>
      </c>
      <c r="AR189" s="1">
        <f>SUM(AI190:AI190)</f>
        <v>0</v>
      </c>
      <c r="AS189" s="1">
        <f>SUM(AJ190:AJ190)</f>
        <v>0</v>
      </c>
    </row>
    <row r="190" spans="1:74" ht="14.4" x14ac:dyDescent="0.3">
      <c r="A190" s="2" t="s">
        <v>326</v>
      </c>
      <c r="B190" s="3" t="s">
        <v>301</v>
      </c>
      <c r="C190" s="3" t="s">
        <v>327</v>
      </c>
      <c r="D190" s="112" t="s">
        <v>328</v>
      </c>
      <c r="E190" s="109"/>
      <c r="F190" s="3" t="s">
        <v>60</v>
      </c>
      <c r="G190" s="25">
        <v>3.3530000000000002</v>
      </c>
      <c r="H190" s="62"/>
      <c r="I190" s="25">
        <f>ROUND(G190*AM190,2)</f>
        <v>0</v>
      </c>
      <c r="J190" s="25">
        <f>ROUND(G190*AN190,2)</f>
        <v>0</v>
      </c>
      <c r="K190" s="25">
        <f>ROUND(G190*H190,2)</f>
        <v>0</v>
      </c>
      <c r="L190" s="25">
        <v>3.2649999999999998E-2</v>
      </c>
      <c r="M190" s="25">
        <f>G190*L190</f>
        <v>0.10947545</v>
      </c>
      <c r="N190" s="26"/>
      <c r="X190" s="25">
        <f>ROUND(IF(AO190="5",BH190,0),2)</f>
        <v>0</v>
      </c>
      <c r="Z190" s="25">
        <f>ROUND(IF(AO190="1",BF190,0),2)</f>
        <v>0</v>
      </c>
      <c r="AA190" s="25">
        <f>ROUND(IF(AO190="1",BG190,0),2)</f>
        <v>0</v>
      </c>
      <c r="AB190" s="25">
        <f>ROUND(IF(AO190="7",BF190,0),2)</f>
        <v>0</v>
      </c>
      <c r="AC190" s="25">
        <f>ROUND(IF(AO190="7",BG190,0),2)</f>
        <v>0</v>
      </c>
      <c r="AD190" s="25">
        <f>ROUND(IF(AO190="2",BF190,0),2)</f>
        <v>0</v>
      </c>
      <c r="AE190" s="25">
        <f>ROUND(IF(AO190="2",BG190,0),2)</f>
        <v>0</v>
      </c>
      <c r="AF190" s="25">
        <f>ROUND(IF(AO190="0",BH190,0),2)</f>
        <v>0</v>
      </c>
      <c r="AG190" s="10" t="s">
        <v>301</v>
      </c>
      <c r="AH190" s="25">
        <f>IF(AL190=0,K190,0)</f>
        <v>0</v>
      </c>
      <c r="AI190" s="25">
        <f>IF(AL190=12,K190,0)</f>
        <v>0</v>
      </c>
      <c r="AJ190" s="25">
        <f>IF(AL190=21,K190,0)</f>
        <v>0</v>
      </c>
      <c r="AL190" s="25">
        <v>21</v>
      </c>
      <c r="AM190" s="25">
        <f>H190*0</f>
        <v>0</v>
      </c>
      <c r="AN190" s="25">
        <f>H190*(1-0)</f>
        <v>0</v>
      </c>
      <c r="AO190" s="27" t="s">
        <v>61</v>
      </c>
      <c r="AT190" s="25">
        <f>ROUND(AU190+AV190,2)</f>
        <v>0</v>
      </c>
      <c r="AU190" s="25">
        <f>ROUND(G190*AM190,2)</f>
        <v>0</v>
      </c>
      <c r="AV190" s="25">
        <f>ROUND(G190*AN190,2)</f>
        <v>0</v>
      </c>
      <c r="AW190" s="27" t="s">
        <v>329</v>
      </c>
      <c r="AX190" s="27" t="s">
        <v>330</v>
      </c>
      <c r="AY190" s="10" t="s">
        <v>306</v>
      </c>
      <c r="BA190" s="25">
        <f>AU190+AV190</f>
        <v>0</v>
      </c>
      <c r="BB190" s="25">
        <f>H190/(100-BC190)*100</f>
        <v>0</v>
      </c>
      <c r="BC190" s="25">
        <v>0</v>
      </c>
      <c r="BD190" s="25">
        <f>M190</f>
        <v>0.10947545</v>
      </c>
      <c r="BF190" s="25">
        <f>G190*AM190</f>
        <v>0</v>
      </c>
      <c r="BG190" s="25">
        <f>G190*AN190</f>
        <v>0</v>
      </c>
      <c r="BH190" s="25">
        <f>G190*H190</f>
        <v>0</v>
      </c>
      <c r="BI190" s="27" t="s">
        <v>65</v>
      </c>
      <c r="BJ190" s="25">
        <v>766</v>
      </c>
      <c r="BU190" s="25" t="e">
        <f>#REF!</f>
        <v>#REF!</v>
      </c>
      <c r="BV190" s="4" t="s">
        <v>328</v>
      </c>
    </row>
    <row r="191" spans="1:74" ht="14.4" x14ac:dyDescent="0.3">
      <c r="A191" s="28"/>
      <c r="D191" s="29" t="s">
        <v>331</v>
      </c>
      <c r="E191" s="29" t="s">
        <v>52</v>
      </c>
      <c r="G191" s="30">
        <v>3.3530000000000002</v>
      </c>
      <c r="H191" s="63"/>
      <c r="N191" s="31"/>
    </row>
    <row r="192" spans="1:74" ht="14.4" x14ac:dyDescent="0.3">
      <c r="A192" s="21" t="s">
        <v>52</v>
      </c>
      <c r="B192" s="22" t="s">
        <v>301</v>
      </c>
      <c r="C192" s="22" t="s">
        <v>104</v>
      </c>
      <c r="D192" s="170" t="s">
        <v>105</v>
      </c>
      <c r="E192" s="171"/>
      <c r="F192" s="23" t="s">
        <v>32</v>
      </c>
      <c r="G192" s="23" t="s">
        <v>32</v>
      </c>
      <c r="H192" s="64"/>
      <c r="I192" s="1">
        <f>SUM(I193:I196)</f>
        <v>0</v>
      </c>
      <c r="J192" s="1">
        <f>SUM(J193:J196)</f>
        <v>0</v>
      </c>
      <c r="K192" s="1">
        <f>SUM(K193:K196)</f>
        <v>0</v>
      </c>
      <c r="L192" s="10" t="s">
        <v>52</v>
      </c>
      <c r="M192" s="1">
        <f>SUM(M193:M196)</f>
        <v>5.6561800000000002E-2</v>
      </c>
      <c r="N192" s="24"/>
      <c r="AG192" s="10" t="s">
        <v>301</v>
      </c>
      <c r="AQ192" s="1">
        <f>SUM(AH193:AH196)</f>
        <v>0</v>
      </c>
      <c r="AR192" s="1">
        <f>SUM(AI193:AI196)</f>
        <v>0</v>
      </c>
      <c r="AS192" s="1">
        <f>SUM(AJ193:AJ196)</f>
        <v>0</v>
      </c>
    </row>
    <row r="193" spans="1:74" ht="14.4" x14ac:dyDescent="0.3">
      <c r="A193" s="2" t="s">
        <v>332</v>
      </c>
      <c r="B193" s="3" t="s">
        <v>301</v>
      </c>
      <c r="C193" s="3" t="s">
        <v>107</v>
      </c>
      <c r="D193" s="112" t="s">
        <v>108</v>
      </c>
      <c r="E193" s="109"/>
      <c r="F193" s="3" t="s">
        <v>60</v>
      </c>
      <c r="G193" s="25">
        <v>15.95</v>
      </c>
      <c r="H193" s="62"/>
      <c r="I193" s="25">
        <f>ROUND(G193*AM193,2)</f>
        <v>0</v>
      </c>
      <c r="J193" s="25">
        <f>ROUND(G193*AN193,2)</f>
        <v>0</v>
      </c>
      <c r="K193" s="25">
        <f>ROUND(G193*H193,2)</f>
        <v>0</v>
      </c>
      <c r="L193" s="25">
        <v>3.5000000000000001E-3</v>
      </c>
      <c r="M193" s="25">
        <f>G193*L193</f>
        <v>5.5825E-2</v>
      </c>
      <c r="N193" s="26"/>
      <c r="X193" s="25">
        <f>ROUND(IF(AO193="5",BH193,0),2)</f>
        <v>0</v>
      </c>
      <c r="Z193" s="25">
        <f>ROUND(IF(AO193="1",BF193,0),2)</f>
        <v>0</v>
      </c>
      <c r="AA193" s="25">
        <f>ROUND(IF(AO193="1",BG193,0),2)</f>
        <v>0</v>
      </c>
      <c r="AB193" s="25">
        <f>ROUND(IF(AO193="7",BF193,0),2)</f>
        <v>0</v>
      </c>
      <c r="AC193" s="25">
        <f>ROUND(IF(AO193="7",BG193,0),2)</f>
        <v>0</v>
      </c>
      <c r="AD193" s="25">
        <f>ROUND(IF(AO193="2",BF193,0),2)</f>
        <v>0</v>
      </c>
      <c r="AE193" s="25">
        <f>ROUND(IF(AO193="2",BG193,0),2)</f>
        <v>0</v>
      </c>
      <c r="AF193" s="25">
        <f>ROUND(IF(AO193="0",BH193,0),2)</f>
        <v>0</v>
      </c>
      <c r="AG193" s="10" t="s">
        <v>301</v>
      </c>
      <c r="AH193" s="25">
        <f>IF(AL193=0,K193,0)</f>
        <v>0</v>
      </c>
      <c r="AI193" s="25">
        <f>IF(AL193=12,K193,0)</f>
        <v>0</v>
      </c>
      <c r="AJ193" s="25">
        <f>IF(AL193=21,K193,0)</f>
        <v>0</v>
      </c>
      <c r="AL193" s="25">
        <v>21</v>
      </c>
      <c r="AM193" s="25">
        <f>H193*0</f>
        <v>0</v>
      </c>
      <c r="AN193" s="25">
        <f>H193*(1-0)</f>
        <v>0</v>
      </c>
      <c r="AO193" s="27" t="s">
        <v>61</v>
      </c>
      <c r="AT193" s="25">
        <f>ROUND(AU193+AV193,2)</f>
        <v>0</v>
      </c>
      <c r="AU193" s="25">
        <f>ROUND(G193*AM193,2)</f>
        <v>0</v>
      </c>
      <c r="AV193" s="25">
        <f>ROUND(G193*AN193,2)</f>
        <v>0</v>
      </c>
      <c r="AW193" s="27" t="s">
        <v>109</v>
      </c>
      <c r="AX193" s="27" t="s">
        <v>333</v>
      </c>
      <c r="AY193" s="10" t="s">
        <v>306</v>
      </c>
      <c r="BA193" s="25">
        <f>AU193+AV193</f>
        <v>0</v>
      </c>
      <c r="BB193" s="25">
        <f>H193/(100-BC193)*100</f>
        <v>0</v>
      </c>
      <c r="BC193" s="25">
        <v>0</v>
      </c>
      <c r="BD193" s="25">
        <f>M193</f>
        <v>5.5825E-2</v>
      </c>
      <c r="BF193" s="25">
        <f>G193*AM193</f>
        <v>0</v>
      </c>
      <c r="BG193" s="25">
        <f>G193*AN193</f>
        <v>0</v>
      </c>
      <c r="BH193" s="25">
        <f>G193*H193</f>
        <v>0</v>
      </c>
      <c r="BI193" s="27" t="s">
        <v>65</v>
      </c>
      <c r="BJ193" s="25">
        <v>776</v>
      </c>
      <c r="BU193" s="25" t="e">
        <f>#REF!</f>
        <v>#REF!</v>
      </c>
      <c r="BV193" s="4" t="s">
        <v>108</v>
      </c>
    </row>
    <row r="194" spans="1:74" ht="14.4" x14ac:dyDescent="0.3">
      <c r="A194" s="28"/>
      <c r="D194" s="29" t="s">
        <v>334</v>
      </c>
      <c r="E194" s="29" t="s">
        <v>335</v>
      </c>
      <c r="G194" s="30">
        <v>9.89</v>
      </c>
      <c r="H194" s="63"/>
      <c r="N194" s="31"/>
    </row>
    <row r="195" spans="1:74" ht="14.4" x14ac:dyDescent="0.3">
      <c r="A195" s="28"/>
      <c r="D195" s="29" t="s">
        <v>336</v>
      </c>
      <c r="E195" s="29" t="s">
        <v>337</v>
      </c>
      <c r="G195" s="30">
        <v>6.06</v>
      </c>
      <c r="H195" s="63"/>
      <c r="N195" s="31"/>
    </row>
    <row r="196" spans="1:74" ht="14.4" x14ac:dyDescent="0.3">
      <c r="A196" s="2" t="s">
        <v>338</v>
      </c>
      <c r="B196" s="3" t="s">
        <v>301</v>
      </c>
      <c r="C196" s="3" t="s">
        <v>339</v>
      </c>
      <c r="D196" s="112" t="s">
        <v>114</v>
      </c>
      <c r="E196" s="109"/>
      <c r="F196" s="3" t="s">
        <v>115</v>
      </c>
      <c r="G196" s="25">
        <v>9.2100000000000009</v>
      </c>
      <c r="H196" s="62"/>
      <c r="I196" s="25">
        <f>ROUND(G196*AM196,2)</f>
        <v>0</v>
      </c>
      <c r="J196" s="25">
        <f>ROUND(G196*AN196,2)</f>
        <v>0</v>
      </c>
      <c r="K196" s="25">
        <f>ROUND(G196*H196,2)</f>
        <v>0</v>
      </c>
      <c r="L196" s="25">
        <v>8.0000000000000007E-5</v>
      </c>
      <c r="M196" s="25">
        <f>G196*L196</f>
        <v>7.3680000000000013E-4</v>
      </c>
      <c r="N196" s="26"/>
      <c r="X196" s="25">
        <f>ROUND(IF(AO196="5",BH196,0),2)</f>
        <v>0</v>
      </c>
      <c r="Z196" s="25">
        <f>ROUND(IF(AO196="1",BF196,0),2)</f>
        <v>0</v>
      </c>
      <c r="AA196" s="25">
        <f>ROUND(IF(AO196="1",BG196,0),2)</f>
        <v>0</v>
      </c>
      <c r="AB196" s="25">
        <f>ROUND(IF(AO196="7",BF196,0),2)</f>
        <v>0</v>
      </c>
      <c r="AC196" s="25">
        <f>ROUND(IF(AO196="7",BG196,0),2)</f>
        <v>0</v>
      </c>
      <c r="AD196" s="25">
        <f>ROUND(IF(AO196="2",BF196,0),2)</f>
        <v>0</v>
      </c>
      <c r="AE196" s="25">
        <f>ROUND(IF(AO196="2",BG196,0),2)</f>
        <v>0</v>
      </c>
      <c r="AF196" s="25">
        <f>ROUND(IF(AO196="0",BH196,0),2)</f>
        <v>0</v>
      </c>
      <c r="AG196" s="10" t="s">
        <v>301</v>
      </c>
      <c r="AH196" s="25">
        <f>IF(AL196=0,K196,0)</f>
        <v>0</v>
      </c>
      <c r="AI196" s="25">
        <f>IF(AL196=12,K196,0)</f>
        <v>0</v>
      </c>
      <c r="AJ196" s="25">
        <f>IF(AL196=21,K196,0)</f>
        <v>0</v>
      </c>
      <c r="AL196" s="25">
        <v>21</v>
      </c>
      <c r="AM196" s="25">
        <f>H196*0</f>
        <v>0</v>
      </c>
      <c r="AN196" s="25">
        <f>H196*(1-0)</f>
        <v>0</v>
      </c>
      <c r="AO196" s="27" t="s">
        <v>61</v>
      </c>
      <c r="AT196" s="25">
        <f>ROUND(AU196+AV196,2)</f>
        <v>0</v>
      </c>
      <c r="AU196" s="25">
        <f>ROUND(G196*AM196,2)</f>
        <v>0</v>
      </c>
      <c r="AV196" s="25">
        <f>ROUND(G196*AN196,2)</f>
        <v>0</v>
      </c>
      <c r="AW196" s="27" t="s">
        <v>109</v>
      </c>
      <c r="AX196" s="27" t="s">
        <v>333</v>
      </c>
      <c r="AY196" s="10" t="s">
        <v>306</v>
      </c>
      <c r="BA196" s="25">
        <f>AU196+AV196</f>
        <v>0</v>
      </c>
      <c r="BB196" s="25">
        <f>H196/(100-BC196)*100</f>
        <v>0</v>
      </c>
      <c r="BC196" s="25">
        <v>0</v>
      </c>
      <c r="BD196" s="25">
        <f>M196</f>
        <v>7.3680000000000013E-4</v>
      </c>
      <c r="BF196" s="25">
        <f>G196*AM196</f>
        <v>0</v>
      </c>
      <c r="BG196" s="25">
        <f>G196*AN196</f>
        <v>0</v>
      </c>
      <c r="BH196" s="25">
        <f>G196*H196</f>
        <v>0</v>
      </c>
      <c r="BI196" s="27" t="s">
        <v>65</v>
      </c>
      <c r="BJ196" s="25">
        <v>776</v>
      </c>
      <c r="BU196" s="25" t="e">
        <f>#REF!</f>
        <v>#REF!</v>
      </c>
      <c r="BV196" s="4" t="s">
        <v>114</v>
      </c>
    </row>
    <row r="197" spans="1:74" ht="14.4" x14ac:dyDescent="0.3">
      <c r="A197" s="28"/>
      <c r="D197" s="29" t="s">
        <v>340</v>
      </c>
      <c r="E197" s="29" t="s">
        <v>337</v>
      </c>
      <c r="G197" s="30">
        <v>9.2100000000000009</v>
      </c>
      <c r="H197" s="63"/>
      <c r="N197" s="31"/>
    </row>
    <row r="198" spans="1:74" ht="14.4" x14ac:dyDescent="0.3">
      <c r="A198" s="21" t="s">
        <v>52</v>
      </c>
      <c r="B198" s="22" t="s">
        <v>301</v>
      </c>
      <c r="C198" s="22" t="s">
        <v>341</v>
      </c>
      <c r="D198" s="170" t="s">
        <v>342</v>
      </c>
      <c r="E198" s="171"/>
      <c r="F198" s="23" t="s">
        <v>32</v>
      </c>
      <c r="G198" s="23" t="s">
        <v>32</v>
      </c>
      <c r="H198" s="64"/>
      <c r="I198" s="1">
        <f>SUM(I199:I199)</f>
        <v>0</v>
      </c>
      <c r="J198" s="1">
        <f>SUM(J199:J199)</f>
        <v>0</v>
      </c>
      <c r="K198" s="1">
        <f>SUM(K199:K199)</f>
        <v>0</v>
      </c>
      <c r="L198" s="10" t="s">
        <v>52</v>
      </c>
      <c r="M198" s="1">
        <f>SUM(M199:M199)</f>
        <v>6.820000000000001E-4</v>
      </c>
      <c r="N198" s="24"/>
      <c r="AG198" s="10" t="s">
        <v>301</v>
      </c>
      <c r="AQ198" s="1">
        <f>SUM(AH199:AH199)</f>
        <v>0</v>
      </c>
      <c r="AR198" s="1">
        <f>SUM(AI199:AI199)</f>
        <v>0</v>
      </c>
      <c r="AS198" s="1">
        <f>SUM(AJ199:AJ199)</f>
        <v>0</v>
      </c>
    </row>
    <row r="199" spans="1:74" ht="14.4" x14ac:dyDescent="0.3">
      <c r="A199" s="2" t="s">
        <v>343</v>
      </c>
      <c r="B199" s="3" t="s">
        <v>301</v>
      </c>
      <c r="C199" s="3" t="s">
        <v>344</v>
      </c>
      <c r="D199" s="112" t="s">
        <v>345</v>
      </c>
      <c r="E199" s="109"/>
      <c r="F199" s="3" t="s">
        <v>60</v>
      </c>
      <c r="G199" s="25">
        <v>2.2000000000000002</v>
      </c>
      <c r="H199" s="62"/>
      <c r="I199" s="25">
        <f>ROUND(G199*AM199,2)</f>
        <v>0</v>
      </c>
      <c r="J199" s="25">
        <f>ROUND(G199*AN199,2)</f>
        <v>0</v>
      </c>
      <c r="K199" s="25">
        <f>ROUND(G199*H199,2)</f>
        <v>0</v>
      </c>
      <c r="L199" s="25">
        <v>3.1E-4</v>
      </c>
      <c r="M199" s="25">
        <f>G199*L199</f>
        <v>6.820000000000001E-4</v>
      </c>
      <c r="N199" s="26"/>
      <c r="X199" s="25">
        <f>ROUND(IF(AO199="5",BH199,0),2)</f>
        <v>0</v>
      </c>
      <c r="Z199" s="25">
        <f>ROUND(IF(AO199="1",BF199,0),2)</f>
        <v>0</v>
      </c>
      <c r="AA199" s="25">
        <f>ROUND(IF(AO199="1",BG199,0),2)</f>
        <v>0</v>
      </c>
      <c r="AB199" s="25">
        <f>ROUND(IF(AO199="7",BF199,0),2)</f>
        <v>0</v>
      </c>
      <c r="AC199" s="25">
        <f>ROUND(IF(AO199="7",BG199,0),2)</f>
        <v>0</v>
      </c>
      <c r="AD199" s="25">
        <f>ROUND(IF(AO199="2",BF199,0),2)</f>
        <v>0</v>
      </c>
      <c r="AE199" s="25">
        <f>ROUND(IF(AO199="2",BG199,0),2)</f>
        <v>0</v>
      </c>
      <c r="AF199" s="25">
        <f>ROUND(IF(AO199="0",BH199,0),2)</f>
        <v>0</v>
      </c>
      <c r="AG199" s="10" t="s">
        <v>301</v>
      </c>
      <c r="AH199" s="25">
        <f>IF(AL199=0,K199,0)</f>
        <v>0</v>
      </c>
      <c r="AI199" s="25">
        <f>IF(AL199=12,K199,0)</f>
        <v>0</v>
      </c>
      <c r="AJ199" s="25">
        <f>IF(AL199=21,K199,0)</f>
        <v>0</v>
      </c>
      <c r="AL199" s="25">
        <v>21</v>
      </c>
      <c r="AM199" s="25">
        <f>H199*0.089565753</f>
        <v>0</v>
      </c>
      <c r="AN199" s="25">
        <f>H199*(1-0.089565753)</f>
        <v>0</v>
      </c>
      <c r="AO199" s="27" t="s">
        <v>61</v>
      </c>
      <c r="AT199" s="25">
        <f>ROUND(AU199+AV199,2)</f>
        <v>0</v>
      </c>
      <c r="AU199" s="25">
        <f>ROUND(G199*AM199,2)</f>
        <v>0</v>
      </c>
      <c r="AV199" s="25">
        <f>ROUND(G199*AN199,2)</f>
        <v>0</v>
      </c>
      <c r="AW199" s="27" t="s">
        <v>346</v>
      </c>
      <c r="AX199" s="27" t="s">
        <v>347</v>
      </c>
      <c r="AY199" s="10" t="s">
        <v>306</v>
      </c>
      <c r="BA199" s="25">
        <f>AU199+AV199</f>
        <v>0</v>
      </c>
      <c r="BB199" s="25">
        <f>H199/(100-BC199)*100</f>
        <v>0</v>
      </c>
      <c r="BC199" s="25">
        <v>0</v>
      </c>
      <c r="BD199" s="25">
        <f>M199</f>
        <v>6.820000000000001E-4</v>
      </c>
      <c r="BF199" s="25">
        <f>G199*AM199</f>
        <v>0</v>
      </c>
      <c r="BG199" s="25">
        <f>G199*AN199</f>
        <v>0</v>
      </c>
      <c r="BH199" s="25">
        <f>G199*H199</f>
        <v>0</v>
      </c>
      <c r="BI199" s="27" t="s">
        <v>65</v>
      </c>
      <c r="BJ199" s="25">
        <v>783</v>
      </c>
      <c r="BU199" s="25" t="e">
        <f>#REF!</f>
        <v>#REF!</v>
      </c>
      <c r="BV199" s="4" t="s">
        <v>345</v>
      </c>
    </row>
    <row r="200" spans="1:74" ht="14.4" x14ac:dyDescent="0.3">
      <c r="A200" s="28"/>
      <c r="D200" s="29" t="s">
        <v>348</v>
      </c>
      <c r="E200" s="29" t="s">
        <v>52</v>
      </c>
      <c r="G200" s="30">
        <v>2.2000000000000002</v>
      </c>
      <c r="H200" s="63"/>
      <c r="N200" s="31"/>
    </row>
    <row r="201" spans="1:74" ht="14.4" x14ac:dyDescent="0.3">
      <c r="A201" s="21" t="s">
        <v>52</v>
      </c>
      <c r="B201" s="22" t="s">
        <v>301</v>
      </c>
      <c r="C201" s="22" t="s">
        <v>349</v>
      </c>
      <c r="D201" s="170" t="s">
        <v>350</v>
      </c>
      <c r="E201" s="171"/>
      <c r="F201" s="23" t="s">
        <v>32</v>
      </c>
      <c r="G201" s="23" t="s">
        <v>32</v>
      </c>
      <c r="H201" s="64"/>
      <c r="I201" s="1">
        <f>SUM(I202:I202)</f>
        <v>0</v>
      </c>
      <c r="J201" s="1">
        <f>SUM(J202:J202)</f>
        <v>0</v>
      </c>
      <c r="K201" s="1">
        <f>SUM(K202:K202)</f>
        <v>0</v>
      </c>
      <c r="L201" s="10" t="s">
        <v>52</v>
      </c>
      <c r="M201" s="1">
        <f>SUM(M202:M202)</f>
        <v>6.18065E-2</v>
      </c>
      <c r="N201" s="24"/>
      <c r="AG201" s="10" t="s">
        <v>301</v>
      </c>
      <c r="AQ201" s="1">
        <f>SUM(AH202:AH202)</f>
        <v>0</v>
      </c>
      <c r="AR201" s="1">
        <f>SUM(AI202:AI202)</f>
        <v>0</v>
      </c>
      <c r="AS201" s="1">
        <f>SUM(AJ202:AJ202)</f>
        <v>0</v>
      </c>
    </row>
    <row r="202" spans="1:74" ht="14.4" x14ac:dyDescent="0.3">
      <c r="A202" s="2" t="s">
        <v>351</v>
      </c>
      <c r="B202" s="3" t="s">
        <v>301</v>
      </c>
      <c r="C202" s="3" t="s">
        <v>352</v>
      </c>
      <c r="D202" s="112" t="s">
        <v>353</v>
      </c>
      <c r="E202" s="109"/>
      <c r="F202" s="3" t="s">
        <v>60</v>
      </c>
      <c r="G202" s="25">
        <v>176.59</v>
      </c>
      <c r="H202" s="62"/>
      <c r="I202" s="25">
        <f>ROUND(G202*AM202,2)</f>
        <v>0</v>
      </c>
      <c r="J202" s="25">
        <f>ROUND(G202*AN202,2)</f>
        <v>0</v>
      </c>
      <c r="K202" s="25">
        <f>ROUND(G202*H202,2)</f>
        <v>0</v>
      </c>
      <c r="L202" s="25">
        <v>3.5E-4</v>
      </c>
      <c r="M202" s="25">
        <f>G202*L202</f>
        <v>6.18065E-2</v>
      </c>
      <c r="N202" s="26"/>
      <c r="X202" s="25">
        <f>ROUND(IF(AO202="5",BH202,0),2)</f>
        <v>0</v>
      </c>
      <c r="Z202" s="25">
        <f>ROUND(IF(AO202="1",BF202,0),2)</f>
        <v>0</v>
      </c>
      <c r="AA202" s="25">
        <f>ROUND(IF(AO202="1",BG202,0),2)</f>
        <v>0</v>
      </c>
      <c r="AB202" s="25">
        <f>ROUND(IF(AO202="7",BF202,0),2)</f>
        <v>0</v>
      </c>
      <c r="AC202" s="25">
        <f>ROUND(IF(AO202="7",BG202,0),2)</f>
        <v>0</v>
      </c>
      <c r="AD202" s="25">
        <f>ROUND(IF(AO202="2",BF202,0),2)</f>
        <v>0</v>
      </c>
      <c r="AE202" s="25">
        <f>ROUND(IF(AO202="2",BG202,0),2)</f>
        <v>0</v>
      </c>
      <c r="AF202" s="25">
        <f>ROUND(IF(AO202="0",BH202,0),2)</f>
        <v>0</v>
      </c>
      <c r="AG202" s="10" t="s">
        <v>301</v>
      </c>
      <c r="AH202" s="25">
        <f>IF(AL202=0,K202,0)</f>
        <v>0</v>
      </c>
      <c r="AI202" s="25">
        <f>IF(AL202=12,K202,0)</f>
        <v>0</v>
      </c>
      <c r="AJ202" s="25">
        <f>IF(AL202=21,K202,0)</f>
        <v>0</v>
      </c>
      <c r="AL202" s="25">
        <v>21</v>
      </c>
      <c r="AM202" s="25">
        <f>H202*0.577224926</f>
        <v>0</v>
      </c>
      <c r="AN202" s="25">
        <f>H202*(1-0.577224926)</f>
        <v>0</v>
      </c>
      <c r="AO202" s="27" t="s">
        <v>61</v>
      </c>
      <c r="AT202" s="25">
        <f>ROUND(AU202+AV202,2)</f>
        <v>0</v>
      </c>
      <c r="AU202" s="25">
        <f>ROUND(G202*AM202,2)</f>
        <v>0</v>
      </c>
      <c r="AV202" s="25">
        <f>ROUND(G202*AN202,2)</f>
        <v>0</v>
      </c>
      <c r="AW202" s="27" t="s">
        <v>354</v>
      </c>
      <c r="AX202" s="27" t="s">
        <v>347</v>
      </c>
      <c r="AY202" s="10" t="s">
        <v>306</v>
      </c>
      <c r="BA202" s="25">
        <f>AU202+AV202</f>
        <v>0</v>
      </c>
      <c r="BB202" s="25">
        <f>H202/(100-BC202)*100</f>
        <v>0</v>
      </c>
      <c r="BC202" s="25">
        <v>0</v>
      </c>
      <c r="BD202" s="25">
        <f>M202</f>
        <v>6.18065E-2</v>
      </c>
      <c r="BF202" s="25">
        <f>G202*AM202</f>
        <v>0</v>
      </c>
      <c r="BG202" s="25">
        <f>G202*AN202</f>
        <v>0</v>
      </c>
      <c r="BH202" s="25">
        <f>G202*H202</f>
        <v>0</v>
      </c>
      <c r="BI202" s="27" t="s">
        <v>65</v>
      </c>
      <c r="BJ202" s="25">
        <v>784</v>
      </c>
      <c r="BU202" s="25" t="e">
        <f>#REF!</f>
        <v>#REF!</v>
      </c>
      <c r="BV202" s="4" t="s">
        <v>353</v>
      </c>
    </row>
    <row r="203" spans="1:74" ht="14.4" x14ac:dyDescent="0.3">
      <c r="A203" s="28"/>
      <c r="D203" s="29" t="s">
        <v>355</v>
      </c>
      <c r="E203" s="29" t="s">
        <v>356</v>
      </c>
      <c r="G203" s="30">
        <v>176.59</v>
      </c>
      <c r="H203" s="63"/>
      <c r="N203" s="31"/>
    </row>
    <row r="204" spans="1:74" ht="14.4" x14ac:dyDescent="0.3">
      <c r="A204" s="21" t="s">
        <v>52</v>
      </c>
      <c r="B204" s="22" t="s">
        <v>301</v>
      </c>
      <c r="C204" s="22" t="s">
        <v>117</v>
      </c>
      <c r="D204" s="170" t="s">
        <v>118</v>
      </c>
      <c r="E204" s="171"/>
      <c r="F204" s="23" t="s">
        <v>32</v>
      </c>
      <c r="G204" s="23" t="s">
        <v>32</v>
      </c>
      <c r="H204" s="64"/>
      <c r="I204" s="1">
        <f>SUM(I205:I271)</f>
        <v>0</v>
      </c>
      <c r="J204" s="1">
        <f>SUM(J205:J271)</f>
        <v>0</v>
      </c>
      <c r="K204" s="1">
        <f>SUM(K205:K271)</f>
        <v>0</v>
      </c>
      <c r="L204" s="10" t="s">
        <v>52</v>
      </c>
      <c r="M204" s="1">
        <f>SUM(M205:M271)</f>
        <v>64.218854369999988</v>
      </c>
      <c r="N204" s="24"/>
      <c r="AG204" s="10" t="s">
        <v>301</v>
      </c>
      <c r="AQ204" s="1">
        <f>SUM(AH205:AH271)</f>
        <v>0</v>
      </c>
      <c r="AR204" s="1">
        <f>SUM(AI205:AI271)</f>
        <v>0</v>
      </c>
      <c r="AS204" s="1">
        <f>SUM(AJ205:AJ271)</f>
        <v>0</v>
      </c>
    </row>
    <row r="205" spans="1:74" ht="14.4" x14ac:dyDescent="0.3">
      <c r="A205" s="2" t="s">
        <v>357</v>
      </c>
      <c r="B205" s="3" t="s">
        <v>301</v>
      </c>
      <c r="C205" s="3" t="s">
        <v>127</v>
      </c>
      <c r="D205" s="112" t="s">
        <v>128</v>
      </c>
      <c r="E205" s="109"/>
      <c r="F205" s="3" t="s">
        <v>122</v>
      </c>
      <c r="G205" s="25">
        <v>11</v>
      </c>
      <c r="H205" s="62"/>
      <c r="I205" s="25">
        <f>ROUND(G205*AM205,2)</f>
        <v>0</v>
      </c>
      <c r="J205" s="25">
        <f>ROUND(G205*AN205,2)</f>
        <v>0</v>
      </c>
      <c r="K205" s="25">
        <f>ROUND(G205*H205,2)</f>
        <v>0</v>
      </c>
      <c r="L205" s="25">
        <v>3.7999999999999999E-2</v>
      </c>
      <c r="M205" s="25">
        <f>G205*L205</f>
        <v>0.41799999999999998</v>
      </c>
      <c r="N205" s="26"/>
      <c r="X205" s="25">
        <f>ROUND(IF(AO205="5",BH205,0),2)</f>
        <v>0</v>
      </c>
      <c r="Z205" s="25">
        <f>ROUND(IF(AO205="1",BF205,0),2)</f>
        <v>0</v>
      </c>
      <c r="AA205" s="25">
        <f>ROUND(IF(AO205="1",BG205,0),2)</f>
        <v>0</v>
      </c>
      <c r="AB205" s="25">
        <f>ROUND(IF(AO205="7",BF205,0),2)</f>
        <v>0</v>
      </c>
      <c r="AC205" s="25">
        <f>ROUND(IF(AO205="7",BG205,0),2)</f>
        <v>0</v>
      </c>
      <c r="AD205" s="25">
        <f>ROUND(IF(AO205="2",BF205,0),2)</f>
        <v>0</v>
      </c>
      <c r="AE205" s="25">
        <f>ROUND(IF(AO205="2",BG205,0),2)</f>
        <v>0</v>
      </c>
      <c r="AF205" s="25">
        <f>ROUND(IF(AO205="0",BH205,0),2)</f>
        <v>0</v>
      </c>
      <c r="AG205" s="10" t="s">
        <v>301</v>
      </c>
      <c r="AH205" s="25">
        <f>IF(AL205=0,K205,0)</f>
        <v>0</v>
      </c>
      <c r="AI205" s="25">
        <f>IF(AL205=12,K205,0)</f>
        <v>0</v>
      </c>
      <c r="AJ205" s="25">
        <f>IF(AL205=21,K205,0)</f>
        <v>0</v>
      </c>
      <c r="AL205" s="25">
        <v>21</v>
      </c>
      <c r="AM205" s="25">
        <f>H205*0</f>
        <v>0</v>
      </c>
      <c r="AN205" s="25">
        <f>H205*(1-0)</f>
        <v>0</v>
      </c>
      <c r="AO205" s="27" t="s">
        <v>57</v>
      </c>
      <c r="AT205" s="25">
        <f>ROUND(AU205+AV205,2)</f>
        <v>0</v>
      </c>
      <c r="AU205" s="25">
        <f>ROUND(G205*AM205,2)</f>
        <v>0</v>
      </c>
      <c r="AV205" s="25">
        <f>ROUND(G205*AN205,2)</f>
        <v>0</v>
      </c>
      <c r="AW205" s="27" t="s">
        <v>123</v>
      </c>
      <c r="AX205" s="27" t="s">
        <v>358</v>
      </c>
      <c r="AY205" s="10" t="s">
        <v>306</v>
      </c>
      <c r="BA205" s="25">
        <f>AU205+AV205</f>
        <v>0</v>
      </c>
      <c r="BB205" s="25">
        <f>H205/(100-BC205)*100</f>
        <v>0</v>
      </c>
      <c r="BC205" s="25">
        <v>0</v>
      </c>
      <c r="BD205" s="25">
        <f>M205</f>
        <v>0.41799999999999998</v>
      </c>
      <c r="BF205" s="25">
        <f>G205*AM205</f>
        <v>0</v>
      </c>
      <c r="BG205" s="25">
        <f>G205*AN205</f>
        <v>0</v>
      </c>
      <c r="BH205" s="25">
        <f>G205*H205</f>
        <v>0</v>
      </c>
      <c r="BI205" s="27" t="s">
        <v>65</v>
      </c>
      <c r="BJ205" s="25">
        <v>96</v>
      </c>
      <c r="BU205" s="25" t="e">
        <f>#REF!</f>
        <v>#REF!</v>
      </c>
      <c r="BV205" s="4" t="s">
        <v>128</v>
      </c>
    </row>
    <row r="206" spans="1:74" ht="14.4" x14ac:dyDescent="0.3">
      <c r="A206" s="28"/>
      <c r="D206" s="29" t="s">
        <v>140</v>
      </c>
      <c r="E206" s="29" t="s">
        <v>52</v>
      </c>
      <c r="G206" s="30">
        <v>11</v>
      </c>
      <c r="H206" s="63"/>
      <c r="N206" s="31"/>
    </row>
    <row r="207" spans="1:74" ht="14.4" x14ac:dyDescent="0.3">
      <c r="A207" s="2" t="s">
        <v>359</v>
      </c>
      <c r="B207" s="3" t="s">
        <v>301</v>
      </c>
      <c r="C207" s="3" t="s">
        <v>130</v>
      </c>
      <c r="D207" s="112" t="s">
        <v>131</v>
      </c>
      <c r="E207" s="109"/>
      <c r="F207" s="3" t="s">
        <v>60</v>
      </c>
      <c r="G207" s="25">
        <v>0.7</v>
      </c>
      <c r="H207" s="62"/>
      <c r="I207" s="25">
        <f>ROUND(G207*AM207,2)</f>
        <v>0</v>
      </c>
      <c r="J207" s="25">
        <f>ROUND(G207*AN207,2)</f>
        <v>0</v>
      </c>
      <c r="K207" s="25">
        <f>ROUND(G207*H207,2)</f>
        <v>0</v>
      </c>
      <c r="L207" s="25">
        <v>5.5E-2</v>
      </c>
      <c r="M207" s="25">
        <f>G207*L207</f>
        <v>3.85E-2</v>
      </c>
      <c r="N207" s="26"/>
      <c r="X207" s="25">
        <f>ROUND(IF(AO207="5",BH207,0),2)</f>
        <v>0</v>
      </c>
      <c r="Z207" s="25">
        <f>ROUND(IF(AO207="1",BF207,0),2)</f>
        <v>0</v>
      </c>
      <c r="AA207" s="25">
        <f>ROUND(IF(AO207="1",BG207,0),2)</f>
        <v>0</v>
      </c>
      <c r="AB207" s="25">
        <f>ROUND(IF(AO207="7",BF207,0),2)</f>
        <v>0</v>
      </c>
      <c r="AC207" s="25">
        <f>ROUND(IF(AO207="7",BG207,0),2)</f>
        <v>0</v>
      </c>
      <c r="AD207" s="25">
        <f>ROUND(IF(AO207="2",BF207,0),2)</f>
        <v>0</v>
      </c>
      <c r="AE207" s="25">
        <f>ROUND(IF(AO207="2",BG207,0),2)</f>
        <v>0</v>
      </c>
      <c r="AF207" s="25">
        <f>ROUND(IF(AO207="0",BH207,0),2)</f>
        <v>0</v>
      </c>
      <c r="AG207" s="10" t="s">
        <v>301</v>
      </c>
      <c r="AH207" s="25">
        <f>IF(AL207=0,K207,0)</f>
        <v>0</v>
      </c>
      <c r="AI207" s="25">
        <f>IF(AL207=12,K207,0)</f>
        <v>0</v>
      </c>
      <c r="AJ207" s="25">
        <f>IF(AL207=21,K207,0)</f>
        <v>0</v>
      </c>
      <c r="AL207" s="25">
        <v>21</v>
      </c>
      <c r="AM207" s="25">
        <f>H207*0</f>
        <v>0</v>
      </c>
      <c r="AN207" s="25">
        <f>H207*(1-0)</f>
        <v>0</v>
      </c>
      <c r="AO207" s="27" t="s">
        <v>57</v>
      </c>
      <c r="AT207" s="25">
        <f>ROUND(AU207+AV207,2)</f>
        <v>0</v>
      </c>
      <c r="AU207" s="25">
        <f>ROUND(G207*AM207,2)</f>
        <v>0</v>
      </c>
      <c r="AV207" s="25">
        <f>ROUND(G207*AN207,2)</f>
        <v>0</v>
      </c>
      <c r="AW207" s="27" t="s">
        <v>123</v>
      </c>
      <c r="AX207" s="27" t="s">
        <v>358</v>
      </c>
      <c r="AY207" s="10" t="s">
        <v>306</v>
      </c>
      <c r="BA207" s="25">
        <f>AU207+AV207</f>
        <v>0</v>
      </c>
      <c r="BB207" s="25">
        <f>H207/(100-BC207)*100</f>
        <v>0</v>
      </c>
      <c r="BC207" s="25">
        <v>0</v>
      </c>
      <c r="BD207" s="25">
        <f>M207</f>
        <v>3.85E-2</v>
      </c>
      <c r="BF207" s="25">
        <f>G207*AM207</f>
        <v>0</v>
      </c>
      <c r="BG207" s="25">
        <f>G207*AN207</f>
        <v>0</v>
      </c>
      <c r="BH207" s="25">
        <f>G207*H207</f>
        <v>0</v>
      </c>
      <c r="BI207" s="27" t="s">
        <v>65</v>
      </c>
      <c r="BJ207" s="25">
        <v>96</v>
      </c>
      <c r="BU207" s="25" t="e">
        <f>#REF!</f>
        <v>#REF!</v>
      </c>
      <c r="BV207" s="4" t="s">
        <v>131</v>
      </c>
    </row>
    <row r="208" spans="1:74" ht="14.4" x14ac:dyDescent="0.3">
      <c r="A208" s="28"/>
      <c r="D208" s="29" t="s">
        <v>360</v>
      </c>
      <c r="E208" s="29" t="s">
        <v>361</v>
      </c>
      <c r="G208" s="30">
        <v>0.33</v>
      </c>
      <c r="H208" s="63"/>
      <c r="N208" s="31"/>
    </row>
    <row r="209" spans="1:74" ht="14.4" x14ac:dyDescent="0.3">
      <c r="A209" s="28"/>
      <c r="D209" s="29" t="s">
        <v>362</v>
      </c>
      <c r="E209" s="29" t="s">
        <v>363</v>
      </c>
      <c r="G209" s="30">
        <v>0.37</v>
      </c>
      <c r="H209" s="63"/>
      <c r="N209" s="31"/>
    </row>
    <row r="210" spans="1:74" ht="14.4" x14ac:dyDescent="0.3">
      <c r="A210" s="2" t="s">
        <v>364</v>
      </c>
      <c r="B210" s="3" t="s">
        <v>301</v>
      </c>
      <c r="C210" s="3" t="s">
        <v>160</v>
      </c>
      <c r="D210" s="112" t="s">
        <v>161</v>
      </c>
      <c r="E210" s="109"/>
      <c r="F210" s="3" t="s">
        <v>148</v>
      </c>
      <c r="G210" s="25">
        <v>12.836</v>
      </c>
      <c r="H210" s="62"/>
      <c r="I210" s="25">
        <f>ROUND(G210*AM210,2)</f>
        <v>0</v>
      </c>
      <c r="J210" s="25">
        <f>ROUND(G210*AN210,2)</f>
        <v>0</v>
      </c>
      <c r="K210" s="25">
        <f>ROUND(G210*H210,2)</f>
        <v>0</v>
      </c>
      <c r="L210" s="25">
        <v>2.2000000000000002</v>
      </c>
      <c r="M210" s="25">
        <f>G210*L210</f>
        <v>28.239200000000004</v>
      </c>
      <c r="N210" s="26"/>
      <c r="X210" s="25">
        <f>ROUND(IF(AO210="5",BH210,0),2)</f>
        <v>0</v>
      </c>
      <c r="Z210" s="25">
        <f>ROUND(IF(AO210="1",BF210,0),2)</f>
        <v>0</v>
      </c>
      <c r="AA210" s="25">
        <f>ROUND(IF(AO210="1",BG210,0),2)</f>
        <v>0</v>
      </c>
      <c r="AB210" s="25">
        <f>ROUND(IF(AO210="7",BF210,0),2)</f>
        <v>0</v>
      </c>
      <c r="AC210" s="25">
        <f>ROUND(IF(AO210="7",BG210,0),2)</f>
        <v>0</v>
      </c>
      <c r="AD210" s="25">
        <f>ROUND(IF(AO210="2",BF210,0),2)</f>
        <v>0</v>
      </c>
      <c r="AE210" s="25">
        <f>ROUND(IF(AO210="2",BG210,0),2)</f>
        <v>0</v>
      </c>
      <c r="AF210" s="25">
        <f>ROUND(IF(AO210="0",BH210,0),2)</f>
        <v>0</v>
      </c>
      <c r="AG210" s="10" t="s">
        <v>301</v>
      </c>
      <c r="AH210" s="25">
        <f>IF(AL210=0,K210,0)</f>
        <v>0</v>
      </c>
      <c r="AI210" s="25">
        <f>IF(AL210=12,K210,0)</f>
        <v>0</v>
      </c>
      <c r="AJ210" s="25">
        <f>IF(AL210=21,K210,0)</f>
        <v>0</v>
      </c>
      <c r="AL210" s="25">
        <v>21</v>
      </c>
      <c r="AM210" s="25">
        <f>H210*0</f>
        <v>0</v>
      </c>
      <c r="AN210" s="25">
        <f>H210*(1-0)</f>
        <v>0</v>
      </c>
      <c r="AO210" s="27" t="s">
        <v>57</v>
      </c>
      <c r="AT210" s="25">
        <f>ROUND(AU210+AV210,2)</f>
        <v>0</v>
      </c>
      <c r="AU210" s="25">
        <f>ROUND(G210*AM210,2)</f>
        <v>0</v>
      </c>
      <c r="AV210" s="25">
        <f>ROUND(G210*AN210,2)</f>
        <v>0</v>
      </c>
      <c r="AW210" s="27" t="s">
        <v>123</v>
      </c>
      <c r="AX210" s="27" t="s">
        <v>358</v>
      </c>
      <c r="AY210" s="10" t="s">
        <v>306</v>
      </c>
      <c r="BA210" s="25">
        <f>AU210+AV210</f>
        <v>0</v>
      </c>
      <c r="BB210" s="25">
        <f>H210/(100-BC210)*100</f>
        <v>0</v>
      </c>
      <c r="BC210" s="25">
        <v>0</v>
      </c>
      <c r="BD210" s="25">
        <f>M210</f>
        <v>28.239200000000004</v>
      </c>
      <c r="BF210" s="25">
        <f>G210*AM210</f>
        <v>0</v>
      </c>
      <c r="BG210" s="25">
        <f>G210*AN210</f>
        <v>0</v>
      </c>
      <c r="BH210" s="25">
        <f>G210*H210</f>
        <v>0</v>
      </c>
      <c r="BI210" s="27" t="s">
        <v>65</v>
      </c>
      <c r="BJ210" s="25">
        <v>96</v>
      </c>
      <c r="BU210" s="25" t="e">
        <f>#REF!</f>
        <v>#REF!</v>
      </c>
      <c r="BV210" s="4" t="s">
        <v>161</v>
      </c>
    </row>
    <row r="211" spans="1:74" ht="14.4" x14ac:dyDescent="0.3">
      <c r="A211" s="28"/>
      <c r="D211" s="29" t="s">
        <v>365</v>
      </c>
      <c r="E211" s="29" t="s">
        <v>366</v>
      </c>
      <c r="G211" s="30">
        <v>8.2360000000000007</v>
      </c>
      <c r="H211" s="63"/>
      <c r="N211" s="31"/>
    </row>
    <row r="212" spans="1:74" ht="14.4" x14ac:dyDescent="0.3">
      <c r="A212" s="28"/>
      <c r="D212" s="29" t="s">
        <v>367</v>
      </c>
      <c r="E212" s="29" t="s">
        <v>337</v>
      </c>
      <c r="G212" s="30">
        <v>0.42399999999999999</v>
      </c>
      <c r="H212" s="63"/>
      <c r="N212" s="31"/>
    </row>
    <row r="213" spans="1:74" ht="14.4" x14ac:dyDescent="0.3">
      <c r="A213" s="28"/>
      <c r="D213" s="29" t="s">
        <v>368</v>
      </c>
      <c r="E213" s="29" t="s">
        <v>361</v>
      </c>
      <c r="G213" s="30">
        <v>0.65400000000000003</v>
      </c>
      <c r="H213" s="63"/>
      <c r="N213" s="31"/>
    </row>
    <row r="214" spans="1:74" ht="14.4" x14ac:dyDescent="0.3">
      <c r="A214" s="28"/>
      <c r="D214" s="29" t="s">
        <v>369</v>
      </c>
      <c r="E214" s="29" t="s">
        <v>370</v>
      </c>
      <c r="G214" s="30">
        <v>1.516</v>
      </c>
      <c r="H214" s="63"/>
      <c r="N214" s="31"/>
    </row>
    <row r="215" spans="1:74" ht="14.4" x14ac:dyDescent="0.3">
      <c r="A215" s="28"/>
      <c r="D215" s="29" t="s">
        <v>371</v>
      </c>
      <c r="E215" s="29" t="s">
        <v>363</v>
      </c>
      <c r="G215" s="30">
        <v>0.193</v>
      </c>
      <c r="H215" s="63"/>
      <c r="N215" s="31"/>
    </row>
    <row r="216" spans="1:74" ht="14.4" x14ac:dyDescent="0.3">
      <c r="A216" s="28"/>
      <c r="D216" s="29" t="s">
        <v>372</v>
      </c>
      <c r="E216" s="29" t="s">
        <v>373</v>
      </c>
      <c r="G216" s="30">
        <v>0.378</v>
      </c>
      <c r="H216" s="63"/>
      <c r="N216" s="31"/>
    </row>
    <row r="217" spans="1:74" ht="14.4" x14ac:dyDescent="0.3">
      <c r="A217" s="28"/>
      <c r="D217" s="29" t="s">
        <v>374</v>
      </c>
      <c r="E217" s="29" t="s">
        <v>375</v>
      </c>
      <c r="G217" s="30">
        <v>0.11799999999999999</v>
      </c>
      <c r="H217" s="63"/>
      <c r="N217" s="31"/>
    </row>
    <row r="218" spans="1:74" ht="14.4" x14ac:dyDescent="0.3">
      <c r="A218" s="28"/>
      <c r="D218" s="29" t="s">
        <v>376</v>
      </c>
      <c r="E218" s="29" t="s">
        <v>377</v>
      </c>
      <c r="G218" s="30">
        <v>0.193</v>
      </c>
      <c r="H218" s="63"/>
      <c r="N218" s="31"/>
    </row>
    <row r="219" spans="1:74" ht="14.4" x14ac:dyDescent="0.3">
      <c r="A219" s="28"/>
      <c r="D219" s="29" t="s">
        <v>378</v>
      </c>
      <c r="E219" s="29" t="s">
        <v>335</v>
      </c>
      <c r="G219" s="30">
        <v>1.1240000000000001</v>
      </c>
      <c r="H219" s="63"/>
      <c r="N219" s="31"/>
    </row>
    <row r="220" spans="1:74" ht="14.4" x14ac:dyDescent="0.3">
      <c r="A220" s="2" t="s">
        <v>379</v>
      </c>
      <c r="B220" s="3" t="s">
        <v>301</v>
      </c>
      <c r="C220" s="3" t="s">
        <v>167</v>
      </c>
      <c r="D220" s="112" t="s">
        <v>168</v>
      </c>
      <c r="E220" s="109"/>
      <c r="F220" s="3" t="s">
        <v>60</v>
      </c>
      <c r="G220" s="25">
        <v>183.38</v>
      </c>
      <c r="H220" s="62"/>
      <c r="I220" s="25">
        <f>ROUND(G220*AM220,2)</f>
        <v>0</v>
      </c>
      <c r="J220" s="25">
        <f>ROUND(G220*AN220,2)</f>
        <v>0</v>
      </c>
      <c r="K220" s="25">
        <f>ROUND(G220*H220,2)</f>
        <v>0</v>
      </c>
      <c r="L220" s="25">
        <v>1.26E-2</v>
      </c>
      <c r="M220" s="25">
        <f>G220*L220</f>
        <v>2.3105880000000001</v>
      </c>
      <c r="N220" s="26"/>
      <c r="X220" s="25">
        <f>ROUND(IF(AO220="5",BH220,0),2)</f>
        <v>0</v>
      </c>
      <c r="Z220" s="25">
        <f>ROUND(IF(AO220="1",BF220,0),2)</f>
        <v>0</v>
      </c>
      <c r="AA220" s="25">
        <f>ROUND(IF(AO220="1",BG220,0),2)</f>
        <v>0</v>
      </c>
      <c r="AB220" s="25">
        <f>ROUND(IF(AO220="7",BF220,0),2)</f>
        <v>0</v>
      </c>
      <c r="AC220" s="25">
        <f>ROUND(IF(AO220="7",BG220,0),2)</f>
        <v>0</v>
      </c>
      <c r="AD220" s="25">
        <f>ROUND(IF(AO220="2",BF220,0),2)</f>
        <v>0</v>
      </c>
      <c r="AE220" s="25">
        <f>ROUND(IF(AO220="2",BG220,0),2)</f>
        <v>0</v>
      </c>
      <c r="AF220" s="25">
        <f>ROUND(IF(AO220="0",BH220,0),2)</f>
        <v>0</v>
      </c>
      <c r="AG220" s="10" t="s">
        <v>301</v>
      </c>
      <c r="AH220" s="25">
        <f>IF(AL220=0,K220,0)</f>
        <v>0</v>
      </c>
      <c r="AI220" s="25">
        <f>IF(AL220=12,K220,0)</f>
        <v>0</v>
      </c>
      <c r="AJ220" s="25">
        <f>IF(AL220=21,K220,0)</f>
        <v>0</v>
      </c>
      <c r="AL220" s="25">
        <v>21</v>
      </c>
      <c r="AM220" s="25">
        <f>H220*0</f>
        <v>0</v>
      </c>
      <c r="AN220" s="25">
        <f>H220*(1-0)</f>
        <v>0</v>
      </c>
      <c r="AO220" s="27" t="s">
        <v>57</v>
      </c>
      <c r="AT220" s="25">
        <f>ROUND(AU220+AV220,2)</f>
        <v>0</v>
      </c>
      <c r="AU220" s="25">
        <f>ROUND(G220*AM220,2)</f>
        <v>0</v>
      </c>
      <c r="AV220" s="25">
        <f>ROUND(G220*AN220,2)</f>
        <v>0</v>
      </c>
      <c r="AW220" s="27" t="s">
        <v>123</v>
      </c>
      <c r="AX220" s="27" t="s">
        <v>358</v>
      </c>
      <c r="AY220" s="10" t="s">
        <v>306</v>
      </c>
      <c r="BA220" s="25">
        <f>AU220+AV220</f>
        <v>0</v>
      </c>
      <c r="BB220" s="25">
        <f>H220/(100-BC220)*100</f>
        <v>0</v>
      </c>
      <c r="BC220" s="25">
        <v>0</v>
      </c>
      <c r="BD220" s="25">
        <f>M220</f>
        <v>2.3105880000000001</v>
      </c>
      <c r="BF220" s="25">
        <f>G220*AM220</f>
        <v>0</v>
      </c>
      <c r="BG220" s="25">
        <f>G220*AN220</f>
        <v>0</v>
      </c>
      <c r="BH220" s="25">
        <f>G220*H220</f>
        <v>0</v>
      </c>
      <c r="BI220" s="27" t="s">
        <v>65</v>
      </c>
      <c r="BJ220" s="25">
        <v>96</v>
      </c>
      <c r="BU220" s="25" t="e">
        <f>#REF!</f>
        <v>#REF!</v>
      </c>
      <c r="BV220" s="4" t="s">
        <v>168</v>
      </c>
    </row>
    <row r="221" spans="1:74" ht="14.4" x14ac:dyDescent="0.3">
      <c r="A221" s="28"/>
      <c r="D221" s="29" t="s">
        <v>380</v>
      </c>
      <c r="E221" s="29" t="s">
        <v>366</v>
      </c>
      <c r="G221" s="30">
        <v>117.66</v>
      </c>
      <c r="H221" s="63"/>
      <c r="N221" s="31"/>
    </row>
    <row r="222" spans="1:74" ht="14.4" x14ac:dyDescent="0.3">
      <c r="A222" s="28"/>
      <c r="D222" s="29" t="s">
        <v>336</v>
      </c>
      <c r="E222" s="29" t="s">
        <v>337</v>
      </c>
      <c r="G222" s="30">
        <v>6.06</v>
      </c>
      <c r="H222" s="63"/>
      <c r="N222" s="31"/>
    </row>
    <row r="223" spans="1:74" ht="14.4" x14ac:dyDescent="0.3">
      <c r="A223" s="28"/>
      <c r="D223" s="29" t="s">
        <v>381</v>
      </c>
      <c r="E223" s="29" t="s">
        <v>361</v>
      </c>
      <c r="G223" s="30">
        <v>9.35</v>
      </c>
      <c r="H223" s="63"/>
      <c r="N223" s="31"/>
    </row>
    <row r="224" spans="1:74" ht="14.4" x14ac:dyDescent="0.3">
      <c r="A224" s="28"/>
      <c r="D224" s="29" t="s">
        <v>382</v>
      </c>
      <c r="E224" s="29" t="s">
        <v>370</v>
      </c>
      <c r="G224" s="30">
        <v>21.66</v>
      </c>
      <c r="H224" s="63"/>
      <c r="N224" s="31"/>
    </row>
    <row r="225" spans="1:74" ht="14.4" x14ac:dyDescent="0.3">
      <c r="A225" s="28"/>
      <c r="D225" s="29" t="s">
        <v>383</v>
      </c>
      <c r="E225" s="29" t="s">
        <v>363</v>
      </c>
      <c r="G225" s="30">
        <v>2.75</v>
      </c>
      <c r="H225" s="63"/>
      <c r="N225" s="31"/>
    </row>
    <row r="226" spans="1:74" ht="14.4" x14ac:dyDescent="0.3">
      <c r="A226" s="28"/>
      <c r="D226" s="29" t="s">
        <v>384</v>
      </c>
      <c r="E226" s="29" t="s">
        <v>373</v>
      </c>
      <c r="G226" s="30">
        <v>5.4</v>
      </c>
      <c r="H226" s="63"/>
      <c r="N226" s="31"/>
    </row>
    <row r="227" spans="1:74" ht="14.4" x14ac:dyDescent="0.3">
      <c r="A227" s="28"/>
      <c r="D227" s="29" t="s">
        <v>385</v>
      </c>
      <c r="E227" s="29" t="s">
        <v>375</v>
      </c>
      <c r="G227" s="30">
        <v>1.68</v>
      </c>
      <c r="H227" s="63"/>
      <c r="N227" s="31"/>
    </row>
    <row r="228" spans="1:74" ht="14.4" x14ac:dyDescent="0.3">
      <c r="A228" s="28"/>
      <c r="D228" s="29" t="s">
        <v>386</v>
      </c>
      <c r="E228" s="29" t="s">
        <v>377</v>
      </c>
      <c r="G228" s="30">
        <v>2.76</v>
      </c>
      <c r="H228" s="63"/>
      <c r="N228" s="31"/>
    </row>
    <row r="229" spans="1:74" ht="14.4" x14ac:dyDescent="0.3">
      <c r="A229" s="28"/>
      <c r="D229" s="29" t="s">
        <v>387</v>
      </c>
      <c r="E229" s="29" t="s">
        <v>335</v>
      </c>
      <c r="G229" s="30">
        <v>16.059999999999999</v>
      </c>
      <c r="H229" s="63"/>
      <c r="N229" s="31"/>
    </row>
    <row r="230" spans="1:74" ht="14.4" x14ac:dyDescent="0.3">
      <c r="A230" s="2" t="s">
        <v>388</v>
      </c>
      <c r="B230" s="3" t="s">
        <v>301</v>
      </c>
      <c r="C230" s="3" t="s">
        <v>176</v>
      </c>
      <c r="D230" s="112" t="s">
        <v>177</v>
      </c>
      <c r="E230" s="109"/>
      <c r="F230" s="3" t="s">
        <v>60</v>
      </c>
      <c r="G230" s="25">
        <v>147.75</v>
      </c>
      <c r="H230" s="62"/>
      <c r="I230" s="25">
        <f>ROUND(G230*AM230,2)</f>
        <v>0</v>
      </c>
      <c r="J230" s="25">
        <f>ROUND(G230*AN230,2)</f>
        <v>0</v>
      </c>
      <c r="K230" s="25">
        <f>ROUND(G230*H230,2)</f>
        <v>0</v>
      </c>
      <c r="L230" s="25">
        <v>0.02</v>
      </c>
      <c r="M230" s="25">
        <f>G230*L230</f>
        <v>2.9550000000000001</v>
      </c>
      <c r="N230" s="26"/>
      <c r="X230" s="25">
        <f>ROUND(IF(AO230="5",BH230,0),2)</f>
        <v>0</v>
      </c>
      <c r="Z230" s="25">
        <f>ROUND(IF(AO230="1",BF230,0),2)</f>
        <v>0</v>
      </c>
      <c r="AA230" s="25">
        <f>ROUND(IF(AO230="1",BG230,0),2)</f>
        <v>0</v>
      </c>
      <c r="AB230" s="25">
        <f>ROUND(IF(AO230="7",BF230,0),2)</f>
        <v>0</v>
      </c>
      <c r="AC230" s="25">
        <f>ROUND(IF(AO230="7",BG230,0),2)</f>
        <v>0</v>
      </c>
      <c r="AD230" s="25">
        <f>ROUND(IF(AO230="2",BF230,0),2)</f>
        <v>0</v>
      </c>
      <c r="AE230" s="25">
        <f>ROUND(IF(AO230="2",BG230,0),2)</f>
        <v>0</v>
      </c>
      <c r="AF230" s="25">
        <f>ROUND(IF(AO230="0",BH230,0),2)</f>
        <v>0</v>
      </c>
      <c r="AG230" s="10" t="s">
        <v>301</v>
      </c>
      <c r="AH230" s="25">
        <f>IF(AL230=0,K230,0)</f>
        <v>0</v>
      </c>
      <c r="AI230" s="25">
        <f>IF(AL230=12,K230,0)</f>
        <v>0</v>
      </c>
      <c r="AJ230" s="25">
        <f>IF(AL230=21,K230,0)</f>
        <v>0</v>
      </c>
      <c r="AL230" s="25">
        <v>21</v>
      </c>
      <c r="AM230" s="25">
        <f>H230*0</f>
        <v>0</v>
      </c>
      <c r="AN230" s="25">
        <f>H230*(1-0)</f>
        <v>0</v>
      </c>
      <c r="AO230" s="27" t="s">
        <v>57</v>
      </c>
      <c r="AT230" s="25">
        <f>ROUND(AU230+AV230,2)</f>
        <v>0</v>
      </c>
      <c r="AU230" s="25">
        <f>ROUND(G230*AM230,2)</f>
        <v>0</v>
      </c>
      <c r="AV230" s="25">
        <f>ROUND(G230*AN230,2)</f>
        <v>0</v>
      </c>
      <c r="AW230" s="27" t="s">
        <v>123</v>
      </c>
      <c r="AX230" s="27" t="s">
        <v>358</v>
      </c>
      <c r="AY230" s="10" t="s">
        <v>306</v>
      </c>
      <c r="BA230" s="25">
        <f>AU230+AV230</f>
        <v>0</v>
      </c>
      <c r="BB230" s="25">
        <f>H230/(100-BC230)*100</f>
        <v>0</v>
      </c>
      <c r="BC230" s="25">
        <v>0</v>
      </c>
      <c r="BD230" s="25">
        <f>M230</f>
        <v>2.9550000000000001</v>
      </c>
      <c r="BF230" s="25">
        <f>G230*AM230</f>
        <v>0</v>
      </c>
      <c r="BG230" s="25">
        <f>G230*AN230</f>
        <v>0</v>
      </c>
      <c r="BH230" s="25">
        <f>G230*H230</f>
        <v>0</v>
      </c>
      <c r="BI230" s="27" t="s">
        <v>65</v>
      </c>
      <c r="BJ230" s="25">
        <v>96</v>
      </c>
      <c r="BU230" s="25" t="e">
        <f>#REF!</f>
        <v>#REF!</v>
      </c>
      <c r="BV230" s="4" t="s">
        <v>177</v>
      </c>
    </row>
    <row r="231" spans="1:74" ht="14.4" x14ac:dyDescent="0.3">
      <c r="A231" s="28"/>
      <c r="D231" s="29" t="s">
        <v>389</v>
      </c>
      <c r="E231" s="29" t="s">
        <v>366</v>
      </c>
      <c r="G231" s="30">
        <v>117.65</v>
      </c>
      <c r="H231" s="63"/>
      <c r="N231" s="31"/>
    </row>
    <row r="232" spans="1:74" ht="14.4" x14ac:dyDescent="0.3">
      <c r="A232" s="28"/>
      <c r="D232" s="29" t="s">
        <v>381</v>
      </c>
      <c r="E232" s="29" t="s">
        <v>361</v>
      </c>
      <c r="G232" s="30">
        <v>9.35</v>
      </c>
      <c r="H232" s="63"/>
      <c r="N232" s="31"/>
    </row>
    <row r="233" spans="1:74" ht="14.4" x14ac:dyDescent="0.3">
      <c r="A233" s="28"/>
      <c r="D233" s="29" t="s">
        <v>390</v>
      </c>
      <c r="E233" s="29" t="s">
        <v>370</v>
      </c>
      <c r="G233" s="30">
        <v>8.2200000000000006</v>
      </c>
      <c r="H233" s="63"/>
      <c r="N233" s="31"/>
    </row>
    <row r="234" spans="1:74" ht="14.4" x14ac:dyDescent="0.3">
      <c r="A234" s="28"/>
      <c r="D234" s="29" t="s">
        <v>391</v>
      </c>
      <c r="E234" s="29" t="s">
        <v>363</v>
      </c>
      <c r="G234" s="30">
        <v>2.73</v>
      </c>
      <c r="H234" s="63"/>
      <c r="N234" s="31"/>
    </row>
    <row r="235" spans="1:74" ht="14.4" x14ac:dyDescent="0.3">
      <c r="A235" s="28"/>
      <c r="D235" s="29" t="s">
        <v>392</v>
      </c>
      <c r="E235" s="29" t="s">
        <v>373</v>
      </c>
      <c r="G235" s="30">
        <v>5.4</v>
      </c>
      <c r="H235" s="63"/>
      <c r="N235" s="31"/>
    </row>
    <row r="236" spans="1:74" ht="14.4" x14ac:dyDescent="0.3">
      <c r="A236" s="28"/>
      <c r="D236" s="29" t="s">
        <v>393</v>
      </c>
      <c r="E236" s="29" t="s">
        <v>375</v>
      </c>
      <c r="G236" s="30">
        <v>1.3</v>
      </c>
      <c r="H236" s="63"/>
      <c r="N236" s="31"/>
    </row>
    <row r="237" spans="1:74" ht="14.4" x14ac:dyDescent="0.3">
      <c r="A237" s="28"/>
      <c r="D237" s="29" t="s">
        <v>394</v>
      </c>
      <c r="E237" s="29" t="s">
        <v>377</v>
      </c>
      <c r="G237" s="30">
        <v>3.1</v>
      </c>
      <c r="H237" s="63"/>
      <c r="N237" s="31"/>
    </row>
    <row r="238" spans="1:74" ht="14.4" x14ac:dyDescent="0.3">
      <c r="A238" s="2" t="s">
        <v>395</v>
      </c>
      <c r="B238" s="3" t="s">
        <v>301</v>
      </c>
      <c r="C238" s="3" t="s">
        <v>185</v>
      </c>
      <c r="D238" s="112" t="s">
        <v>186</v>
      </c>
      <c r="E238" s="109"/>
      <c r="F238" s="3" t="s">
        <v>60</v>
      </c>
      <c r="G238" s="25">
        <v>30.1</v>
      </c>
      <c r="H238" s="62"/>
      <c r="I238" s="25">
        <f>ROUND(G238*AM238,2)</f>
        <v>0</v>
      </c>
      <c r="J238" s="25">
        <f>ROUND(G238*AN238,2)</f>
        <v>0</v>
      </c>
      <c r="K238" s="25">
        <f>ROUND(G238*H238,2)</f>
        <v>0</v>
      </c>
      <c r="L238" s="25">
        <v>2.5510000000000001E-2</v>
      </c>
      <c r="M238" s="25">
        <f>G238*L238</f>
        <v>0.76785100000000006</v>
      </c>
      <c r="N238" s="26"/>
      <c r="X238" s="25">
        <f>ROUND(IF(AO238="5",BH238,0),2)</f>
        <v>0</v>
      </c>
      <c r="Z238" s="25">
        <f>ROUND(IF(AO238="1",BF238,0),2)</f>
        <v>0</v>
      </c>
      <c r="AA238" s="25">
        <f>ROUND(IF(AO238="1",BG238,0),2)</f>
        <v>0</v>
      </c>
      <c r="AB238" s="25">
        <f>ROUND(IF(AO238="7",BF238,0),2)</f>
        <v>0</v>
      </c>
      <c r="AC238" s="25">
        <f>ROUND(IF(AO238="7",BG238,0),2)</f>
        <v>0</v>
      </c>
      <c r="AD238" s="25">
        <f>ROUND(IF(AO238="2",BF238,0),2)</f>
        <v>0</v>
      </c>
      <c r="AE238" s="25">
        <f>ROUND(IF(AO238="2",BG238,0),2)</f>
        <v>0</v>
      </c>
      <c r="AF238" s="25">
        <f>ROUND(IF(AO238="0",BH238,0),2)</f>
        <v>0</v>
      </c>
      <c r="AG238" s="10" t="s">
        <v>301</v>
      </c>
      <c r="AH238" s="25">
        <f>IF(AL238=0,K238,0)</f>
        <v>0</v>
      </c>
      <c r="AI238" s="25">
        <f>IF(AL238=12,K238,0)</f>
        <v>0</v>
      </c>
      <c r="AJ238" s="25">
        <f>IF(AL238=21,K238,0)</f>
        <v>0</v>
      </c>
      <c r="AL238" s="25">
        <v>21</v>
      </c>
      <c r="AM238" s="25">
        <f>H238*0</f>
        <v>0</v>
      </c>
      <c r="AN238" s="25">
        <f>H238*(1-0)</f>
        <v>0</v>
      </c>
      <c r="AO238" s="27" t="s">
        <v>57</v>
      </c>
      <c r="AT238" s="25">
        <f>ROUND(AU238+AV238,2)</f>
        <v>0</v>
      </c>
      <c r="AU238" s="25">
        <f>ROUND(G238*AM238,2)</f>
        <v>0</v>
      </c>
      <c r="AV238" s="25">
        <f>ROUND(G238*AN238,2)</f>
        <v>0</v>
      </c>
      <c r="AW238" s="27" t="s">
        <v>123</v>
      </c>
      <c r="AX238" s="27" t="s">
        <v>358</v>
      </c>
      <c r="AY238" s="10" t="s">
        <v>306</v>
      </c>
      <c r="BA238" s="25">
        <f>AU238+AV238</f>
        <v>0</v>
      </c>
      <c r="BB238" s="25">
        <f>H238/(100-BC238)*100</f>
        <v>0</v>
      </c>
      <c r="BC238" s="25">
        <v>0</v>
      </c>
      <c r="BD238" s="25">
        <f>M238</f>
        <v>0.76785100000000006</v>
      </c>
      <c r="BF238" s="25">
        <f>G238*AM238</f>
        <v>0</v>
      </c>
      <c r="BG238" s="25">
        <f>G238*AN238</f>
        <v>0</v>
      </c>
      <c r="BH238" s="25">
        <f>G238*H238</f>
        <v>0</v>
      </c>
      <c r="BI238" s="27" t="s">
        <v>65</v>
      </c>
      <c r="BJ238" s="25">
        <v>96</v>
      </c>
      <c r="BU238" s="25" t="e">
        <f>#REF!</f>
        <v>#REF!</v>
      </c>
      <c r="BV238" s="4" t="s">
        <v>186</v>
      </c>
    </row>
    <row r="239" spans="1:74" ht="14.4" x14ac:dyDescent="0.3">
      <c r="A239" s="28"/>
      <c r="D239" s="29" t="s">
        <v>381</v>
      </c>
      <c r="E239" s="29" t="s">
        <v>361</v>
      </c>
      <c r="G239" s="30">
        <v>9.35</v>
      </c>
      <c r="H239" s="63"/>
      <c r="N239" s="31"/>
    </row>
    <row r="240" spans="1:74" ht="14.4" x14ac:dyDescent="0.3">
      <c r="A240" s="28"/>
      <c r="D240" s="29" t="s">
        <v>390</v>
      </c>
      <c r="E240" s="29" t="s">
        <v>370</v>
      </c>
      <c r="G240" s="30">
        <v>8.2200000000000006</v>
      </c>
      <c r="H240" s="63"/>
      <c r="N240" s="31"/>
    </row>
    <row r="241" spans="1:74" ht="14.4" x14ac:dyDescent="0.3">
      <c r="A241" s="28"/>
      <c r="D241" s="29" t="s">
        <v>391</v>
      </c>
      <c r="E241" s="29" t="s">
        <v>363</v>
      </c>
      <c r="G241" s="30">
        <v>2.73</v>
      </c>
      <c r="H241" s="63"/>
      <c r="N241" s="31"/>
    </row>
    <row r="242" spans="1:74" ht="14.4" x14ac:dyDescent="0.3">
      <c r="A242" s="28"/>
      <c r="D242" s="29" t="s">
        <v>392</v>
      </c>
      <c r="E242" s="29" t="s">
        <v>373</v>
      </c>
      <c r="G242" s="30">
        <v>5.4</v>
      </c>
      <c r="H242" s="63"/>
      <c r="N242" s="31"/>
    </row>
    <row r="243" spans="1:74" ht="14.4" x14ac:dyDescent="0.3">
      <c r="A243" s="28"/>
      <c r="D243" s="29" t="s">
        <v>393</v>
      </c>
      <c r="E243" s="29" t="s">
        <v>375</v>
      </c>
      <c r="G243" s="30">
        <v>1.3</v>
      </c>
      <c r="H243" s="63"/>
      <c r="N243" s="31"/>
    </row>
    <row r="244" spans="1:74" ht="14.4" x14ac:dyDescent="0.3">
      <c r="A244" s="28"/>
      <c r="D244" s="29" t="s">
        <v>394</v>
      </c>
      <c r="E244" s="29" t="s">
        <v>377</v>
      </c>
      <c r="G244" s="30">
        <v>3.1</v>
      </c>
      <c r="H244" s="63"/>
      <c r="N244" s="31"/>
    </row>
    <row r="245" spans="1:74" ht="14.4" x14ac:dyDescent="0.3">
      <c r="A245" s="2" t="s">
        <v>396</v>
      </c>
      <c r="B245" s="3" t="s">
        <v>301</v>
      </c>
      <c r="C245" s="3" t="s">
        <v>188</v>
      </c>
      <c r="D245" s="112" t="s">
        <v>189</v>
      </c>
      <c r="E245" s="109"/>
      <c r="F245" s="3" t="s">
        <v>60</v>
      </c>
      <c r="G245" s="25">
        <v>53.417000000000002</v>
      </c>
      <c r="H245" s="62"/>
      <c r="I245" s="25">
        <f>ROUND(G245*AM245,2)</f>
        <v>0</v>
      </c>
      <c r="J245" s="25">
        <f>ROUND(G245*AN245,2)</f>
        <v>0</v>
      </c>
      <c r="K245" s="25">
        <f>ROUND(G245*H245,2)</f>
        <v>0</v>
      </c>
      <c r="L245" s="25">
        <v>0.31967000000000001</v>
      </c>
      <c r="M245" s="25">
        <f>G245*L245</f>
        <v>17.075812389999999</v>
      </c>
      <c r="N245" s="26"/>
      <c r="X245" s="25">
        <f>ROUND(IF(AO245="5",BH245,0),2)</f>
        <v>0</v>
      </c>
      <c r="Z245" s="25">
        <f>ROUND(IF(AO245="1",BF245,0),2)</f>
        <v>0</v>
      </c>
      <c r="AA245" s="25">
        <f>ROUND(IF(AO245="1",BG245,0),2)</f>
        <v>0</v>
      </c>
      <c r="AB245" s="25">
        <f>ROUND(IF(AO245="7",BF245,0),2)</f>
        <v>0</v>
      </c>
      <c r="AC245" s="25">
        <f>ROUND(IF(AO245="7",BG245,0),2)</f>
        <v>0</v>
      </c>
      <c r="AD245" s="25">
        <f>ROUND(IF(AO245="2",BF245,0),2)</f>
        <v>0</v>
      </c>
      <c r="AE245" s="25">
        <f>ROUND(IF(AO245="2",BG245,0),2)</f>
        <v>0</v>
      </c>
      <c r="AF245" s="25">
        <f>ROUND(IF(AO245="0",BH245,0),2)</f>
        <v>0</v>
      </c>
      <c r="AG245" s="10" t="s">
        <v>301</v>
      </c>
      <c r="AH245" s="25">
        <f>IF(AL245=0,K245,0)</f>
        <v>0</v>
      </c>
      <c r="AI245" s="25">
        <f>IF(AL245=12,K245,0)</f>
        <v>0</v>
      </c>
      <c r="AJ245" s="25">
        <f>IF(AL245=21,K245,0)</f>
        <v>0</v>
      </c>
      <c r="AL245" s="25">
        <v>21</v>
      </c>
      <c r="AM245" s="25">
        <f>H245*0.083390379</f>
        <v>0</v>
      </c>
      <c r="AN245" s="25">
        <f>H245*(1-0.083390379)</f>
        <v>0</v>
      </c>
      <c r="AO245" s="27" t="s">
        <v>57</v>
      </c>
      <c r="AT245" s="25">
        <f>ROUND(AU245+AV245,2)</f>
        <v>0</v>
      </c>
      <c r="AU245" s="25">
        <f>ROUND(G245*AM245,2)</f>
        <v>0</v>
      </c>
      <c r="AV245" s="25">
        <f>ROUND(G245*AN245,2)</f>
        <v>0</v>
      </c>
      <c r="AW245" s="27" t="s">
        <v>123</v>
      </c>
      <c r="AX245" s="27" t="s">
        <v>358</v>
      </c>
      <c r="AY245" s="10" t="s">
        <v>306</v>
      </c>
      <c r="BA245" s="25">
        <f>AU245+AV245</f>
        <v>0</v>
      </c>
      <c r="BB245" s="25">
        <f>H245/(100-BC245)*100</f>
        <v>0</v>
      </c>
      <c r="BC245" s="25">
        <v>0</v>
      </c>
      <c r="BD245" s="25">
        <f>M245</f>
        <v>17.075812389999999</v>
      </c>
      <c r="BF245" s="25">
        <f>G245*AM245</f>
        <v>0</v>
      </c>
      <c r="BG245" s="25">
        <f>G245*AN245</f>
        <v>0</v>
      </c>
      <c r="BH245" s="25">
        <f>G245*H245</f>
        <v>0</v>
      </c>
      <c r="BI245" s="27" t="s">
        <v>65</v>
      </c>
      <c r="BJ245" s="25">
        <v>96</v>
      </c>
      <c r="BU245" s="25" t="e">
        <f>#REF!</f>
        <v>#REF!</v>
      </c>
      <c r="BV245" s="4" t="s">
        <v>189</v>
      </c>
    </row>
    <row r="246" spans="1:74" ht="14.4" x14ac:dyDescent="0.3">
      <c r="A246" s="28"/>
      <c r="D246" s="29" t="s">
        <v>397</v>
      </c>
      <c r="E246" s="29" t="s">
        <v>337</v>
      </c>
      <c r="G246" s="30">
        <v>8.7850000000000001</v>
      </c>
      <c r="H246" s="63"/>
      <c r="N246" s="31"/>
    </row>
    <row r="247" spans="1:74" ht="14.4" x14ac:dyDescent="0.3">
      <c r="A247" s="28"/>
      <c r="D247" s="29" t="s">
        <v>398</v>
      </c>
      <c r="E247" s="29" t="s">
        <v>366</v>
      </c>
      <c r="G247" s="30">
        <v>20.873000000000001</v>
      </c>
      <c r="H247" s="63"/>
      <c r="N247" s="31"/>
    </row>
    <row r="248" spans="1:74" ht="14.4" x14ac:dyDescent="0.3">
      <c r="A248" s="28"/>
      <c r="D248" s="29" t="s">
        <v>399</v>
      </c>
      <c r="E248" s="29" t="s">
        <v>400</v>
      </c>
      <c r="G248" s="30">
        <v>1.2749999999999999</v>
      </c>
      <c r="H248" s="63"/>
      <c r="N248" s="31"/>
    </row>
    <row r="249" spans="1:74" ht="14.4" x14ac:dyDescent="0.3">
      <c r="A249" s="28"/>
      <c r="D249" s="29" t="s">
        <v>401</v>
      </c>
      <c r="E249" s="29" t="s">
        <v>402</v>
      </c>
      <c r="G249" s="30">
        <v>8.1140000000000008</v>
      </c>
      <c r="H249" s="63"/>
      <c r="N249" s="31"/>
    </row>
    <row r="250" spans="1:74" ht="14.4" x14ac:dyDescent="0.3">
      <c r="A250" s="28"/>
      <c r="D250" s="29" t="s">
        <v>403</v>
      </c>
      <c r="E250" s="29" t="s">
        <v>377</v>
      </c>
      <c r="G250" s="30">
        <v>14.37</v>
      </c>
      <c r="H250" s="63"/>
      <c r="N250" s="31"/>
    </row>
    <row r="251" spans="1:74" ht="14.4" x14ac:dyDescent="0.3">
      <c r="A251" s="2" t="s">
        <v>404</v>
      </c>
      <c r="B251" s="3" t="s">
        <v>301</v>
      </c>
      <c r="C251" s="3" t="s">
        <v>405</v>
      </c>
      <c r="D251" s="112" t="s">
        <v>406</v>
      </c>
      <c r="E251" s="109"/>
      <c r="F251" s="3" t="s">
        <v>148</v>
      </c>
      <c r="G251" s="25">
        <v>0.5</v>
      </c>
      <c r="H251" s="62"/>
      <c r="I251" s="25">
        <f>ROUND(G251*AM251,2)</f>
        <v>0</v>
      </c>
      <c r="J251" s="25">
        <f>ROUND(G251*AN251,2)</f>
        <v>0</v>
      </c>
      <c r="K251" s="25">
        <f>ROUND(G251*H251,2)</f>
        <v>0</v>
      </c>
      <c r="L251" s="25">
        <v>1.80128</v>
      </c>
      <c r="M251" s="25">
        <f>G251*L251</f>
        <v>0.90064</v>
      </c>
      <c r="N251" s="26"/>
      <c r="X251" s="25">
        <f>ROUND(IF(AO251="5",BH251,0),2)</f>
        <v>0</v>
      </c>
      <c r="Z251" s="25">
        <f>ROUND(IF(AO251="1",BF251,0),2)</f>
        <v>0</v>
      </c>
      <c r="AA251" s="25">
        <f>ROUND(IF(AO251="1",BG251,0),2)</f>
        <v>0</v>
      </c>
      <c r="AB251" s="25">
        <f>ROUND(IF(AO251="7",BF251,0),2)</f>
        <v>0</v>
      </c>
      <c r="AC251" s="25">
        <f>ROUND(IF(AO251="7",BG251,0),2)</f>
        <v>0</v>
      </c>
      <c r="AD251" s="25">
        <f>ROUND(IF(AO251="2",BF251,0),2)</f>
        <v>0</v>
      </c>
      <c r="AE251" s="25">
        <f>ROUND(IF(AO251="2",BG251,0),2)</f>
        <v>0</v>
      </c>
      <c r="AF251" s="25">
        <f>ROUND(IF(AO251="0",BH251,0),2)</f>
        <v>0</v>
      </c>
      <c r="AG251" s="10" t="s">
        <v>301</v>
      </c>
      <c r="AH251" s="25">
        <f>IF(AL251=0,K251,0)</f>
        <v>0</v>
      </c>
      <c r="AI251" s="25">
        <f>IF(AL251=12,K251,0)</f>
        <v>0</v>
      </c>
      <c r="AJ251" s="25">
        <f>IF(AL251=21,K251,0)</f>
        <v>0</v>
      </c>
      <c r="AL251" s="25">
        <v>21</v>
      </c>
      <c r="AM251" s="25">
        <f>H251*0.032210152</f>
        <v>0</v>
      </c>
      <c r="AN251" s="25">
        <f>H251*(1-0.032210152)</f>
        <v>0</v>
      </c>
      <c r="AO251" s="27" t="s">
        <v>57</v>
      </c>
      <c r="AT251" s="25">
        <f>ROUND(AU251+AV251,2)</f>
        <v>0</v>
      </c>
      <c r="AU251" s="25">
        <f>ROUND(G251*AM251,2)</f>
        <v>0</v>
      </c>
      <c r="AV251" s="25">
        <f>ROUND(G251*AN251,2)</f>
        <v>0</v>
      </c>
      <c r="AW251" s="27" t="s">
        <v>123</v>
      </c>
      <c r="AX251" s="27" t="s">
        <v>358</v>
      </c>
      <c r="AY251" s="10" t="s">
        <v>306</v>
      </c>
      <c r="BA251" s="25">
        <f>AU251+AV251</f>
        <v>0</v>
      </c>
      <c r="BB251" s="25">
        <f>H251/(100-BC251)*100</f>
        <v>0</v>
      </c>
      <c r="BC251" s="25">
        <v>0</v>
      </c>
      <c r="BD251" s="25">
        <f>M251</f>
        <v>0.90064</v>
      </c>
      <c r="BF251" s="25">
        <f>G251*AM251</f>
        <v>0</v>
      </c>
      <c r="BG251" s="25">
        <f>G251*AN251</f>
        <v>0</v>
      </c>
      <c r="BH251" s="25">
        <f>G251*H251</f>
        <v>0</v>
      </c>
      <c r="BI251" s="27" t="s">
        <v>65</v>
      </c>
      <c r="BJ251" s="25">
        <v>96</v>
      </c>
      <c r="BU251" s="25" t="e">
        <f>#REF!</f>
        <v>#REF!</v>
      </c>
      <c r="BV251" s="4" t="s">
        <v>406</v>
      </c>
    </row>
    <row r="252" spans="1:74" ht="14.4" x14ac:dyDescent="0.3">
      <c r="A252" s="28"/>
      <c r="D252" s="29" t="s">
        <v>407</v>
      </c>
      <c r="E252" s="29" t="s">
        <v>408</v>
      </c>
      <c r="G252" s="30">
        <v>0.5</v>
      </c>
      <c r="H252" s="63"/>
      <c r="N252" s="31"/>
    </row>
    <row r="253" spans="1:74" ht="14.4" x14ac:dyDescent="0.3">
      <c r="A253" s="2" t="s">
        <v>409</v>
      </c>
      <c r="B253" s="3" t="s">
        <v>301</v>
      </c>
      <c r="C253" s="3" t="s">
        <v>195</v>
      </c>
      <c r="D253" s="112" t="s">
        <v>196</v>
      </c>
      <c r="E253" s="109"/>
      <c r="F253" s="3" t="s">
        <v>115</v>
      </c>
      <c r="G253" s="25">
        <v>26.64</v>
      </c>
      <c r="H253" s="62"/>
      <c r="I253" s="25">
        <f>ROUND(G253*AM253,2)</f>
        <v>0</v>
      </c>
      <c r="J253" s="25">
        <f>ROUND(G253*AN253,2)</f>
        <v>0</v>
      </c>
      <c r="K253" s="25">
        <f>ROUND(G253*H253,2)</f>
        <v>0</v>
      </c>
      <c r="L253" s="25">
        <v>4.0000000000000002E-4</v>
      </c>
      <c r="M253" s="25">
        <f>G253*L253</f>
        <v>1.0656000000000001E-2</v>
      </c>
      <c r="N253" s="26"/>
      <c r="X253" s="25">
        <f>ROUND(IF(AO253="5",BH253,0),2)</f>
        <v>0</v>
      </c>
      <c r="Z253" s="25">
        <f>ROUND(IF(AO253="1",BF253,0),2)</f>
        <v>0</v>
      </c>
      <c r="AA253" s="25">
        <f>ROUND(IF(AO253="1",BG253,0),2)</f>
        <v>0</v>
      </c>
      <c r="AB253" s="25">
        <f>ROUND(IF(AO253="7",BF253,0),2)</f>
        <v>0</v>
      </c>
      <c r="AC253" s="25">
        <f>ROUND(IF(AO253="7",BG253,0),2)</f>
        <v>0</v>
      </c>
      <c r="AD253" s="25">
        <f>ROUND(IF(AO253="2",BF253,0),2)</f>
        <v>0</v>
      </c>
      <c r="AE253" s="25">
        <f>ROUND(IF(AO253="2",BG253,0),2)</f>
        <v>0</v>
      </c>
      <c r="AF253" s="25">
        <f>ROUND(IF(AO253="0",BH253,0),2)</f>
        <v>0</v>
      </c>
      <c r="AG253" s="10" t="s">
        <v>301</v>
      </c>
      <c r="AH253" s="25">
        <f>IF(AL253=0,K253,0)</f>
        <v>0</v>
      </c>
      <c r="AI253" s="25">
        <f>IF(AL253=12,K253,0)</f>
        <v>0</v>
      </c>
      <c r="AJ253" s="25">
        <f>IF(AL253=21,K253,0)</f>
        <v>0</v>
      </c>
      <c r="AL253" s="25">
        <v>21</v>
      </c>
      <c r="AM253" s="25">
        <f>H253*0</f>
        <v>0</v>
      </c>
      <c r="AN253" s="25">
        <f>H253*(1-0)</f>
        <v>0</v>
      </c>
      <c r="AO253" s="27" t="s">
        <v>57</v>
      </c>
      <c r="AT253" s="25">
        <f>ROUND(AU253+AV253,2)</f>
        <v>0</v>
      </c>
      <c r="AU253" s="25">
        <f>ROUND(G253*AM253,2)</f>
        <v>0</v>
      </c>
      <c r="AV253" s="25">
        <f>ROUND(G253*AN253,2)</f>
        <v>0</v>
      </c>
      <c r="AW253" s="27" t="s">
        <v>123</v>
      </c>
      <c r="AX253" s="27" t="s">
        <v>358</v>
      </c>
      <c r="AY253" s="10" t="s">
        <v>306</v>
      </c>
      <c r="BA253" s="25">
        <f>AU253+AV253</f>
        <v>0</v>
      </c>
      <c r="BB253" s="25">
        <f>H253/(100-BC253)*100</f>
        <v>0</v>
      </c>
      <c r="BC253" s="25">
        <v>0</v>
      </c>
      <c r="BD253" s="25">
        <f>M253</f>
        <v>1.0656000000000001E-2</v>
      </c>
      <c r="BF253" s="25">
        <f>G253*AM253</f>
        <v>0</v>
      </c>
      <c r="BG253" s="25">
        <f>G253*AN253</f>
        <v>0</v>
      </c>
      <c r="BH253" s="25">
        <f>G253*H253</f>
        <v>0</v>
      </c>
      <c r="BI253" s="27" t="s">
        <v>65</v>
      </c>
      <c r="BJ253" s="25">
        <v>96</v>
      </c>
      <c r="BU253" s="25" t="e">
        <f>#REF!</f>
        <v>#REF!</v>
      </c>
      <c r="BV253" s="4" t="s">
        <v>196</v>
      </c>
    </row>
    <row r="254" spans="1:74" ht="14.4" x14ac:dyDescent="0.3">
      <c r="A254" s="28"/>
      <c r="D254" s="29" t="s">
        <v>410</v>
      </c>
      <c r="E254" s="29" t="s">
        <v>361</v>
      </c>
      <c r="G254" s="30">
        <v>13.36</v>
      </c>
      <c r="H254" s="63"/>
      <c r="N254" s="31"/>
    </row>
    <row r="255" spans="1:74" ht="14.4" x14ac:dyDescent="0.3">
      <c r="A255" s="28"/>
      <c r="D255" s="29" t="s">
        <v>411</v>
      </c>
      <c r="E255" s="29" t="s">
        <v>370</v>
      </c>
      <c r="G255" s="30">
        <v>8.25</v>
      </c>
      <c r="H255" s="63"/>
      <c r="N255" s="31"/>
    </row>
    <row r="256" spans="1:74" ht="14.4" x14ac:dyDescent="0.3">
      <c r="A256" s="28"/>
      <c r="D256" s="29" t="s">
        <v>412</v>
      </c>
      <c r="E256" s="29" t="s">
        <v>373</v>
      </c>
      <c r="G256" s="30">
        <v>5.03</v>
      </c>
      <c r="H256" s="63"/>
      <c r="N256" s="31"/>
    </row>
    <row r="257" spans="1:74" ht="14.4" x14ac:dyDescent="0.3">
      <c r="A257" s="2" t="s">
        <v>413</v>
      </c>
      <c r="B257" s="3" t="s">
        <v>301</v>
      </c>
      <c r="C257" s="3" t="s">
        <v>203</v>
      </c>
      <c r="D257" s="112" t="s">
        <v>204</v>
      </c>
      <c r="E257" s="109"/>
      <c r="F257" s="3" t="s">
        <v>60</v>
      </c>
      <c r="G257" s="25">
        <v>19.998000000000001</v>
      </c>
      <c r="H257" s="62"/>
      <c r="I257" s="25">
        <f>ROUND(G257*AM257,2)</f>
        <v>0</v>
      </c>
      <c r="J257" s="25">
        <f>ROUND(G257*AN257,2)</f>
        <v>0</v>
      </c>
      <c r="K257" s="25">
        <f>ROUND(G257*H257,2)</f>
        <v>0</v>
      </c>
      <c r="L257" s="25">
        <v>7.7170000000000002E-2</v>
      </c>
      <c r="M257" s="25">
        <f>G257*L257</f>
        <v>1.5432456600000002</v>
      </c>
      <c r="N257" s="26"/>
      <c r="X257" s="25">
        <f>ROUND(IF(AO257="5",BH257,0),2)</f>
        <v>0</v>
      </c>
      <c r="Z257" s="25">
        <f>ROUND(IF(AO257="1",BF257,0),2)</f>
        <v>0</v>
      </c>
      <c r="AA257" s="25">
        <f>ROUND(IF(AO257="1",BG257,0),2)</f>
        <v>0</v>
      </c>
      <c r="AB257" s="25">
        <f>ROUND(IF(AO257="7",BF257,0),2)</f>
        <v>0</v>
      </c>
      <c r="AC257" s="25">
        <f>ROUND(IF(AO257="7",BG257,0),2)</f>
        <v>0</v>
      </c>
      <c r="AD257" s="25">
        <f>ROUND(IF(AO257="2",BF257,0),2)</f>
        <v>0</v>
      </c>
      <c r="AE257" s="25">
        <f>ROUND(IF(AO257="2",BG257,0),2)</f>
        <v>0</v>
      </c>
      <c r="AF257" s="25">
        <f>ROUND(IF(AO257="0",BH257,0),2)</f>
        <v>0</v>
      </c>
      <c r="AG257" s="10" t="s">
        <v>301</v>
      </c>
      <c r="AH257" s="25">
        <f>IF(AL257=0,K257,0)</f>
        <v>0</v>
      </c>
      <c r="AI257" s="25">
        <f>IF(AL257=12,K257,0)</f>
        <v>0</v>
      </c>
      <c r="AJ257" s="25">
        <f>IF(AL257=21,K257,0)</f>
        <v>0</v>
      </c>
      <c r="AL257" s="25">
        <v>21</v>
      </c>
      <c r="AM257" s="25">
        <f>H257*0.060907846</f>
        <v>0</v>
      </c>
      <c r="AN257" s="25">
        <f>H257*(1-0.060907846)</f>
        <v>0</v>
      </c>
      <c r="AO257" s="27" t="s">
        <v>57</v>
      </c>
      <c r="AT257" s="25">
        <f>ROUND(AU257+AV257,2)</f>
        <v>0</v>
      </c>
      <c r="AU257" s="25">
        <f>ROUND(G257*AM257,2)</f>
        <v>0</v>
      </c>
      <c r="AV257" s="25">
        <f>ROUND(G257*AN257,2)</f>
        <v>0</v>
      </c>
      <c r="AW257" s="27" t="s">
        <v>123</v>
      </c>
      <c r="AX257" s="27" t="s">
        <v>358</v>
      </c>
      <c r="AY257" s="10" t="s">
        <v>306</v>
      </c>
      <c r="BA257" s="25">
        <f>AU257+AV257</f>
        <v>0</v>
      </c>
      <c r="BB257" s="25">
        <f>H257/(100-BC257)*100</f>
        <v>0</v>
      </c>
      <c r="BC257" s="25">
        <v>0</v>
      </c>
      <c r="BD257" s="25">
        <f>M257</f>
        <v>1.5432456600000002</v>
      </c>
      <c r="BF257" s="25">
        <f>G257*AM257</f>
        <v>0</v>
      </c>
      <c r="BG257" s="25">
        <f>G257*AN257</f>
        <v>0</v>
      </c>
      <c r="BH257" s="25">
        <f>G257*H257</f>
        <v>0</v>
      </c>
      <c r="BI257" s="27" t="s">
        <v>65</v>
      </c>
      <c r="BJ257" s="25">
        <v>96</v>
      </c>
      <c r="BU257" s="25" t="e">
        <f>#REF!</f>
        <v>#REF!</v>
      </c>
      <c r="BV257" s="4" t="s">
        <v>204</v>
      </c>
    </row>
    <row r="258" spans="1:74" ht="14.4" x14ac:dyDescent="0.3">
      <c r="A258" s="28"/>
      <c r="D258" s="29" t="s">
        <v>414</v>
      </c>
      <c r="E258" s="29" t="s">
        <v>52</v>
      </c>
      <c r="G258" s="30">
        <v>12.12</v>
      </c>
      <c r="H258" s="63"/>
      <c r="N258" s="31"/>
    </row>
    <row r="259" spans="1:74" ht="14.4" x14ac:dyDescent="0.3">
      <c r="A259" s="28"/>
      <c r="D259" s="29" t="s">
        <v>415</v>
      </c>
      <c r="E259" s="29" t="s">
        <v>52</v>
      </c>
      <c r="G259" s="30">
        <v>3.6360000000000001</v>
      </c>
      <c r="H259" s="63"/>
      <c r="N259" s="31"/>
    </row>
    <row r="260" spans="1:74" ht="14.4" x14ac:dyDescent="0.3">
      <c r="A260" s="28"/>
      <c r="D260" s="29" t="s">
        <v>416</v>
      </c>
      <c r="E260" s="29" t="s">
        <v>52</v>
      </c>
      <c r="G260" s="30">
        <v>4.242</v>
      </c>
      <c r="H260" s="63"/>
      <c r="N260" s="31"/>
    </row>
    <row r="261" spans="1:74" ht="14.4" x14ac:dyDescent="0.3">
      <c r="A261" s="2" t="s">
        <v>417</v>
      </c>
      <c r="B261" s="3" t="s">
        <v>301</v>
      </c>
      <c r="C261" s="3" t="s">
        <v>418</v>
      </c>
      <c r="D261" s="112" t="s">
        <v>419</v>
      </c>
      <c r="E261" s="109"/>
      <c r="F261" s="3" t="s">
        <v>122</v>
      </c>
      <c r="G261" s="25">
        <v>1</v>
      </c>
      <c r="H261" s="62"/>
      <c r="I261" s="25">
        <f>ROUND(G261*AM261,2)</f>
        <v>0</v>
      </c>
      <c r="J261" s="25">
        <f>ROUND(G261*AN261,2)</f>
        <v>0</v>
      </c>
      <c r="K261" s="25">
        <f>ROUND(G261*H261,2)</f>
        <v>0</v>
      </c>
      <c r="L261" s="25">
        <v>1.5</v>
      </c>
      <c r="M261" s="25">
        <f>G261*L261</f>
        <v>1.5</v>
      </c>
      <c r="N261" s="26"/>
      <c r="X261" s="25">
        <f>ROUND(IF(AO261="5",BH261,0),2)</f>
        <v>0</v>
      </c>
      <c r="Z261" s="25">
        <f>ROUND(IF(AO261="1",BF261,0),2)</f>
        <v>0</v>
      </c>
      <c r="AA261" s="25">
        <f>ROUND(IF(AO261="1",BG261,0),2)</f>
        <v>0</v>
      </c>
      <c r="AB261" s="25">
        <f>ROUND(IF(AO261="7",BF261,0),2)</f>
        <v>0</v>
      </c>
      <c r="AC261" s="25">
        <f>ROUND(IF(AO261="7",BG261,0),2)</f>
        <v>0</v>
      </c>
      <c r="AD261" s="25">
        <f>ROUND(IF(AO261="2",BF261,0),2)</f>
        <v>0</v>
      </c>
      <c r="AE261" s="25">
        <f>ROUND(IF(AO261="2",BG261,0),2)</f>
        <v>0</v>
      </c>
      <c r="AF261" s="25">
        <f>ROUND(IF(AO261="0",BH261,0),2)</f>
        <v>0</v>
      </c>
      <c r="AG261" s="10" t="s">
        <v>301</v>
      </c>
      <c r="AH261" s="25">
        <f>IF(AL261=0,K261,0)</f>
        <v>0</v>
      </c>
      <c r="AI261" s="25">
        <f>IF(AL261=12,K261,0)</f>
        <v>0</v>
      </c>
      <c r="AJ261" s="25">
        <f>IF(AL261=21,K261,0)</f>
        <v>0</v>
      </c>
      <c r="AL261" s="25">
        <v>21</v>
      </c>
      <c r="AM261" s="25">
        <f>H261*0</f>
        <v>0</v>
      </c>
      <c r="AN261" s="25">
        <f>H261*(1-0)</f>
        <v>0</v>
      </c>
      <c r="AO261" s="27" t="s">
        <v>57</v>
      </c>
      <c r="AT261" s="25">
        <f>ROUND(AU261+AV261,2)</f>
        <v>0</v>
      </c>
      <c r="AU261" s="25">
        <f>ROUND(G261*AM261,2)</f>
        <v>0</v>
      </c>
      <c r="AV261" s="25">
        <f>ROUND(G261*AN261,2)</f>
        <v>0</v>
      </c>
      <c r="AW261" s="27" t="s">
        <v>123</v>
      </c>
      <c r="AX261" s="27" t="s">
        <v>358</v>
      </c>
      <c r="AY261" s="10" t="s">
        <v>306</v>
      </c>
      <c r="BA261" s="25">
        <f>AU261+AV261</f>
        <v>0</v>
      </c>
      <c r="BB261" s="25">
        <f>H261/(100-BC261)*100</f>
        <v>0</v>
      </c>
      <c r="BC261" s="25">
        <v>0</v>
      </c>
      <c r="BD261" s="25">
        <f>M261</f>
        <v>1.5</v>
      </c>
      <c r="BF261" s="25">
        <f>G261*AM261</f>
        <v>0</v>
      </c>
      <c r="BG261" s="25">
        <f>G261*AN261</f>
        <v>0</v>
      </c>
      <c r="BH261" s="25">
        <f>G261*H261</f>
        <v>0</v>
      </c>
      <c r="BI261" s="27" t="s">
        <v>65</v>
      </c>
      <c r="BJ261" s="25">
        <v>96</v>
      </c>
      <c r="BU261" s="25" t="e">
        <f>#REF!</f>
        <v>#REF!</v>
      </c>
      <c r="BV261" s="4" t="s">
        <v>419</v>
      </c>
    </row>
    <row r="262" spans="1:74" ht="14.4" x14ac:dyDescent="0.3">
      <c r="A262" s="28"/>
      <c r="D262" s="29" t="s">
        <v>57</v>
      </c>
      <c r="E262" s="29" t="s">
        <v>420</v>
      </c>
      <c r="G262" s="30">
        <v>1</v>
      </c>
      <c r="H262" s="63"/>
      <c r="N262" s="31"/>
    </row>
    <row r="263" spans="1:74" ht="14.4" x14ac:dyDescent="0.3">
      <c r="A263" s="2" t="s">
        <v>421</v>
      </c>
      <c r="B263" s="3" t="s">
        <v>301</v>
      </c>
      <c r="C263" s="3" t="s">
        <v>422</v>
      </c>
      <c r="D263" s="112" t="s">
        <v>423</v>
      </c>
      <c r="E263" s="109"/>
      <c r="F263" s="3" t="s">
        <v>60</v>
      </c>
      <c r="G263" s="25">
        <v>14.42</v>
      </c>
      <c r="H263" s="62"/>
      <c r="I263" s="25">
        <f>ROUND(G263*AM263,2)</f>
        <v>0</v>
      </c>
      <c r="J263" s="25">
        <f>ROUND(G263*AN263,2)</f>
        <v>0</v>
      </c>
      <c r="K263" s="25">
        <f>ROUND(G263*H263,2)</f>
        <v>0</v>
      </c>
      <c r="L263" s="25">
        <v>0.40078000000000003</v>
      </c>
      <c r="M263" s="25">
        <f>G263*L263</f>
        <v>5.7792476000000006</v>
      </c>
      <c r="N263" s="26"/>
      <c r="X263" s="25">
        <f>ROUND(IF(AO263="5",BH263,0),2)</f>
        <v>0</v>
      </c>
      <c r="Z263" s="25">
        <f>ROUND(IF(AO263="1",BF263,0),2)</f>
        <v>0</v>
      </c>
      <c r="AA263" s="25">
        <f>ROUND(IF(AO263="1",BG263,0),2)</f>
        <v>0</v>
      </c>
      <c r="AB263" s="25">
        <f>ROUND(IF(AO263="7",BF263,0),2)</f>
        <v>0</v>
      </c>
      <c r="AC263" s="25">
        <f>ROUND(IF(AO263="7",BG263,0),2)</f>
        <v>0</v>
      </c>
      <c r="AD263" s="25">
        <f>ROUND(IF(AO263="2",BF263,0),2)</f>
        <v>0</v>
      </c>
      <c r="AE263" s="25">
        <f>ROUND(IF(AO263="2",BG263,0),2)</f>
        <v>0</v>
      </c>
      <c r="AF263" s="25">
        <f>ROUND(IF(AO263="0",BH263,0),2)</f>
        <v>0</v>
      </c>
      <c r="AG263" s="10" t="s">
        <v>301</v>
      </c>
      <c r="AH263" s="25">
        <f>IF(AL263=0,K263,0)</f>
        <v>0</v>
      </c>
      <c r="AI263" s="25">
        <f>IF(AL263=12,K263,0)</f>
        <v>0</v>
      </c>
      <c r="AJ263" s="25">
        <f>IF(AL263=21,K263,0)</f>
        <v>0</v>
      </c>
      <c r="AL263" s="25">
        <v>21</v>
      </c>
      <c r="AM263" s="25">
        <f>H263*0.01321063</f>
        <v>0</v>
      </c>
      <c r="AN263" s="25">
        <f>H263*(1-0.01321063)</f>
        <v>0</v>
      </c>
      <c r="AO263" s="27" t="s">
        <v>57</v>
      </c>
      <c r="AT263" s="25">
        <f>ROUND(AU263+AV263,2)</f>
        <v>0</v>
      </c>
      <c r="AU263" s="25">
        <f>ROUND(G263*AM263,2)</f>
        <v>0</v>
      </c>
      <c r="AV263" s="25">
        <f>ROUND(G263*AN263,2)</f>
        <v>0</v>
      </c>
      <c r="AW263" s="27" t="s">
        <v>123</v>
      </c>
      <c r="AX263" s="27" t="s">
        <v>358</v>
      </c>
      <c r="AY263" s="10" t="s">
        <v>306</v>
      </c>
      <c r="BA263" s="25">
        <f>AU263+AV263</f>
        <v>0</v>
      </c>
      <c r="BB263" s="25">
        <f>H263/(100-BC263)*100</f>
        <v>0</v>
      </c>
      <c r="BC263" s="25">
        <v>0</v>
      </c>
      <c r="BD263" s="25">
        <f>M263</f>
        <v>5.7792476000000006</v>
      </c>
      <c r="BF263" s="25">
        <f>G263*AM263</f>
        <v>0</v>
      </c>
      <c r="BG263" s="25">
        <f>G263*AN263</f>
        <v>0</v>
      </c>
      <c r="BH263" s="25">
        <f>G263*H263</f>
        <v>0</v>
      </c>
      <c r="BI263" s="27" t="s">
        <v>65</v>
      </c>
      <c r="BJ263" s="25">
        <v>96</v>
      </c>
      <c r="BU263" s="25" t="e">
        <f>#REF!</f>
        <v>#REF!</v>
      </c>
      <c r="BV263" s="4" t="s">
        <v>423</v>
      </c>
    </row>
    <row r="264" spans="1:74" ht="14.4" x14ac:dyDescent="0.3">
      <c r="A264" s="28"/>
      <c r="D264" s="29" t="s">
        <v>424</v>
      </c>
      <c r="E264" s="29" t="s">
        <v>52</v>
      </c>
      <c r="G264" s="30">
        <v>14.42</v>
      </c>
      <c r="H264" s="63"/>
      <c r="N264" s="31"/>
    </row>
    <row r="265" spans="1:74" ht="14.4" x14ac:dyDescent="0.3">
      <c r="A265" s="2" t="s">
        <v>425</v>
      </c>
      <c r="B265" s="3" t="s">
        <v>301</v>
      </c>
      <c r="C265" s="3" t="s">
        <v>426</v>
      </c>
      <c r="D265" s="112" t="s">
        <v>427</v>
      </c>
      <c r="E265" s="109"/>
      <c r="F265" s="3" t="s">
        <v>60</v>
      </c>
      <c r="G265" s="25">
        <v>12.83</v>
      </c>
      <c r="H265" s="62"/>
      <c r="I265" s="25">
        <f>ROUND(G265*AM265,2)</f>
        <v>0</v>
      </c>
      <c r="J265" s="25">
        <f>ROUND(G265*AN265,2)</f>
        <v>0</v>
      </c>
      <c r="K265" s="25">
        <f>ROUND(G265*H265,2)</f>
        <v>0</v>
      </c>
      <c r="L265" s="25">
        <v>0.16833999999999999</v>
      </c>
      <c r="M265" s="25">
        <f>G265*L265</f>
        <v>2.1598021999999997</v>
      </c>
      <c r="N265" s="102"/>
      <c r="X265" s="25">
        <f>ROUND(IF(AO265="5",BH265,0),2)</f>
        <v>0</v>
      </c>
      <c r="Z265" s="25">
        <f>ROUND(IF(AO265="1",BF265,0),2)</f>
        <v>0</v>
      </c>
      <c r="AA265" s="25">
        <f>ROUND(IF(AO265="1",BG265,0),2)</f>
        <v>0</v>
      </c>
      <c r="AB265" s="25">
        <f>ROUND(IF(AO265="7",BF265,0),2)</f>
        <v>0</v>
      </c>
      <c r="AC265" s="25">
        <f>ROUND(IF(AO265="7",BG265,0),2)</f>
        <v>0</v>
      </c>
      <c r="AD265" s="25">
        <f>ROUND(IF(AO265="2",BF265,0),2)</f>
        <v>0</v>
      </c>
      <c r="AE265" s="25">
        <f>ROUND(IF(AO265="2",BG265,0),2)</f>
        <v>0</v>
      </c>
      <c r="AF265" s="25">
        <f>ROUND(IF(AO265="0",BH265,0),2)</f>
        <v>0</v>
      </c>
      <c r="AG265" s="10" t="s">
        <v>301</v>
      </c>
      <c r="AH265" s="25">
        <f>IF(AL265=0,K265,0)</f>
        <v>0</v>
      </c>
      <c r="AI265" s="25">
        <f>IF(AL265=12,K265,0)</f>
        <v>0</v>
      </c>
      <c r="AJ265" s="25">
        <f>IF(AL265=21,K265,0)</f>
        <v>0</v>
      </c>
      <c r="AL265" s="25">
        <v>21</v>
      </c>
      <c r="AM265" s="25">
        <f>H265*0.039196202</f>
        <v>0</v>
      </c>
      <c r="AN265" s="25">
        <f>H265*(1-0.039196202)</f>
        <v>0</v>
      </c>
      <c r="AO265" s="27" t="s">
        <v>57</v>
      </c>
      <c r="AT265" s="25">
        <f>ROUND(AU265+AV265,2)</f>
        <v>0</v>
      </c>
      <c r="AU265" s="25">
        <f>ROUND(G265*AM265,2)</f>
        <v>0</v>
      </c>
      <c r="AV265" s="25">
        <f>ROUND(G265*AN265,2)</f>
        <v>0</v>
      </c>
      <c r="AW265" s="27" t="s">
        <v>123</v>
      </c>
      <c r="AX265" s="27" t="s">
        <v>358</v>
      </c>
      <c r="AY265" s="10" t="s">
        <v>306</v>
      </c>
      <c r="BA265" s="25">
        <f>AU265+AV265</f>
        <v>0</v>
      </c>
      <c r="BB265" s="25">
        <f>H265/(100-BC265)*100</f>
        <v>0</v>
      </c>
      <c r="BC265" s="25">
        <v>0</v>
      </c>
      <c r="BD265" s="25">
        <f>M265</f>
        <v>2.1598021999999997</v>
      </c>
      <c r="BF265" s="25">
        <f>G265*AM265</f>
        <v>0</v>
      </c>
      <c r="BG265" s="25">
        <f>G265*AN265</f>
        <v>0</v>
      </c>
      <c r="BH265" s="25">
        <f>G265*H265</f>
        <v>0</v>
      </c>
      <c r="BI265" s="27" t="s">
        <v>65</v>
      </c>
      <c r="BJ265" s="25">
        <v>96</v>
      </c>
      <c r="BU265" s="25" t="e">
        <f>#REF!</f>
        <v>#REF!</v>
      </c>
      <c r="BV265" s="4" t="s">
        <v>427</v>
      </c>
    </row>
    <row r="266" spans="1:74" ht="14.4" x14ac:dyDescent="0.3">
      <c r="A266" s="28"/>
      <c r="D266" s="29" t="s">
        <v>428</v>
      </c>
      <c r="E266" s="29" t="s">
        <v>52</v>
      </c>
      <c r="G266" s="30">
        <v>12.83</v>
      </c>
      <c r="H266" s="63"/>
      <c r="N266" s="31"/>
    </row>
    <row r="267" spans="1:74" ht="14.4" x14ac:dyDescent="0.3">
      <c r="A267" s="2" t="s">
        <v>429</v>
      </c>
      <c r="B267" s="3" t="s">
        <v>301</v>
      </c>
      <c r="C267" s="3" t="s">
        <v>430</v>
      </c>
      <c r="D267" s="112" t="s">
        <v>431</v>
      </c>
      <c r="E267" s="109"/>
      <c r="F267" s="3" t="s">
        <v>60</v>
      </c>
      <c r="G267" s="25">
        <v>8.2319999999999993</v>
      </c>
      <c r="H267" s="62"/>
      <c r="I267" s="25">
        <f>ROUND(G267*AM267,2)</f>
        <v>0</v>
      </c>
      <c r="J267" s="25">
        <f>ROUND(G267*AN267,2)</f>
        <v>0</v>
      </c>
      <c r="K267" s="25">
        <f>ROUND(G267*H267,2)</f>
        <v>0</v>
      </c>
      <c r="L267" s="25">
        <v>3.4610000000000002E-2</v>
      </c>
      <c r="M267" s="25">
        <f>G267*L267</f>
        <v>0.28490951999999997</v>
      </c>
      <c r="N267" s="26"/>
      <c r="X267" s="25">
        <f>ROUND(IF(AO267="5",BH267,0),2)</f>
        <v>0</v>
      </c>
      <c r="Z267" s="25">
        <f>ROUND(IF(AO267="1",BF267,0),2)</f>
        <v>0</v>
      </c>
      <c r="AA267" s="25">
        <f>ROUND(IF(AO267="1",BG267,0),2)</f>
        <v>0</v>
      </c>
      <c r="AB267" s="25">
        <f>ROUND(IF(AO267="7",BF267,0),2)</f>
        <v>0</v>
      </c>
      <c r="AC267" s="25">
        <f>ROUND(IF(AO267="7",BG267,0),2)</f>
        <v>0</v>
      </c>
      <c r="AD267" s="25">
        <f>ROUND(IF(AO267="2",BF267,0),2)</f>
        <v>0</v>
      </c>
      <c r="AE267" s="25">
        <f>ROUND(IF(AO267="2",BG267,0),2)</f>
        <v>0</v>
      </c>
      <c r="AF267" s="25">
        <f>ROUND(IF(AO267="0",BH267,0),2)</f>
        <v>0</v>
      </c>
      <c r="AG267" s="10" t="s">
        <v>301</v>
      </c>
      <c r="AH267" s="25">
        <f>IF(AL267=0,K267,0)</f>
        <v>0</v>
      </c>
      <c r="AI267" s="25">
        <f>IF(AL267=12,K267,0)</f>
        <v>0</v>
      </c>
      <c r="AJ267" s="25">
        <f>IF(AL267=21,K267,0)</f>
        <v>0</v>
      </c>
      <c r="AL267" s="25">
        <v>21</v>
      </c>
      <c r="AM267" s="25">
        <f>H267*0.104506028</f>
        <v>0</v>
      </c>
      <c r="AN267" s="25">
        <f>H267*(1-0.104506028)</f>
        <v>0</v>
      </c>
      <c r="AO267" s="27" t="s">
        <v>57</v>
      </c>
      <c r="AT267" s="25">
        <f>ROUND(AU267+AV267,2)</f>
        <v>0</v>
      </c>
      <c r="AU267" s="25">
        <f>ROUND(G267*AM267,2)</f>
        <v>0</v>
      </c>
      <c r="AV267" s="25">
        <f>ROUND(G267*AN267,2)</f>
        <v>0</v>
      </c>
      <c r="AW267" s="27" t="s">
        <v>123</v>
      </c>
      <c r="AX267" s="27" t="s">
        <v>358</v>
      </c>
      <c r="AY267" s="10" t="s">
        <v>306</v>
      </c>
      <c r="BA267" s="25">
        <f>AU267+AV267</f>
        <v>0</v>
      </c>
      <c r="BB267" s="25">
        <f>H267/(100-BC267)*100</f>
        <v>0</v>
      </c>
      <c r="BC267" s="25">
        <v>0</v>
      </c>
      <c r="BD267" s="25">
        <f>M267</f>
        <v>0.28490951999999997</v>
      </c>
      <c r="BF267" s="25">
        <f>G267*AM267</f>
        <v>0</v>
      </c>
      <c r="BG267" s="25">
        <f>G267*AN267</f>
        <v>0</v>
      </c>
      <c r="BH267" s="25">
        <f>G267*H267</f>
        <v>0</v>
      </c>
      <c r="BI267" s="27" t="s">
        <v>65</v>
      </c>
      <c r="BJ267" s="25">
        <v>96</v>
      </c>
      <c r="BU267" s="25" t="e">
        <f>#REF!</f>
        <v>#REF!</v>
      </c>
      <c r="BV267" s="4" t="s">
        <v>431</v>
      </c>
    </row>
    <row r="268" spans="1:74" ht="14.4" x14ac:dyDescent="0.3">
      <c r="A268" s="28"/>
      <c r="D268" s="29" t="s">
        <v>432</v>
      </c>
      <c r="E268" s="29" t="s">
        <v>433</v>
      </c>
      <c r="G268" s="30">
        <v>8.2319999999999993</v>
      </c>
      <c r="H268" s="63"/>
      <c r="N268" s="31"/>
    </row>
    <row r="269" spans="1:74" ht="14.4" x14ac:dyDescent="0.3">
      <c r="A269" s="2" t="s">
        <v>434</v>
      </c>
      <c r="B269" s="3" t="s">
        <v>301</v>
      </c>
      <c r="C269" s="3" t="s">
        <v>435</v>
      </c>
      <c r="D269" s="112" t="s">
        <v>436</v>
      </c>
      <c r="E269" s="109"/>
      <c r="F269" s="3" t="s">
        <v>115</v>
      </c>
      <c r="G269" s="25">
        <v>15.4</v>
      </c>
      <c r="H269" s="62"/>
      <c r="I269" s="25">
        <f>ROUND(G269*AM269,2)</f>
        <v>0</v>
      </c>
      <c r="J269" s="25">
        <f>ROUND(G269*AN269,2)</f>
        <v>0</v>
      </c>
      <c r="K269" s="25">
        <f>ROUND(G269*H269,2)</f>
        <v>0</v>
      </c>
      <c r="L269" s="25">
        <v>1.1129999999999999E-2</v>
      </c>
      <c r="M269" s="25">
        <f>G269*L269</f>
        <v>0.171402</v>
      </c>
      <c r="N269" s="26"/>
      <c r="X269" s="25">
        <f>ROUND(IF(AO269="5",BH269,0),2)</f>
        <v>0</v>
      </c>
      <c r="Z269" s="25">
        <f>ROUND(IF(AO269="1",BF269,0),2)</f>
        <v>0</v>
      </c>
      <c r="AA269" s="25">
        <f>ROUND(IF(AO269="1",BG269,0),2)</f>
        <v>0</v>
      </c>
      <c r="AB269" s="25">
        <f>ROUND(IF(AO269="7",BF269,0),2)</f>
        <v>0</v>
      </c>
      <c r="AC269" s="25">
        <f>ROUND(IF(AO269="7",BG269,0),2)</f>
        <v>0</v>
      </c>
      <c r="AD269" s="25">
        <f>ROUND(IF(AO269="2",BF269,0),2)</f>
        <v>0</v>
      </c>
      <c r="AE269" s="25">
        <f>ROUND(IF(AO269="2",BG269,0),2)</f>
        <v>0</v>
      </c>
      <c r="AF269" s="25">
        <f>ROUND(IF(AO269="0",BH269,0),2)</f>
        <v>0</v>
      </c>
      <c r="AG269" s="10" t="s">
        <v>301</v>
      </c>
      <c r="AH269" s="25">
        <f>IF(AL269=0,K269,0)</f>
        <v>0</v>
      </c>
      <c r="AI269" s="25">
        <f>IF(AL269=12,K269,0)</f>
        <v>0</v>
      </c>
      <c r="AJ269" s="25">
        <f>IF(AL269=21,K269,0)</f>
        <v>0</v>
      </c>
      <c r="AL269" s="25">
        <v>21</v>
      </c>
      <c r="AM269" s="25">
        <f>H269*0</f>
        <v>0</v>
      </c>
      <c r="AN269" s="25">
        <f>H269*(1-0)</f>
        <v>0</v>
      </c>
      <c r="AO269" s="27" t="s">
        <v>57</v>
      </c>
      <c r="AT269" s="25">
        <f>ROUND(AU269+AV269,2)</f>
        <v>0</v>
      </c>
      <c r="AU269" s="25">
        <f>ROUND(G269*AM269,2)</f>
        <v>0</v>
      </c>
      <c r="AV269" s="25">
        <f>ROUND(G269*AN269,2)</f>
        <v>0</v>
      </c>
      <c r="AW269" s="27" t="s">
        <v>123</v>
      </c>
      <c r="AX269" s="27" t="s">
        <v>358</v>
      </c>
      <c r="AY269" s="10" t="s">
        <v>306</v>
      </c>
      <c r="BA269" s="25">
        <f>AU269+AV269</f>
        <v>0</v>
      </c>
      <c r="BB269" s="25">
        <f>H269/(100-BC269)*100</f>
        <v>0</v>
      </c>
      <c r="BC269" s="25">
        <v>0</v>
      </c>
      <c r="BD269" s="25">
        <f>M269</f>
        <v>0.171402</v>
      </c>
      <c r="BF269" s="25">
        <f>G269*AM269</f>
        <v>0</v>
      </c>
      <c r="BG269" s="25">
        <f>G269*AN269</f>
        <v>0</v>
      </c>
      <c r="BH269" s="25">
        <f>G269*H269</f>
        <v>0</v>
      </c>
      <c r="BI269" s="27" t="s">
        <v>65</v>
      </c>
      <c r="BJ269" s="25">
        <v>96</v>
      </c>
      <c r="BU269" s="25" t="e">
        <f>#REF!</f>
        <v>#REF!</v>
      </c>
      <c r="BV269" s="4" t="s">
        <v>436</v>
      </c>
    </row>
    <row r="270" spans="1:74" ht="14.4" x14ac:dyDescent="0.3">
      <c r="A270" s="28"/>
      <c r="D270" s="29" t="s">
        <v>437</v>
      </c>
      <c r="E270" s="29" t="s">
        <v>52</v>
      </c>
      <c r="G270" s="30">
        <v>15.4</v>
      </c>
      <c r="H270" s="63"/>
      <c r="N270" s="31"/>
    </row>
    <row r="271" spans="1:74" ht="14.4" x14ac:dyDescent="0.3">
      <c r="A271" s="2" t="s">
        <v>438</v>
      </c>
      <c r="B271" s="3" t="s">
        <v>301</v>
      </c>
      <c r="C271" s="3" t="s">
        <v>439</v>
      </c>
      <c r="D271" s="112" t="s">
        <v>440</v>
      </c>
      <c r="E271" s="109"/>
      <c r="F271" s="3" t="s">
        <v>122</v>
      </c>
      <c r="G271" s="25">
        <v>4</v>
      </c>
      <c r="H271" s="62"/>
      <c r="I271" s="25">
        <f>ROUND(G271*AM271,2)</f>
        <v>0</v>
      </c>
      <c r="J271" s="25">
        <f>ROUND(G271*AN271,2)</f>
        <v>0</v>
      </c>
      <c r="K271" s="25">
        <f>ROUND(G271*H271,2)</f>
        <v>0</v>
      </c>
      <c r="L271" s="25">
        <v>1.6E-2</v>
      </c>
      <c r="M271" s="25">
        <f>G271*L271</f>
        <v>6.4000000000000001E-2</v>
      </c>
      <c r="N271" s="26"/>
      <c r="X271" s="25">
        <f>ROUND(IF(AO271="5",BH271,0),2)</f>
        <v>0</v>
      </c>
      <c r="Z271" s="25">
        <f>ROUND(IF(AO271="1",BF271,0),2)</f>
        <v>0</v>
      </c>
      <c r="AA271" s="25">
        <f>ROUND(IF(AO271="1",BG271,0),2)</f>
        <v>0</v>
      </c>
      <c r="AB271" s="25">
        <f>ROUND(IF(AO271="7",BF271,0),2)</f>
        <v>0</v>
      </c>
      <c r="AC271" s="25">
        <f>ROUND(IF(AO271="7",BG271,0),2)</f>
        <v>0</v>
      </c>
      <c r="AD271" s="25">
        <f>ROUND(IF(AO271="2",BF271,0),2)</f>
        <v>0</v>
      </c>
      <c r="AE271" s="25">
        <f>ROUND(IF(AO271="2",BG271,0),2)</f>
        <v>0</v>
      </c>
      <c r="AF271" s="25">
        <f>ROUND(IF(AO271="0",BH271,0),2)</f>
        <v>0</v>
      </c>
      <c r="AG271" s="10" t="s">
        <v>301</v>
      </c>
      <c r="AH271" s="25">
        <f>IF(AL271=0,K271,0)</f>
        <v>0</v>
      </c>
      <c r="AI271" s="25">
        <f>IF(AL271=12,K271,0)</f>
        <v>0</v>
      </c>
      <c r="AJ271" s="25">
        <f>IF(AL271=21,K271,0)</f>
        <v>0</v>
      </c>
      <c r="AL271" s="25">
        <v>21</v>
      </c>
      <c r="AM271" s="25">
        <f>H271*0</f>
        <v>0</v>
      </c>
      <c r="AN271" s="25">
        <f>H271*(1-0)</f>
        <v>0</v>
      </c>
      <c r="AO271" s="27" t="s">
        <v>57</v>
      </c>
      <c r="AT271" s="25">
        <f>ROUND(AU271+AV271,2)</f>
        <v>0</v>
      </c>
      <c r="AU271" s="25">
        <f>ROUND(G271*AM271,2)</f>
        <v>0</v>
      </c>
      <c r="AV271" s="25">
        <f>ROUND(G271*AN271,2)</f>
        <v>0</v>
      </c>
      <c r="AW271" s="27" t="s">
        <v>123</v>
      </c>
      <c r="AX271" s="27" t="s">
        <v>358</v>
      </c>
      <c r="AY271" s="10" t="s">
        <v>306</v>
      </c>
      <c r="BA271" s="25">
        <f>AU271+AV271</f>
        <v>0</v>
      </c>
      <c r="BB271" s="25">
        <f>H271/(100-BC271)*100</f>
        <v>0</v>
      </c>
      <c r="BC271" s="25">
        <v>0</v>
      </c>
      <c r="BD271" s="25">
        <f>M271</f>
        <v>6.4000000000000001E-2</v>
      </c>
      <c r="BF271" s="25">
        <f>G271*AM271</f>
        <v>0</v>
      </c>
      <c r="BG271" s="25">
        <f>G271*AN271</f>
        <v>0</v>
      </c>
      <c r="BH271" s="25">
        <f>G271*H271</f>
        <v>0</v>
      </c>
      <c r="BI271" s="27" t="s">
        <v>65</v>
      </c>
      <c r="BJ271" s="25">
        <v>96</v>
      </c>
      <c r="BU271" s="25" t="e">
        <f>#REF!</f>
        <v>#REF!</v>
      </c>
      <c r="BV271" s="4" t="s">
        <v>440</v>
      </c>
    </row>
    <row r="272" spans="1:74" ht="14.4" x14ac:dyDescent="0.3">
      <c r="A272" s="28"/>
      <c r="D272" s="29" t="s">
        <v>90</v>
      </c>
      <c r="E272" s="29" t="s">
        <v>52</v>
      </c>
      <c r="G272" s="30">
        <v>4</v>
      </c>
      <c r="H272" s="63"/>
      <c r="N272" s="31"/>
    </row>
    <row r="273" spans="1:74" ht="14.4" x14ac:dyDescent="0.3">
      <c r="A273" s="21" t="s">
        <v>52</v>
      </c>
      <c r="B273" s="22" t="s">
        <v>301</v>
      </c>
      <c r="C273" s="22" t="s">
        <v>209</v>
      </c>
      <c r="D273" s="170" t="s">
        <v>210</v>
      </c>
      <c r="E273" s="171"/>
      <c r="F273" s="23" t="s">
        <v>32</v>
      </c>
      <c r="G273" s="23" t="s">
        <v>32</v>
      </c>
      <c r="H273" s="64"/>
      <c r="I273" s="1">
        <f>SUM(I274:I333)</f>
        <v>0</v>
      </c>
      <c r="J273" s="1">
        <f>SUM(J274:J333)</f>
        <v>0</v>
      </c>
      <c r="K273" s="1">
        <f>SUM(K274:K333)</f>
        <v>0</v>
      </c>
      <c r="L273" s="10" t="s">
        <v>52</v>
      </c>
      <c r="M273" s="1">
        <f>SUM(M274:M333)</f>
        <v>36.189805100000001</v>
      </c>
      <c r="N273" s="24"/>
      <c r="AG273" s="10" t="s">
        <v>301</v>
      </c>
      <c r="AQ273" s="1">
        <f>SUM(AH274:AH333)</f>
        <v>0</v>
      </c>
      <c r="AR273" s="1">
        <f>SUM(AI274:AI333)</f>
        <v>0</v>
      </c>
      <c r="AS273" s="1">
        <f>SUM(AJ274:AJ333)</f>
        <v>0</v>
      </c>
    </row>
    <row r="274" spans="1:74" ht="14.4" x14ac:dyDescent="0.3">
      <c r="A274" s="2" t="s">
        <v>441</v>
      </c>
      <c r="B274" s="3" t="s">
        <v>301</v>
      </c>
      <c r="C274" s="3" t="s">
        <v>243</v>
      </c>
      <c r="D274" s="112" t="s">
        <v>244</v>
      </c>
      <c r="E274" s="109"/>
      <c r="F274" s="3" t="s">
        <v>60</v>
      </c>
      <c r="G274" s="25">
        <v>17.55</v>
      </c>
      <c r="H274" s="62"/>
      <c r="I274" s="25">
        <f>ROUND(G274*AM274,2)</f>
        <v>0</v>
      </c>
      <c r="J274" s="25">
        <f>ROUND(G274*AN274,2)</f>
        <v>0</v>
      </c>
      <c r="K274" s="25">
        <f>ROUND(G274*H274,2)</f>
        <v>0</v>
      </c>
      <c r="L274" s="25">
        <v>0.54054999999999997</v>
      </c>
      <c r="M274" s="25">
        <f>G274*L274</f>
        <v>9.4866524999999999</v>
      </c>
      <c r="N274" s="26"/>
      <c r="X274" s="25">
        <f>ROUND(IF(AO274="5",BH274,0),2)</f>
        <v>0</v>
      </c>
      <c r="Z274" s="25">
        <f>ROUND(IF(AO274="1",BF274,0),2)</f>
        <v>0</v>
      </c>
      <c r="AA274" s="25">
        <f>ROUND(IF(AO274="1",BG274,0),2)</f>
        <v>0</v>
      </c>
      <c r="AB274" s="25">
        <f>ROUND(IF(AO274="7",BF274,0),2)</f>
        <v>0</v>
      </c>
      <c r="AC274" s="25">
        <f>ROUND(IF(AO274="7",BG274,0),2)</f>
        <v>0</v>
      </c>
      <c r="AD274" s="25">
        <f>ROUND(IF(AO274="2",BF274,0),2)</f>
        <v>0</v>
      </c>
      <c r="AE274" s="25">
        <f>ROUND(IF(AO274="2",BG274,0),2)</f>
        <v>0</v>
      </c>
      <c r="AF274" s="25">
        <f>ROUND(IF(AO274="0",BH274,0),2)</f>
        <v>0</v>
      </c>
      <c r="AG274" s="10" t="s">
        <v>301</v>
      </c>
      <c r="AH274" s="25">
        <f>IF(AL274=0,K274,0)</f>
        <v>0</v>
      </c>
      <c r="AI274" s="25">
        <f>IF(AL274=12,K274,0)</f>
        <v>0</v>
      </c>
      <c r="AJ274" s="25">
        <f>IF(AL274=21,K274,0)</f>
        <v>0</v>
      </c>
      <c r="AL274" s="25">
        <v>21</v>
      </c>
      <c r="AM274" s="25">
        <f>H274*0.01076212</f>
        <v>0</v>
      </c>
      <c r="AN274" s="25">
        <f>H274*(1-0.01076212)</f>
        <v>0</v>
      </c>
      <c r="AO274" s="27" t="s">
        <v>57</v>
      </c>
      <c r="AT274" s="25">
        <f>ROUND(AU274+AV274,2)</f>
        <v>0</v>
      </c>
      <c r="AU274" s="25">
        <f>ROUND(G274*AM274,2)</f>
        <v>0</v>
      </c>
      <c r="AV274" s="25">
        <f>ROUND(G274*AN274,2)</f>
        <v>0</v>
      </c>
      <c r="AW274" s="27" t="s">
        <v>214</v>
      </c>
      <c r="AX274" s="27" t="s">
        <v>358</v>
      </c>
      <c r="AY274" s="10" t="s">
        <v>306</v>
      </c>
      <c r="BA274" s="25">
        <f>AU274+AV274</f>
        <v>0</v>
      </c>
      <c r="BB274" s="25">
        <f>H274/(100-BC274)*100</f>
        <v>0</v>
      </c>
      <c r="BC274" s="25">
        <v>0</v>
      </c>
      <c r="BD274" s="25">
        <f>M274</f>
        <v>9.4866524999999999</v>
      </c>
      <c r="BF274" s="25">
        <f>G274*AM274</f>
        <v>0</v>
      </c>
      <c r="BG274" s="25">
        <f>G274*AN274</f>
        <v>0</v>
      </c>
      <c r="BH274" s="25">
        <f>G274*H274</f>
        <v>0</v>
      </c>
      <c r="BI274" s="27" t="s">
        <v>65</v>
      </c>
      <c r="BJ274" s="25">
        <v>97</v>
      </c>
      <c r="BU274" s="25" t="e">
        <f>#REF!</f>
        <v>#REF!</v>
      </c>
      <c r="BV274" s="4" t="s">
        <v>244</v>
      </c>
    </row>
    <row r="275" spans="1:74" ht="14.4" x14ac:dyDescent="0.3">
      <c r="A275" s="28"/>
      <c r="D275" s="29" t="s">
        <v>442</v>
      </c>
      <c r="E275" s="29" t="s">
        <v>443</v>
      </c>
      <c r="G275" s="30">
        <v>17.55</v>
      </c>
      <c r="H275" s="63"/>
      <c r="N275" s="31"/>
    </row>
    <row r="276" spans="1:74" ht="14.4" x14ac:dyDescent="0.3">
      <c r="A276" s="2" t="s">
        <v>444</v>
      </c>
      <c r="B276" s="3" t="s">
        <v>301</v>
      </c>
      <c r="C276" s="3" t="s">
        <v>445</v>
      </c>
      <c r="D276" s="112" t="s">
        <v>446</v>
      </c>
      <c r="E276" s="109"/>
      <c r="F276" s="3" t="s">
        <v>115</v>
      </c>
      <c r="G276" s="25">
        <v>48.3</v>
      </c>
      <c r="H276" s="62"/>
      <c r="I276" s="25">
        <f>ROUND(G276*AM276,2)</f>
        <v>0</v>
      </c>
      <c r="J276" s="25">
        <f>ROUND(G276*AN276,2)</f>
        <v>0</v>
      </c>
      <c r="K276" s="25">
        <f>ROUND(G276*H276,2)</f>
        <v>0</v>
      </c>
      <c r="L276" s="25">
        <v>4.7E-2</v>
      </c>
      <c r="M276" s="25">
        <f>G276*L276</f>
        <v>2.2700999999999998</v>
      </c>
      <c r="N276" s="26"/>
      <c r="X276" s="25">
        <f>ROUND(IF(AO276="5",BH276,0),2)</f>
        <v>0</v>
      </c>
      <c r="Z276" s="25">
        <f>ROUND(IF(AO276="1",BF276,0),2)</f>
        <v>0</v>
      </c>
      <c r="AA276" s="25">
        <f>ROUND(IF(AO276="1",BG276,0),2)</f>
        <v>0</v>
      </c>
      <c r="AB276" s="25">
        <f>ROUND(IF(AO276="7",BF276,0),2)</f>
        <v>0</v>
      </c>
      <c r="AC276" s="25">
        <f>ROUND(IF(AO276="7",BG276,0),2)</f>
        <v>0</v>
      </c>
      <c r="AD276" s="25">
        <f>ROUND(IF(AO276="2",BF276,0),2)</f>
        <v>0</v>
      </c>
      <c r="AE276" s="25">
        <f>ROUND(IF(AO276="2",BG276,0),2)</f>
        <v>0</v>
      </c>
      <c r="AF276" s="25">
        <f>ROUND(IF(AO276="0",BH276,0),2)</f>
        <v>0</v>
      </c>
      <c r="AG276" s="10" t="s">
        <v>301</v>
      </c>
      <c r="AH276" s="25">
        <f>IF(AL276=0,K276,0)</f>
        <v>0</v>
      </c>
      <c r="AI276" s="25">
        <f>IF(AL276=12,K276,0)</f>
        <v>0</v>
      </c>
      <c r="AJ276" s="25">
        <f>IF(AL276=21,K276,0)</f>
        <v>0</v>
      </c>
      <c r="AL276" s="25">
        <v>21</v>
      </c>
      <c r="AM276" s="25">
        <f>H276*0</f>
        <v>0</v>
      </c>
      <c r="AN276" s="25">
        <f>H276*(1-0)</f>
        <v>0</v>
      </c>
      <c r="AO276" s="27" t="s">
        <v>57</v>
      </c>
      <c r="AT276" s="25">
        <f>ROUND(AU276+AV276,2)</f>
        <v>0</v>
      </c>
      <c r="AU276" s="25">
        <f>ROUND(G276*AM276,2)</f>
        <v>0</v>
      </c>
      <c r="AV276" s="25">
        <f>ROUND(G276*AN276,2)</f>
        <v>0</v>
      </c>
      <c r="AW276" s="27" t="s">
        <v>214</v>
      </c>
      <c r="AX276" s="27" t="s">
        <v>358</v>
      </c>
      <c r="AY276" s="10" t="s">
        <v>306</v>
      </c>
      <c r="BA276" s="25">
        <f>AU276+AV276</f>
        <v>0</v>
      </c>
      <c r="BB276" s="25">
        <f>H276/(100-BC276)*100</f>
        <v>0</v>
      </c>
      <c r="BC276" s="25">
        <v>0</v>
      </c>
      <c r="BD276" s="25">
        <f>M276</f>
        <v>2.2700999999999998</v>
      </c>
      <c r="BF276" s="25">
        <f>G276*AM276</f>
        <v>0</v>
      </c>
      <c r="BG276" s="25">
        <f>G276*AN276</f>
        <v>0</v>
      </c>
      <c r="BH276" s="25">
        <f>G276*H276</f>
        <v>0</v>
      </c>
      <c r="BI276" s="27" t="s">
        <v>65</v>
      </c>
      <c r="BJ276" s="25">
        <v>97</v>
      </c>
      <c r="BU276" s="25" t="e">
        <f>#REF!</f>
        <v>#REF!</v>
      </c>
      <c r="BV276" s="4" t="s">
        <v>446</v>
      </c>
    </row>
    <row r="277" spans="1:74" ht="14.4" x14ac:dyDescent="0.3">
      <c r="A277" s="28"/>
      <c r="D277" s="29" t="s">
        <v>447</v>
      </c>
      <c r="E277" s="29" t="s">
        <v>52</v>
      </c>
      <c r="G277" s="30">
        <v>48.3</v>
      </c>
      <c r="H277" s="63"/>
      <c r="N277" s="31"/>
    </row>
    <row r="278" spans="1:74" ht="14.4" x14ac:dyDescent="0.3">
      <c r="A278" s="2" t="s">
        <v>448</v>
      </c>
      <c r="B278" s="3" t="s">
        <v>301</v>
      </c>
      <c r="C278" s="3" t="s">
        <v>212</v>
      </c>
      <c r="D278" s="112" t="s">
        <v>213</v>
      </c>
      <c r="E278" s="109"/>
      <c r="F278" s="3" t="s">
        <v>115</v>
      </c>
      <c r="G278" s="25">
        <v>5.95</v>
      </c>
      <c r="H278" s="62"/>
      <c r="I278" s="25">
        <f>ROUND(G278*AM278,2)</f>
        <v>0</v>
      </c>
      <c r="J278" s="25">
        <f>ROUND(G278*AN278,2)</f>
        <v>0</v>
      </c>
      <c r="K278" s="25">
        <f>ROUND(G278*H278,2)</f>
        <v>0</v>
      </c>
      <c r="L278" s="25">
        <v>4.2000000000000003E-2</v>
      </c>
      <c r="M278" s="25">
        <f>G278*L278</f>
        <v>0.24990000000000001</v>
      </c>
      <c r="N278" s="26"/>
      <c r="X278" s="25">
        <f>ROUND(IF(AO278="5",BH278,0),2)</f>
        <v>0</v>
      </c>
      <c r="Z278" s="25">
        <f>ROUND(IF(AO278="1",BF278,0),2)</f>
        <v>0</v>
      </c>
      <c r="AA278" s="25">
        <f>ROUND(IF(AO278="1",BG278,0),2)</f>
        <v>0</v>
      </c>
      <c r="AB278" s="25">
        <f>ROUND(IF(AO278="7",BF278,0),2)</f>
        <v>0</v>
      </c>
      <c r="AC278" s="25">
        <f>ROUND(IF(AO278="7",BG278,0),2)</f>
        <v>0</v>
      </c>
      <c r="AD278" s="25">
        <f>ROUND(IF(AO278="2",BF278,0),2)</f>
        <v>0</v>
      </c>
      <c r="AE278" s="25">
        <f>ROUND(IF(AO278="2",BG278,0),2)</f>
        <v>0</v>
      </c>
      <c r="AF278" s="25">
        <f>ROUND(IF(AO278="0",BH278,0),2)</f>
        <v>0</v>
      </c>
      <c r="AG278" s="10" t="s">
        <v>301</v>
      </c>
      <c r="AH278" s="25">
        <f>IF(AL278=0,K278,0)</f>
        <v>0</v>
      </c>
      <c r="AI278" s="25">
        <f>IF(AL278=12,K278,0)</f>
        <v>0</v>
      </c>
      <c r="AJ278" s="25">
        <f>IF(AL278=21,K278,0)</f>
        <v>0</v>
      </c>
      <c r="AL278" s="25">
        <v>21</v>
      </c>
      <c r="AM278" s="25">
        <f>H278*0</f>
        <v>0</v>
      </c>
      <c r="AN278" s="25">
        <f>H278*(1-0)</f>
        <v>0</v>
      </c>
      <c r="AO278" s="27" t="s">
        <v>57</v>
      </c>
      <c r="AT278" s="25">
        <f>ROUND(AU278+AV278,2)</f>
        <v>0</v>
      </c>
      <c r="AU278" s="25">
        <f>ROUND(G278*AM278,2)</f>
        <v>0</v>
      </c>
      <c r="AV278" s="25">
        <f>ROUND(G278*AN278,2)</f>
        <v>0</v>
      </c>
      <c r="AW278" s="27" t="s">
        <v>214</v>
      </c>
      <c r="AX278" s="27" t="s">
        <v>358</v>
      </c>
      <c r="AY278" s="10" t="s">
        <v>306</v>
      </c>
      <c r="BA278" s="25">
        <f>AU278+AV278</f>
        <v>0</v>
      </c>
      <c r="BB278" s="25">
        <f>H278/(100-BC278)*100</f>
        <v>0</v>
      </c>
      <c r="BC278" s="25">
        <v>0</v>
      </c>
      <c r="BD278" s="25">
        <f>M278</f>
        <v>0.24990000000000001</v>
      </c>
      <c r="BF278" s="25">
        <f>G278*AM278</f>
        <v>0</v>
      </c>
      <c r="BG278" s="25">
        <f>G278*AN278</f>
        <v>0</v>
      </c>
      <c r="BH278" s="25">
        <f>G278*H278</f>
        <v>0</v>
      </c>
      <c r="BI278" s="27" t="s">
        <v>65</v>
      </c>
      <c r="BJ278" s="25">
        <v>97</v>
      </c>
      <c r="BU278" s="25" t="e">
        <f>#REF!</f>
        <v>#REF!</v>
      </c>
      <c r="BV278" s="4" t="s">
        <v>213</v>
      </c>
    </row>
    <row r="279" spans="1:74" ht="14.4" x14ac:dyDescent="0.3">
      <c r="A279" s="28"/>
      <c r="D279" s="29" t="s">
        <v>449</v>
      </c>
      <c r="E279" s="29" t="s">
        <v>52</v>
      </c>
      <c r="G279" s="30">
        <v>5.95</v>
      </c>
      <c r="H279" s="63"/>
      <c r="N279" s="31"/>
    </row>
    <row r="280" spans="1:74" ht="14.4" x14ac:dyDescent="0.3">
      <c r="A280" s="2" t="s">
        <v>450</v>
      </c>
      <c r="B280" s="3" t="s">
        <v>301</v>
      </c>
      <c r="C280" s="3" t="s">
        <v>265</v>
      </c>
      <c r="D280" s="112" t="s">
        <v>451</v>
      </c>
      <c r="E280" s="109"/>
      <c r="F280" s="3" t="s">
        <v>115</v>
      </c>
      <c r="G280" s="25">
        <v>0.25</v>
      </c>
      <c r="H280" s="62"/>
      <c r="I280" s="25">
        <f>ROUND(G280*AM280,2)</f>
        <v>0</v>
      </c>
      <c r="J280" s="25">
        <f>ROUND(G280*AN280,2)</f>
        <v>0</v>
      </c>
      <c r="K280" s="25">
        <f>ROUND(G280*H280,2)</f>
        <v>0</v>
      </c>
      <c r="L280" s="25">
        <v>0.18082000000000001</v>
      </c>
      <c r="M280" s="25">
        <f>G280*L280</f>
        <v>4.5205000000000002E-2</v>
      </c>
      <c r="N280" s="26"/>
      <c r="X280" s="25">
        <f>ROUND(IF(AO280="5",BH280,0),2)</f>
        <v>0</v>
      </c>
      <c r="Z280" s="25">
        <f>ROUND(IF(AO280="1",BF280,0),2)</f>
        <v>0</v>
      </c>
      <c r="AA280" s="25">
        <f>ROUND(IF(AO280="1",BG280,0),2)</f>
        <v>0</v>
      </c>
      <c r="AB280" s="25">
        <f>ROUND(IF(AO280="7",BF280,0),2)</f>
        <v>0</v>
      </c>
      <c r="AC280" s="25">
        <f>ROUND(IF(AO280="7",BG280,0),2)</f>
        <v>0</v>
      </c>
      <c r="AD280" s="25">
        <f>ROUND(IF(AO280="2",BF280,0),2)</f>
        <v>0</v>
      </c>
      <c r="AE280" s="25">
        <f>ROUND(IF(AO280="2",BG280,0),2)</f>
        <v>0</v>
      </c>
      <c r="AF280" s="25">
        <f>ROUND(IF(AO280="0",BH280,0),2)</f>
        <v>0</v>
      </c>
      <c r="AG280" s="10" t="s">
        <v>301</v>
      </c>
      <c r="AH280" s="25">
        <f>IF(AL280=0,K280,0)</f>
        <v>0</v>
      </c>
      <c r="AI280" s="25">
        <f>IF(AL280=12,K280,0)</f>
        <v>0</v>
      </c>
      <c r="AJ280" s="25">
        <f>IF(AL280=21,K280,0)</f>
        <v>0</v>
      </c>
      <c r="AL280" s="25">
        <v>21</v>
      </c>
      <c r="AM280" s="25">
        <f>H280*0.314796975</f>
        <v>0</v>
      </c>
      <c r="AN280" s="25">
        <f>H280*(1-0.314796975)</f>
        <v>0</v>
      </c>
      <c r="AO280" s="27" t="s">
        <v>57</v>
      </c>
      <c r="AT280" s="25">
        <f>ROUND(AU280+AV280,2)</f>
        <v>0</v>
      </c>
      <c r="AU280" s="25">
        <f>ROUND(G280*AM280,2)</f>
        <v>0</v>
      </c>
      <c r="AV280" s="25">
        <f>ROUND(G280*AN280,2)</f>
        <v>0</v>
      </c>
      <c r="AW280" s="27" t="s">
        <v>214</v>
      </c>
      <c r="AX280" s="27" t="s">
        <v>358</v>
      </c>
      <c r="AY280" s="10" t="s">
        <v>306</v>
      </c>
      <c r="BA280" s="25">
        <f>AU280+AV280</f>
        <v>0</v>
      </c>
      <c r="BB280" s="25">
        <f>H280/(100-BC280)*100</f>
        <v>0</v>
      </c>
      <c r="BC280" s="25">
        <v>0</v>
      </c>
      <c r="BD280" s="25">
        <f>M280</f>
        <v>4.5205000000000002E-2</v>
      </c>
      <c r="BF280" s="25">
        <f>G280*AM280</f>
        <v>0</v>
      </c>
      <c r="BG280" s="25">
        <f>G280*AN280</f>
        <v>0</v>
      </c>
      <c r="BH280" s="25">
        <f>G280*H280</f>
        <v>0</v>
      </c>
      <c r="BI280" s="27" t="s">
        <v>65</v>
      </c>
      <c r="BJ280" s="25">
        <v>97</v>
      </c>
      <c r="BU280" s="25" t="e">
        <f>#REF!</f>
        <v>#REF!</v>
      </c>
      <c r="BV280" s="4" t="s">
        <v>451</v>
      </c>
    </row>
    <row r="281" spans="1:74" ht="14.4" x14ac:dyDescent="0.3">
      <c r="A281" s="28"/>
      <c r="D281" s="29" t="s">
        <v>452</v>
      </c>
      <c r="E281" s="29" t="s">
        <v>52</v>
      </c>
      <c r="G281" s="30">
        <v>0.25</v>
      </c>
      <c r="H281" s="63"/>
      <c r="N281" s="31"/>
    </row>
    <row r="282" spans="1:74" ht="26.4" x14ac:dyDescent="0.3">
      <c r="A282" s="2" t="s">
        <v>453</v>
      </c>
      <c r="B282" s="3" t="s">
        <v>301</v>
      </c>
      <c r="C282" s="3" t="s">
        <v>220</v>
      </c>
      <c r="D282" s="112" t="s">
        <v>221</v>
      </c>
      <c r="E282" s="109"/>
      <c r="F282" s="3" t="s">
        <v>122</v>
      </c>
      <c r="G282" s="25">
        <v>20</v>
      </c>
      <c r="H282" s="62"/>
      <c r="I282" s="25">
        <f>ROUND(G282*AM282,2)</f>
        <v>0</v>
      </c>
      <c r="J282" s="25">
        <f>ROUND(G282*AN282,2)</f>
        <v>0</v>
      </c>
      <c r="K282" s="25">
        <f>ROUND(G282*H282,2)</f>
        <v>0</v>
      </c>
      <c r="L282" s="25">
        <v>1E-3</v>
      </c>
      <c r="M282" s="25">
        <f>G282*L282</f>
        <v>0.02</v>
      </c>
      <c r="N282" s="26"/>
      <c r="X282" s="25">
        <f>ROUND(IF(AO282="5",BH282,0),2)</f>
        <v>0</v>
      </c>
      <c r="Z282" s="25">
        <f>ROUND(IF(AO282="1",BF282,0),2)</f>
        <v>0</v>
      </c>
      <c r="AA282" s="25">
        <f>ROUND(IF(AO282="1",BG282,0),2)</f>
        <v>0</v>
      </c>
      <c r="AB282" s="25">
        <f>ROUND(IF(AO282="7",BF282,0),2)</f>
        <v>0</v>
      </c>
      <c r="AC282" s="25">
        <f>ROUND(IF(AO282="7",BG282,0),2)</f>
        <v>0</v>
      </c>
      <c r="AD282" s="25">
        <f>ROUND(IF(AO282="2",BF282,0),2)</f>
        <v>0</v>
      </c>
      <c r="AE282" s="25">
        <f>ROUND(IF(AO282="2",BG282,0),2)</f>
        <v>0</v>
      </c>
      <c r="AF282" s="25">
        <f>ROUND(IF(AO282="0",BH282,0),2)</f>
        <v>0</v>
      </c>
      <c r="AG282" s="10" t="s">
        <v>301</v>
      </c>
      <c r="AH282" s="25">
        <f>IF(AL282=0,K282,0)</f>
        <v>0</v>
      </c>
      <c r="AI282" s="25">
        <f>IF(AL282=12,K282,0)</f>
        <v>0</v>
      </c>
      <c r="AJ282" s="25">
        <f>IF(AL282=21,K282,0)</f>
        <v>0</v>
      </c>
      <c r="AL282" s="25">
        <v>21</v>
      </c>
      <c r="AM282" s="25">
        <f>H282*0</f>
        <v>0</v>
      </c>
      <c r="AN282" s="25">
        <f>H282*(1-0)</f>
        <v>0</v>
      </c>
      <c r="AO282" s="27" t="s">
        <v>57</v>
      </c>
      <c r="AT282" s="25">
        <f>ROUND(AU282+AV282,2)</f>
        <v>0</v>
      </c>
      <c r="AU282" s="25">
        <f>ROUND(G282*AM282,2)</f>
        <v>0</v>
      </c>
      <c r="AV282" s="25">
        <f>ROUND(G282*AN282,2)</f>
        <v>0</v>
      </c>
      <c r="AW282" s="27" t="s">
        <v>214</v>
      </c>
      <c r="AX282" s="27" t="s">
        <v>358</v>
      </c>
      <c r="AY282" s="10" t="s">
        <v>306</v>
      </c>
      <c r="BA282" s="25">
        <f>AU282+AV282</f>
        <v>0</v>
      </c>
      <c r="BB282" s="25">
        <f>H282/(100-BC282)*100</f>
        <v>0</v>
      </c>
      <c r="BC282" s="25">
        <v>0</v>
      </c>
      <c r="BD282" s="25">
        <f>M282</f>
        <v>0.02</v>
      </c>
      <c r="BF282" s="25">
        <f>G282*AM282</f>
        <v>0</v>
      </c>
      <c r="BG282" s="25">
        <f>G282*AN282</f>
        <v>0</v>
      </c>
      <c r="BH282" s="25">
        <f>G282*H282</f>
        <v>0</v>
      </c>
      <c r="BI282" s="27" t="s">
        <v>65</v>
      </c>
      <c r="BJ282" s="25">
        <v>97</v>
      </c>
      <c r="BU282" s="25" t="e">
        <f>#REF!</f>
        <v>#REF!</v>
      </c>
      <c r="BV282" s="4" t="s">
        <v>221</v>
      </c>
    </row>
    <row r="283" spans="1:74" ht="14.4" x14ac:dyDescent="0.3">
      <c r="A283" s="2" t="s">
        <v>454</v>
      </c>
      <c r="B283" s="3" t="s">
        <v>301</v>
      </c>
      <c r="C283" s="3" t="s">
        <v>223</v>
      </c>
      <c r="D283" s="112" t="s">
        <v>224</v>
      </c>
      <c r="E283" s="109"/>
      <c r="F283" s="3" t="s">
        <v>60</v>
      </c>
      <c r="G283" s="25">
        <v>139.369</v>
      </c>
      <c r="H283" s="62"/>
      <c r="I283" s="25">
        <f>ROUND(G283*AM283,2)</f>
        <v>0</v>
      </c>
      <c r="J283" s="25">
        <f>ROUND(G283*AN283,2)</f>
        <v>0</v>
      </c>
      <c r="K283" s="25">
        <f>ROUND(G283*H283,2)</f>
        <v>0</v>
      </c>
      <c r="L283" s="25">
        <v>6.8000000000000005E-2</v>
      </c>
      <c r="M283" s="25">
        <f>G283*L283</f>
        <v>9.4770920000000007</v>
      </c>
      <c r="N283" s="26"/>
      <c r="X283" s="25">
        <f>ROUND(IF(AO283="5",BH283,0),2)</f>
        <v>0</v>
      </c>
      <c r="Z283" s="25">
        <f>ROUND(IF(AO283="1",BF283,0),2)</f>
        <v>0</v>
      </c>
      <c r="AA283" s="25">
        <f>ROUND(IF(AO283="1",BG283,0),2)</f>
        <v>0</v>
      </c>
      <c r="AB283" s="25">
        <f>ROUND(IF(AO283="7",BF283,0),2)</f>
        <v>0</v>
      </c>
      <c r="AC283" s="25">
        <f>ROUND(IF(AO283="7",BG283,0),2)</f>
        <v>0</v>
      </c>
      <c r="AD283" s="25">
        <f>ROUND(IF(AO283="2",BF283,0),2)</f>
        <v>0</v>
      </c>
      <c r="AE283" s="25">
        <f>ROUND(IF(AO283="2",BG283,0),2)</f>
        <v>0</v>
      </c>
      <c r="AF283" s="25">
        <f>ROUND(IF(AO283="0",BH283,0),2)</f>
        <v>0</v>
      </c>
      <c r="AG283" s="10" t="s">
        <v>301</v>
      </c>
      <c r="AH283" s="25">
        <f>IF(AL283=0,K283,0)</f>
        <v>0</v>
      </c>
      <c r="AI283" s="25">
        <f>IF(AL283=12,K283,0)</f>
        <v>0</v>
      </c>
      <c r="AJ283" s="25">
        <f>IF(AL283=21,K283,0)</f>
        <v>0</v>
      </c>
      <c r="AL283" s="25">
        <v>21</v>
      </c>
      <c r="AM283" s="25">
        <f>H283*0</f>
        <v>0</v>
      </c>
      <c r="AN283" s="25">
        <f>H283*(1-0)</f>
        <v>0</v>
      </c>
      <c r="AO283" s="27" t="s">
        <v>57</v>
      </c>
      <c r="AT283" s="25">
        <f>ROUND(AU283+AV283,2)</f>
        <v>0</v>
      </c>
      <c r="AU283" s="25">
        <f>ROUND(G283*AM283,2)</f>
        <v>0</v>
      </c>
      <c r="AV283" s="25">
        <f>ROUND(G283*AN283,2)</f>
        <v>0</v>
      </c>
      <c r="AW283" s="27" t="s">
        <v>214</v>
      </c>
      <c r="AX283" s="27" t="s">
        <v>358</v>
      </c>
      <c r="AY283" s="10" t="s">
        <v>306</v>
      </c>
      <c r="BA283" s="25">
        <f>AU283+AV283</f>
        <v>0</v>
      </c>
      <c r="BB283" s="25">
        <f>H283/(100-BC283)*100</f>
        <v>0</v>
      </c>
      <c r="BC283" s="25">
        <v>0</v>
      </c>
      <c r="BD283" s="25">
        <f>M283</f>
        <v>9.4770920000000007</v>
      </c>
      <c r="BF283" s="25">
        <f>G283*AM283</f>
        <v>0</v>
      </c>
      <c r="BG283" s="25">
        <f>G283*AN283</f>
        <v>0</v>
      </c>
      <c r="BH283" s="25">
        <f>G283*H283</f>
        <v>0</v>
      </c>
      <c r="BI283" s="27" t="s">
        <v>65</v>
      </c>
      <c r="BJ283" s="25">
        <v>97</v>
      </c>
      <c r="BU283" s="25" t="e">
        <f>#REF!</f>
        <v>#REF!</v>
      </c>
      <c r="BV283" s="4" t="s">
        <v>224</v>
      </c>
    </row>
    <row r="284" spans="1:74" ht="14.4" x14ac:dyDescent="0.3">
      <c r="A284" s="28"/>
      <c r="D284" s="29" t="s">
        <v>455</v>
      </c>
      <c r="E284" s="29" t="s">
        <v>456</v>
      </c>
      <c r="G284" s="30">
        <v>5.6520000000000001</v>
      </c>
      <c r="H284" s="63"/>
      <c r="N284" s="31"/>
    </row>
    <row r="285" spans="1:74" ht="14.4" x14ac:dyDescent="0.3">
      <c r="A285" s="28"/>
      <c r="D285" s="29" t="s">
        <v>457</v>
      </c>
      <c r="E285" s="29" t="s">
        <v>366</v>
      </c>
      <c r="G285" s="30">
        <v>21.501000000000001</v>
      </c>
      <c r="H285" s="63"/>
      <c r="N285" s="31"/>
    </row>
    <row r="286" spans="1:74" ht="14.4" x14ac:dyDescent="0.3">
      <c r="A286" s="28"/>
      <c r="D286" s="29" t="s">
        <v>458</v>
      </c>
      <c r="E286" s="29" t="s">
        <v>366</v>
      </c>
      <c r="G286" s="30">
        <v>25.937999999999999</v>
      </c>
      <c r="H286" s="63"/>
      <c r="N286" s="31"/>
    </row>
    <row r="287" spans="1:74" ht="14.4" x14ac:dyDescent="0.3">
      <c r="A287" s="28"/>
      <c r="D287" s="29" t="s">
        <v>459</v>
      </c>
      <c r="E287" s="29" t="s">
        <v>366</v>
      </c>
      <c r="G287" s="30">
        <v>34.155000000000001</v>
      </c>
      <c r="H287" s="63"/>
      <c r="N287" s="31"/>
    </row>
    <row r="288" spans="1:74" ht="14.4" x14ac:dyDescent="0.3">
      <c r="A288" s="28"/>
      <c r="D288" s="29" t="s">
        <v>460</v>
      </c>
      <c r="E288" s="29" t="s">
        <v>461</v>
      </c>
      <c r="G288" s="30">
        <v>2.2309999999999999</v>
      </c>
      <c r="H288" s="63"/>
      <c r="N288" s="31"/>
    </row>
    <row r="289" spans="1:74" ht="14.4" x14ac:dyDescent="0.3">
      <c r="A289" s="28"/>
      <c r="D289" s="29" t="s">
        <v>462</v>
      </c>
      <c r="E289" s="29" t="s">
        <v>463</v>
      </c>
      <c r="G289" s="30">
        <v>4.915</v>
      </c>
      <c r="H289" s="63"/>
      <c r="N289" s="31"/>
    </row>
    <row r="290" spans="1:74" ht="14.4" x14ac:dyDescent="0.3">
      <c r="A290" s="28"/>
      <c r="D290" s="29" t="s">
        <v>464</v>
      </c>
      <c r="E290" s="29" t="s">
        <v>465</v>
      </c>
      <c r="G290" s="30">
        <v>2.5499999999999998</v>
      </c>
      <c r="H290" s="63"/>
      <c r="N290" s="31"/>
    </row>
    <row r="291" spans="1:74" ht="14.4" x14ac:dyDescent="0.3">
      <c r="A291" s="28"/>
      <c r="D291" s="29" t="s">
        <v>466</v>
      </c>
      <c r="E291" s="29" t="s">
        <v>467</v>
      </c>
      <c r="G291" s="30">
        <v>13.227</v>
      </c>
      <c r="H291" s="63"/>
      <c r="N291" s="31"/>
    </row>
    <row r="292" spans="1:74" ht="14.4" x14ac:dyDescent="0.3">
      <c r="A292" s="28"/>
      <c r="D292" s="29" t="s">
        <v>468</v>
      </c>
      <c r="E292" s="29" t="s">
        <v>363</v>
      </c>
      <c r="G292" s="30">
        <v>8.5120000000000005</v>
      </c>
      <c r="H292" s="63"/>
      <c r="N292" s="31"/>
    </row>
    <row r="293" spans="1:74" ht="14.4" x14ac:dyDescent="0.3">
      <c r="A293" s="28"/>
      <c r="D293" s="29" t="s">
        <v>469</v>
      </c>
      <c r="E293" s="29" t="s">
        <v>377</v>
      </c>
      <c r="G293" s="30">
        <v>13.198</v>
      </c>
      <c r="H293" s="63"/>
      <c r="N293" s="31"/>
    </row>
    <row r="294" spans="1:74" ht="14.4" x14ac:dyDescent="0.3">
      <c r="A294" s="28"/>
      <c r="D294" s="29" t="s">
        <v>470</v>
      </c>
      <c r="E294" s="29" t="s">
        <v>375</v>
      </c>
      <c r="G294" s="30">
        <v>5.194</v>
      </c>
      <c r="H294" s="63"/>
      <c r="N294" s="31"/>
    </row>
    <row r="295" spans="1:74" ht="14.4" x14ac:dyDescent="0.3">
      <c r="A295" s="28"/>
      <c r="D295" s="29" t="s">
        <v>471</v>
      </c>
      <c r="E295" s="29" t="s">
        <v>373</v>
      </c>
      <c r="G295" s="30">
        <v>2.2959999999999998</v>
      </c>
      <c r="H295" s="63"/>
      <c r="N295" s="31"/>
    </row>
    <row r="296" spans="1:74" ht="14.4" x14ac:dyDescent="0.3">
      <c r="A296" s="2" t="s">
        <v>472</v>
      </c>
      <c r="B296" s="3" t="s">
        <v>301</v>
      </c>
      <c r="C296" s="3" t="s">
        <v>233</v>
      </c>
      <c r="D296" s="112" t="s">
        <v>234</v>
      </c>
      <c r="E296" s="109"/>
      <c r="F296" s="3" t="s">
        <v>60</v>
      </c>
      <c r="G296" s="25">
        <v>158.68</v>
      </c>
      <c r="H296" s="62"/>
      <c r="I296" s="25">
        <f>ROUND(G296*AM296,2)</f>
        <v>0</v>
      </c>
      <c r="J296" s="25">
        <f>ROUND(G296*AN296,2)</f>
        <v>0</v>
      </c>
      <c r="K296" s="25">
        <f>ROUND(G296*H296,2)</f>
        <v>0</v>
      </c>
      <c r="L296" s="25">
        <v>2.546E-2</v>
      </c>
      <c r="M296" s="25">
        <f>G296*L296</f>
        <v>4.0399928000000003</v>
      </c>
      <c r="N296" s="26"/>
      <c r="X296" s="25">
        <f>ROUND(IF(AO296="5",BH296,0),2)</f>
        <v>0</v>
      </c>
      <c r="Z296" s="25">
        <f>ROUND(IF(AO296="1",BF296,0),2)</f>
        <v>0</v>
      </c>
      <c r="AA296" s="25">
        <f>ROUND(IF(AO296="1",BG296,0),2)</f>
        <v>0</v>
      </c>
      <c r="AB296" s="25">
        <f>ROUND(IF(AO296="7",BF296,0),2)</f>
        <v>0</v>
      </c>
      <c r="AC296" s="25">
        <f>ROUND(IF(AO296="7",BG296,0),2)</f>
        <v>0</v>
      </c>
      <c r="AD296" s="25">
        <f>ROUND(IF(AO296="2",BF296,0),2)</f>
        <v>0</v>
      </c>
      <c r="AE296" s="25">
        <f>ROUND(IF(AO296="2",BG296,0),2)</f>
        <v>0</v>
      </c>
      <c r="AF296" s="25">
        <f>ROUND(IF(AO296="0",BH296,0),2)</f>
        <v>0</v>
      </c>
      <c r="AG296" s="10" t="s">
        <v>301</v>
      </c>
      <c r="AH296" s="25">
        <f>IF(AL296=0,K296,0)</f>
        <v>0</v>
      </c>
      <c r="AI296" s="25">
        <f>IF(AL296=12,K296,0)</f>
        <v>0</v>
      </c>
      <c r="AJ296" s="25">
        <f>IF(AL296=21,K296,0)</f>
        <v>0</v>
      </c>
      <c r="AL296" s="25">
        <v>21</v>
      </c>
      <c r="AM296" s="25">
        <f>H296*0</f>
        <v>0</v>
      </c>
      <c r="AN296" s="25">
        <f>H296*(1-0)</f>
        <v>0</v>
      </c>
      <c r="AO296" s="27" t="s">
        <v>57</v>
      </c>
      <c r="AT296" s="25">
        <f>ROUND(AU296+AV296,2)</f>
        <v>0</v>
      </c>
      <c r="AU296" s="25">
        <f>ROUND(G296*AM296,2)</f>
        <v>0</v>
      </c>
      <c r="AV296" s="25">
        <f>ROUND(G296*AN296,2)</f>
        <v>0</v>
      </c>
      <c r="AW296" s="27" t="s">
        <v>214</v>
      </c>
      <c r="AX296" s="27" t="s">
        <v>358</v>
      </c>
      <c r="AY296" s="10" t="s">
        <v>306</v>
      </c>
      <c r="BA296" s="25">
        <f>AU296+AV296</f>
        <v>0</v>
      </c>
      <c r="BB296" s="25">
        <f>H296/(100-BC296)*100</f>
        <v>0</v>
      </c>
      <c r="BC296" s="25">
        <v>0</v>
      </c>
      <c r="BD296" s="25">
        <f>M296</f>
        <v>4.0399928000000003</v>
      </c>
      <c r="BF296" s="25">
        <f>G296*AM296</f>
        <v>0</v>
      </c>
      <c r="BG296" s="25">
        <f>G296*AN296</f>
        <v>0</v>
      </c>
      <c r="BH296" s="25">
        <f>G296*H296</f>
        <v>0</v>
      </c>
      <c r="BI296" s="27" t="s">
        <v>65</v>
      </c>
      <c r="BJ296" s="25">
        <v>97</v>
      </c>
      <c r="BU296" s="25" t="e">
        <f>#REF!</f>
        <v>#REF!</v>
      </c>
      <c r="BV296" s="4" t="s">
        <v>234</v>
      </c>
    </row>
    <row r="297" spans="1:74" ht="14.4" x14ac:dyDescent="0.3">
      <c r="A297" s="28"/>
      <c r="D297" s="29" t="s">
        <v>336</v>
      </c>
      <c r="E297" s="29" t="s">
        <v>337</v>
      </c>
      <c r="G297" s="30">
        <v>6.06</v>
      </c>
      <c r="H297" s="63"/>
      <c r="N297" s="31"/>
    </row>
    <row r="298" spans="1:74" ht="14.4" x14ac:dyDescent="0.3">
      <c r="A298" s="28"/>
      <c r="D298" s="29" t="s">
        <v>389</v>
      </c>
      <c r="E298" s="29" t="s">
        <v>366</v>
      </c>
      <c r="G298" s="30">
        <v>117.65</v>
      </c>
      <c r="H298" s="63"/>
      <c r="N298" s="31"/>
    </row>
    <row r="299" spans="1:74" ht="14.4" x14ac:dyDescent="0.3">
      <c r="A299" s="28"/>
      <c r="D299" s="29" t="s">
        <v>381</v>
      </c>
      <c r="E299" s="29" t="s">
        <v>361</v>
      </c>
      <c r="G299" s="30">
        <v>9.35</v>
      </c>
      <c r="H299" s="63"/>
      <c r="N299" s="31"/>
    </row>
    <row r="300" spans="1:74" ht="14.4" x14ac:dyDescent="0.3">
      <c r="A300" s="28"/>
      <c r="D300" s="29" t="s">
        <v>473</v>
      </c>
      <c r="E300" s="29" t="s">
        <v>370</v>
      </c>
      <c r="G300" s="30">
        <v>7.42</v>
      </c>
      <c r="H300" s="63"/>
      <c r="N300" s="31"/>
    </row>
    <row r="301" spans="1:74" ht="14.4" x14ac:dyDescent="0.3">
      <c r="A301" s="28"/>
      <c r="D301" s="29" t="s">
        <v>391</v>
      </c>
      <c r="E301" s="29" t="s">
        <v>363</v>
      </c>
      <c r="G301" s="30">
        <v>2.73</v>
      </c>
      <c r="H301" s="63"/>
      <c r="N301" s="31"/>
    </row>
    <row r="302" spans="1:74" ht="14.4" x14ac:dyDescent="0.3">
      <c r="A302" s="28"/>
      <c r="D302" s="29" t="s">
        <v>384</v>
      </c>
      <c r="E302" s="29" t="s">
        <v>373</v>
      </c>
      <c r="G302" s="30">
        <v>5.4</v>
      </c>
      <c r="H302" s="63"/>
      <c r="N302" s="31"/>
    </row>
    <row r="303" spans="1:74" ht="14.4" x14ac:dyDescent="0.3">
      <c r="A303" s="28"/>
      <c r="D303" s="29" t="s">
        <v>393</v>
      </c>
      <c r="E303" s="29" t="s">
        <v>375</v>
      </c>
      <c r="G303" s="30">
        <v>1.3</v>
      </c>
      <c r="H303" s="63"/>
      <c r="N303" s="31"/>
    </row>
    <row r="304" spans="1:74" ht="14.4" x14ac:dyDescent="0.3">
      <c r="A304" s="28"/>
      <c r="D304" s="29" t="s">
        <v>474</v>
      </c>
      <c r="E304" s="29" t="s">
        <v>377</v>
      </c>
      <c r="G304" s="30">
        <v>3.1</v>
      </c>
      <c r="H304" s="63"/>
      <c r="N304" s="31"/>
    </row>
    <row r="305" spans="1:74" ht="14.4" x14ac:dyDescent="0.3">
      <c r="A305" s="28"/>
      <c r="D305" s="29" t="s">
        <v>475</v>
      </c>
      <c r="E305" s="29" t="s">
        <v>402</v>
      </c>
      <c r="G305" s="30">
        <v>5.67</v>
      </c>
      <c r="H305" s="63"/>
      <c r="N305" s="31"/>
    </row>
    <row r="306" spans="1:74" ht="14.4" x14ac:dyDescent="0.3">
      <c r="A306" s="2" t="s">
        <v>476</v>
      </c>
      <c r="B306" s="3" t="s">
        <v>301</v>
      </c>
      <c r="C306" s="3" t="s">
        <v>262</v>
      </c>
      <c r="D306" s="112" t="s">
        <v>263</v>
      </c>
      <c r="E306" s="109"/>
      <c r="F306" s="3" t="s">
        <v>60</v>
      </c>
      <c r="G306" s="25">
        <v>234.12899999999999</v>
      </c>
      <c r="H306" s="62"/>
      <c r="I306" s="25">
        <f>ROUND(G306*AM306,2)</f>
        <v>0</v>
      </c>
      <c r="J306" s="25">
        <f>ROUND(G306*AN306,2)</f>
        <v>0</v>
      </c>
      <c r="K306" s="25">
        <f>ROUND(G306*H306,2)</f>
        <v>0</v>
      </c>
      <c r="L306" s="25">
        <v>0.01</v>
      </c>
      <c r="M306" s="25">
        <f>G306*L306</f>
        <v>2.3412899999999999</v>
      </c>
      <c r="N306" s="26"/>
      <c r="X306" s="25">
        <f>ROUND(IF(AO306="5",BH306,0),2)</f>
        <v>0</v>
      </c>
      <c r="Z306" s="25">
        <f>ROUND(IF(AO306="1",BF306,0),2)</f>
        <v>0</v>
      </c>
      <c r="AA306" s="25">
        <f>ROUND(IF(AO306="1",BG306,0),2)</f>
        <v>0</v>
      </c>
      <c r="AB306" s="25">
        <f>ROUND(IF(AO306="7",BF306,0),2)</f>
        <v>0</v>
      </c>
      <c r="AC306" s="25">
        <f>ROUND(IF(AO306="7",BG306,0),2)</f>
        <v>0</v>
      </c>
      <c r="AD306" s="25">
        <f>ROUND(IF(AO306="2",BF306,0),2)</f>
        <v>0</v>
      </c>
      <c r="AE306" s="25">
        <f>ROUND(IF(AO306="2",BG306,0),2)</f>
        <v>0</v>
      </c>
      <c r="AF306" s="25">
        <f>ROUND(IF(AO306="0",BH306,0),2)</f>
        <v>0</v>
      </c>
      <c r="AG306" s="10" t="s">
        <v>301</v>
      </c>
      <c r="AH306" s="25">
        <f>IF(AL306=0,K306,0)</f>
        <v>0</v>
      </c>
      <c r="AI306" s="25">
        <f>IF(AL306=12,K306,0)</f>
        <v>0</v>
      </c>
      <c r="AJ306" s="25">
        <f>IF(AL306=21,K306,0)</f>
        <v>0</v>
      </c>
      <c r="AL306" s="25">
        <v>21</v>
      </c>
      <c r="AM306" s="25">
        <f>H306*0</f>
        <v>0</v>
      </c>
      <c r="AN306" s="25">
        <f>H306*(1-0)</f>
        <v>0</v>
      </c>
      <c r="AO306" s="27" t="s">
        <v>57</v>
      </c>
      <c r="AT306" s="25">
        <f>ROUND(AU306+AV306,2)</f>
        <v>0</v>
      </c>
      <c r="AU306" s="25">
        <f>ROUND(G306*AM306,2)</f>
        <v>0</v>
      </c>
      <c r="AV306" s="25">
        <f>ROUND(G306*AN306,2)</f>
        <v>0</v>
      </c>
      <c r="AW306" s="27" t="s">
        <v>214</v>
      </c>
      <c r="AX306" s="27" t="s">
        <v>358</v>
      </c>
      <c r="AY306" s="10" t="s">
        <v>306</v>
      </c>
      <c r="BA306" s="25">
        <f>AU306+AV306</f>
        <v>0</v>
      </c>
      <c r="BB306" s="25">
        <f>H306/(100-BC306)*100</f>
        <v>0</v>
      </c>
      <c r="BC306" s="25">
        <v>0</v>
      </c>
      <c r="BD306" s="25">
        <f>M306</f>
        <v>2.3412899999999999</v>
      </c>
      <c r="BF306" s="25">
        <f>G306*AM306</f>
        <v>0</v>
      </c>
      <c r="BG306" s="25">
        <f>G306*AN306</f>
        <v>0</v>
      </c>
      <c r="BH306" s="25">
        <f>G306*H306</f>
        <v>0</v>
      </c>
      <c r="BI306" s="27" t="s">
        <v>65</v>
      </c>
      <c r="BJ306" s="25">
        <v>97</v>
      </c>
      <c r="BU306" s="25" t="e">
        <f>#REF!</f>
        <v>#REF!</v>
      </c>
      <c r="BV306" s="4" t="s">
        <v>263</v>
      </c>
    </row>
    <row r="307" spans="1:74" ht="14.4" x14ac:dyDescent="0.3">
      <c r="A307" s="28"/>
      <c r="D307" s="29" t="s">
        <v>477</v>
      </c>
      <c r="E307" s="29" t="s">
        <v>337</v>
      </c>
      <c r="G307" s="30">
        <v>16.84</v>
      </c>
      <c r="H307" s="63"/>
      <c r="N307" s="31"/>
    </row>
    <row r="308" spans="1:74" ht="14.4" x14ac:dyDescent="0.3">
      <c r="A308" s="28"/>
      <c r="D308" s="29" t="s">
        <v>478</v>
      </c>
      <c r="E308" s="29" t="s">
        <v>366</v>
      </c>
      <c r="G308" s="30">
        <v>16.391999999999999</v>
      </c>
      <c r="H308" s="63"/>
      <c r="N308" s="31"/>
    </row>
    <row r="309" spans="1:74" ht="14.4" x14ac:dyDescent="0.3">
      <c r="A309" s="28"/>
      <c r="D309" s="29" t="s">
        <v>479</v>
      </c>
      <c r="E309" s="29" t="s">
        <v>366</v>
      </c>
      <c r="G309" s="30">
        <v>25.355</v>
      </c>
      <c r="H309" s="63"/>
      <c r="N309" s="31"/>
    </row>
    <row r="310" spans="1:74" ht="14.4" x14ac:dyDescent="0.3">
      <c r="A310" s="28"/>
      <c r="D310" s="29" t="s">
        <v>480</v>
      </c>
      <c r="E310" s="29" t="s">
        <v>366</v>
      </c>
      <c r="G310" s="30">
        <v>10.702</v>
      </c>
      <c r="H310" s="63"/>
      <c r="N310" s="31"/>
    </row>
    <row r="311" spans="1:74" ht="14.4" x14ac:dyDescent="0.3">
      <c r="A311" s="28"/>
      <c r="D311" s="29" t="s">
        <v>481</v>
      </c>
      <c r="E311" s="29" t="s">
        <v>366</v>
      </c>
      <c r="G311" s="30">
        <v>11.037000000000001</v>
      </c>
      <c r="H311" s="63"/>
      <c r="N311" s="31"/>
    </row>
    <row r="312" spans="1:74" ht="14.4" x14ac:dyDescent="0.3">
      <c r="A312" s="28"/>
      <c r="D312" s="29" t="s">
        <v>482</v>
      </c>
      <c r="E312" s="29" t="s">
        <v>366</v>
      </c>
      <c r="G312" s="30">
        <v>7.5389999999999997</v>
      </c>
      <c r="H312" s="63"/>
      <c r="N312" s="31"/>
    </row>
    <row r="313" spans="1:74" ht="14.4" x14ac:dyDescent="0.3">
      <c r="A313" s="28"/>
      <c r="D313" s="29" t="s">
        <v>483</v>
      </c>
      <c r="E313" s="29" t="s">
        <v>361</v>
      </c>
      <c r="G313" s="30">
        <v>41.878999999999998</v>
      </c>
      <c r="H313" s="63"/>
      <c r="N313" s="31"/>
    </row>
    <row r="314" spans="1:74" ht="14.4" x14ac:dyDescent="0.3">
      <c r="A314" s="28"/>
      <c r="D314" s="29" t="s">
        <v>484</v>
      </c>
      <c r="E314" s="29" t="s">
        <v>370</v>
      </c>
      <c r="G314" s="30">
        <v>21.137</v>
      </c>
      <c r="H314" s="63"/>
      <c r="N314" s="31"/>
    </row>
    <row r="315" spans="1:74" ht="14.4" x14ac:dyDescent="0.3">
      <c r="A315" s="28"/>
      <c r="D315" s="29" t="s">
        <v>485</v>
      </c>
      <c r="E315" s="29" t="s">
        <v>363</v>
      </c>
      <c r="G315" s="30">
        <v>12.109</v>
      </c>
      <c r="H315" s="63"/>
      <c r="N315" s="31"/>
    </row>
    <row r="316" spans="1:74" ht="14.4" x14ac:dyDescent="0.3">
      <c r="A316" s="28"/>
      <c r="D316" s="29" t="s">
        <v>486</v>
      </c>
      <c r="E316" s="29" t="s">
        <v>373</v>
      </c>
      <c r="G316" s="30">
        <v>15.148</v>
      </c>
      <c r="H316" s="63"/>
      <c r="N316" s="31"/>
    </row>
    <row r="317" spans="1:74" ht="14.4" x14ac:dyDescent="0.3">
      <c r="A317" s="28"/>
      <c r="D317" s="29" t="s">
        <v>487</v>
      </c>
      <c r="E317" s="29" t="s">
        <v>375</v>
      </c>
      <c r="G317" s="30">
        <v>4.0949999999999998</v>
      </c>
      <c r="H317" s="63"/>
      <c r="N317" s="31"/>
    </row>
    <row r="318" spans="1:74" ht="14.4" x14ac:dyDescent="0.3">
      <c r="A318" s="28"/>
      <c r="D318" s="29" t="s">
        <v>488</v>
      </c>
      <c r="E318" s="29" t="s">
        <v>377</v>
      </c>
      <c r="G318" s="30">
        <v>4.62</v>
      </c>
      <c r="H318" s="63"/>
      <c r="N318" s="31"/>
    </row>
    <row r="319" spans="1:74" ht="14.4" x14ac:dyDescent="0.3">
      <c r="A319" s="28"/>
      <c r="D319" s="29" t="s">
        <v>489</v>
      </c>
      <c r="E319" s="29" t="s">
        <v>402</v>
      </c>
      <c r="G319" s="30">
        <v>22.087</v>
      </c>
      <c r="H319" s="63"/>
      <c r="N319" s="31"/>
    </row>
    <row r="320" spans="1:74" ht="14.4" x14ac:dyDescent="0.3">
      <c r="A320" s="28"/>
      <c r="D320" s="29" t="s">
        <v>490</v>
      </c>
      <c r="E320" s="29" t="s">
        <v>335</v>
      </c>
      <c r="G320" s="30">
        <v>20.635999999999999</v>
      </c>
      <c r="H320" s="63"/>
      <c r="N320" s="31"/>
    </row>
    <row r="321" spans="1:74" ht="14.4" x14ac:dyDescent="0.3">
      <c r="A321" s="28"/>
      <c r="D321" s="29" t="s">
        <v>491</v>
      </c>
      <c r="E321" s="29" t="s">
        <v>492</v>
      </c>
      <c r="G321" s="30">
        <v>4.5529999999999999</v>
      </c>
      <c r="H321" s="63"/>
      <c r="N321" s="31"/>
    </row>
    <row r="322" spans="1:74" ht="14.4" x14ac:dyDescent="0.3">
      <c r="A322" s="2" t="s">
        <v>493</v>
      </c>
      <c r="B322" s="3" t="s">
        <v>301</v>
      </c>
      <c r="C322" s="3" t="s">
        <v>259</v>
      </c>
      <c r="D322" s="112" t="s">
        <v>260</v>
      </c>
      <c r="E322" s="109"/>
      <c r="F322" s="3" t="s">
        <v>60</v>
      </c>
      <c r="G322" s="25">
        <v>91.73</v>
      </c>
      <c r="H322" s="62"/>
      <c r="I322" s="25">
        <f>ROUND(G322*AM322,2)</f>
        <v>0</v>
      </c>
      <c r="J322" s="25">
        <f>ROUND(G322*AN322,2)</f>
        <v>0</v>
      </c>
      <c r="K322" s="25">
        <f>ROUND(G322*H322,2)</f>
        <v>0</v>
      </c>
      <c r="L322" s="25">
        <v>4.5999999999999999E-2</v>
      </c>
      <c r="M322" s="25">
        <f>G322*L322</f>
        <v>4.2195800000000006</v>
      </c>
      <c r="N322" s="26"/>
      <c r="X322" s="25">
        <f>ROUND(IF(AO322="5",BH322,0),2)</f>
        <v>0</v>
      </c>
      <c r="Z322" s="25">
        <f>ROUND(IF(AO322="1",BF322,0),2)</f>
        <v>0</v>
      </c>
      <c r="AA322" s="25">
        <f>ROUND(IF(AO322="1",BG322,0),2)</f>
        <v>0</v>
      </c>
      <c r="AB322" s="25">
        <f>ROUND(IF(AO322="7",BF322,0),2)</f>
        <v>0</v>
      </c>
      <c r="AC322" s="25">
        <f>ROUND(IF(AO322="7",BG322,0),2)</f>
        <v>0</v>
      </c>
      <c r="AD322" s="25">
        <f>ROUND(IF(AO322="2",BF322,0),2)</f>
        <v>0</v>
      </c>
      <c r="AE322" s="25">
        <f>ROUND(IF(AO322="2",BG322,0),2)</f>
        <v>0</v>
      </c>
      <c r="AF322" s="25">
        <f>ROUND(IF(AO322="0",BH322,0),2)</f>
        <v>0</v>
      </c>
      <c r="AG322" s="10" t="s">
        <v>301</v>
      </c>
      <c r="AH322" s="25">
        <f>IF(AL322=0,K322,0)</f>
        <v>0</v>
      </c>
      <c r="AI322" s="25">
        <f>IF(AL322=12,K322,0)</f>
        <v>0</v>
      </c>
      <c r="AJ322" s="25">
        <f>IF(AL322=21,K322,0)</f>
        <v>0</v>
      </c>
      <c r="AL322" s="25">
        <v>21</v>
      </c>
      <c r="AM322" s="25">
        <f>H322*0</f>
        <v>0</v>
      </c>
      <c r="AN322" s="25">
        <f>H322*(1-0)</f>
        <v>0</v>
      </c>
      <c r="AO322" s="27" t="s">
        <v>57</v>
      </c>
      <c r="AT322" s="25">
        <f>ROUND(AU322+AV322,2)</f>
        <v>0</v>
      </c>
      <c r="AU322" s="25">
        <f>ROUND(G322*AM322,2)</f>
        <v>0</v>
      </c>
      <c r="AV322" s="25">
        <f>ROUND(G322*AN322,2)</f>
        <v>0</v>
      </c>
      <c r="AW322" s="27" t="s">
        <v>214</v>
      </c>
      <c r="AX322" s="27" t="s">
        <v>358</v>
      </c>
      <c r="AY322" s="10" t="s">
        <v>306</v>
      </c>
      <c r="BA322" s="25">
        <f>AU322+AV322</f>
        <v>0</v>
      </c>
      <c r="BB322" s="25">
        <f>H322/(100-BC322)*100</f>
        <v>0</v>
      </c>
      <c r="BC322" s="25">
        <v>0</v>
      </c>
      <c r="BD322" s="25">
        <f>M322</f>
        <v>4.2195800000000006</v>
      </c>
      <c r="BF322" s="25">
        <f>G322*AM322</f>
        <v>0</v>
      </c>
      <c r="BG322" s="25">
        <f>G322*AN322</f>
        <v>0</v>
      </c>
      <c r="BH322" s="25">
        <f>G322*H322</f>
        <v>0</v>
      </c>
      <c r="BI322" s="27" t="s">
        <v>65</v>
      </c>
      <c r="BJ322" s="25">
        <v>97</v>
      </c>
      <c r="BU322" s="25" t="e">
        <f>#REF!</f>
        <v>#REF!</v>
      </c>
      <c r="BV322" s="4" t="s">
        <v>260</v>
      </c>
    </row>
    <row r="323" spans="1:74" ht="14.4" x14ac:dyDescent="0.3">
      <c r="A323" s="28"/>
      <c r="D323" s="29" t="s">
        <v>455</v>
      </c>
      <c r="E323" s="29" t="s">
        <v>456</v>
      </c>
      <c r="G323" s="30">
        <v>5.6520000000000001</v>
      </c>
      <c r="H323" s="63"/>
      <c r="N323" s="31"/>
    </row>
    <row r="324" spans="1:74" ht="14.4" x14ac:dyDescent="0.3">
      <c r="A324" s="28"/>
      <c r="D324" s="29" t="s">
        <v>494</v>
      </c>
      <c r="E324" s="29" t="s">
        <v>366</v>
      </c>
      <c r="G324" s="30">
        <v>17.46</v>
      </c>
      <c r="H324" s="63"/>
      <c r="N324" s="31"/>
    </row>
    <row r="325" spans="1:74" ht="14.4" x14ac:dyDescent="0.3">
      <c r="A325" s="28"/>
      <c r="D325" s="29" t="s">
        <v>458</v>
      </c>
      <c r="E325" s="29" t="s">
        <v>366</v>
      </c>
      <c r="G325" s="30">
        <v>25.937999999999999</v>
      </c>
      <c r="H325" s="63"/>
      <c r="N325" s="31"/>
    </row>
    <row r="326" spans="1:74" ht="14.4" x14ac:dyDescent="0.3">
      <c r="A326" s="28"/>
      <c r="D326" s="29" t="s">
        <v>495</v>
      </c>
      <c r="E326" s="29" t="s">
        <v>366</v>
      </c>
      <c r="G326" s="30">
        <v>14.327999999999999</v>
      </c>
      <c r="H326" s="63"/>
      <c r="N326" s="31"/>
    </row>
    <row r="327" spans="1:74" ht="14.4" x14ac:dyDescent="0.3">
      <c r="A327" s="28"/>
      <c r="D327" s="29" t="s">
        <v>460</v>
      </c>
      <c r="E327" s="29" t="s">
        <v>461</v>
      </c>
      <c r="G327" s="30">
        <v>2.2309999999999999</v>
      </c>
      <c r="H327" s="63"/>
      <c r="N327" s="31"/>
    </row>
    <row r="328" spans="1:74" ht="14.4" x14ac:dyDescent="0.3">
      <c r="A328" s="28"/>
      <c r="D328" s="29" t="s">
        <v>462</v>
      </c>
      <c r="E328" s="29" t="s">
        <v>463</v>
      </c>
      <c r="G328" s="30">
        <v>4.915</v>
      </c>
      <c r="H328" s="63"/>
      <c r="N328" s="31"/>
    </row>
    <row r="329" spans="1:74" ht="14.4" x14ac:dyDescent="0.3">
      <c r="A329" s="28"/>
      <c r="D329" s="29" t="s">
        <v>468</v>
      </c>
      <c r="E329" s="29" t="s">
        <v>363</v>
      </c>
      <c r="G329" s="30">
        <v>8.5120000000000005</v>
      </c>
      <c r="H329" s="63"/>
      <c r="N329" s="31"/>
    </row>
    <row r="330" spans="1:74" ht="14.4" x14ac:dyDescent="0.3">
      <c r="A330" s="28"/>
      <c r="D330" s="29" t="s">
        <v>496</v>
      </c>
      <c r="E330" s="29" t="s">
        <v>377</v>
      </c>
      <c r="G330" s="30">
        <v>6.7930000000000001</v>
      </c>
      <c r="H330" s="63"/>
      <c r="N330" s="31"/>
    </row>
    <row r="331" spans="1:74" ht="14.4" x14ac:dyDescent="0.3">
      <c r="A331" s="28"/>
      <c r="D331" s="29" t="s">
        <v>497</v>
      </c>
      <c r="E331" s="29" t="s">
        <v>375</v>
      </c>
      <c r="G331" s="30">
        <v>3.577</v>
      </c>
      <c r="H331" s="63"/>
      <c r="N331" s="31"/>
    </row>
    <row r="332" spans="1:74" ht="14.4" x14ac:dyDescent="0.3">
      <c r="A332" s="28"/>
      <c r="D332" s="29" t="s">
        <v>498</v>
      </c>
      <c r="E332" s="29" t="s">
        <v>373</v>
      </c>
      <c r="G332" s="30">
        <v>2.3239999999999998</v>
      </c>
      <c r="H332" s="63"/>
      <c r="N332" s="31"/>
    </row>
    <row r="333" spans="1:74" ht="14.4" x14ac:dyDescent="0.3">
      <c r="A333" s="2" t="s">
        <v>499</v>
      </c>
      <c r="B333" s="3" t="s">
        <v>301</v>
      </c>
      <c r="C333" s="3" t="s">
        <v>233</v>
      </c>
      <c r="D333" s="112" t="s">
        <v>234</v>
      </c>
      <c r="E333" s="109"/>
      <c r="F333" s="3" t="s">
        <v>60</v>
      </c>
      <c r="G333" s="25">
        <v>158.68</v>
      </c>
      <c r="H333" s="62"/>
      <c r="I333" s="25">
        <f>ROUND(G333*AM333,2)</f>
        <v>0</v>
      </c>
      <c r="J333" s="25">
        <f>ROUND(G333*AN333,2)</f>
        <v>0</v>
      </c>
      <c r="K333" s="25">
        <f>ROUND(G333*H333,2)</f>
        <v>0</v>
      </c>
      <c r="L333" s="25">
        <v>2.546E-2</v>
      </c>
      <c r="M333" s="25">
        <f>G333*L333</f>
        <v>4.0399928000000003</v>
      </c>
      <c r="N333" s="26"/>
      <c r="X333" s="25">
        <f>ROUND(IF(AO333="5",BH333,0),2)</f>
        <v>0</v>
      </c>
      <c r="Z333" s="25">
        <f>ROUND(IF(AO333="1",BF333,0),2)</f>
        <v>0</v>
      </c>
      <c r="AA333" s="25">
        <f>ROUND(IF(AO333="1",BG333,0),2)</f>
        <v>0</v>
      </c>
      <c r="AB333" s="25">
        <f>ROUND(IF(AO333="7",BF333,0),2)</f>
        <v>0</v>
      </c>
      <c r="AC333" s="25">
        <f>ROUND(IF(AO333="7",BG333,0),2)</f>
        <v>0</v>
      </c>
      <c r="AD333" s="25">
        <f>ROUND(IF(AO333="2",BF333,0),2)</f>
        <v>0</v>
      </c>
      <c r="AE333" s="25">
        <f>ROUND(IF(AO333="2",BG333,0),2)</f>
        <v>0</v>
      </c>
      <c r="AF333" s="25">
        <f>ROUND(IF(AO333="0",BH333,0),2)</f>
        <v>0</v>
      </c>
      <c r="AG333" s="10" t="s">
        <v>301</v>
      </c>
      <c r="AH333" s="25">
        <f>IF(AL333=0,K333,0)</f>
        <v>0</v>
      </c>
      <c r="AI333" s="25">
        <f>IF(AL333=12,K333,0)</f>
        <v>0</v>
      </c>
      <c r="AJ333" s="25">
        <f>IF(AL333=21,K333,0)</f>
        <v>0</v>
      </c>
      <c r="AL333" s="25">
        <v>21</v>
      </c>
      <c r="AM333" s="25">
        <f>H333*0</f>
        <v>0</v>
      </c>
      <c r="AN333" s="25">
        <f>H333*(1-0)</f>
        <v>0</v>
      </c>
      <c r="AO333" s="27" t="s">
        <v>57</v>
      </c>
      <c r="AT333" s="25">
        <f>ROUND(AU333+AV333,2)</f>
        <v>0</v>
      </c>
      <c r="AU333" s="25">
        <f>ROUND(G333*AM333,2)</f>
        <v>0</v>
      </c>
      <c r="AV333" s="25">
        <f>ROUND(G333*AN333,2)</f>
        <v>0</v>
      </c>
      <c r="AW333" s="27" t="s">
        <v>214</v>
      </c>
      <c r="AX333" s="27" t="s">
        <v>358</v>
      </c>
      <c r="AY333" s="10" t="s">
        <v>306</v>
      </c>
      <c r="BA333" s="25">
        <f>AU333+AV333</f>
        <v>0</v>
      </c>
      <c r="BB333" s="25">
        <f>H333/(100-BC333)*100</f>
        <v>0</v>
      </c>
      <c r="BC333" s="25">
        <v>0</v>
      </c>
      <c r="BD333" s="25">
        <f>M333</f>
        <v>4.0399928000000003</v>
      </c>
      <c r="BF333" s="25">
        <f>G333*AM333</f>
        <v>0</v>
      </c>
      <c r="BG333" s="25">
        <f>G333*AN333</f>
        <v>0</v>
      </c>
      <c r="BH333" s="25">
        <f>G333*H333</f>
        <v>0</v>
      </c>
      <c r="BI333" s="27" t="s">
        <v>65</v>
      </c>
      <c r="BJ333" s="25">
        <v>97</v>
      </c>
      <c r="BU333" s="25" t="e">
        <f>#REF!</f>
        <v>#REF!</v>
      </c>
      <c r="BV333" s="4" t="s">
        <v>234</v>
      </c>
    </row>
    <row r="334" spans="1:74" ht="14.4" x14ac:dyDescent="0.3">
      <c r="A334" s="28"/>
      <c r="D334" s="29" t="s">
        <v>336</v>
      </c>
      <c r="E334" s="29" t="s">
        <v>337</v>
      </c>
      <c r="G334" s="30">
        <v>6.06</v>
      </c>
      <c r="H334" s="63"/>
      <c r="N334" s="31"/>
    </row>
    <row r="335" spans="1:74" ht="14.4" x14ac:dyDescent="0.3">
      <c r="A335" s="28"/>
      <c r="D335" s="29" t="s">
        <v>389</v>
      </c>
      <c r="E335" s="29" t="s">
        <v>366</v>
      </c>
      <c r="G335" s="30">
        <v>117.65</v>
      </c>
      <c r="H335" s="63"/>
      <c r="N335" s="31"/>
    </row>
    <row r="336" spans="1:74" ht="14.4" x14ac:dyDescent="0.3">
      <c r="A336" s="28"/>
      <c r="D336" s="29" t="s">
        <v>381</v>
      </c>
      <c r="E336" s="29" t="s">
        <v>361</v>
      </c>
      <c r="G336" s="30">
        <v>9.35</v>
      </c>
      <c r="H336" s="63"/>
      <c r="N336" s="31"/>
    </row>
    <row r="337" spans="1:74" ht="14.4" x14ac:dyDescent="0.3">
      <c r="A337" s="28"/>
      <c r="D337" s="29" t="s">
        <v>473</v>
      </c>
      <c r="E337" s="29" t="s">
        <v>370</v>
      </c>
      <c r="G337" s="30">
        <v>7.42</v>
      </c>
      <c r="H337" s="63"/>
      <c r="N337" s="31"/>
    </row>
    <row r="338" spans="1:74" ht="14.4" x14ac:dyDescent="0.3">
      <c r="A338" s="28"/>
      <c r="D338" s="29" t="s">
        <v>391</v>
      </c>
      <c r="E338" s="29" t="s">
        <v>363</v>
      </c>
      <c r="G338" s="30">
        <v>2.73</v>
      </c>
      <c r="H338" s="63"/>
      <c r="N338" s="31"/>
    </row>
    <row r="339" spans="1:74" ht="14.4" x14ac:dyDescent="0.3">
      <c r="A339" s="28"/>
      <c r="D339" s="29" t="s">
        <v>384</v>
      </c>
      <c r="E339" s="29" t="s">
        <v>373</v>
      </c>
      <c r="G339" s="30">
        <v>5.4</v>
      </c>
      <c r="H339" s="63"/>
      <c r="N339" s="31"/>
    </row>
    <row r="340" spans="1:74" ht="14.4" x14ac:dyDescent="0.3">
      <c r="A340" s="28"/>
      <c r="D340" s="29" t="s">
        <v>393</v>
      </c>
      <c r="E340" s="29" t="s">
        <v>375</v>
      </c>
      <c r="G340" s="30">
        <v>1.3</v>
      </c>
      <c r="H340" s="63"/>
      <c r="N340" s="31"/>
    </row>
    <row r="341" spans="1:74" ht="14.4" x14ac:dyDescent="0.3">
      <c r="A341" s="28"/>
      <c r="D341" s="29" t="s">
        <v>474</v>
      </c>
      <c r="E341" s="29" t="s">
        <v>377</v>
      </c>
      <c r="G341" s="30">
        <v>3.1</v>
      </c>
      <c r="H341" s="63"/>
      <c r="N341" s="31"/>
    </row>
    <row r="342" spans="1:74" ht="14.4" x14ac:dyDescent="0.3">
      <c r="A342" s="28"/>
      <c r="D342" s="29" t="s">
        <v>475</v>
      </c>
      <c r="E342" s="29" t="s">
        <v>402</v>
      </c>
      <c r="G342" s="30">
        <v>5.67</v>
      </c>
      <c r="H342" s="63"/>
      <c r="N342" s="31"/>
    </row>
    <row r="343" spans="1:74" ht="14.4" x14ac:dyDescent="0.3">
      <c r="A343" s="21" t="s">
        <v>52</v>
      </c>
      <c r="B343" s="22" t="s">
        <v>301</v>
      </c>
      <c r="C343" s="22" t="s">
        <v>273</v>
      </c>
      <c r="D343" s="170" t="s">
        <v>274</v>
      </c>
      <c r="E343" s="171"/>
      <c r="F343" s="23" t="s">
        <v>32</v>
      </c>
      <c r="G343" s="23" t="s">
        <v>32</v>
      </c>
      <c r="H343" s="64"/>
      <c r="I343" s="1">
        <f>SUM(I344:I356)</f>
        <v>0</v>
      </c>
      <c r="J343" s="1">
        <f>SUM(J344:J356)</f>
        <v>0</v>
      </c>
      <c r="K343" s="1">
        <f>SUM(K344:K356)</f>
        <v>0</v>
      </c>
      <c r="L343" s="10" t="s">
        <v>52</v>
      </c>
      <c r="M343" s="1">
        <f>SUM(M344:M356)</f>
        <v>0</v>
      </c>
      <c r="N343" s="24"/>
      <c r="AG343" s="10" t="s">
        <v>301</v>
      </c>
      <c r="AQ343" s="1">
        <f>SUM(AH344:AH356)</f>
        <v>0</v>
      </c>
      <c r="AR343" s="1">
        <f>SUM(AI344:AI356)</f>
        <v>0</v>
      </c>
      <c r="AS343" s="1">
        <f>SUM(AJ344:AJ356)</f>
        <v>0</v>
      </c>
    </row>
    <row r="344" spans="1:74" ht="14.4" x14ac:dyDescent="0.3">
      <c r="A344" s="2" t="s">
        <v>500</v>
      </c>
      <c r="B344" s="3" t="s">
        <v>301</v>
      </c>
      <c r="C344" s="3" t="s">
        <v>276</v>
      </c>
      <c r="D344" s="112" t="s">
        <v>277</v>
      </c>
      <c r="E344" s="109"/>
      <c r="F344" s="3" t="s">
        <v>278</v>
      </c>
      <c r="G344" s="25">
        <v>102.129</v>
      </c>
      <c r="H344" s="62"/>
      <c r="I344" s="25">
        <f>ROUND(G344*AM344,2)</f>
        <v>0</v>
      </c>
      <c r="J344" s="25">
        <f>ROUND(G344*AN344,2)</f>
        <v>0</v>
      </c>
      <c r="K344" s="25">
        <f>ROUND(G344*H344,2)</f>
        <v>0</v>
      </c>
      <c r="L344" s="25">
        <v>0</v>
      </c>
      <c r="M344" s="25">
        <f>G344*L344</f>
        <v>0</v>
      </c>
      <c r="N344" s="26"/>
      <c r="X344" s="25">
        <f>ROUND(IF(AO344="5",BH344,0),2)</f>
        <v>0</v>
      </c>
      <c r="Z344" s="25">
        <f>ROUND(IF(AO344="1",BF344,0),2)</f>
        <v>0</v>
      </c>
      <c r="AA344" s="25">
        <f>ROUND(IF(AO344="1",BG344,0),2)</f>
        <v>0</v>
      </c>
      <c r="AB344" s="25">
        <f>ROUND(IF(AO344="7",BF344,0),2)</f>
        <v>0</v>
      </c>
      <c r="AC344" s="25">
        <f>ROUND(IF(AO344="7",BG344,0),2)</f>
        <v>0</v>
      </c>
      <c r="AD344" s="25">
        <f>ROUND(IF(AO344="2",BF344,0),2)</f>
        <v>0</v>
      </c>
      <c r="AE344" s="25">
        <f>ROUND(IF(AO344="2",BG344,0),2)</f>
        <v>0</v>
      </c>
      <c r="AF344" s="25">
        <f>ROUND(IF(AO344="0",BH344,0),2)</f>
        <v>0</v>
      </c>
      <c r="AG344" s="10" t="s">
        <v>301</v>
      </c>
      <c r="AH344" s="25">
        <f>IF(AL344=0,K344,0)</f>
        <v>0</v>
      </c>
      <c r="AI344" s="25">
        <f>IF(AL344=12,K344,0)</f>
        <v>0</v>
      </c>
      <c r="AJ344" s="25">
        <f>IF(AL344=21,K344,0)</f>
        <v>0</v>
      </c>
      <c r="AL344" s="25">
        <v>21</v>
      </c>
      <c r="AM344" s="25">
        <f>H344*0</f>
        <v>0</v>
      </c>
      <c r="AN344" s="25">
        <f>H344*(1-0)</f>
        <v>0</v>
      </c>
      <c r="AO344" s="27" t="s">
        <v>97</v>
      </c>
      <c r="AT344" s="25">
        <f>ROUND(AU344+AV344,2)</f>
        <v>0</v>
      </c>
      <c r="AU344" s="25">
        <f>ROUND(G344*AM344,2)</f>
        <v>0</v>
      </c>
      <c r="AV344" s="25">
        <f>ROUND(G344*AN344,2)</f>
        <v>0</v>
      </c>
      <c r="AW344" s="27" t="s">
        <v>279</v>
      </c>
      <c r="AX344" s="27" t="s">
        <v>358</v>
      </c>
      <c r="AY344" s="10" t="s">
        <v>306</v>
      </c>
      <c r="BA344" s="25">
        <f>AU344+AV344</f>
        <v>0</v>
      </c>
      <c r="BB344" s="25">
        <f>H344/(100-BC344)*100</f>
        <v>0</v>
      </c>
      <c r="BC344" s="25">
        <v>0</v>
      </c>
      <c r="BD344" s="25">
        <f>M344</f>
        <v>0</v>
      </c>
      <c r="BF344" s="25">
        <f>G344*AM344</f>
        <v>0</v>
      </c>
      <c r="BG344" s="25">
        <f>G344*AN344</f>
        <v>0</v>
      </c>
      <c r="BH344" s="25">
        <f>G344*H344</f>
        <v>0</v>
      </c>
      <c r="BI344" s="27" t="s">
        <v>65</v>
      </c>
      <c r="BJ344" s="25"/>
      <c r="BU344" s="25" t="e">
        <f>#REF!</f>
        <v>#REF!</v>
      </c>
      <c r="BV344" s="4" t="s">
        <v>277</v>
      </c>
    </row>
    <row r="345" spans="1:74" ht="14.4" x14ac:dyDescent="0.3">
      <c r="A345" s="28"/>
      <c r="D345" s="29" t="s">
        <v>501</v>
      </c>
      <c r="E345" s="29" t="s">
        <v>52</v>
      </c>
      <c r="G345" s="30">
        <v>102.129</v>
      </c>
      <c r="H345" s="63"/>
      <c r="N345" s="31"/>
    </row>
    <row r="346" spans="1:74" ht="14.4" x14ac:dyDescent="0.3">
      <c r="A346" s="2" t="s">
        <v>502</v>
      </c>
      <c r="B346" s="3" t="s">
        <v>301</v>
      </c>
      <c r="C346" s="3" t="s">
        <v>282</v>
      </c>
      <c r="D346" s="112" t="s">
        <v>283</v>
      </c>
      <c r="E346" s="109"/>
      <c r="F346" s="3" t="s">
        <v>278</v>
      </c>
      <c r="G346" s="25">
        <v>510.64400000000001</v>
      </c>
      <c r="H346" s="62"/>
      <c r="I346" s="25">
        <f>ROUND(G346*AM346,2)</f>
        <v>0</v>
      </c>
      <c r="J346" s="25">
        <f>ROUND(G346*AN346,2)</f>
        <v>0</v>
      </c>
      <c r="K346" s="25">
        <f>ROUND(G346*H346,2)</f>
        <v>0</v>
      </c>
      <c r="L346" s="25">
        <v>0</v>
      </c>
      <c r="M346" s="25">
        <f>G346*L346</f>
        <v>0</v>
      </c>
      <c r="N346" s="26"/>
      <c r="X346" s="25">
        <f>ROUND(IF(AO346="5",BH346,0),2)</f>
        <v>0</v>
      </c>
      <c r="Z346" s="25">
        <f>ROUND(IF(AO346="1",BF346,0),2)</f>
        <v>0</v>
      </c>
      <c r="AA346" s="25">
        <f>ROUND(IF(AO346="1",BG346,0),2)</f>
        <v>0</v>
      </c>
      <c r="AB346" s="25">
        <f>ROUND(IF(AO346="7",BF346,0),2)</f>
        <v>0</v>
      </c>
      <c r="AC346" s="25">
        <f>ROUND(IF(AO346="7",BG346,0),2)</f>
        <v>0</v>
      </c>
      <c r="AD346" s="25">
        <f>ROUND(IF(AO346="2",BF346,0),2)</f>
        <v>0</v>
      </c>
      <c r="AE346" s="25">
        <f>ROUND(IF(AO346="2",BG346,0),2)</f>
        <v>0</v>
      </c>
      <c r="AF346" s="25">
        <f>ROUND(IF(AO346="0",BH346,0),2)</f>
        <v>0</v>
      </c>
      <c r="AG346" s="10" t="s">
        <v>301</v>
      </c>
      <c r="AH346" s="25">
        <f>IF(AL346=0,K346,0)</f>
        <v>0</v>
      </c>
      <c r="AI346" s="25">
        <f>IF(AL346=12,K346,0)</f>
        <v>0</v>
      </c>
      <c r="AJ346" s="25">
        <f>IF(AL346=21,K346,0)</f>
        <v>0</v>
      </c>
      <c r="AL346" s="25">
        <v>21</v>
      </c>
      <c r="AM346" s="25">
        <f>H346*0</f>
        <v>0</v>
      </c>
      <c r="AN346" s="25">
        <f>H346*(1-0)</f>
        <v>0</v>
      </c>
      <c r="AO346" s="27" t="s">
        <v>97</v>
      </c>
      <c r="AT346" s="25">
        <f>ROUND(AU346+AV346,2)</f>
        <v>0</v>
      </c>
      <c r="AU346" s="25">
        <f>ROUND(G346*AM346,2)</f>
        <v>0</v>
      </c>
      <c r="AV346" s="25">
        <f>ROUND(G346*AN346,2)</f>
        <v>0</v>
      </c>
      <c r="AW346" s="27" t="s">
        <v>279</v>
      </c>
      <c r="AX346" s="27" t="s">
        <v>358</v>
      </c>
      <c r="AY346" s="10" t="s">
        <v>306</v>
      </c>
      <c r="BA346" s="25">
        <f>AU346+AV346</f>
        <v>0</v>
      </c>
      <c r="BB346" s="25">
        <f>H346/(100-BC346)*100</f>
        <v>0</v>
      </c>
      <c r="BC346" s="25">
        <v>0</v>
      </c>
      <c r="BD346" s="25">
        <f>M346</f>
        <v>0</v>
      </c>
      <c r="BF346" s="25">
        <f>G346*AM346</f>
        <v>0</v>
      </c>
      <c r="BG346" s="25">
        <f>G346*AN346</f>
        <v>0</v>
      </c>
      <c r="BH346" s="25">
        <f>G346*H346</f>
        <v>0</v>
      </c>
      <c r="BI346" s="27" t="s">
        <v>65</v>
      </c>
      <c r="BJ346" s="25"/>
      <c r="BU346" s="25" t="e">
        <f>#REF!</f>
        <v>#REF!</v>
      </c>
      <c r="BV346" s="4" t="s">
        <v>283</v>
      </c>
    </row>
    <row r="347" spans="1:74" ht="14.4" x14ac:dyDescent="0.3">
      <c r="A347" s="28"/>
      <c r="D347" s="29" t="s">
        <v>503</v>
      </c>
      <c r="E347" s="29" t="s">
        <v>52</v>
      </c>
      <c r="G347" s="30">
        <v>510.64400000000001</v>
      </c>
      <c r="H347" s="63"/>
      <c r="N347" s="31"/>
    </row>
    <row r="348" spans="1:74" ht="14.4" x14ac:dyDescent="0.3">
      <c r="A348" s="2" t="s">
        <v>504</v>
      </c>
      <c r="B348" s="3" t="s">
        <v>301</v>
      </c>
      <c r="C348" s="3" t="s">
        <v>286</v>
      </c>
      <c r="D348" s="112" t="s">
        <v>287</v>
      </c>
      <c r="E348" s="109"/>
      <c r="F348" s="3" t="s">
        <v>278</v>
      </c>
      <c r="G348" s="25">
        <v>102.129</v>
      </c>
      <c r="H348" s="62"/>
      <c r="I348" s="25">
        <f>ROUND(G348*AM348,2)</f>
        <v>0</v>
      </c>
      <c r="J348" s="25">
        <f>ROUND(G348*AN348,2)</f>
        <v>0</v>
      </c>
      <c r="K348" s="25">
        <f>ROUND(G348*H348,2)</f>
        <v>0</v>
      </c>
      <c r="L348" s="25">
        <v>0</v>
      </c>
      <c r="M348" s="25">
        <f>G348*L348</f>
        <v>0</v>
      </c>
      <c r="N348" s="26"/>
      <c r="X348" s="25">
        <f>ROUND(IF(AO348="5",BH348,0),2)</f>
        <v>0</v>
      </c>
      <c r="Z348" s="25">
        <f>ROUND(IF(AO348="1",BF348,0),2)</f>
        <v>0</v>
      </c>
      <c r="AA348" s="25">
        <f>ROUND(IF(AO348="1",BG348,0),2)</f>
        <v>0</v>
      </c>
      <c r="AB348" s="25">
        <f>ROUND(IF(AO348="7",BF348,0),2)</f>
        <v>0</v>
      </c>
      <c r="AC348" s="25">
        <f>ROUND(IF(AO348="7",BG348,0),2)</f>
        <v>0</v>
      </c>
      <c r="AD348" s="25">
        <f>ROUND(IF(AO348="2",BF348,0),2)</f>
        <v>0</v>
      </c>
      <c r="AE348" s="25">
        <f>ROUND(IF(AO348="2",BG348,0),2)</f>
        <v>0</v>
      </c>
      <c r="AF348" s="25">
        <f>ROUND(IF(AO348="0",BH348,0),2)</f>
        <v>0</v>
      </c>
      <c r="AG348" s="10" t="s">
        <v>301</v>
      </c>
      <c r="AH348" s="25">
        <f>IF(AL348=0,K348,0)</f>
        <v>0</v>
      </c>
      <c r="AI348" s="25">
        <f>IF(AL348=12,K348,0)</f>
        <v>0</v>
      </c>
      <c r="AJ348" s="25">
        <f>IF(AL348=21,K348,0)</f>
        <v>0</v>
      </c>
      <c r="AL348" s="25">
        <v>21</v>
      </c>
      <c r="AM348" s="25">
        <f>H348*0</f>
        <v>0</v>
      </c>
      <c r="AN348" s="25">
        <f>H348*(1-0)</f>
        <v>0</v>
      </c>
      <c r="AO348" s="27" t="s">
        <v>97</v>
      </c>
      <c r="AT348" s="25">
        <f>ROUND(AU348+AV348,2)</f>
        <v>0</v>
      </c>
      <c r="AU348" s="25">
        <f>ROUND(G348*AM348,2)</f>
        <v>0</v>
      </c>
      <c r="AV348" s="25">
        <f>ROUND(G348*AN348,2)</f>
        <v>0</v>
      </c>
      <c r="AW348" s="27" t="s">
        <v>279</v>
      </c>
      <c r="AX348" s="27" t="s">
        <v>358</v>
      </c>
      <c r="AY348" s="10" t="s">
        <v>306</v>
      </c>
      <c r="BA348" s="25">
        <f>AU348+AV348</f>
        <v>0</v>
      </c>
      <c r="BB348" s="25">
        <f>H348/(100-BC348)*100</f>
        <v>0</v>
      </c>
      <c r="BC348" s="25">
        <v>0</v>
      </c>
      <c r="BD348" s="25">
        <f>M348</f>
        <v>0</v>
      </c>
      <c r="BF348" s="25">
        <f>G348*AM348</f>
        <v>0</v>
      </c>
      <c r="BG348" s="25">
        <f>G348*AN348</f>
        <v>0</v>
      </c>
      <c r="BH348" s="25">
        <f>G348*H348</f>
        <v>0</v>
      </c>
      <c r="BI348" s="27" t="s">
        <v>65</v>
      </c>
      <c r="BJ348" s="25"/>
      <c r="BU348" s="25" t="e">
        <f>#REF!</f>
        <v>#REF!</v>
      </c>
      <c r="BV348" s="4" t="s">
        <v>287</v>
      </c>
    </row>
    <row r="349" spans="1:74" ht="14.4" x14ac:dyDescent="0.3">
      <c r="A349" s="28"/>
      <c r="D349" s="29" t="s">
        <v>501</v>
      </c>
      <c r="E349" s="29" t="s">
        <v>52</v>
      </c>
      <c r="G349" s="30">
        <v>102.129</v>
      </c>
      <c r="H349" s="63"/>
      <c r="N349" s="31"/>
    </row>
    <row r="350" spans="1:74" ht="14.4" x14ac:dyDescent="0.3">
      <c r="A350" s="2" t="s">
        <v>505</v>
      </c>
      <c r="B350" s="3" t="s">
        <v>301</v>
      </c>
      <c r="C350" s="3" t="s">
        <v>289</v>
      </c>
      <c r="D350" s="112" t="s">
        <v>290</v>
      </c>
      <c r="E350" s="109"/>
      <c r="F350" s="3" t="s">
        <v>278</v>
      </c>
      <c r="G350" s="25">
        <v>102.129</v>
      </c>
      <c r="H350" s="62"/>
      <c r="I350" s="25">
        <f>ROUND(G350*AM350,2)</f>
        <v>0</v>
      </c>
      <c r="J350" s="25">
        <f>ROUND(G350*AN350,2)</f>
        <v>0</v>
      </c>
      <c r="K350" s="25">
        <f>ROUND(G350*H350,2)</f>
        <v>0</v>
      </c>
      <c r="L350" s="25">
        <v>0</v>
      </c>
      <c r="M350" s="25">
        <f>G350*L350</f>
        <v>0</v>
      </c>
      <c r="N350" s="26"/>
      <c r="X350" s="25">
        <f>ROUND(IF(AO350="5",BH350,0),2)</f>
        <v>0</v>
      </c>
      <c r="Z350" s="25">
        <f>ROUND(IF(AO350="1",BF350,0),2)</f>
        <v>0</v>
      </c>
      <c r="AA350" s="25">
        <f>ROUND(IF(AO350="1",BG350,0),2)</f>
        <v>0</v>
      </c>
      <c r="AB350" s="25">
        <f>ROUND(IF(AO350="7",BF350,0),2)</f>
        <v>0</v>
      </c>
      <c r="AC350" s="25">
        <f>ROUND(IF(AO350="7",BG350,0),2)</f>
        <v>0</v>
      </c>
      <c r="AD350" s="25">
        <f>ROUND(IF(AO350="2",BF350,0),2)</f>
        <v>0</v>
      </c>
      <c r="AE350" s="25">
        <f>ROUND(IF(AO350="2",BG350,0),2)</f>
        <v>0</v>
      </c>
      <c r="AF350" s="25">
        <f>ROUND(IF(AO350="0",BH350,0),2)</f>
        <v>0</v>
      </c>
      <c r="AG350" s="10" t="s">
        <v>301</v>
      </c>
      <c r="AH350" s="25">
        <f>IF(AL350=0,K350,0)</f>
        <v>0</v>
      </c>
      <c r="AI350" s="25">
        <f>IF(AL350=12,K350,0)</f>
        <v>0</v>
      </c>
      <c r="AJ350" s="25">
        <f>IF(AL350=21,K350,0)</f>
        <v>0</v>
      </c>
      <c r="AL350" s="25">
        <v>21</v>
      </c>
      <c r="AM350" s="25">
        <f>H350*0</f>
        <v>0</v>
      </c>
      <c r="AN350" s="25">
        <f>H350*(1-0)</f>
        <v>0</v>
      </c>
      <c r="AO350" s="27" t="s">
        <v>97</v>
      </c>
      <c r="AT350" s="25">
        <f>ROUND(AU350+AV350,2)</f>
        <v>0</v>
      </c>
      <c r="AU350" s="25">
        <f>ROUND(G350*AM350,2)</f>
        <v>0</v>
      </c>
      <c r="AV350" s="25">
        <f>ROUND(G350*AN350,2)</f>
        <v>0</v>
      </c>
      <c r="AW350" s="27" t="s">
        <v>279</v>
      </c>
      <c r="AX350" s="27" t="s">
        <v>358</v>
      </c>
      <c r="AY350" s="10" t="s">
        <v>306</v>
      </c>
      <c r="BA350" s="25">
        <f>AU350+AV350</f>
        <v>0</v>
      </c>
      <c r="BB350" s="25">
        <f>H350/(100-BC350)*100</f>
        <v>0</v>
      </c>
      <c r="BC350" s="25">
        <v>0</v>
      </c>
      <c r="BD350" s="25">
        <f>M350</f>
        <v>0</v>
      </c>
      <c r="BF350" s="25">
        <f>G350*AM350</f>
        <v>0</v>
      </c>
      <c r="BG350" s="25">
        <f>G350*AN350</f>
        <v>0</v>
      </c>
      <c r="BH350" s="25">
        <f>G350*H350</f>
        <v>0</v>
      </c>
      <c r="BI350" s="27" t="s">
        <v>65</v>
      </c>
      <c r="BJ350" s="25"/>
      <c r="BU350" s="25" t="e">
        <f>#REF!</f>
        <v>#REF!</v>
      </c>
      <c r="BV350" s="4" t="s">
        <v>290</v>
      </c>
    </row>
    <row r="351" spans="1:74" ht="14.4" x14ac:dyDescent="0.3">
      <c r="A351" s="28"/>
      <c r="D351" s="29" t="s">
        <v>501</v>
      </c>
      <c r="E351" s="29" t="s">
        <v>52</v>
      </c>
      <c r="G351" s="30">
        <v>102.129</v>
      </c>
      <c r="H351" s="63"/>
      <c r="N351" s="31"/>
    </row>
    <row r="352" spans="1:74" ht="14.4" x14ac:dyDescent="0.3">
      <c r="A352" s="2" t="s">
        <v>506</v>
      </c>
      <c r="B352" s="3" t="s">
        <v>301</v>
      </c>
      <c r="C352" s="3" t="s">
        <v>292</v>
      </c>
      <c r="D352" s="112" t="s">
        <v>293</v>
      </c>
      <c r="E352" s="109"/>
      <c r="F352" s="3" t="s">
        <v>278</v>
      </c>
      <c r="G352" s="25">
        <v>102.129</v>
      </c>
      <c r="H352" s="62"/>
      <c r="I352" s="25">
        <f>ROUND(G352*AM352,2)</f>
        <v>0</v>
      </c>
      <c r="J352" s="25">
        <f>ROUND(G352*AN352,2)</f>
        <v>0</v>
      </c>
      <c r="K352" s="25">
        <f>ROUND(G352*H352,2)</f>
        <v>0</v>
      </c>
      <c r="L352" s="25">
        <v>0</v>
      </c>
      <c r="M352" s="25">
        <f>G352*L352</f>
        <v>0</v>
      </c>
      <c r="N352" s="26"/>
      <c r="X352" s="25">
        <f>ROUND(IF(AO352="5",BH352,0),2)</f>
        <v>0</v>
      </c>
      <c r="Z352" s="25">
        <f>ROUND(IF(AO352="1",BF352,0),2)</f>
        <v>0</v>
      </c>
      <c r="AA352" s="25">
        <f>ROUND(IF(AO352="1",BG352,0),2)</f>
        <v>0</v>
      </c>
      <c r="AB352" s="25">
        <f>ROUND(IF(AO352="7",BF352,0),2)</f>
        <v>0</v>
      </c>
      <c r="AC352" s="25">
        <f>ROUND(IF(AO352="7",BG352,0),2)</f>
        <v>0</v>
      </c>
      <c r="AD352" s="25">
        <f>ROUND(IF(AO352="2",BF352,0),2)</f>
        <v>0</v>
      </c>
      <c r="AE352" s="25">
        <f>ROUND(IF(AO352="2",BG352,0),2)</f>
        <v>0</v>
      </c>
      <c r="AF352" s="25">
        <f>ROUND(IF(AO352="0",BH352,0),2)</f>
        <v>0</v>
      </c>
      <c r="AG352" s="10" t="s">
        <v>301</v>
      </c>
      <c r="AH352" s="25">
        <f>IF(AL352=0,K352,0)</f>
        <v>0</v>
      </c>
      <c r="AI352" s="25">
        <f>IF(AL352=12,K352,0)</f>
        <v>0</v>
      </c>
      <c r="AJ352" s="25">
        <f>IF(AL352=21,K352,0)</f>
        <v>0</v>
      </c>
      <c r="AL352" s="25">
        <v>21</v>
      </c>
      <c r="AM352" s="25">
        <f>H352*0</f>
        <v>0</v>
      </c>
      <c r="AN352" s="25">
        <f>H352*(1-0)</f>
        <v>0</v>
      </c>
      <c r="AO352" s="27" t="s">
        <v>97</v>
      </c>
      <c r="AT352" s="25">
        <f>ROUND(AU352+AV352,2)</f>
        <v>0</v>
      </c>
      <c r="AU352" s="25">
        <f>ROUND(G352*AM352,2)</f>
        <v>0</v>
      </c>
      <c r="AV352" s="25">
        <f>ROUND(G352*AN352,2)</f>
        <v>0</v>
      </c>
      <c r="AW352" s="27" t="s">
        <v>279</v>
      </c>
      <c r="AX352" s="27" t="s">
        <v>358</v>
      </c>
      <c r="AY352" s="10" t="s">
        <v>306</v>
      </c>
      <c r="BA352" s="25">
        <f>AU352+AV352</f>
        <v>0</v>
      </c>
      <c r="BB352" s="25">
        <f>H352/(100-BC352)*100</f>
        <v>0</v>
      </c>
      <c r="BC352" s="25">
        <v>0</v>
      </c>
      <c r="BD352" s="25">
        <f>M352</f>
        <v>0</v>
      </c>
      <c r="BF352" s="25">
        <f>G352*AM352</f>
        <v>0</v>
      </c>
      <c r="BG352" s="25">
        <f>G352*AN352</f>
        <v>0</v>
      </c>
      <c r="BH352" s="25">
        <f>G352*H352</f>
        <v>0</v>
      </c>
      <c r="BI352" s="27" t="s">
        <v>65</v>
      </c>
      <c r="BJ352" s="25"/>
      <c r="BU352" s="25" t="e">
        <f>#REF!</f>
        <v>#REF!</v>
      </c>
      <c r="BV352" s="4" t="s">
        <v>293</v>
      </c>
    </row>
    <row r="353" spans="1:74" ht="14.4" x14ac:dyDescent="0.3">
      <c r="A353" s="28"/>
      <c r="D353" s="29" t="s">
        <v>501</v>
      </c>
      <c r="E353" s="29" t="s">
        <v>52</v>
      </c>
      <c r="G353" s="30">
        <v>102.129</v>
      </c>
      <c r="H353" s="63"/>
      <c r="N353" s="31"/>
    </row>
    <row r="354" spans="1:74" ht="14.4" x14ac:dyDescent="0.3">
      <c r="A354" s="2" t="s">
        <v>507</v>
      </c>
      <c r="B354" s="3" t="s">
        <v>301</v>
      </c>
      <c r="C354" s="3" t="s">
        <v>295</v>
      </c>
      <c r="D354" s="112" t="s">
        <v>296</v>
      </c>
      <c r="E354" s="109"/>
      <c r="F354" s="3" t="s">
        <v>278</v>
      </c>
      <c r="G354" s="25">
        <v>1021.288</v>
      </c>
      <c r="H354" s="62"/>
      <c r="I354" s="25">
        <f>ROUND(G354*AM354,2)</f>
        <v>0</v>
      </c>
      <c r="J354" s="25">
        <f>ROUND(G354*AN354,2)</f>
        <v>0</v>
      </c>
      <c r="K354" s="25">
        <f>ROUND(G354*H354,2)</f>
        <v>0</v>
      </c>
      <c r="L354" s="25">
        <v>0</v>
      </c>
      <c r="M354" s="25">
        <f>G354*L354</f>
        <v>0</v>
      </c>
      <c r="N354" s="26"/>
      <c r="X354" s="25">
        <f>ROUND(IF(AO354="5",BH354,0),2)</f>
        <v>0</v>
      </c>
      <c r="Z354" s="25">
        <f>ROUND(IF(AO354="1",BF354,0),2)</f>
        <v>0</v>
      </c>
      <c r="AA354" s="25">
        <f>ROUND(IF(AO354="1",BG354,0),2)</f>
        <v>0</v>
      </c>
      <c r="AB354" s="25">
        <f>ROUND(IF(AO354="7",BF354,0),2)</f>
        <v>0</v>
      </c>
      <c r="AC354" s="25">
        <f>ROUND(IF(AO354="7",BG354,0),2)</f>
        <v>0</v>
      </c>
      <c r="AD354" s="25">
        <f>ROUND(IF(AO354="2",BF354,0),2)</f>
        <v>0</v>
      </c>
      <c r="AE354" s="25">
        <f>ROUND(IF(AO354="2",BG354,0),2)</f>
        <v>0</v>
      </c>
      <c r="AF354" s="25">
        <f>ROUND(IF(AO354="0",BH354,0),2)</f>
        <v>0</v>
      </c>
      <c r="AG354" s="10" t="s">
        <v>301</v>
      </c>
      <c r="AH354" s="25">
        <f>IF(AL354=0,K354,0)</f>
        <v>0</v>
      </c>
      <c r="AI354" s="25">
        <f>IF(AL354=12,K354,0)</f>
        <v>0</v>
      </c>
      <c r="AJ354" s="25">
        <f>IF(AL354=21,K354,0)</f>
        <v>0</v>
      </c>
      <c r="AL354" s="25">
        <v>21</v>
      </c>
      <c r="AM354" s="25">
        <f>H354*0</f>
        <v>0</v>
      </c>
      <c r="AN354" s="25">
        <f>H354*(1-0)</f>
        <v>0</v>
      </c>
      <c r="AO354" s="27" t="s">
        <v>97</v>
      </c>
      <c r="AT354" s="25">
        <f>ROUND(AU354+AV354,2)</f>
        <v>0</v>
      </c>
      <c r="AU354" s="25">
        <f>ROUND(G354*AM354,2)</f>
        <v>0</v>
      </c>
      <c r="AV354" s="25">
        <f>ROUND(G354*AN354,2)</f>
        <v>0</v>
      </c>
      <c r="AW354" s="27" t="s">
        <v>279</v>
      </c>
      <c r="AX354" s="27" t="s">
        <v>358</v>
      </c>
      <c r="AY354" s="10" t="s">
        <v>306</v>
      </c>
      <c r="BA354" s="25">
        <f>AU354+AV354</f>
        <v>0</v>
      </c>
      <c r="BB354" s="25">
        <f>H354/(100-BC354)*100</f>
        <v>0</v>
      </c>
      <c r="BC354" s="25">
        <v>0</v>
      </c>
      <c r="BD354" s="25">
        <f>M354</f>
        <v>0</v>
      </c>
      <c r="BF354" s="25">
        <f>G354*AM354</f>
        <v>0</v>
      </c>
      <c r="BG354" s="25">
        <f>G354*AN354</f>
        <v>0</v>
      </c>
      <c r="BH354" s="25">
        <f>G354*H354</f>
        <v>0</v>
      </c>
      <c r="BI354" s="27" t="s">
        <v>65</v>
      </c>
      <c r="BJ354" s="25"/>
      <c r="BU354" s="25" t="e">
        <f>#REF!</f>
        <v>#REF!</v>
      </c>
      <c r="BV354" s="4" t="s">
        <v>296</v>
      </c>
    </row>
    <row r="355" spans="1:74" ht="14.4" x14ac:dyDescent="0.3">
      <c r="A355" s="28"/>
      <c r="D355" s="29" t="s">
        <v>508</v>
      </c>
      <c r="E355" s="29" t="s">
        <v>52</v>
      </c>
      <c r="G355" s="30">
        <v>1021.288</v>
      </c>
      <c r="H355" s="63"/>
      <c r="N355" s="31"/>
    </row>
    <row r="356" spans="1:74" ht="14.4" x14ac:dyDescent="0.3">
      <c r="A356" s="2" t="s">
        <v>509</v>
      </c>
      <c r="B356" s="3" t="s">
        <v>301</v>
      </c>
      <c r="C356" s="3" t="s">
        <v>299</v>
      </c>
      <c r="D356" s="112" t="s">
        <v>300</v>
      </c>
      <c r="E356" s="109"/>
      <c r="F356" s="3" t="s">
        <v>278</v>
      </c>
      <c r="G356" s="25">
        <v>102.129</v>
      </c>
      <c r="H356" s="62"/>
      <c r="I356" s="25">
        <f>ROUND(G356*AM356,2)</f>
        <v>0</v>
      </c>
      <c r="J356" s="25">
        <f>ROUND(G356*AN356,2)</f>
        <v>0</v>
      </c>
      <c r="K356" s="25">
        <f>ROUND(G356*H356,2)</f>
        <v>0</v>
      </c>
      <c r="L356" s="25">
        <v>0</v>
      </c>
      <c r="M356" s="25">
        <f>G356*L356</f>
        <v>0</v>
      </c>
      <c r="N356" s="26"/>
      <c r="X356" s="25">
        <f>ROUND(IF(AO356="5",BH356,0),2)</f>
        <v>0</v>
      </c>
      <c r="Z356" s="25">
        <f>ROUND(IF(AO356="1",BF356,0),2)</f>
        <v>0</v>
      </c>
      <c r="AA356" s="25">
        <f>ROUND(IF(AO356="1",BG356,0),2)</f>
        <v>0</v>
      </c>
      <c r="AB356" s="25">
        <f>ROUND(IF(AO356="7",BF356,0),2)</f>
        <v>0</v>
      </c>
      <c r="AC356" s="25">
        <f>ROUND(IF(AO356="7",BG356,0),2)</f>
        <v>0</v>
      </c>
      <c r="AD356" s="25">
        <f>ROUND(IF(AO356="2",BF356,0),2)</f>
        <v>0</v>
      </c>
      <c r="AE356" s="25">
        <f>ROUND(IF(AO356="2",BG356,0),2)</f>
        <v>0</v>
      </c>
      <c r="AF356" s="25">
        <f>ROUND(IF(AO356="0",BH356,0),2)</f>
        <v>0</v>
      </c>
      <c r="AG356" s="10" t="s">
        <v>301</v>
      </c>
      <c r="AH356" s="25">
        <f>IF(AL356=0,K356,0)</f>
        <v>0</v>
      </c>
      <c r="AI356" s="25">
        <f>IF(AL356=12,K356,0)</f>
        <v>0</v>
      </c>
      <c r="AJ356" s="25">
        <f>IF(AL356=21,K356,0)</f>
        <v>0</v>
      </c>
      <c r="AL356" s="25">
        <v>21</v>
      </c>
      <c r="AM356" s="25">
        <f>H356*0</f>
        <v>0</v>
      </c>
      <c r="AN356" s="25">
        <f>H356*(1-0)</f>
        <v>0</v>
      </c>
      <c r="AO356" s="27" t="s">
        <v>97</v>
      </c>
      <c r="AT356" s="25">
        <f>ROUND(AU356+AV356,2)</f>
        <v>0</v>
      </c>
      <c r="AU356" s="25">
        <f>ROUND(G356*AM356,2)</f>
        <v>0</v>
      </c>
      <c r="AV356" s="25">
        <f>ROUND(G356*AN356,2)</f>
        <v>0</v>
      </c>
      <c r="AW356" s="27" t="s">
        <v>279</v>
      </c>
      <c r="AX356" s="27" t="s">
        <v>358</v>
      </c>
      <c r="AY356" s="10" t="s">
        <v>306</v>
      </c>
      <c r="BA356" s="25">
        <f>AU356+AV356</f>
        <v>0</v>
      </c>
      <c r="BB356" s="25">
        <f>H356/(100-BC356)*100</f>
        <v>0</v>
      </c>
      <c r="BC356" s="25">
        <v>0</v>
      </c>
      <c r="BD356" s="25">
        <f>M356</f>
        <v>0</v>
      </c>
      <c r="BF356" s="25">
        <f>G356*AM356</f>
        <v>0</v>
      </c>
      <c r="BG356" s="25">
        <f>G356*AN356</f>
        <v>0</v>
      </c>
      <c r="BH356" s="25">
        <f>G356*H356</f>
        <v>0</v>
      </c>
      <c r="BI356" s="27" t="s">
        <v>65</v>
      </c>
      <c r="BJ356" s="25"/>
      <c r="BU356" s="25" t="e">
        <f>#REF!</f>
        <v>#REF!</v>
      </c>
      <c r="BV356" s="4" t="s">
        <v>300</v>
      </c>
    </row>
    <row r="357" spans="1:74" ht="14.4" x14ac:dyDescent="0.3">
      <c r="A357" s="28"/>
      <c r="D357" s="29" t="s">
        <v>501</v>
      </c>
      <c r="E357" s="29" t="s">
        <v>52</v>
      </c>
      <c r="G357" s="30">
        <v>102.129</v>
      </c>
      <c r="H357" s="63"/>
      <c r="N357" s="31"/>
    </row>
    <row r="358" spans="1:74" ht="14.4" x14ac:dyDescent="0.3">
      <c r="A358" s="95" t="s">
        <v>52</v>
      </c>
      <c r="B358" s="96" t="s">
        <v>510</v>
      </c>
      <c r="C358" s="96" t="s">
        <v>52</v>
      </c>
      <c r="D358" s="179" t="s">
        <v>511</v>
      </c>
      <c r="E358" s="180"/>
      <c r="F358" s="97" t="s">
        <v>32</v>
      </c>
      <c r="G358" s="97" t="s">
        <v>32</v>
      </c>
      <c r="H358" s="98"/>
      <c r="I358" s="99">
        <f>I359+I366+I379+I384+I396+I413+I424+I427+I436+I532+I561+I575+I598+I628+I642+I667+I673+I733+I742+I748+I789+I830+I833+I844+I859+I862</f>
        <v>0</v>
      </c>
      <c r="J358" s="99">
        <f>J359+J366+J379+J384+J396+J413+J424+J427+J436+J532+J561+J575+J598+J628+J642+J667+J673+J733+J742+J748+J789+J830+J833+J844+J859+J862</f>
        <v>0</v>
      </c>
      <c r="K358" s="99">
        <f>K359+K366+K379+K384+K396+K413+K424+K427+K436+K532+K561+K575+K598+K628+K642+K667+K673+K733+K742+K748+K789+K830+K833+K844+K859+K862</f>
        <v>0</v>
      </c>
      <c r="L358" s="100" t="s">
        <v>52</v>
      </c>
      <c r="M358" s="99">
        <f>M359+M366+M379+M384+M396+M413+M424+M427+M436+M532+M561+M575+M598+M628+M642+M667+M673+M733+M742+M748+M789+M830+M833+M844+M859+M862</f>
        <v>87.344506466799999</v>
      </c>
      <c r="N358" s="101"/>
    </row>
    <row r="359" spans="1:74" ht="14.4" x14ac:dyDescent="0.3">
      <c r="A359" s="21" t="s">
        <v>52</v>
      </c>
      <c r="B359" s="22" t="s">
        <v>510</v>
      </c>
      <c r="C359" s="22" t="s">
        <v>140</v>
      </c>
      <c r="D359" s="170" t="s">
        <v>512</v>
      </c>
      <c r="E359" s="171"/>
      <c r="F359" s="23" t="s">
        <v>32</v>
      </c>
      <c r="G359" s="23" t="s">
        <v>32</v>
      </c>
      <c r="H359" s="64"/>
      <c r="I359" s="1">
        <f>SUM(I360:I364)</f>
        <v>0</v>
      </c>
      <c r="J359" s="1">
        <f>SUM(J360:J364)</f>
        <v>0</v>
      </c>
      <c r="K359" s="1">
        <f>SUM(K360:K364)</f>
        <v>0</v>
      </c>
      <c r="L359" s="10" t="s">
        <v>52</v>
      </c>
      <c r="M359" s="1">
        <f>SUM(M360:M364)</f>
        <v>19.8261</v>
      </c>
      <c r="N359" s="24"/>
      <c r="AG359" s="10" t="s">
        <v>510</v>
      </c>
      <c r="AQ359" s="1">
        <f>SUM(AH360:AH364)</f>
        <v>0</v>
      </c>
      <c r="AR359" s="1">
        <f>SUM(AI360:AI364)</f>
        <v>0</v>
      </c>
      <c r="AS359" s="1">
        <f>SUM(AJ360:AJ364)</f>
        <v>0</v>
      </c>
    </row>
    <row r="360" spans="1:74" ht="14.4" x14ac:dyDescent="0.3">
      <c r="A360" s="2" t="s">
        <v>513</v>
      </c>
      <c r="B360" s="3" t="s">
        <v>510</v>
      </c>
      <c r="C360" s="3" t="s">
        <v>514</v>
      </c>
      <c r="D360" s="112" t="s">
        <v>515</v>
      </c>
      <c r="E360" s="109"/>
      <c r="F360" s="3" t="s">
        <v>60</v>
      </c>
      <c r="G360" s="25">
        <v>21</v>
      </c>
      <c r="H360" s="62"/>
      <c r="I360" s="25">
        <f>ROUND(G360*AM360,2)</f>
        <v>0</v>
      </c>
      <c r="J360" s="25">
        <f>ROUND(G360*AN360,2)</f>
        <v>0</v>
      </c>
      <c r="K360" s="25">
        <f>ROUND(G360*H360,2)</f>
        <v>0</v>
      </c>
      <c r="L360" s="25">
        <v>0</v>
      </c>
      <c r="M360" s="25">
        <f>G360*L360</f>
        <v>0</v>
      </c>
      <c r="N360" s="26"/>
      <c r="X360" s="25">
        <f>ROUND(IF(AO360="5",BH360,0),2)</f>
        <v>0</v>
      </c>
      <c r="Z360" s="25">
        <f>ROUND(IF(AO360="1",BF360,0),2)</f>
        <v>0</v>
      </c>
      <c r="AA360" s="25">
        <f>ROUND(IF(AO360="1",BG360,0),2)</f>
        <v>0</v>
      </c>
      <c r="AB360" s="25">
        <f>ROUND(IF(AO360="7",BF360,0),2)</f>
        <v>0</v>
      </c>
      <c r="AC360" s="25">
        <f>ROUND(IF(AO360="7",BG360,0),2)</f>
        <v>0</v>
      </c>
      <c r="AD360" s="25">
        <f>ROUND(IF(AO360="2",BF360,0),2)</f>
        <v>0</v>
      </c>
      <c r="AE360" s="25">
        <f>ROUND(IF(AO360="2",BG360,0),2)</f>
        <v>0</v>
      </c>
      <c r="AF360" s="25">
        <f>ROUND(IF(AO360="0",BH360,0),2)</f>
        <v>0</v>
      </c>
      <c r="AG360" s="10" t="s">
        <v>510</v>
      </c>
      <c r="AH360" s="25">
        <f>IF(AL360=0,K360,0)</f>
        <v>0</v>
      </c>
      <c r="AI360" s="25">
        <f>IF(AL360=12,K360,0)</f>
        <v>0</v>
      </c>
      <c r="AJ360" s="25">
        <f>IF(AL360=21,K360,0)</f>
        <v>0</v>
      </c>
      <c r="AL360" s="25">
        <v>21</v>
      </c>
      <c r="AM360" s="25">
        <f>H360*0</f>
        <v>0</v>
      </c>
      <c r="AN360" s="25">
        <f>H360*(1-0)</f>
        <v>0</v>
      </c>
      <c r="AO360" s="27" t="s">
        <v>57</v>
      </c>
      <c r="AT360" s="25">
        <f>ROUND(AU360+AV360,2)</f>
        <v>0</v>
      </c>
      <c r="AU360" s="25">
        <f>ROUND(G360*AM360,2)</f>
        <v>0</v>
      </c>
      <c r="AV360" s="25">
        <f>ROUND(G360*AN360,2)</f>
        <v>0</v>
      </c>
      <c r="AW360" s="27" t="s">
        <v>516</v>
      </c>
      <c r="AX360" s="27" t="s">
        <v>517</v>
      </c>
      <c r="AY360" s="10" t="s">
        <v>518</v>
      </c>
      <c r="BA360" s="25">
        <f>AU360+AV360</f>
        <v>0</v>
      </c>
      <c r="BB360" s="25">
        <f>H360/(100-BC360)*100</f>
        <v>0</v>
      </c>
      <c r="BC360" s="25">
        <v>0</v>
      </c>
      <c r="BD360" s="25">
        <f>M360</f>
        <v>0</v>
      </c>
      <c r="BF360" s="25">
        <f>G360*AM360</f>
        <v>0</v>
      </c>
      <c r="BG360" s="25">
        <f>G360*AN360</f>
        <v>0</v>
      </c>
      <c r="BH360" s="25">
        <f>G360*H360</f>
        <v>0</v>
      </c>
      <c r="BI360" s="27" t="s">
        <v>65</v>
      </c>
      <c r="BJ360" s="25">
        <v>11</v>
      </c>
      <c r="BU360" s="25" t="e">
        <f>#REF!</f>
        <v>#REF!</v>
      </c>
      <c r="BV360" s="4" t="s">
        <v>515</v>
      </c>
    </row>
    <row r="361" spans="1:74" ht="14.4" x14ac:dyDescent="0.3">
      <c r="A361" s="28"/>
      <c r="D361" s="29" t="s">
        <v>519</v>
      </c>
      <c r="E361" s="29" t="s">
        <v>52</v>
      </c>
      <c r="G361" s="30">
        <v>21</v>
      </c>
      <c r="H361" s="63"/>
      <c r="N361" s="31"/>
    </row>
    <row r="362" spans="1:74" ht="14.4" x14ac:dyDescent="0.3">
      <c r="A362" s="2" t="s">
        <v>520</v>
      </c>
      <c r="B362" s="3" t="s">
        <v>510</v>
      </c>
      <c r="C362" s="3" t="s">
        <v>521</v>
      </c>
      <c r="D362" s="112" t="s">
        <v>522</v>
      </c>
      <c r="E362" s="109"/>
      <c r="F362" s="3" t="s">
        <v>60</v>
      </c>
      <c r="G362" s="25">
        <v>21</v>
      </c>
      <c r="H362" s="62"/>
      <c r="I362" s="25">
        <f>ROUND(G362*AM362,2)</f>
        <v>0</v>
      </c>
      <c r="J362" s="25">
        <f>ROUND(G362*AN362,2)</f>
        <v>0</v>
      </c>
      <c r="K362" s="25">
        <f>ROUND(G362*H362,2)</f>
        <v>0</v>
      </c>
      <c r="L362" s="25">
        <v>4.3999999999999997E-2</v>
      </c>
      <c r="M362" s="25">
        <f>G362*L362</f>
        <v>0.92399999999999993</v>
      </c>
      <c r="N362" s="26"/>
      <c r="X362" s="25">
        <f>ROUND(IF(AO362="5",BH362,0),2)</f>
        <v>0</v>
      </c>
      <c r="Z362" s="25">
        <f>ROUND(IF(AO362="1",BF362,0),2)</f>
        <v>0</v>
      </c>
      <c r="AA362" s="25">
        <f>ROUND(IF(AO362="1",BG362,0),2)</f>
        <v>0</v>
      </c>
      <c r="AB362" s="25">
        <f>ROUND(IF(AO362="7",BF362,0),2)</f>
        <v>0</v>
      </c>
      <c r="AC362" s="25">
        <f>ROUND(IF(AO362="7",BG362,0),2)</f>
        <v>0</v>
      </c>
      <c r="AD362" s="25">
        <f>ROUND(IF(AO362="2",BF362,0),2)</f>
        <v>0</v>
      </c>
      <c r="AE362" s="25">
        <f>ROUND(IF(AO362="2",BG362,0),2)</f>
        <v>0</v>
      </c>
      <c r="AF362" s="25">
        <f>ROUND(IF(AO362="0",BH362,0),2)</f>
        <v>0</v>
      </c>
      <c r="AG362" s="10" t="s">
        <v>510</v>
      </c>
      <c r="AH362" s="25">
        <f>IF(AL362=0,K362,0)</f>
        <v>0</v>
      </c>
      <c r="AI362" s="25">
        <f>IF(AL362=12,K362,0)</f>
        <v>0</v>
      </c>
      <c r="AJ362" s="25">
        <f>IF(AL362=21,K362,0)</f>
        <v>0</v>
      </c>
      <c r="AL362" s="25">
        <v>21</v>
      </c>
      <c r="AM362" s="25">
        <f>H362*0</f>
        <v>0</v>
      </c>
      <c r="AN362" s="25">
        <f>H362*(1-0)</f>
        <v>0</v>
      </c>
      <c r="AO362" s="27" t="s">
        <v>57</v>
      </c>
      <c r="AT362" s="25">
        <f>ROUND(AU362+AV362,2)</f>
        <v>0</v>
      </c>
      <c r="AU362" s="25">
        <f>ROUND(G362*AM362,2)</f>
        <v>0</v>
      </c>
      <c r="AV362" s="25">
        <f>ROUND(G362*AN362,2)</f>
        <v>0</v>
      </c>
      <c r="AW362" s="27" t="s">
        <v>516</v>
      </c>
      <c r="AX362" s="27" t="s">
        <v>517</v>
      </c>
      <c r="AY362" s="10" t="s">
        <v>518</v>
      </c>
      <c r="BA362" s="25">
        <f>AU362+AV362</f>
        <v>0</v>
      </c>
      <c r="BB362" s="25">
        <f>H362/(100-BC362)*100</f>
        <v>0</v>
      </c>
      <c r="BC362" s="25">
        <v>0</v>
      </c>
      <c r="BD362" s="25">
        <f>M362</f>
        <v>0.92399999999999993</v>
      </c>
      <c r="BF362" s="25">
        <f>G362*AM362</f>
        <v>0</v>
      </c>
      <c r="BG362" s="25">
        <f>G362*AN362</f>
        <v>0</v>
      </c>
      <c r="BH362" s="25">
        <f>G362*H362</f>
        <v>0</v>
      </c>
      <c r="BI362" s="27" t="s">
        <v>65</v>
      </c>
      <c r="BJ362" s="25">
        <v>11</v>
      </c>
      <c r="BU362" s="25" t="e">
        <f>#REF!</f>
        <v>#REF!</v>
      </c>
      <c r="BV362" s="4" t="s">
        <v>522</v>
      </c>
    </row>
    <row r="363" spans="1:74" ht="14.4" x14ac:dyDescent="0.3">
      <c r="A363" s="28"/>
      <c r="D363" s="29" t="s">
        <v>519</v>
      </c>
      <c r="E363" s="29" t="s">
        <v>52</v>
      </c>
      <c r="G363" s="30">
        <v>21</v>
      </c>
      <c r="H363" s="63"/>
      <c r="N363" s="31"/>
    </row>
    <row r="364" spans="1:74" ht="14.4" x14ac:dyDescent="0.3">
      <c r="A364" s="2" t="s">
        <v>523</v>
      </c>
      <c r="B364" s="3" t="s">
        <v>510</v>
      </c>
      <c r="C364" s="3" t="s">
        <v>524</v>
      </c>
      <c r="D364" s="112" t="s">
        <v>525</v>
      </c>
      <c r="E364" s="109"/>
      <c r="F364" s="3" t="s">
        <v>60</v>
      </c>
      <c r="G364" s="25">
        <v>21</v>
      </c>
      <c r="H364" s="62"/>
      <c r="I364" s="25">
        <f>ROUND(G364*AM364,2)</f>
        <v>0</v>
      </c>
      <c r="J364" s="25">
        <f>ROUND(G364*AN364,2)</f>
        <v>0</v>
      </c>
      <c r="K364" s="25">
        <f>ROUND(G364*H364,2)</f>
        <v>0</v>
      </c>
      <c r="L364" s="25">
        <v>0.90010000000000001</v>
      </c>
      <c r="M364" s="25">
        <f>G364*L364</f>
        <v>18.902100000000001</v>
      </c>
      <c r="N364" s="26"/>
      <c r="X364" s="25">
        <f>ROUND(IF(AO364="5",BH364,0),2)</f>
        <v>0</v>
      </c>
      <c r="Z364" s="25">
        <f>ROUND(IF(AO364="1",BF364,0),2)</f>
        <v>0</v>
      </c>
      <c r="AA364" s="25">
        <f>ROUND(IF(AO364="1",BG364,0),2)</f>
        <v>0</v>
      </c>
      <c r="AB364" s="25">
        <f>ROUND(IF(AO364="7",BF364,0),2)</f>
        <v>0</v>
      </c>
      <c r="AC364" s="25">
        <f>ROUND(IF(AO364="7",BG364,0),2)</f>
        <v>0</v>
      </c>
      <c r="AD364" s="25">
        <f>ROUND(IF(AO364="2",BF364,0),2)</f>
        <v>0</v>
      </c>
      <c r="AE364" s="25">
        <f>ROUND(IF(AO364="2",BG364,0),2)</f>
        <v>0</v>
      </c>
      <c r="AF364" s="25">
        <f>ROUND(IF(AO364="0",BH364,0),2)</f>
        <v>0</v>
      </c>
      <c r="AG364" s="10" t="s">
        <v>510</v>
      </c>
      <c r="AH364" s="25">
        <f>IF(AL364=0,K364,0)</f>
        <v>0</v>
      </c>
      <c r="AI364" s="25">
        <f>IF(AL364=12,K364,0)</f>
        <v>0</v>
      </c>
      <c r="AJ364" s="25">
        <f>IF(AL364=21,K364,0)</f>
        <v>0</v>
      </c>
      <c r="AL364" s="25">
        <v>21</v>
      </c>
      <c r="AM364" s="25">
        <f>H364*0.00554917</f>
        <v>0</v>
      </c>
      <c r="AN364" s="25">
        <f>H364*(1-0.00554917)</f>
        <v>0</v>
      </c>
      <c r="AO364" s="27" t="s">
        <v>57</v>
      </c>
      <c r="AT364" s="25">
        <f>ROUND(AU364+AV364,2)</f>
        <v>0</v>
      </c>
      <c r="AU364" s="25">
        <f>ROUND(G364*AM364,2)</f>
        <v>0</v>
      </c>
      <c r="AV364" s="25">
        <f>ROUND(G364*AN364,2)</f>
        <v>0</v>
      </c>
      <c r="AW364" s="27" t="s">
        <v>516</v>
      </c>
      <c r="AX364" s="27" t="s">
        <v>517</v>
      </c>
      <c r="AY364" s="10" t="s">
        <v>518</v>
      </c>
      <c r="BA364" s="25">
        <f>AU364+AV364</f>
        <v>0</v>
      </c>
      <c r="BB364" s="25">
        <f>H364/(100-BC364)*100</f>
        <v>0</v>
      </c>
      <c r="BC364" s="25">
        <v>0</v>
      </c>
      <c r="BD364" s="25">
        <f>M364</f>
        <v>18.902100000000001</v>
      </c>
      <c r="BF364" s="25">
        <f>G364*AM364</f>
        <v>0</v>
      </c>
      <c r="BG364" s="25">
        <f>G364*AN364</f>
        <v>0</v>
      </c>
      <c r="BH364" s="25">
        <f>G364*H364</f>
        <v>0</v>
      </c>
      <c r="BI364" s="27" t="s">
        <v>65</v>
      </c>
      <c r="BJ364" s="25">
        <v>11</v>
      </c>
      <c r="BU364" s="25" t="e">
        <f>#REF!</f>
        <v>#REF!</v>
      </c>
      <c r="BV364" s="4" t="s">
        <v>525</v>
      </c>
    </row>
    <row r="365" spans="1:74" ht="14.4" x14ac:dyDescent="0.3">
      <c r="A365" s="28"/>
      <c r="D365" s="29" t="s">
        <v>519</v>
      </c>
      <c r="E365" s="29" t="s">
        <v>52</v>
      </c>
      <c r="G365" s="30">
        <v>21</v>
      </c>
      <c r="H365" s="63"/>
      <c r="N365" s="31"/>
    </row>
    <row r="366" spans="1:74" ht="14.4" x14ac:dyDescent="0.3">
      <c r="A366" s="21" t="s">
        <v>52</v>
      </c>
      <c r="B366" s="22" t="s">
        <v>510</v>
      </c>
      <c r="C366" s="22" t="s">
        <v>151</v>
      </c>
      <c r="D366" s="170" t="s">
        <v>526</v>
      </c>
      <c r="E366" s="171"/>
      <c r="F366" s="23" t="s">
        <v>32</v>
      </c>
      <c r="G366" s="23" t="s">
        <v>32</v>
      </c>
      <c r="H366" s="64"/>
      <c r="I366" s="1">
        <f>SUM(I367:I377)</f>
        <v>0</v>
      </c>
      <c r="J366" s="1">
        <f>SUM(J367:J377)</f>
        <v>0</v>
      </c>
      <c r="K366" s="1">
        <f>SUM(K367:K377)</f>
        <v>0</v>
      </c>
      <c r="L366" s="10" t="s">
        <v>52</v>
      </c>
      <c r="M366" s="1">
        <f>SUM(M367:M377)</f>
        <v>0</v>
      </c>
      <c r="N366" s="24"/>
      <c r="AG366" s="10" t="s">
        <v>510</v>
      </c>
      <c r="AQ366" s="1">
        <f>SUM(AH367:AH377)</f>
        <v>0</v>
      </c>
      <c r="AR366" s="1">
        <f>SUM(AI367:AI377)</f>
        <v>0</v>
      </c>
      <c r="AS366" s="1">
        <f>SUM(AJ367:AJ377)</f>
        <v>0</v>
      </c>
    </row>
    <row r="367" spans="1:74" ht="14.4" x14ac:dyDescent="0.3">
      <c r="A367" s="2" t="s">
        <v>527</v>
      </c>
      <c r="B367" s="3" t="s">
        <v>510</v>
      </c>
      <c r="C367" s="3" t="s">
        <v>528</v>
      </c>
      <c r="D367" s="112" t="s">
        <v>529</v>
      </c>
      <c r="E367" s="109"/>
      <c r="F367" s="3" t="s">
        <v>148</v>
      </c>
      <c r="G367" s="25">
        <v>4.4160000000000004</v>
      </c>
      <c r="H367" s="62"/>
      <c r="I367" s="25">
        <f>ROUND(G367*AM367,2)</f>
        <v>0</v>
      </c>
      <c r="J367" s="25">
        <f>ROUND(G367*AN367,2)</f>
        <v>0</v>
      </c>
      <c r="K367" s="25">
        <f>ROUND(G367*H367,2)</f>
        <v>0</v>
      </c>
      <c r="L367" s="25">
        <v>0</v>
      </c>
      <c r="M367" s="25">
        <f>G367*L367</f>
        <v>0</v>
      </c>
      <c r="N367" s="26"/>
      <c r="X367" s="25">
        <f>ROUND(IF(AO367="5",BH367,0),2)</f>
        <v>0</v>
      </c>
      <c r="Z367" s="25">
        <f>ROUND(IF(AO367="1",BF367,0),2)</f>
        <v>0</v>
      </c>
      <c r="AA367" s="25">
        <f>ROUND(IF(AO367="1",BG367,0),2)</f>
        <v>0</v>
      </c>
      <c r="AB367" s="25">
        <f>ROUND(IF(AO367="7",BF367,0),2)</f>
        <v>0</v>
      </c>
      <c r="AC367" s="25">
        <f>ROUND(IF(AO367="7",BG367,0),2)</f>
        <v>0</v>
      </c>
      <c r="AD367" s="25">
        <f>ROUND(IF(AO367="2",BF367,0),2)</f>
        <v>0</v>
      </c>
      <c r="AE367" s="25">
        <f>ROUND(IF(AO367="2",BG367,0),2)</f>
        <v>0</v>
      </c>
      <c r="AF367" s="25">
        <f>ROUND(IF(AO367="0",BH367,0),2)</f>
        <v>0</v>
      </c>
      <c r="AG367" s="10" t="s">
        <v>510</v>
      </c>
      <c r="AH367" s="25">
        <f>IF(AL367=0,K367,0)</f>
        <v>0</v>
      </c>
      <c r="AI367" s="25">
        <f>IF(AL367=12,K367,0)</f>
        <v>0</v>
      </c>
      <c r="AJ367" s="25">
        <f>IF(AL367=21,K367,0)</f>
        <v>0</v>
      </c>
      <c r="AL367" s="25">
        <v>21</v>
      </c>
      <c r="AM367" s="25">
        <f>H367*0</f>
        <v>0</v>
      </c>
      <c r="AN367" s="25">
        <f>H367*(1-0)</f>
        <v>0</v>
      </c>
      <c r="AO367" s="27" t="s">
        <v>57</v>
      </c>
      <c r="AT367" s="25">
        <f>ROUND(AU367+AV367,2)</f>
        <v>0</v>
      </c>
      <c r="AU367" s="25">
        <f>ROUND(G367*AM367,2)</f>
        <v>0</v>
      </c>
      <c r="AV367" s="25">
        <f>ROUND(G367*AN367,2)</f>
        <v>0</v>
      </c>
      <c r="AW367" s="27" t="s">
        <v>530</v>
      </c>
      <c r="AX367" s="27" t="s">
        <v>517</v>
      </c>
      <c r="AY367" s="10" t="s">
        <v>518</v>
      </c>
      <c r="BA367" s="25">
        <f>AU367+AV367</f>
        <v>0</v>
      </c>
      <c r="BB367" s="25">
        <f>H367/(100-BC367)*100</f>
        <v>0</v>
      </c>
      <c r="BC367" s="25">
        <v>0</v>
      </c>
      <c r="BD367" s="25">
        <f>M367</f>
        <v>0</v>
      </c>
      <c r="BF367" s="25">
        <f>G367*AM367</f>
        <v>0</v>
      </c>
      <c r="BG367" s="25">
        <f>G367*AN367</f>
        <v>0</v>
      </c>
      <c r="BH367" s="25">
        <f>G367*H367</f>
        <v>0</v>
      </c>
      <c r="BI367" s="27" t="s">
        <v>65</v>
      </c>
      <c r="BJ367" s="25">
        <v>13</v>
      </c>
      <c r="BU367" s="25" t="e">
        <f>#REF!</f>
        <v>#REF!</v>
      </c>
      <c r="BV367" s="4" t="s">
        <v>529</v>
      </c>
    </row>
    <row r="368" spans="1:74" ht="14.4" x14ac:dyDescent="0.3">
      <c r="A368" s="28"/>
      <c r="D368" s="29" t="s">
        <v>531</v>
      </c>
      <c r="E368" s="29" t="s">
        <v>52</v>
      </c>
      <c r="G368" s="30">
        <v>4.4160000000000004</v>
      </c>
      <c r="H368" s="63"/>
      <c r="N368" s="31"/>
    </row>
    <row r="369" spans="1:74" ht="14.4" x14ac:dyDescent="0.3">
      <c r="A369" s="2" t="s">
        <v>532</v>
      </c>
      <c r="B369" s="3" t="s">
        <v>510</v>
      </c>
      <c r="C369" s="3" t="s">
        <v>533</v>
      </c>
      <c r="D369" s="112" t="s">
        <v>534</v>
      </c>
      <c r="E369" s="109"/>
      <c r="F369" s="3" t="s">
        <v>148</v>
      </c>
      <c r="G369" s="25">
        <v>4.4160000000000004</v>
      </c>
      <c r="H369" s="62"/>
      <c r="I369" s="25">
        <f>ROUND(G369*AM369,2)</f>
        <v>0</v>
      </c>
      <c r="J369" s="25">
        <f>ROUND(G369*AN369,2)</f>
        <v>0</v>
      </c>
      <c r="K369" s="25">
        <f>ROUND(G369*H369,2)</f>
        <v>0</v>
      </c>
      <c r="L369" s="25">
        <v>0</v>
      </c>
      <c r="M369" s="25">
        <f>G369*L369</f>
        <v>0</v>
      </c>
      <c r="N369" s="26"/>
      <c r="X369" s="25">
        <f>ROUND(IF(AO369="5",BH369,0),2)</f>
        <v>0</v>
      </c>
      <c r="Z369" s="25">
        <f>ROUND(IF(AO369="1",BF369,0),2)</f>
        <v>0</v>
      </c>
      <c r="AA369" s="25">
        <f>ROUND(IF(AO369="1",BG369,0),2)</f>
        <v>0</v>
      </c>
      <c r="AB369" s="25">
        <f>ROUND(IF(AO369="7",BF369,0),2)</f>
        <v>0</v>
      </c>
      <c r="AC369" s="25">
        <f>ROUND(IF(AO369="7",BG369,0),2)</f>
        <v>0</v>
      </c>
      <c r="AD369" s="25">
        <f>ROUND(IF(AO369="2",BF369,0),2)</f>
        <v>0</v>
      </c>
      <c r="AE369" s="25">
        <f>ROUND(IF(AO369="2",BG369,0),2)</f>
        <v>0</v>
      </c>
      <c r="AF369" s="25">
        <f>ROUND(IF(AO369="0",BH369,0),2)</f>
        <v>0</v>
      </c>
      <c r="AG369" s="10" t="s">
        <v>510</v>
      </c>
      <c r="AH369" s="25">
        <f>IF(AL369=0,K369,0)</f>
        <v>0</v>
      </c>
      <c r="AI369" s="25">
        <f>IF(AL369=12,K369,0)</f>
        <v>0</v>
      </c>
      <c r="AJ369" s="25">
        <f>IF(AL369=21,K369,0)</f>
        <v>0</v>
      </c>
      <c r="AL369" s="25">
        <v>21</v>
      </c>
      <c r="AM369" s="25">
        <f>H369*0</f>
        <v>0</v>
      </c>
      <c r="AN369" s="25">
        <f>H369*(1-0)</f>
        <v>0</v>
      </c>
      <c r="AO369" s="27" t="s">
        <v>57</v>
      </c>
      <c r="AT369" s="25">
        <f>ROUND(AU369+AV369,2)</f>
        <v>0</v>
      </c>
      <c r="AU369" s="25">
        <f>ROUND(G369*AM369,2)</f>
        <v>0</v>
      </c>
      <c r="AV369" s="25">
        <f>ROUND(G369*AN369,2)</f>
        <v>0</v>
      </c>
      <c r="AW369" s="27" t="s">
        <v>530</v>
      </c>
      <c r="AX369" s="27" t="s">
        <v>517</v>
      </c>
      <c r="AY369" s="10" t="s">
        <v>518</v>
      </c>
      <c r="BA369" s="25">
        <f>AU369+AV369</f>
        <v>0</v>
      </c>
      <c r="BB369" s="25">
        <f>H369/(100-BC369)*100</f>
        <v>0</v>
      </c>
      <c r="BC369" s="25">
        <v>0</v>
      </c>
      <c r="BD369" s="25">
        <f>M369</f>
        <v>0</v>
      </c>
      <c r="BF369" s="25">
        <f>G369*AM369</f>
        <v>0</v>
      </c>
      <c r="BG369" s="25">
        <f>G369*AN369</f>
        <v>0</v>
      </c>
      <c r="BH369" s="25">
        <f>G369*H369</f>
        <v>0</v>
      </c>
      <c r="BI369" s="27" t="s">
        <v>65</v>
      </c>
      <c r="BJ369" s="25">
        <v>13</v>
      </c>
      <c r="BU369" s="25" t="e">
        <f>#REF!</f>
        <v>#REF!</v>
      </c>
      <c r="BV369" s="4" t="s">
        <v>534</v>
      </c>
    </row>
    <row r="370" spans="1:74" ht="14.4" x14ac:dyDescent="0.3">
      <c r="A370" s="28"/>
      <c r="D370" s="29" t="s">
        <v>535</v>
      </c>
      <c r="E370" s="29" t="s">
        <v>52</v>
      </c>
      <c r="G370" s="30">
        <v>4.4160000000000004</v>
      </c>
      <c r="H370" s="63"/>
      <c r="N370" s="31"/>
    </row>
    <row r="371" spans="1:74" ht="14.4" x14ac:dyDescent="0.3">
      <c r="A371" s="2" t="s">
        <v>536</v>
      </c>
      <c r="B371" s="3" t="s">
        <v>510</v>
      </c>
      <c r="C371" s="3" t="s">
        <v>537</v>
      </c>
      <c r="D371" s="112" t="s">
        <v>538</v>
      </c>
      <c r="E371" s="109"/>
      <c r="F371" s="3" t="s">
        <v>148</v>
      </c>
      <c r="G371" s="25">
        <v>44.16</v>
      </c>
      <c r="H371" s="62"/>
      <c r="I371" s="25">
        <f>ROUND(G371*AM371,2)</f>
        <v>0</v>
      </c>
      <c r="J371" s="25">
        <f>ROUND(G371*AN371,2)</f>
        <v>0</v>
      </c>
      <c r="K371" s="25">
        <f>ROUND(G371*H371,2)</f>
        <v>0</v>
      </c>
      <c r="L371" s="25">
        <v>0</v>
      </c>
      <c r="M371" s="25">
        <f>G371*L371</f>
        <v>0</v>
      </c>
      <c r="N371" s="26"/>
      <c r="X371" s="25">
        <f>ROUND(IF(AO371="5",BH371,0),2)</f>
        <v>0</v>
      </c>
      <c r="Z371" s="25">
        <f>ROUND(IF(AO371="1",BF371,0),2)</f>
        <v>0</v>
      </c>
      <c r="AA371" s="25">
        <f>ROUND(IF(AO371="1",BG371,0),2)</f>
        <v>0</v>
      </c>
      <c r="AB371" s="25">
        <f>ROUND(IF(AO371="7",BF371,0),2)</f>
        <v>0</v>
      </c>
      <c r="AC371" s="25">
        <f>ROUND(IF(AO371="7",BG371,0),2)</f>
        <v>0</v>
      </c>
      <c r="AD371" s="25">
        <f>ROUND(IF(AO371="2",BF371,0),2)</f>
        <v>0</v>
      </c>
      <c r="AE371" s="25">
        <f>ROUND(IF(AO371="2",BG371,0),2)</f>
        <v>0</v>
      </c>
      <c r="AF371" s="25">
        <f>ROUND(IF(AO371="0",BH371,0),2)</f>
        <v>0</v>
      </c>
      <c r="AG371" s="10" t="s">
        <v>510</v>
      </c>
      <c r="AH371" s="25">
        <f>IF(AL371=0,K371,0)</f>
        <v>0</v>
      </c>
      <c r="AI371" s="25">
        <f>IF(AL371=12,K371,0)</f>
        <v>0</v>
      </c>
      <c r="AJ371" s="25">
        <f>IF(AL371=21,K371,0)</f>
        <v>0</v>
      </c>
      <c r="AL371" s="25">
        <v>21</v>
      </c>
      <c r="AM371" s="25">
        <f>H371*0</f>
        <v>0</v>
      </c>
      <c r="AN371" s="25">
        <f>H371*(1-0)</f>
        <v>0</v>
      </c>
      <c r="AO371" s="27" t="s">
        <v>57</v>
      </c>
      <c r="AT371" s="25">
        <f>ROUND(AU371+AV371,2)</f>
        <v>0</v>
      </c>
      <c r="AU371" s="25">
        <f>ROUND(G371*AM371,2)</f>
        <v>0</v>
      </c>
      <c r="AV371" s="25">
        <f>ROUND(G371*AN371,2)</f>
        <v>0</v>
      </c>
      <c r="AW371" s="27" t="s">
        <v>530</v>
      </c>
      <c r="AX371" s="27" t="s">
        <v>517</v>
      </c>
      <c r="AY371" s="10" t="s">
        <v>518</v>
      </c>
      <c r="BA371" s="25">
        <f>AU371+AV371</f>
        <v>0</v>
      </c>
      <c r="BB371" s="25">
        <f>H371/(100-BC371)*100</f>
        <v>0</v>
      </c>
      <c r="BC371" s="25">
        <v>0</v>
      </c>
      <c r="BD371" s="25">
        <f>M371</f>
        <v>0</v>
      </c>
      <c r="BF371" s="25">
        <f>G371*AM371</f>
        <v>0</v>
      </c>
      <c r="BG371" s="25">
        <f>G371*AN371</f>
        <v>0</v>
      </c>
      <c r="BH371" s="25">
        <f>G371*H371</f>
        <v>0</v>
      </c>
      <c r="BI371" s="27" t="s">
        <v>65</v>
      </c>
      <c r="BJ371" s="25">
        <v>13</v>
      </c>
      <c r="BU371" s="25" t="e">
        <f>#REF!</f>
        <v>#REF!</v>
      </c>
      <c r="BV371" s="4" t="s">
        <v>538</v>
      </c>
    </row>
    <row r="372" spans="1:74" ht="14.4" x14ac:dyDescent="0.3">
      <c r="A372" s="28"/>
      <c r="D372" s="29" t="s">
        <v>539</v>
      </c>
      <c r="E372" s="29" t="s">
        <v>52</v>
      </c>
      <c r="G372" s="30">
        <v>44.16</v>
      </c>
      <c r="H372" s="63"/>
      <c r="N372" s="31"/>
    </row>
    <row r="373" spans="1:74" ht="14.4" x14ac:dyDescent="0.3">
      <c r="A373" s="2" t="s">
        <v>540</v>
      </c>
      <c r="B373" s="3" t="s">
        <v>510</v>
      </c>
      <c r="C373" s="3" t="s">
        <v>541</v>
      </c>
      <c r="D373" s="112" t="s">
        <v>542</v>
      </c>
      <c r="E373" s="109"/>
      <c r="F373" s="3" t="s">
        <v>148</v>
      </c>
      <c r="G373" s="25">
        <v>4.4160000000000004</v>
      </c>
      <c r="H373" s="62"/>
      <c r="I373" s="25">
        <f>ROUND(G373*AM373,2)</f>
        <v>0</v>
      </c>
      <c r="J373" s="25">
        <f>ROUND(G373*AN373,2)</f>
        <v>0</v>
      </c>
      <c r="K373" s="25">
        <f>ROUND(G373*H373,2)</f>
        <v>0</v>
      </c>
      <c r="L373" s="25">
        <v>0</v>
      </c>
      <c r="M373" s="25">
        <f>G373*L373</f>
        <v>0</v>
      </c>
      <c r="N373" s="26"/>
      <c r="X373" s="25">
        <f>ROUND(IF(AO373="5",BH373,0),2)</f>
        <v>0</v>
      </c>
      <c r="Z373" s="25">
        <f>ROUND(IF(AO373="1",BF373,0),2)</f>
        <v>0</v>
      </c>
      <c r="AA373" s="25">
        <f>ROUND(IF(AO373="1",BG373,0),2)</f>
        <v>0</v>
      </c>
      <c r="AB373" s="25">
        <f>ROUND(IF(AO373="7",BF373,0),2)</f>
        <v>0</v>
      </c>
      <c r="AC373" s="25">
        <f>ROUND(IF(AO373="7",BG373,0),2)</f>
        <v>0</v>
      </c>
      <c r="AD373" s="25">
        <f>ROUND(IF(AO373="2",BF373,0),2)</f>
        <v>0</v>
      </c>
      <c r="AE373" s="25">
        <f>ROUND(IF(AO373="2",BG373,0),2)</f>
        <v>0</v>
      </c>
      <c r="AF373" s="25">
        <f>ROUND(IF(AO373="0",BH373,0),2)</f>
        <v>0</v>
      </c>
      <c r="AG373" s="10" t="s">
        <v>510</v>
      </c>
      <c r="AH373" s="25">
        <f>IF(AL373=0,K373,0)</f>
        <v>0</v>
      </c>
      <c r="AI373" s="25">
        <f>IF(AL373=12,K373,0)</f>
        <v>0</v>
      </c>
      <c r="AJ373" s="25">
        <f>IF(AL373=21,K373,0)</f>
        <v>0</v>
      </c>
      <c r="AL373" s="25">
        <v>21</v>
      </c>
      <c r="AM373" s="25">
        <f>H373*0</f>
        <v>0</v>
      </c>
      <c r="AN373" s="25">
        <f>H373*(1-0)</f>
        <v>0</v>
      </c>
      <c r="AO373" s="27" t="s">
        <v>57</v>
      </c>
      <c r="AT373" s="25">
        <f>ROUND(AU373+AV373,2)</f>
        <v>0</v>
      </c>
      <c r="AU373" s="25">
        <f>ROUND(G373*AM373,2)</f>
        <v>0</v>
      </c>
      <c r="AV373" s="25">
        <f>ROUND(G373*AN373,2)</f>
        <v>0</v>
      </c>
      <c r="AW373" s="27" t="s">
        <v>530</v>
      </c>
      <c r="AX373" s="27" t="s">
        <v>517</v>
      </c>
      <c r="AY373" s="10" t="s">
        <v>518</v>
      </c>
      <c r="BA373" s="25">
        <f>AU373+AV373</f>
        <v>0</v>
      </c>
      <c r="BB373" s="25">
        <f>H373/(100-BC373)*100</f>
        <v>0</v>
      </c>
      <c r="BC373" s="25">
        <v>0</v>
      </c>
      <c r="BD373" s="25">
        <f>M373</f>
        <v>0</v>
      </c>
      <c r="BF373" s="25">
        <f>G373*AM373</f>
        <v>0</v>
      </c>
      <c r="BG373" s="25">
        <f>G373*AN373</f>
        <v>0</v>
      </c>
      <c r="BH373" s="25">
        <f>G373*H373</f>
        <v>0</v>
      </c>
      <c r="BI373" s="27" t="s">
        <v>65</v>
      </c>
      <c r="BJ373" s="25">
        <v>13</v>
      </c>
      <c r="BU373" s="25" t="e">
        <f>#REF!</f>
        <v>#REF!</v>
      </c>
      <c r="BV373" s="4" t="s">
        <v>542</v>
      </c>
    </row>
    <row r="374" spans="1:74" ht="14.4" x14ac:dyDescent="0.3">
      <c r="A374" s="28"/>
      <c r="D374" s="29" t="s">
        <v>535</v>
      </c>
      <c r="E374" s="29" t="s">
        <v>52</v>
      </c>
      <c r="G374" s="30">
        <v>4.4160000000000004</v>
      </c>
      <c r="H374" s="63"/>
      <c r="N374" s="31"/>
    </row>
    <row r="375" spans="1:74" ht="14.4" x14ac:dyDescent="0.3">
      <c r="A375" s="2" t="s">
        <v>543</v>
      </c>
      <c r="B375" s="3" t="s">
        <v>510</v>
      </c>
      <c r="C375" s="3" t="s">
        <v>544</v>
      </c>
      <c r="D375" s="112" t="s">
        <v>545</v>
      </c>
      <c r="E375" s="109"/>
      <c r="F375" s="3" t="s">
        <v>148</v>
      </c>
      <c r="G375" s="25">
        <v>4.4160000000000004</v>
      </c>
      <c r="H375" s="62"/>
      <c r="I375" s="25">
        <f>ROUND(G375*AM375,2)</f>
        <v>0</v>
      </c>
      <c r="J375" s="25">
        <f>ROUND(G375*AN375,2)</f>
        <v>0</v>
      </c>
      <c r="K375" s="25">
        <f>ROUND(G375*H375,2)</f>
        <v>0</v>
      </c>
      <c r="L375" s="25">
        <v>0</v>
      </c>
      <c r="M375" s="25">
        <f>G375*L375</f>
        <v>0</v>
      </c>
      <c r="N375" s="26"/>
      <c r="X375" s="25">
        <f>ROUND(IF(AO375="5",BH375,0),2)</f>
        <v>0</v>
      </c>
      <c r="Z375" s="25">
        <f>ROUND(IF(AO375="1",BF375,0),2)</f>
        <v>0</v>
      </c>
      <c r="AA375" s="25">
        <f>ROUND(IF(AO375="1",BG375,0),2)</f>
        <v>0</v>
      </c>
      <c r="AB375" s="25">
        <f>ROUND(IF(AO375="7",BF375,0),2)</f>
        <v>0</v>
      </c>
      <c r="AC375" s="25">
        <f>ROUND(IF(AO375="7",BG375,0),2)</f>
        <v>0</v>
      </c>
      <c r="AD375" s="25">
        <f>ROUND(IF(AO375="2",BF375,0),2)</f>
        <v>0</v>
      </c>
      <c r="AE375" s="25">
        <f>ROUND(IF(AO375="2",BG375,0),2)</f>
        <v>0</v>
      </c>
      <c r="AF375" s="25">
        <f>ROUND(IF(AO375="0",BH375,0),2)</f>
        <v>0</v>
      </c>
      <c r="AG375" s="10" t="s">
        <v>510</v>
      </c>
      <c r="AH375" s="25">
        <f>IF(AL375=0,K375,0)</f>
        <v>0</v>
      </c>
      <c r="AI375" s="25">
        <f>IF(AL375=12,K375,0)</f>
        <v>0</v>
      </c>
      <c r="AJ375" s="25">
        <f>IF(AL375=21,K375,0)</f>
        <v>0</v>
      </c>
      <c r="AL375" s="25">
        <v>21</v>
      </c>
      <c r="AM375" s="25">
        <f>H375*0</f>
        <v>0</v>
      </c>
      <c r="AN375" s="25">
        <f>H375*(1-0)</f>
        <v>0</v>
      </c>
      <c r="AO375" s="27" t="s">
        <v>57</v>
      </c>
      <c r="AT375" s="25">
        <f>ROUND(AU375+AV375,2)</f>
        <v>0</v>
      </c>
      <c r="AU375" s="25">
        <f>ROUND(G375*AM375,2)</f>
        <v>0</v>
      </c>
      <c r="AV375" s="25">
        <f>ROUND(G375*AN375,2)</f>
        <v>0</v>
      </c>
      <c r="AW375" s="27" t="s">
        <v>530</v>
      </c>
      <c r="AX375" s="27" t="s">
        <v>517</v>
      </c>
      <c r="AY375" s="10" t="s">
        <v>518</v>
      </c>
      <c r="BA375" s="25">
        <f>AU375+AV375</f>
        <v>0</v>
      </c>
      <c r="BB375" s="25">
        <f>H375/(100-BC375)*100</f>
        <v>0</v>
      </c>
      <c r="BC375" s="25">
        <v>0</v>
      </c>
      <c r="BD375" s="25">
        <f>M375</f>
        <v>0</v>
      </c>
      <c r="BF375" s="25">
        <f>G375*AM375</f>
        <v>0</v>
      </c>
      <c r="BG375" s="25">
        <f>G375*AN375</f>
        <v>0</v>
      </c>
      <c r="BH375" s="25">
        <f>G375*H375</f>
        <v>0</v>
      </c>
      <c r="BI375" s="27" t="s">
        <v>65</v>
      </c>
      <c r="BJ375" s="25">
        <v>13</v>
      </c>
      <c r="BU375" s="25" t="e">
        <f>#REF!</f>
        <v>#REF!</v>
      </c>
      <c r="BV375" s="4" t="s">
        <v>545</v>
      </c>
    </row>
    <row r="376" spans="1:74" ht="14.4" x14ac:dyDescent="0.3">
      <c r="A376" s="28"/>
      <c r="D376" s="29" t="s">
        <v>535</v>
      </c>
      <c r="E376" s="29" t="s">
        <v>52</v>
      </c>
      <c r="G376" s="30">
        <v>4.4160000000000004</v>
      </c>
      <c r="H376" s="63"/>
      <c r="N376" s="31"/>
    </row>
    <row r="377" spans="1:74" ht="14.4" x14ac:dyDescent="0.3">
      <c r="A377" s="2" t="s">
        <v>546</v>
      </c>
      <c r="B377" s="3" t="s">
        <v>510</v>
      </c>
      <c r="C377" s="3" t="s">
        <v>547</v>
      </c>
      <c r="D377" s="112" t="s">
        <v>548</v>
      </c>
      <c r="E377" s="109"/>
      <c r="F377" s="3" t="s">
        <v>148</v>
      </c>
      <c r="G377" s="25">
        <v>2.4159999999999999</v>
      </c>
      <c r="H377" s="62"/>
      <c r="I377" s="25">
        <f>ROUND(G377*AM377,2)</f>
        <v>0</v>
      </c>
      <c r="J377" s="25">
        <f>ROUND(G377*AN377,2)</f>
        <v>0</v>
      </c>
      <c r="K377" s="25">
        <f>ROUND(G377*H377,2)</f>
        <v>0</v>
      </c>
      <c r="L377" s="25">
        <v>0</v>
      </c>
      <c r="M377" s="25">
        <f>G377*L377</f>
        <v>0</v>
      </c>
      <c r="N377" s="26"/>
      <c r="X377" s="25">
        <f>ROUND(IF(AO377="5",BH377,0),2)</f>
        <v>0</v>
      </c>
      <c r="Z377" s="25">
        <f>ROUND(IF(AO377="1",BF377,0),2)</f>
        <v>0</v>
      </c>
      <c r="AA377" s="25">
        <f>ROUND(IF(AO377="1",BG377,0),2)</f>
        <v>0</v>
      </c>
      <c r="AB377" s="25">
        <f>ROUND(IF(AO377="7",BF377,0),2)</f>
        <v>0</v>
      </c>
      <c r="AC377" s="25">
        <f>ROUND(IF(AO377="7",BG377,0),2)</f>
        <v>0</v>
      </c>
      <c r="AD377" s="25">
        <f>ROUND(IF(AO377="2",BF377,0),2)</f>
        <v>0</v>
      </c>
      <c r="AE377" s="25">
        <f>ROUND(IF(AO377="2",BG377,0),2)</f>
        <v>0</v>
      </c>
      <c r="AF377" s="25">
        <f>ROUND(IF(AO377="0",BH377,0),2)</f>
        <v>0</v>
      </c>
      <c r="AG377" s="10" t="s">
        <v>510</v>
      </c>
      <c r="AH377" s="25">
        <f>IF(AL377=0,K377,0)</f>
        <v>0</v>
      </c>
      <c r="AI377" s="25">
        <f>IF(AL377=12,K377,0)</f>
        <v>0</v>
      </c>
      <c r="AJ377" s="25">
        <f>IF(AL377=21,K377,0)</f>
        <v>0</v>
      </c>
      <c r="AL377" s="25">
        <v>21</v>
      </c>
      <c r="AM377" s="25">
        <f>H377*0</f>
        <v>0</v>
      </c>
      <c r="AN377" s="25">
        <f>H377*(1-0)</f>
        <v>0</v>
      </c>
      <c r="AO377" s="27" t="s">
        <v>57</v>
      </c>
      <c r="AT377" s="25">
        <f>ROUND(AU377+AV377,2)</f>
        <v>0</v>
      </c>
      <c r="AU377" s="25">
        <f>ROUND(G377*AM377,2)</f>
        <v>0</v>
      </c>
      <c r="AV377" s="25">
        <f>ROUND(G377*AN377,2)</f>
        <v>0</v>
      </c>
      <c r="AW377" s="27" t="s">
        <v>530</v>
      </c>
      <c r="AX377" s="27" t="s">
        <v>517</v>
      </c>
      <c r="AY377" s="10" t="s">
        <v>518</v>
      </c>
      <c r="BA377" s="25">
        <f>AU377+AV377</f>
        <v>0</v>
      </c>
      <c r="BB377" s="25">
        <f>H377/(100-BC377)*100</f>
        <v>0</v>
      </c>
      <c r="BC377" s="25">
        <v>0</v>
      </c>
      <c r="BD377" s="25">
        <f>M377</f>
        <v>0</v>
      </c>
      <c r="BF377" s="25">
        <f>G377*AM377</f>
        <v>0</v>
      </c>
      <c r="BG377" s="25">
        <f>G377*AN377</f>
        <v>0</v>
      </c>
      <c r="BH377" s="25">
        <f>G377*H377</f>
        <v>0</v>
      </c>
      <c r="BI377" s="27" t="s">
        <v>65</v>
      </c>
      <c r="BJ377" s="25">
        <v>13</v>
      </c>
      <c r="BU377" s="25" t="e">
        <f>#REF!</f>
        <v>#REF!</v>
      </c>
      <c r="BV377" s="4" t="s">
        <v>548</v>
      </c>
    </row>
    <row r="378" spans="1:74" ht="14.4" x14ac:dyDescent="0.3">
      <c r="A378" s="28"/>
      <c r="D378" s="29" t="s">
        <v>549</v>
      </c>
      <c r="E378" s="29" t="s">
        <v>52</v>
      </c>
      <c r="G378" s="30">
        <v>2.4159999999999999</v>
      </c>
      <c r="H378" s="63"/>
      <c r="N378" s="31"/>
    </row>
    <row r="379" spans="1:74" ht="14.4" x14ac:dyDescent="0.3">
      <c r="A379" s="21" t="s">
        <v>52</v>
      </c>
      <c r="B379" s="22" t="s">
        <v>510</v>
      </c>
      <c r="C379" s="22" t="s">
        <v>184</v>
      </c>
      <c r="D379" s="170" t="s">
        <v>550</v>
      </c>
      <c r="E379" s="171"/>
      <c r="F379" s="23" t="s">
        <v>32</v>
      </c>
      <c r="G379" s="23" t="s">
        <v>32</v>
      </c>
      <c r="H379" s="64"/>
      <c r="I379" s="1">
        <f>SUM(I380:I382)</f>
        <v>0</v>
      </c>
      <c r="J379" s="1">
        <f>SUM(J380:J382)</f>
        <v>0</v>
      </c>
      <c r="K379" s="1">
        <f>SUM(K380:K382)</f>
        <v>0</v>
      </c>
      <c r="L379" s="10" t="s">
        <v>52</v>
      </c>
      <c r="M379" s="1">
        <f>SUM(M380:M382)</f>
        <v>3.34</v>
      </c>
      <c r="N379" s="24"/>
      <c r="AG379" s="10" t="s">
        <v>510</v>
      </c>
      <c r="AQ379" s="1">
        <f>SUM(AH380:AH382)</f>
        <v>0</v>
      </c>
      <c r="AR379" s="1">
        <f>SUM(AI380:AI382)</f>
        <v>0</v>
      </c>
      <c r="AS379" s="1">
        <f>SUM(AJ380:AJ382)</f>
        <v>0</v>
      </c>
    </row>
    <row r="380" spans="1:74" ht="14.4" x14ac:dyDescent="0.3">
      <c r="A380" s="2" t="s">
        <v>551</v>
      </c>
      <c r="B380" s="3" t="s">
        <v>510</v>
      </c>
      <c r="C380" s="3" t="s">
        <v>552</v>
      </c>
      <c r="D380" s="112" t="s">
        <v>553</v>
      </c>
      <c r="E380" s="109"/>
      <c r="F380" s="3" t="s">
        <v>148</v>
      </c>
      <c r="G380" s="25">
        <v>2</v>
      </c>
      <c r="H380" s="62"/>
      <c r="I380" s="25">
        <f>ROUND(G380*AM380,2)</f>
        <v>0</v>
      </c>
      <c r="J380" s="25">
        <f>ROUND(G380*AN380,2)</f>
        <v>0</v>
      </c>
      <c r="K380" s="25">
        <f>ROUND(G380*H380,2)</f>
        <v>0</v>
      </c>
      <c r="L380" s="25">
        <v>1.67</v>
      </c>
      <c r="M380" s="25">
        <f>G380*L380</f>
        <v>3.34</v>
      </c>
      <c r="N380" s="26"/>
      <c r="X380" s="25">
        <f>ROUND(IF(AO380="5",BH380,0),2)</f>
        <v>0</v>
      </c>
      <c r="Z380" s="25">
        <f>ROUND(IF(AO380="1",BF380,0),2)</f>
        <v>0</v>
      </c>
      <c r="AA380" s="25">
        <f>ROUND(IF(AO380="1",BG380,0),2)</f>
        <v>0</v>
      </c>
      <c r="AB380" s="25">
        <f>ROUND(IF(AO380="7",BF380,0),2)</f>
        <v>0</v>
      </c>
      <c r="AC380" s="25">
        <f>ROUND(IF(AO380="7",BG380,0),2)</f>
        <v>0</v>
      </c>
      <c r="AD380" s="25">
        <f>ROUND(IF(AO380="2",BF380,0),2)</f>
        <v>0</v>
      </c>
      <c r="AE380" s="25">
        <f>ROUND(IF(AO380="2",BG380,0),2)</f>
        <v>0</v>
      </c>
      <c r="AF380" s="25">
        <f>ROUND(IF(AO380="0",BH380,0),2)</f>
        <v>0</v>
      </c>
      <c r="AG380" s="10" t="s">
        <v>510</v>
      </c>
      <c r="AH380" s="25">
        <f>IF(AL380=0,K380,0)</f>
        <v>0</v>
      </c>
      <c r="AI380" s="25">
        <f>IF(AL380=12,K380,0)</f>
        <v>0</v>
      </c>
      <c r="AJ380" s="25">
        <f>IF(AL380=21,K380,0)</f>
        <v>0</v>
      </c>
      <c r="AL380" s="25">
        <v>21</v>
      </c>
      <c r="AM380" s="25">
        <f>H380*0.332170157</f>
        <v>0</v>
      </c>
      <c r="AN380" s="25">
        <f>H380*(1-0.332170157)</f>
        <v>0</v>
      </c>
      <c r="AO380" s="27" t="s">
        <v>57</v>
      </c>
      <c r="AT380" s="25">
        <f>ROUND(AU380+AV380,2)</f>
        <v>0</v>
      </c>
      <c r="AU380" s="25">
        <f>ROUND(G380*AM380,2)</f>
        <v>0</v>
      </c>
      <c r="AV380" s="25">
        <f>ROUND(G380*AN380,2)</f>
        <v>0</v>
      </c>
      <c r="AW380" s="27" t="s">
        <v>554</v>
      </c>
      <c r="AX380" s="27" t="s">
        <v>517</v>
      </c>
      <c r="AY380" s="10" t="s">
        <v>518</v>
      </c>
      <c r="BA380" s="25">
        <f>AU380+AV380</f>
        <v>0</v>
      </c>
      <c r="BB380" s="25">
        <f>H380/(100-BC380)*100</f>
        <v>0</v>
      </c>
      <c r="BC380" s="25">
        <v>0</v>
      </c>
      <c r="BD380" s="25">
        <f>M380</f>
        <v>3.34</v>
      </c>
      <c r="BF380" s="25">
        <f>G380*AM380</f>
        <v>0</v>
      </c>
      <c r="BG380" s="25">
        <f>G380*AN380</f>
        <v>0</v>
      </c>
      <c r="BH380" s="25">
        <f>G380*H380</f>
        <v>0</v>
      </c>
      <c r="BI380" s="27" t="s">
        <v>65</v>
      </c>
      <c r="BJ380" s="25">
        <v>17</v>
      </c>
      <c r="BU380" s="25" t="e">
        <f>#REF!</f>
        <v>#REF!</v>
      </c>
      <c r="BV380" s="4" t="s">
        <v>553</v>
      </c>
    </row>
    <row r="381" spans="1:74" ht="14.4" x14ac:dyDescent="0.3">
      <c r="A381" s="28"/>
      <c r="D381" s="29" t="s">
        <v>81</v>
      </c>
      <c r="E381" s="29" t="s">
        <v>52</v>
      </c>
      <c r="G381" s="30">
        <v>2</v>
      </c>
      <c r="H381" s="63"/>
      <c r="N381" s="31"/>
    </row>
    <row r="382" spans="1:74" ht="14.4" x14ac:dyDescent="0.3">
      <c r="A382" s="2" t="s">
        <v>555</v>
      </c>
      <c r="B382" s="3" t="s">
        <v>510</v>
      </c>
      <c r="C382" s="3" t="s">
        <v>556</v>
      </c>
      <c r="D382" s="112" t="s">
        <v>557</v>
      </c>
      <c r="E382" s="109"/>
      <c r="F382" s="3" t="s">
        <v>148</v>
      </c>
      <c r="G382" s="25">
        <v>3.4</v>
      </c>
      <c r="H382" s="62"/>
      <c r="I382" s="25">
        <f>ROUND(G382*AM382,2)</f>
        <v>0</v>
      </c>
      <c r="J382" s="25">
        <f>ROUND(G382*AN382,2)</f>
        <v>0</v>
      </c>
      <c r="K382" s="25">
        <f>ROUND(G382*H382,2)</f>
        <v>0</v>
      </c>
      <c r="L382" s="25">
        <v>0</v>
      </c>
      <c r="M382" s="25">
        <f>G382*L382</f>
        <v>0</v>
      </c>
      <c r="N382" s="26"/>
      <c r="X382" s="25">
        <f>ROUND(IF(AO382="5",BH382,0),2)</f>
        <v>0</v>
      </c>
      <c r="Z382" s="25">
        <f>ROUND(IF(AO382="1",BF382,0),2)</f>
        <v>0</v>
      </c>
      <c r="AA382" s="25">
        <f>ROUND(IF(AO382="1",BG382,0),2)</f>
        <v>0</v>
      </c>
      <c r="AB382" s="25">
        <f>ROUND(IF(AO382="7",BF382,0),2)</f>
        <v>0</v>
      </c>
      <c r="AC382" s="25">
        <f>ROUND(IF(AO382="7",BG382,0),2)</f>
        <v>0</v>
      </c>
      <c r="AD382" s="25">
        <f>ROUND(IF(AO382="2",BF382,0),2)</f>
        <v>0</v>
      </c>
      <c r="AE382" s="25">
        <f>ROUND(IF(AO382="2",BG382,0),2)</f>
        <v>0</v>
      </c>
      <c r="AF382" s="25">
        <f>ROUND(IF(AO382="0",BH382,0),2)</f>
        <v>0</v>
      </c>
      <c r="AG382" s="10" t="s">
        <v>510</v>
      </c>
      <c r="AH382" s="25">
        <f>IF(AL382=0,K382,0)</f>
        <v>0</v>
      </c>
      <c r="AI382" s="25">
        <f>IF(AL382=12,K382,0)</f>
        <v>0</v>
      </c>
      <c r="AJ382" s="25">
        <f>IF(AL382=21,K382,0)</f>
        <v>0</v>
      </c>
      <c r="AL382" s="25">
        <v>21</v>
      </c>
      <c r="AM382" s="25">
        <f>H382*0</f>
        <v>0</v>
      </c>
      <c r="AN382" s="25">
        <f>H382*(1-0)</f>
        <v>0</v>
      </c>
      <c r="AO382" s="27" t="s">
        <v>57</v>
      </c>
      <c r="AT382" s="25">
        <f>ROUND(AU382+AV382,2)</f>
        <v>0</v>
      </c>
      <c r="AU382" s="25">
        <f>ROUND(G382*AM382,2)</f>
        <v>0</v>
      </c>
      <c r="AV382" s="25">
        <f>ROUND(G382*AN382,2)</f>
        <v>0</v>
      </c>
      <c r="AW382" s="27" t="s">
        <v>554</v>
      </c>
      <c r="AX382" s="27" t="s">
        <v>517</v>
      </c>
      <c r="AY382" s="10" t="s">
        <v>518</v>
      </c>
      <c r="BA382" s="25">
        <f>AU382+AV382</f>
        <v>0</v>
      </c>
      <c r="BB382" s="25">
        <f>H382/(100-BC382)*100</f>
        <v>0</v>
      </c>
      <c r="BC382" s="25">
        <v>0</v>
      </c>
      <c r="BD382" s="25">
        <f>M382</f>
        <v>0</v>
      </c>
      <c r="BF382" s="25">
        <f>G382*AM382</f>
        <v>0</v>
      </c>
      <c r="BG382" s="25">
        <f>G382*AN382</f>
        <v>0</v>
      </c>
      <c r="BH382" s="25">
        <f>G382*H382</f>
        <v>0</v>
      </c>
      <c r="BI382" s="27" t="s">
        <v>65</v>
      </c>
      <c r="BJ382" s="25">
        <v>17</v>
      </c>
      <c r="BU382" s="25" t="e">
        <f>#REF!</f>
        <v>#REF!</v>
      </c>
      <c r="BV382" s="4" t="s">
        <v>557</v>
      </c>
    </row>
    <row r="383" spans="1:74" ht="14.4" x14ac:dyDescent="0.3">
      <c r="A383" s="28"/>
      <c r="D383" s="29" t="s">
        <v>558</v>
      </c>
      <c r="E383" s="29" t="s">
        <v>52</v>
      </c>
      <c r="G383" s="30">
        <v>3.4</v>
      </c>
      <c r="H383" s="63"/>
      <c r="N383" s="31"/>
    </row>
    <row r="384" spans="1:74" ht="14.4" x14ac:dyDescent="0.3">
      <c r="A384" s="21" t="s">
        <v>52</v>
      </c>
      <c r="B384" s="22" t="s">
        <v>510</v>
      </c>
      <c r="C384" s="22">
        <v>31</v>
      </c>
      <c r="D384" s="181" t="s">
        <v>3557</v>
      </c>
      <c r="E384" s="171"/>
      <c r="F384" s="23" t="s">
        <v>32</v>
      </c>
      <c r="G384" s="23" t="s">
        <v>32</v>
      </c>
      <c r="H384" s="64"/>
      <c r="I384" s="1">
        <f>SUM(I385:I394)</f>
        <v>0</v>
      </c>
      <c r="J384" s="1">
        <f>SUM(J385:J394)</f>
        <v>0</v>
      </c>
      <c r="K384" s="1">
        <f>SUM(K385:K394)</f>
        <v>0</v>
      </c>
      <c r="L384" s="10" t="s">
        <v>52</v>
      </c>
      <c r="M384" s="1">
        <f>SUM(M385:M394)</f>
        <v>0.18657778</v>
      </c>
      <c r="N384" s="24"/>
      <c r="AG384" s="10" t="s">
        <v>510</v>
      </c>
      <c r="AQ384" s="1">
        <f>SUM(AH385:AH394)</f>
        <v>0</v>
      </c>
      <c r="AR384" s="1">
        <f>SUM(AI385:AI394)</f>
        <v>0</v>
      </c>
      <c r="AS384" s="1">
        <f>SUM(AJ385:AJ394)</f>
        <v>0</v>
      </c>
    </row>
    <row r="385" spans="1:74" ht="14.4" x14ac:dyDescent="0.3">
      <c r="A385" s="2" t="s">
        <v>561</v>
      </c>
      <c r="B385" s="3" t="s">
        <v>510</v>
      </c>
      <c r="C385" s="3" t="s">
        <v>562</v>
      </c>
      <c r="D385" s="112" t="s">
        <v>563</v>
      </c>
      <c r="E385" s="109"/>
      <c r="F385" s="3" t="s">
        <v>122</v>
      </c>
      <c r="G385" s="25">
        <v>1</v>
      </c>
      <c r="H385" s="62"/>
      <c r="I385" s="25">
        <f>ROUND(G385*AM385,2)</f>
        <v>0</v>
      </c>
      <c r="J385" s="25">
        <f>ROUND(G385*AN385,2)</f>
        <v>0</v>
      </c>
      <c r="K385" s="25">
        <f>ROUND(G385*H385,2)</f>
        <v>0</v>
      </c>
      <c r="L385" s="25">
        <v>2.6509999999999999E-2</v>
      </c>
      <c r="M385" s="25">
        <f>G385*L385</f>
        <v>2.6509999999999999E-2</v>
      </c>
      <c r="N385" s="26"/>
      <c r="X385" s="25">
        <f>ROUND(IF(AO385="5",BH385,0),2)</f>
        <v>0</v>
      </c>
      <c r="Z385" s="25">
        <f>ROUND(IF(AO385="1",BF385,0),2)</f>
        <v>0</v>
      </c>
      <c r="AA385" s="25">
        <f>ROUND(IF(AO385="1",BG385,0),2)</f>
        <v>0</v>
      </c>
      <c r="AB385" s="25">
        <f>ROUND(IF(AO385="7",BF385,0),2)</f>
        <v>0</v>
      </c>
      <c r="AC385" s="25">
        <f>ROUND(IF(AO385="7",BG385,0),2)</f>
        <v>0</v>
      </c>
      <c r="AD385" s="25">
        <f>ROUND(IF(AO385="2",BF385,0),2)</f>
        <v>0</v>
      </c>
      <c r="AE385" s="25">
        <f>ROUND(IF(AO385="2",BG385,0),2)</f>
        <v>0</v>
      </c>
      <c r="AF385" s="25">
        <f>ROUND(IF(AO385="0",BH385,0),2)</f>
        <v>0</v>
      </c>
      <c r="AG385" s="10" t="s">
        <v>510</v>
      </c>
      <c r="AH385" s="25">
        <f>IF(AL385=0,K385,0)</f>
        <v>0</v>
      </c>
      <c r="AI385" s="25">
        <f>IF(AL385=12,K385,0)</f>
        <v>0</v>
      </c>
      <c r="AJ385" s="25">
        <f>IF(AL385=21,K385,0)</f>
        <v>0</v>
      </c>
      <c r="AL385" s="25">
        <v>21</v>
      </c>
      <c r="AM385" s="25">
        <f>H385*0.8382846</f>
        <v>0</v>
      </c>
      <c r="AN385" s="25">
        <f>H385*(1-0.8382846)</f>
        <v>0</v>
      </c>
      <c r="AO385" s="27" t="s">
        <v>57</v>
      </c>
      <c r="AT385" s="25">
        <f>ROUND(AU385+AV385,2)</f>
        <v>0</v>
      </c>
      <c r="AU385" s="25">
        <f>ROUND(G385*AM385,2)</f>
        <v>0</v>
      </c>
      <c r="AV385" s="25">
        <f>ROUND(G385*AN385,2)</f>
        <v>0</v>
      </c>
      <c r="AW385" s="27" t="s">
        <v>564</v>
      </c>
      <c r="AX385" s="27" t="s">
        <v>565</v>
      </c>
      <c r="AY385" s="10" t="s">
        <v>518</v>
      </c>
      <c r="BA385" s="25">
        <f>AU385+AV385</f>
        <v>0</v>
      </c>
      <c r="BB385" s="25">
        <f>H385/(100-BC385)*100</f>
        <v>0</v>
      </c>
      <c r="BC385" s="25">
        <v>0</v>
      </c>
      <c r="BD385" s="25">
        <f>M385</f>
        <v>2.6509999999999999E-2</v>
      </c>
      <c r="BF385" s="25">
        <f>G385*AM385</f>
        <v>0</v>
      </c>
      <c r="BG385" s="25">
        <f>G385*AN385</f>
        <v>0</v>
      </c>
      <c r="BH385" s="25">
        <f>G385*H385</f>
        <v>0</v>
      </c>
      <c r="BI385" s="27" t="s">
        <v>65</v>
      </c>
      <c r="BJ385" s="25"/>
      <c r="BU385" s="25" t="e">
        <f>#REF!</f>
        <v>#REF!</v>
      </c>
      <c r="BV385" s="4" t="s">
        <v>563</v>
      </c>
    </row>
    <row r="386" spans="1:74" ht="14.4" x14ac:dyDescent="0.3">
      <c r="A386" s="28"/>
      <c r="D386" s="29" t="s">
        <v>57</v>
      </c>
      <c r="E386" s="29" t="s">
        <v>52</v>
      </c>
      <c r="G386" s="30">
        <v>1</v>
      </c>
      <c r="H386" s="63"/>
      <c r="N386" s="31"/>
    </row>
    <row r="387" spans="1:74" ht="14.4" x14ac:dyDescent="0.3">
      <c r="A387" s="2" t="s">
        <v>566</v>
      </c>
      <c r="B387" s="3" t="s">
        <v>510</v>
      </c>
      <c r="C387" s="3" t="s">
        <v>567</v>
      </c>
      <c r="D387" s="112" t="s">
        <v>568</v>
      </c>
      <c r="E387" s="109"/>
      <c r="F387" s="3" t="s">
        <v>278</v>
      </c>
      <c r="G387" s="25">
        <v>0.157</v>
      </c>
      <c r="H387" s="62"/>
      <c r="I387" s="25">
        <f>ROUND(G387*AM387,2)</f>
        <v>0</v>
      </c>
      <c r="J387" s="25">
        <f>ROUND(G387*AN387,2)</f>
        <v>0</v>
      </c>
      <c r="K387" s="25">
        <f>ROUND(G387*H387,2)</f>
        <v>0</v>
      </c>
      <c r="L387" s="25">
        <v>1.9539999999999998E-2</v>
      </c>
      <c r="M387" s="25">
        <f>G387*L387</f>
        <v>3.0677799999999996E-3</v>
      </c>
      <c r="N387" s="26"/>
      <c r="X387" s="25">
        <f>ROUND(IF(AO387="5",BH387,0),2)</f>
        <v>0</v>
      </c>
      <c r="Z387" s="25">
        <f>ROUND(IF(AO387="1",BF387,0),2)</f>
        <v>0</v>
      </c>
      <c r="AA387" s="25">
        <f>ROUND(IF(AO387="1",BG387,0),2)</f>
        <v>0</v>
      </c>
      <c r="AB387" s="25">
        <f>ROUND(IF(AO387="7",BF387,0),2)</f>
        <v>0</v>
      </c>
      <c r="AC387" s="25">
        <f>ROUND(IF(AO387="7",BG387,0),2)</f>
        <v>0</v>
      </c>
      <c r="AD387" s="25">
        <f>ROUND(IF(AO387="2",BF387,0),2)</f>
        <v>0</v>
      </c>
      <c r="AE387" s="25">
        <f>ROUND(IF(AO387="2",BG387,0),2)</f>
        <v>0</v>
      </c>
      <c r="AF387" s="25">
        <f>ROUND(IF(AO387="0",BH387,0),2)</f>
        <v>0</v>
      </c>
      <c r="AG387" s="10" t="s">
        <v>510</v>
      </c>
      <c r="AH387" s="25">
        <f>IF(AL387=0,K387,0)</f>
        <v>0</v>
      </c>
      <c r="AI387" s="25">
        <f>IF(AL387=12,K387,0)</f>
        <v>0</v>
      </c>
      <c r="AJ387" s="25">
        <f>IF(AL387=21,K387,0)</f>
        <v>0</v>
      </c>
      <c r="AL387" s="25">
        <v>21</v>
      </c>
      <c r="AM387" s="25">
        <f>H387*0.001591347</f>
        <v>0</v>
      </c>
      <c r="AN387" s="25">
        <f>H387*(1-0.001591347)</f>
        <v>0</v>
      </c>
      <c r="AO387" s="27" t="s">
        <v>57</v>
      </c>
      <c r="AT387" s="25">
        <f>ROUND(AU387+AV387,2)</f>
        <v>0</v>
      </c>
      <c r="AU387" s="25">
        <f>ROUND(G387*AM387,2)</f>
        <v>0</v>
      </c>
      <c r="AV387" s="25">
        <f>ROUND(G387*AN387,2)</f>
        <v>0</v>
      </c>
      <c r="AW387" s="27" t="s">
        <v>564</v>
      </c>
      <c r="AX387" s="27" t="s">
        <v>565</v>
      </c>
      <c r="AY387" s="10" t="s">
        <v>518</v>
      </c>
      <c r="BA387" s="25">
        <f>AU387+AV387</f>
        <v>0</v>
      </c>
      <c r="BB387" s="25">
        <f>H387/(100-BC387)*100</f>
        <v>0</v>
      </c>
      <c r="BC387" s="25">
        <v>0</v>
      </c>
      <c r="BD387" s="25">
        <f>M387</f>
        <v>3.0677799999999996E-3</v>
      </c>
      <c r="BF387" s="25">
        <f>G387*AM387</f>
        <v>0</v>
      </c>
      <c r="BG387" s="25">
        <f>G387*AN387</f>
        <v>0</v>
      </c>
      <c r="BH387" s="25">
        <f>G387*H387</f>
        <v>0</v>
      </c>
      <c r="BI387" s="27" t="s">
        <v>65</v>
      </c>
      <c r="BJ387" s="25"/>
      <c r="BU387" s="25" t="e">
        <f>#REF!</f>
        <v>#REF!</v>
      </c>
      <c r="BV387" s="4" t="s">
        <v>568</v>
      </c>
    </row>
    <row r="388" spans="1:74" ht="14.4" x14ac:dyDescent="0.3">
      <c r="A388" s="28"/>
      <c r="D388" s="29" t="s">
        <v>569</v>
      </c>
      <c r="E388" s="29" t="s">
        <v>570</v>
      </c>
      <c r="G388" s="30">
        <v>9.7000000000000003E-2</v>
      </c>
      <c r="H388" s="63"/>
      <c r="N388" s="31"/>
    </row>
    <row r="389" spans="1:74" ht="14.4" x14ac:dyDescent="0.3">
      <c r="A389" s="28"/>
      <c r="D389" s="29" t="s">
        <v>571</v>
      </c>
      <c r="E389" s="29" t="s">
        <v>572</v>
      </c>
      <c r="G389" s="30">
        <v>0.06</v>
      </c>
      <c r="H389" s="63"/>
      <c r="N389" s="31"/>
    </row>
    <row r="390" spans="1:74" ht="14.4" x14ac:dyDescent="0.3">
      <c r="A390" s="2" t="s">
        <v>573</v>
      </c>
      <c r="B390" s="3" t="s">
        <v>510</v>
      </c>
      <c r="C390" s="3" t="s">
        <v>574</v>
      </c>
      <c r="D390" s="112" t="s">
        <v>575</v>
      </c>
      <c r="E390" s="109"/>
      <c r="F390" s="3" t="s">
        <v>278</v>
      </c>
      <c r="G390" s="25">
        <v>9.7000000000000003E-2</v>
      </c>
      <c r="H390" s="62"/>
      <c r="I390" s="25">
        <f>ROUND(G390*AM390,2)</f>
        <v>0</v>
      </c>
      <c r="J390" s="25">
        <f>ROUND(G390*AN390,2)</f>
        <v>0</v>
      </c>
      <c r="K390" s="25">
        <f>ROUND(G390*H390,2)</f>
        <v>0</v>
      </c>
      <c r="L390" s="25">
        <v>1</v>
      </c>
      <c r="M390" s="25">
        <f>G390*L390</f>
        <v>9.7000000000000003E-2</v>
      </c>
      <c r="N390" s="26"/>
      <c r="X390" s="25">
        <f>ROUND(IF(AO390="5",BH390,0),2)</f>
        <v>0</v>
      </c>
      <c r="Z390" s="25">
        <f>ROUND(IF(AO390="1",BF390,0),2)</f>
        <v>0</v>
      </c>
      <c r="AA390" s="25">
        <f>ROUND(IF(AO390="1",BG390,0),2)</f>
        <v>0</v>
      </c>
      <c r="AB390" s="25">
        <f>ROUND(IF(AO390="7",BF390,0),2)</f>
        <v>0</v>
      </c>
      <c r="AC390" s="25">
        <f>ROUND(IF(AO390="7",BG390,0),2)</f>
        <v>0</v>
      </c>
      <c r="AD390" s="25">
        <f>ROUND(IF(AO390="2",BF390,0),2)</f>
        <v>0</v>
      </c>
      <c r="AE390" s="25">
        <f>ROUND(IF(AO390="2",BG390,0),2)</f>
        <v>0</v>
      </c>
      <c r="AF390" s="25">
        <f>ROUND(IF(AO390="0",BH390,0),2)</f>
        <v>0</v>
      </c>
      <c r="AG390" s="10" t="s">
        <v>510</v>
      </c>
      <c r="AH390" s="25">
        <f>IF(AL390=0,K390,0)</f>
        <v>0</v>
      </c>
      <c r="AI390" s="25">
        <f>IF(AL390=12,K390,0)</f>
        <v>0</v>
      </c>
      <c r="AJ390" s="25">
        <f>IF(AL390=21,K390,0)</f>
        <v>0</v>
      </c>
      <c r="AL390" s="25">
        <v>21</v>
      </c>
      <c r="AM390" s="25">
        <f>H390*1</f>
        <v>0</v>
      </c>
      <c r="AN390" s="25">
        <f>H390*(1-1)</f>
        <v>0</v>
      </c>
      <c r="AO390" s="27" t="s">
        <v>57</v>
      </c>
      <c r="AT390" s="25">
        <f>ROUND(AU390+AV390,2)</f>
        <v>0</v>
      </c>
      <c r="AU390" s="25">
        <f>ROUND(G390*AM390,2)</f>
        <v>0</v>
      </c>
      <c r="AV390" s="25">
        <f>ROUND(G390*AN390,2)</f>
        <v>0</v>
      </c>
      <c r="AW390" s="27" t="s">
        <v>564</v>
      </c>
      <c r="AX390" s="27" t="s">
        <v>565</v>
      </c>
      <c r="AY390" s="10" t="s">
        <v>518</v>
      </c>
      <c r="BA390" s="25">
        <f>AU390+AV390</f>
        <v>0</v>
      </c>
      <c r="BB390" s="25">
        <f>H390/(100-BC390)*100</f>
        <v>0</v>
      </c>
      <c r="BC390" s="25">
        <v>0</v>
      </c>
      <c r="BD390" s="25">
        <f>M390</f>
        <v>9.7000000000000003E-2</v>
      </c>
      <c r="BF390" s="25">
        <f>G390*AM390</f>
        <v>0</v>
      </c>
      <c r="BG390" s="25">
        <f>G390*AN390</f>
        <v>0</v>
      </c>
      <c r="BH390" s="25">
        <f>G390*H390</f>
        <v>0</v>
      </c>
      <c r="BI390" s="27" t="s">
        <v>576</v>
      </c>
      <c r="BJ390" s="25"/>
      <c r="BU390" s="25" t="e">
        <f>#REF!</f>
        <v>#REF!</v>
      </c>
      <c r="BV390" s="4" t="s">
        <v>575</v>
      </c>
    </row>
    <row r="391" spans="1:74" ht="14.4" x14ac:dyDescent="0.3">
      <c r="A391" s="28"/>
      <c r="D391" s="29" t="s">
        <v>577</v>
      </c>
      <c r="E391" s="29" t="s">
        <v>578</v>
      </c>
      <c r="G391" s="30">
        <v>2.1999999999999999E-2</v>
      </c>
      <c r="H391" s="63"/>
      <c r="N391" s="31"/>
    </row>
    <row r="392" spans="1:74" ht="14.4" x14ac:dyDescent="0.3">
      <c r="A392" s="28"/>
      <c r="D392" s="29" t="s">
        <v>579</v>
      </c>
      <c r="E392" s="29" t="s">
        <v>580</v>
      </c>
      <c r="G392" s="30">
        <v>1.2E-2</v>
      </c>
      <c r="H392" s="63"/>
      <c r="N392" s="31"/>
    </row>
    <row r="393" spans="1:74" ht="14.4" x14ac:dyDescent="0.3">
      <c r="A393" s="28"/>
      <c r="D393" s="29" t="s">
        <v>581</v>
      </c>
      <c r="E393" s="29" t="s">
        <v>582</v>
      </c>
      <c r="G393" s="30">
        <v>6.3E-2</v>
      </c>
      <c r="H393" s="63"/>
      <c r="N393" s="31"/>
    </row>
    <row r="394" spans="1:74" ht="14.4" x14ac:dyDescent="0.3">
      <c r="A394" s="2" t="s">
        <v>583</v>
      </c>
      <c r="B394" s="3" t="s">
        <v>510</v>
      </c>
      <c r="C394" s="3" t="s">
        <v>584</v>
      </c>
      <c r="D394" s="112" t="s">
        <v>585</v>
      </c>
      <c r="E394" s="109"/>
      <c r="F394" s="3" t="s">
        <v>278</v>
      </c>
      <c r="G394" s="25">
        <v>0.06</v>
      </c>
      <c r="H394" s="62"/>
      <c r="I394" s="25">
        <f>ROUND(G394*AM394,2)</f>
        <v>0</v>
      </c>
      <c r="J394" s="25">
        <f>ROUND(G394*AN394,2)</f>
        <v>0</v>
      </c>
      <c r="K394" s="25">
        <f>ROUND(G394*H394,2)</f>
        <v>0</v>
      </c>
      <c r="L394" s="25">
        <v>1</v>
      </c>
      <c r="M394" s="25">
        <f>G394*L394</f>
        <v>0.06</v>
      </c>
      <c r="N394" s="26"/>
      <c r="X394" s="25">
        <f>ROUND(IF(AO394="5",BH394,0),2)</f>
        <v>0</v>
      </c>
      <c r="Z394" s="25">
        <f>ROUND(IF(AO394="1",BF394,0),2)</f>
        <v>0</v>
      </c>
      <c r="AA394" s="25">
        <f>ROUND(IF(AO394="1",BG394,0),2)</f>
        <v>0</v>
      </c>
      <c r="AB394" s="25">
        <f>ROUND(IF(AO394="7",BF394,0),2)</f>
        <v>0</v>
      </c>
      <c r="AC394" s="25">
        <f>ROUND(IF(AO394="7",BG394,0),2)</f>
        <v>0</v>
      </c>
      <c r="AD394" s="25">
        <f>ROUND(IF(AO394="2",BF394,0),2)</f>
        <v>0</v>
      </c>
      <c r="AE394" s="25">
        <f>ROUND(IF(AO394="2",BG394,0),2)</f>
        <v>0</v>
      </c>
      <c r="AF394" s="25">
        <f>ROUND(IF(AO394="0",BH394,0),2)</f>
        <v>0</v>
      </c>
      <c r="AG394" s="10" t="s">
        <v>510</v>
      </c>
      <c r="AH394" s="25">
        <f>IF(AL394=0,K394,0)</f>
        <v>0</v>
      </c>
      <c r="AI394" s="25">
        <f>IF(AL394=12,K394,0)</f>
        <v>0</v>
      </c>
      <c r="AJ394" s="25">
        <f>IF(AL394=21,K394,0)</f>
        <v>0</v>
      </c>
      <c r="AL394" s="25">
        <v>21</v>
      </c>
      <c r="AM394" s="25">
        <f>H394*1</f>
        <v>0</v>
      </c>
      <c r="AN394" s="25">
        <f>H394*(1-1)</f>
        <v>0</v>
      </c>
      <c r="AO394" s="27" t="s">
        <v>57</v>
      </c>
      <c r="AT394" s="25">
        <f>ROUND(AU394+AV394,2)</f>
        <v>0</v>
      </c>
      <c r="AU394" s="25">
        <f>ROUND(G394*AM394,2)</f>
        <v>0</v>
      </c>
      <c r="AV394" s="25">
        <f>ROUND(G394*AN394,2)</f>
        <v>0</v>
      </c>
      <c r="AW394" s="27" t="s">
        <v>564</v>
      </c>
      <c r="AX394" s="27" t="s">
        <v>565</v>
      </c>
      <c r="AY394" s="10" t="s">
        <v>518</v>
      </c>
      <c r="BA394" s="25">
        <f>AU394+AV394</f>
        <v>0</v>
      </c>
      <c r="BB394" s="25">
        <f>H394/(100-BC394)*100</f>
        <v>0</v>
      </c>
      <c r="BC394" s="25">
        <v>0</v>
      </c>
      <c r="BD394" s="25">
        <f>M394</f>
        <v>0.06</v>
      </c>
      <c r="BF394" s="25">
        <f>G394*AM394</f>
        <v>0</v>
      </c>
      <c r="BG394" s="25">
        <f>G394*AN394</f>
        <v>0</v>
      </c>
      <c r="BH394" s="25">
        <f>G394*H394</f>
        <v>0</v>
      </c>
      <c r="BI394" s="27" t="s">
        <v>576</v>
      </c>
      <c r="BJ394" s="25"/>
      <c r="BU394" s="25" t="e">
        <f>#REF!</f>
        <v>#REF!</v>
      </c>
      <c r="BV394" s="4" t="s">
        <v>585</v>
      </c>
    </row>
    <row r="395" spans="1:74" ht="14.4" x14ac:dyDescent="0.3">
      <c r="A395" s="28"/>
      <c r="D395" s="29" t="s">
        <v>586</v>
      </c>
      <c r="E395" s="29" t="s">
        <v>52</v>
      </c>
      <c r="G395" s="30">
        <v>0.06</v>
      </c>
      <c r="H395" s="63"/>
      <c r="N395" s="31"/>
    </row>
    <row r="396" spans="1:74" ht="14.4" x14ac:dyDescent="0.3">
      <c r="A396" s="21" t="s">
        <v>52</v>
      </c>
      <c r="B396" s="22" t="s">
        <v>510</v>
      </c>
      <c r="C396" s="22" t="s">
        <v>288</v>
      </c>
      <c r="D396" s="170" t="s">
        <v>587</v>
      </c>
      <c r="E396" s="171"/>
      <c r="F396" s="23" t="s">
        <v>32</v>
      </c>
      <c r="G396" s="23" t="s">
        <v>32</v>
      </c>
      <c r="H396" s="64"/>
      <c r="I396" s="1">
        <f>SUM(I397:I411)</f>
        <v>0</v>
      </c>
      <c r="J396" s="1">
        <f>SUM(J397:J411)</f>
        <v>0</v>
      </c>
      <c r="K396" s="1">
        <f>SUM(K397:K411)</f>
        <v>0</v>
      </c>
      <c r="L396" s="10" t="s">
        <v>52</v>
      </c>
      <c r="M396" s="1">
        <f>SUM(M397:M411)</f>
        <v>2.18646305</v>
      </c>
      <c r="N396" s="24"/>
      <c r="AG396" s="10" t="s">
        <v>510</v>
      </c>
      <c r="AQ396" s="1">
        <f>SUM(AH397:AH411)</f>
        <v>0</v>
      </c>
      <c r="AR396" s="1">
        <f>SUM(AI397:AI411)</f>
        <v>0</v>
      </c>
      <c r="AS396" s="1">
        <f>SUM(AJ397:AJ411)</f>
        <v>0</v>
      </c>
    </row>
    <row r="397" spans="1:74" ht="14.4" x14ac:dyDescent="0.3">
      <c r="A397" s="2" t="s">
        <v>588</v>
      </c>
      <c r="B397" s="3" t="s">
        <v>510</v>
      </c>
      <c r="C397" s="3" t="s">
        <v>589</v>
      </c>
      <c r="D397" s="112" t="s">
        <v>590</v>
      </c>
      <c r="E397" s="109"/>
      <c r="F397" s="3" t="s">
        <v>115</v>
      </c>
      <c r="G397" s="25">
        <v>21.87</v>
      </c>
      <c r="H397" s="62"/>
      <c r="I397" s="25">
        <f>ROUND(G397*AM397,2)</f>
        <v>0</v>
      </c>
      <c r="J397" s="25">
        <f>ROUND(G397*AN397,2)</f>
        <v>0</v>
      </c>
      <c r="K397" s="25">
        <f>ROUND(G397*H397,2)</f>
        <v>0</v>
      </c>
      <c r="L397" s="25">
        <v>1.0200000000000001E-3</v>
      </c>
      <c r="M397" s="25">
        <f>G397*L397</f>
        <v>2.2307400000000002E-2</v>
      </c>
      <c r="N397" s="26"/>
      <c r="X397" s="25">
        <f>ROUND(IF(AO397="5",BH397,0),2)</f>
        <v>0</v>
      </c>
      <c r="Z397" s="25">
        <f>ROUND(IF(AO397="1",BF397,0),2)</f>
        <v>0</v>
      </c>
      <c r="AA397" s="25">
        <f>ROUND(IF(AO397="1",BG397,0),2)</f>
        <v>0</v>
      </c>
      <c r="AB397" s="25">
        <f>ROUND(IF(AO397="7",BF397,0),2)</f>
        <v>0</v>
      </c>
      <c r="AC397" s="25">
        <f>ROUND(IF(AO397="7",BG397,0),2)</f>
        <v>0</v>
      </c>
      <c r="AD397" s="25">
        <f>ROUND(IF(AO397="2",BF397,0),2)</f>
        <v>0</v>
      </c>
      <c r="AE397" s="25">
        <f>ROUND(IF(AO397="2",BG397,0),2)</f>
        <v>0</v>
      </c>
      <c r="AF397" s="25">
        <f>ROUND(IF(AO397="0",BH397,0),2)</f>
        <v>0</v>
      </c>
      <c r="AG397" s="10" t="s">
        <v>510</v>
      </c>
      <c r="AH397" s="25">
        <f>IF(AL397=0,K397,0)</f>
        <v>0</v>
      </c>
      <c r="AI397" s="25">
        <f>IF(AL397=12,K397,0)</f>
        <v>0</v>
      </c>
      <c r="AJ397" s="25">
        <f>IF(AL397=21,K397,0)</f>
        <v>0</v>
      </c>
      <c r="AL397" s="25">
        <v>21</v>
      </c>
      <c r="AM397" s="25">
        <f>H397*0.214773515</f>
        <v>0</v>
      </c>
      <c r="AN397" s="25">
        <f>H397*(1-0.214773515)</f>
        <v>0</v>
      </c>
      <c r="AO397" s="27" t="s">
        <v>57</v>
      </c>
      <c r="AT397" s="25">
        <f>ROUND(AU397+AV397,2)</f>
        <v>0</v>
      </c>
      <c r="AU397" s="25">
        <f>ROUND(G397*AM397,2)</f>
        <v>0</v>
      </c>
      <c r="AV397" s="25">
        <f>ROUND(G397*AN397,2)</f>
        <v>0</v>
      </c>
      <c r="AW397" s="27" t="s">
        <v>591</v>
      </c>
      <c r="AX397" s="27" t="s">
        <v>592</v>
      </c>
      <c r="AY397" s="10" t="s">
        <v>518</v>
      </c>
      <c r="BA397" s="25">
        <f>AU397+AV397</f>
        <v>0</v>
      </c>
      <c r="BB397" s="25">
        <f>H397/(100-BC397)*100</f>
        <v>0</v>
      </c>
      <c r="BC397" s="25">
        <v>0</v>
      </c>
      <c r="BD397" s="25">
        <f>M397</f>
        <v>2.2307400000000002E-2</v>
      </c>
      <c r="BF397" s="25">
        <f>G397*AM397</f>
        <v>0</v>
      </c>
      <c r="BG397" s="25">
        <f>G397*AN397</f>
        <v>0</v>
      </c>
      <c r="BH397" s="25">
        <f>G397*H397</f>
        <v>0</v>
      </c>
      <c r="BI397" s="27" t="s">
        <v>65</v>
      </c>
      <c r="BJ397" s="25">
        <v>34</v>
      </c>
      <c r="BU397" s="25" t="e">
        <f>#REF!</f>
        <v>#REF!</v>
      </c>
      <c r="BV397" s="4" t="s">
        <v>590</v>
      </c>
    </row>
    <row r="398" spans="1:74" ht="14.4" x14ac:dyDescent="0.3">
      <c r="A398" s="28"/>
      <c r="D398" s="29" t="s">
        <v>593</v>
      </c>
      <c r="E398" s="29" t="s">
        <v>163</v>
      </c>
      <c r="G398" s="30">
        <v>12.12</v>
      </c>
      <c r="H398" s="63"/>
      <c r="N398" s="31"/>
    </row>
    <row r="399" spans="1:74" ht="14.4" x14ac:dyDescent="0.3">
      <c r="A399" s="28"/>
      <c r="D399" s="29" t="s">
        <v>594</v>
      </c>
      <c r="E399" s="29" t="s">
        <v>180</v>
      </c>
      <c r="G399" s="30">
        <v>9.75</v>
      </c>
      <c r="H399" s="63"/>
      <c r="N399" s="31"/>
    </row>
    <row r="400" spans="1:74" ht="14.4" x14ac:dyDescent="0.3">
      <c r="A400" s="2" t="s">
        <v>117</v>
      </c>
      <c r="B400" s="3" t="s">
        <v>510</v>
      </c>
      <c r="C400" s="3" t="s">
        <v>595</v>
      </c>
      <c r="D400" s="112" t="s">
        <v>596</v>
      </c>
      <c r="E400" s="109"/>
      <c r="F400" s="3" t="s">
        <v>115</v>
      </c>
      <c r="G400" s="25">
        <v>4.75</v>
      </c>
      <c r="H400" s="62"/>
      <c r="I400" s="25">
        <f>ROUND(G400*AM400,2)</f>
        <v>0</v>
      </c>
      <c r="J400" s="25">
        <f>ROUND(G400*AN400,2)</f>
        <v>0</v>
      </c>
      <c r="K400" s="25">
        <f>ROUND(G400*H400,2)</f>
        <v>0</v>
      </c>
      <c r="L400" s="25">
        <v>6.2E-4</v>
      </c>
      <c r="M400" s="25">
        <f>G400*L400</f>
        <v>2.9450000000000001E-3</v>
      </c>
      <c r="N400" s="26"/>
      <c r="X400" s="25">
        <f>ROUND(IF(AO400="5",BH400,0),2)</f>
        <v>0</v>
      </c>
      <c r="Z400" s="25">
        <f>ROUND(IF(AO400="1",BF400,0),2)</f>
        <v>0</v>
      </c>
      <c r="AA400" s="25">
        <f>ROUND(IF(AO400="1",BG400,0),2)</f>
        <v>0</v>
      </c>
      <c r="AB400" s="25">
        <f>ROUND(IF(AO400="7",BF400,0),2)</f>
        <v>0</v>
      </c>
      <c r="AC400" s="25">
        <f>ROUND(IF(AO400="7",BG400,0),2)</f>
        <v>0</v>
      </c>
      <c r="AD400" s="25">
        <f>ROUND(IF(AO400="2",BF400,0),2)</f>
        <v>0</v>
      </c>
      <c r="AE400" s="25">
        <f>ROUND(IF(AO400="2",BG400,0),2)</f>
        <v>0</v>
      </c>
      <c r="AF400" s="25">
        <f>ROUND(IF(AO400="0",BH400,0),2)</f>
        <v>0</v>
      </c>
      <c r="AG400" s="10" t="s">
        <v>510</v>
      </c>
      <c r="AH400" s="25">
        <f>IF(AL400=0,K400,0)</f>
        <v>0</v>
      </c>
      <c r="AI400" s="25">
        <f>IF(AL400=12,K400,0)</f>
        <v>0</v>
      </c>
      <c r="AJ400" s="25">
        <f>IF(AL400=21,K400,0)</f>
        <v>0</v>
      </c>
      <c r="AL400" s="25">
        <v>21</v>
      </c>
      <c r="AM400" s="25">
        <f>H400*0.378540536</f>
        <v>0</v>
      </c>
      <c r="AN400" s="25">
        <f>H400*(1-0.378540536)</f>
        <v>0</v>
      </c>
      <c r="AO400" s="27" t="s">
        <v>57</v>
      </c>
      <c r="AT400" s="25">
        <f>ROUND(AU400+AV400,2)</f>
        <v>0</v>
      </c>
      <c r="AU400" s="25">
        <f>ROUND(G400*AM400,2)</f>
        <v>0</v>
      </c>
      <c r="AV400" s="25">
        <f>ROUND(G400*AN400,2)</f>
        <v>0</v>
      </c>
      <c r="AW400" s="27" t="s">
        <v>591</v>
      </c>
      <c r="AX400" s="27" t="s">
        <v>592</v>
      </c>
      <c r="AY400" s="10" t="s">
        <v>518</v>
      </c>
      <c r="BA400" s="25">
        <f>AU400+AV400</f>
        <v>0</v>
      </c>
      <c r="BB400" s="25">
        <f>H400/(100-BC400)*100</f>
        <v>0</v>
      </c>
      <c r="BC400" s="25">
        <v>0</v>
      </c>
      <c r="BD400" s="25">
        <f>M400</f>
        <v>2.9450000000000001E-3</v>
      </c>
      <c r="BF400" s="25">
        <f>G400*AM400</f>
        <v>0</v>
      </c>
      <c r="BG400" s="25">
        <f>G400*AN400</f>
        <v>0</v>
      </c>
      <c r="BH400" s="25">
        <f>G400*H400</f>
        <v>0</v>
      </c>
      <c r="BI400" s="27" t="s">
        <v>65</v>
      </c>
      <c r="BJ400" s="25">
        <v>34</v>
      </c>
      <c r="BU400" s="25" t="e">
        <f>#REF!</f>
        <v>#REF!</v>
      </c>
      <c r="BV400" s="4" t="s">
        <v>596</v>
      </c>
    </row>
    <row r="401" spans="1:74" ht="14.4" x14ac:dyDescent="0.3">
      <c r="A401" s="28"/>
      <c r="D401" s="29" t="s">
        <v>597</v>
      </c>
      <c r="E401" s="29" t="s">
        <v>52</v>
      </c>
      <c r="G401" s="30">
        <v>4.75</v>
      </c>
      <c r="H401" s="63"/>
      <c r="N401" s="31"/>
    </row>
    <row r="402" spans="1:74" ht="14.4" x14ac:dyDescent="0.3">
      <c r="A402" s="2" t="s">
        <v>209</v>
      </c>
      <c r="B402" s="3" t="s">
        <v>510</v>
      </c>
      <c r="C402" s="3" t="s">
        <v>598</v>
      </c>
      <c r="D402" s="112" t="s">
        <v>599</v>
      </c>
      <c r="E402" s="109"/>
      <c r="F402" s="3" t="s">
        <v>148</v>
      </c>
      <c r="G402" s="25">
        <v>1.0269999999999999</v>
      </c>
      <c r="H402" s="62"/>
      <c r="I402" s="25">
        <f>ROUND(G402*AM402,2)</f>
        <v>0</v>
      </c>
      <c r="J402" s="25">
        <f>ROUND(G402*AN402,2)</f>
        <v>0</v>
      </c>
      <c r="K402" s="25">
        <f>ROUND(G402*H402,2)</f>
        <v>0</v>
      </c>
      <c r="L402" s="25">
        <v>0.76605000000000001</v>
      </c>
      <c r="M402" s="25">
        <f>G402*L402</f>
        <v>0.78673334999999989</v>
      </c>
      <c r="N402" s="26"/>
      <c r="X402" s="25">
        <f>ROUND(IF(AO402="5",BH402,0),2)</f>
        <v>0</v>
      </c>
      <c r="Z402" s="25">
        <f>ROUND(IF(AO402="1",BF402,0),2)</f>
        <v>0</v>
      </c>
      <c r="AA402" s="25">
        <f>ROUND(IF(AO402="1",BG402,0),2)</f>
        <v>0</v>
      </c>
      <c r="AB402" s="25">
        <f>ROUND(IF(AO402="7",BF402,0),2)</f>
        <v>0</v>
      </c>
      <c r="AC402" s="25">
        <f>ROUND(IF(AO402="7",BG402,0),2)</f>
        <v>0</v>
      </c>
      <c r="AD402" s="25">
        <f>ROUND(IF(AO402="2",BF402,0),2)</f>
        <v>0</v>
      </c>
      <c r="AE402" s="25">
        <f>ROUND(IF(AO402="2",BG402,0),2)</f>
        <v>0</v>
      </c>
      <c r="AF402" s="25">
        <f>ROUND(IF(AO402="0",BH402,0),2)</f>
        <v>0</v>
      </c>
      <c r="AG402" s="10" t="s">
        <v>510</v>
      </c>
      <c r="AH402" s="25">
        <f>IF(AL402=0,K402,0)</f>
        <v>0</v>
      </c>
      <c r="AI402" s="25">
        <f>IF(AL402=12,K402,0)</f>
        <v>0</v>
      </c>
      <c r="AJ402" s="25">
        <f>IF(AL402=21,K402,0)</f>
        <v>0</v>
      </c>
      <c r="AL402" s="25">
        <v>21</v>
      </c>
      <c r="AM402" s="25">
        <f>H402*0.73653204</f>
        <v>0</v>
      </c>
      <c r="AN402" s="25">
        <f>H402*(1-0.73653204)</f>
        <v>0</v>
      </c>
      <c r="AO402" s="27" t="s">
        <v>57</v>
      </c>
      <c r="AT402" s="25">
        <f>ROUND(AU402+AV402,2)</f>
        <v>0</v>
      </c>
      <c r="AU402" s="25">
        <f>ROUND(G402*AM402,2)</f>
        <v>0</v>
      </c>
      <c r="AV402" s="25">
        <f>ROUND(G402*AN402,2)</f>
        <v>0</v>
      </c>
      <c r="AW402" s="27" t="s">
        <v>591</v>
      </c>
      <c r="AX402" s="27" t="s">
        <v>592</v>
      </c>
      <c r="AY402" s="10" t="s">
        <v>518</v>
      </c>
      <c r="BA402" s="25">
        <f>AU402+AV402</f>
        <v>0</v>
      </c>
      <c r="BB402" s="25">
        <f>H402/(100-BC402)*100</f>
        <v>0</v>
      </c>
      <c r="BC402" s="25">
        <v>0</v>
      </c>
      <c r="BD402" s="25">
        <f>M402</f>
        <v>0.78673334999999989</v>
      </c>
      <c r="BF402" s="25">
        <f>G402*AM402</f>
        <v>0</v>
      </c>
      <c r="BG402" s="25">
        <f>G402*AN402</f>
        <v>0</v>
      </c>
      <c r="BH402" s="25">
        <f>G402*H402</f>
        <v>0</v>
      </c>
      <c r="BI402" s="27" t="s">
        <v>65</v>
      </c>
      <c r="BJ402" s="25">
        <v>34</v>
      </c>
      <c r="BU402" s="25" t="e">
        <f>#REF!</f>
        <v>#REF!</v>
      </c>
      <c r="BV402" s="4" t="s">
        <v>599</v>
      </c>
    </row>
    <row r="403" spans="1:74" ht="14.4" x14ac:dyDescent="0.3">
      <c r="A403" s="28"/>
      <c r="D403" s="29" t="s">
        <v>600</v>
      </c>
      <c r="E403" s="29" t="s">
        <v>52</v>
      </c>
      <c r="G403" s="30">
        <v>1.0269999999999999</v>
      </c>
      <c r="H403" s="63"/>
      <c r="N403" s="31"/>
    </row>
    <row r="404" spans="1:74" ht="14.4" x14ac:dyDescent="0.3">
      <c r="A404" s="2" t="s">
        <v>601</v>
      </c>
      <c r="B404" s="3" t="s">
        <v>510</v>
      </c>
      <c r="C404" s="3" t="s">
        <v>602</v>
      </c>
      <c r="D404" s="112" t="s">
        <v>603</v>
      </c>
      <c r="E404" s="109"/>
      <c r="F404" s="3" t="s">
        <v>60</v>
      </c>
      <c r="G404" s="25">
        <v>13.618</v>
      </c>
      <c r="H404" s="62"/>
      <c r="I404" s="25">
        <f>ROUND(G404*AM404,2)</f>
        <v>0</v>
      </c>
      <c r="J404" s="25">
        <f>ROUND(G404*AN404,2)</f>
        <v>0</v>
      </c>
      <c r="K404" s="25">
        <f>ROUND(G404*H404,2)</f>
        <v>0</v>
      </c>
      <c r="L404" s="25">
        <v>7.5340000000000004E-2</v>
      </c>
      <c r="M404" s="25">
        <f>G404*L404</f>
        <v>1.0259801200000001</v>
      </c>
      <c r="N404" s="26"/>
      <c r="X404" s="25">
        <f>ROUND(IF(AO404="5",BH404,0),2)</f>
        <v>0</v>
      </c>
      <c r="Z404" s="25">
        <f>ROUND(IF(AO404="1",BF404,0),2)</f>
        <v>0</v>
      </c>
      <c r="AA404" s="25">
        <f>ROUND(IF(AO404="1",BG404,0),2)</f>
        <v>0</v>
      </c>
      <c r="AB404" s="25">
        <f>ROUND(IF(AO404="7",BF404,0),2)</f>
        <v>0</v>
      </c>
      <c r="AC404" s="25">
        <f>ROUND(IF(AO404="7",BG404,0),2)</f>
        <v>0</v>
      </c>
      <c r="AD404" s="25">
        <f>ROUND(IF(AO404="2",BF404,0),2)</f>
        <v>0</v>
      </c>
      <c r="AE404" s="25">
        <f>ROUND(IF(AO404="2",BG404,0),2)</f>
        <v>0</v>
      </c>
      <c r="AF404" s="25">
        <f>ROUND(IF(AO404="0",BH404,0),2)</f>
        <v>0</v>
      </c>
      <c r="AG404" s="10" t="s">
        <v>510</v>
      </c>
      <c r="AH404" s="25">
        <f>IF(AL404=0,K404,0)</f>
        <v>0</v>
      </c>
      <c r="AI404" s="25">
        <f>IF(AL404=12,K404,0)</f>
        <v>0</v>
      </c>
      <c r="AJ404" s="25">
        <f>IF(AL404=21,K404,0)</f>
        <v>0</v>
      </c>
      <c r="AL404" s="25">
        <v>21</v>
      </c>
      <c r="AM404" s="25">
        <f>H404*0.628006659</f>
        <v>0</v>
      </c>
      <c r="AN404" s="25">
        <f>H404*(1-0.628006659)</f>
        <v>0</v>
      </c>
      <c r="AO404" s="27" t="s">
        <v>57</v>
      </c>
      <c r="AT404" s="25">
        <f>ROUND(AU404+AV404,2)</f>
        <v>0</v>
      </c>
      <c r="AU404" s="25">
        <f>ROUND(G404*AM404,2)</f>
        <v>0</v>
      </c>
      <c r="AV404" s="25">
        <f>ROUND(G404*AN404,2)</f>
        <v>0</v>
      </c>
      <c r="AW404" s="27" t="s">
        <v>591</v>
      </c>
      <c r="AX404" s="27" t="s">
        <v>592</v>
      </c>
      <c r="AY404" s="10" t="s">
        <v>518</v>
      </c>
      <c r="BA404" s="25">
        <f>AU404+AV404</f>
        <v>0</v>
      </c>
      <c r="BB404" s="25">
        <f>H404/(100-BC404)*100</f>
        <v>0</v>
      </c>
      <c r="BC404" s="25">
        <v>0</v>
      </c>
      <c r="BD404" s="25">
        <f>M404</f>
        <v>1.0259801200000001</v>
      </c>
      <c r="BF404" s="25">
        <f>G404*AM404</f>
        <v>0</v>
      </c>
      <c r="BG404" s="25">
        <f>G404*AN404</f>
        <v>0</v>
      </c>
      <c r="BH404" s="25">
        <f>G404*H404</f>
        <v>0</v>
      </c>
      <c r="BI404" s="27" t="s">
        <v>65</v>
      </c>
      <c r="BJ404" s="25">
        <v>34</v>
      </c>
      <c r="BU404" s="25" t="e">
        <f>#REF!</f>
        <v>#REF!</v>
      </c>
      <c r="BV404" s="4" t="s">
        <v>603</v>
      </c>
    </row>
    <row r="405" spans="1:74" ht="14.4" x14ac:dyDescent="0.3">
      <c r="A405" s="28"/>
      <c r="D405" s="29" t="s">
        <v>604</v>
      </c>
      <c r="E405" s="29" t="s">
        <v>52</v>
      </c>
      <c r="G405" s="30">
        <v>13.618</v>
      </c>
      <c r="H405" s="63"/>
      <c r="N405" s="31"/>
    </row>
    <row r="406" spans="1:74" ht="14.4" x14ac:dyDescent="0.3">
      <c r="A406" s="2" t="s">
        <v>605</v>
      </c>
      <c r="B406" s="3" t="s">
        <v>510</v>
      </c>
      <c r="C406" s="3" t="s">
        <v>606</v>
      </c>
      <c r="D406" s="112" t="s">
        <v>607</v>
      </c>
      <c r="E406" s="109"/>
      <c r="F406" s="3" t="s">
        <v>60</v>
      </c>
      <c r="G406" s="25">
        <v>3.0960000000000001</v>
      </c>
      <c r="H406" s="62"/>
      <c r="I406" s="25">
        <f>ROUND(G406*AM406,2)</f>
        <v>0</v>
      </c>
      <c r="J406" s="25">
        <f>ROUND(G406*AN406,2)</f>
        <v>0</v>
      </c>
      <c r="K406" s="25">
        <f>ROUND(G406*H406,2)</f>
        <v>0</v>
      </c>
      <c r="L406" s="25">
        <v>9.3579999999999997E-2</v>
      </c>
      <c r="M406" s="25">
        <f>G406*L406</f>
        <v>0.28972367999999998</v>
      </c>
      <c r="N406" s="26"/>
      <c r="X406" s="25">
        <f>ROUND(IF(AO406="5",BH406,0),2)</f>
        <v>0</v>
      </c>
      <c r="Z406" s="25">
        <f>ROUND(IF(AO406="1",BF406,0),2)</f>
        <v>0</v>
      </c>
      <c r="AA406" s="25">
        <f>ROUND(IF(AO406="1",BG406,0),2)</f>
        <v>0</v>
      </c>
      <c r="AB406" s="25">
        <f>ROUND(IF(AO406="7",BF406,0),2)</f>
        <v>0</v>
      </c>
      <c r="AC406" s="25">
        <f>ROUND(IF(AO406="7",BG406,0),2)</f>
        <v>0</v>
      </c>
      <c r="AD406" s="25">
        <f>ROUND(IF(AO406="2",BF406,0),2)</f>
        <v>0</v>
      </c>
      <c r="AE406" s="25">
        <f>ROUND(IF(AO406="2",BG406,0),2)</f>
        <v>0</v>
      </c>
      <c r="AF406" s="25">
        <f>ROUND(IF(AO406="0",BH406,0),2)</f>
        <v>0</v>
      </c>
      <c r="AG406" s="10" t="s">
        <v>510</v>
      </c>
      <c r="AH406" s="25">
        <f>IF(AL406=0,K406,0)</f>
        <v>0</v>
      </c>
      <c r="AI406" s="25">
        <f>IF(AL406=12,K406,0)</f>
        <v>0</v>
      </c>
      <c r="AJ406" s="25">
        <f>IF(AL406=21,K406,0)</f>
        <v>0</v>
      </c>
      <c r="AL406" s="25">
        <v>21</v>
      </c>
      <c r="AM406" s="25">
        <f>H406*0.498543711</f>
        <v>0</v>
      </c>
      <c r="AN406" s="25">
        <f>H406*(1-0.498543711)</f>
        <v>0</v>
      </c>
      <c r="AO406" s="27" t="s">
        <v>57</v>
      </c>
      <c r="AT406" s="25">
        <f>ROUND(AU406+AV406,2)</f>
        <v>0</v>
      </c>
      <c r="AU406" s="25">
        <f>ROUND(G406*AM406,2)</f>
        <v>0</v>
      </c>
      <c r="AV406" s="25">
        <f>ROUND(G406*AN406,2)</f>
        <v>0</v>
      </c>
      <c r="AW406" s="27" t="s">
        <v>591</v>
      </c>
      <c r="AX406" s="27" t="s">
        <v>592</v>
      </c>
      <c r="AY406" s="10" t="s">
        <v>518</v>
      </c>
      <c r="BA406" s="25">
        <f>AU406+AV406</f>
        <v>0</v>
      </c>
      <c r="BB406" s="25">
        <f>H406/(100-BC406)*100</f>
        <v>0</v>
      </c>
      <c r="BC406" s="25">
        <v>0</v>
      </c>
      <c r="BD406" s="25">
        <f>M406</f>
        <v>0.28972367999999998</v>
      </c>
      <c r="BF406" s="25">
        <f>G406*AM406</f>
        <v>0</v>
      </c>
      <c r="BG406" s="25">
        <f>G406*AN406</f>
        <v>0</v>
      </c>
      <c r="BH406" s="25">
        <f>G406*H406</f>
        <v>0</v>
      </c>
      <c r="BI406" s="27" t="s">
        <v>65</v>
      </c>
      <c r="BJ406" s="25">
        <v>34</v>
      </c>
      <c r="BU406" s="25" t="e">
        <f>#REF!</f>
        <v>#REF!</v>
      </c>
      <c r="BV406" s="4" t="s">
        <v>607</v>
      </c>
    </row>
    <row r="407" spans="1:74" ht="14.4" x14ac:dyDescent="0.3">
      <c r="A407" s="28"/>
      <c r="D407" s="29" t="s">
        <v>608</v>
      </c>
      <c r="E407" s="29" t="s">
        <v>180</v>
      </c>
      <c r="G407" s="30">
        <v>1.536</v>
      </c>
      <c r="H407" s="63"/>
      <c r="N407" s="31"/>
    </row>
    <row r="408" spans="1:74" ht="14.4" x14ac:dyDescent="0.3">
      <c r="A408" s="28"/>
      <c r="D408" s="29" t="s">
        <v>609</v>
      </c>
      <c r="E408" s="29" t="s">
        <v>182</v>
      </c>
      <c r="G408" s="30">
        <v>1.56</v>
      </c>
      <c r="H408" s="63"/>
      <c r="N408" s="31"/>
    </row>
    <row r="409" spans="1:74" ht="26.4" x14ac:dyDescent="0.3">
      <c r="A409" s="2" t="s">
        <v>610</v>
      </c>
      <c r="B409" s="3" t="s">
        <v>510</v>
      </c>
      <c r="C409" s="3" t="s">
        <v>611</v>
      </c>
      <c r="D409" s="112" t="s">
        <v>612</v>
      </c>
      <c r="E409" s="109"/>
      <c r="F409" s="3" t="s">
        <v>60</v>
      </c>
      <c r="G409" s="25">
        <v>4.2249999999999996</v>
      </c>
      <c r="H409" s="62"/>
      <c r="I409" s="25">
        <f>ROUND(G409*AM409,2)</f>
        <v>0</v>
      </c>
      <c r="J409" s="25">
        <f>ROUND(G409*AN409,2)</f>
        <v>0</v>
      </c>
      <c r="K409" s="25">
        <f>ROUND(G409*H409,2)</f>
        <v>0</v>
      </c>
      <c r="L409" s="25">
        <v>1.1259999999999999E-2</v>
      </c>
      <c r="M409" s="25">
        <f>G409*L409</f>
        <v>4.7573499999999991E-2</v>
      </c>
      <c r="N409" s="26"/>
      <c r="X409" s="25">
        <f>ROUND(IF(AO409="5",BH409,0),2)</f>
        <v>0</v>
      </c>
      <c r="Z409" s="25">
        <f>ROUND(IF(AO409="1",BF409,0),2)</f>
        <v>0</v>
      </c>
      <c r="AA409" s="25">
        <f>ROUND(IF(AO409="1",BG409,0),2)</f>
        <v>0</v>
      </c>
      <c r="AB409" s="25">
        <f>ROUND(IF(AO409="7",BF409,0),2)</f>
        <v>0</v>
      </c>
      <c r="AC409" s="25">
        <f>ROUND(IF(AO409="7",BG409,0),2)</f>
        <v>0</v>
      </c>
      <c r="AD409" s="25">
        <f>ROUND(IF(AO409="2",BF409,0),2)</f>
        <v>0</v>
      </c>
      <c r="AE409" s="25">
        <f>ROUND(IF(AO409="2",BG409,0),2)</f>
        <v>0</v>
      </c>
      <c r="AF409" s="25">
        <f>ROUND(IF(AO409="0",BH409,0),2)</f>
        <v>0</v>
      </c>
      <c r="AG409" s="10" t="s">
        <v>510</v>
      </c>
      <c r="AH409" s="25">
        <f>IF(AL409=0,K409,0)</f>
        <v>0</v>
      </c>
      <c r="AI409" s="25">
        <f>IF(AL409=12,K409,0)</f>
        <v>0</v>
      </c>
      <c r="AJ409" s="25">
        <f>IF(AL409=21,K409,0)</f>
        <v>0</v>
      </c>
      <c r="AL409" s="25">
        <v>21</v>
      </c>
      <c r="AM409" s="25">
        <f>H409*0.288990027</f>
        <v>0</v>
      </c>
      <c r="AN409" s="25">
        <f>H409*(1-0.288990027)</f>
        <v>0</v>
      </c>
      <c r="AO409" s="27" t="s">
        <v>57</v>
      </c>
      <c r="AT409" s="25">
        <f>ROUND(AU409+AV409,2)</f>
        <v>0</v>
      </c>
      <c r="AU409" s="25">
        <f>ROUND(G409*AM409,2)</f>
        <v>0</v>
      </c>
      <c r="AV409" s="25">
        <f>ROUND(G409*AN409,2)</f>
        <v>0</v>
      </c>
      <c r="AW409" s="27" t="s">
        <v>591</v>
      </c>
      <c r="AX409" s="27" t="s">
        <v>592</v>
      </c>
      <c r="AY409" s="10" t="s">
        <v>518</v>
      </c>
      <c r="BA409" s="25">
        <f>AU409+AV409</f>
        <v>0</v>
      </c>
      <c r="BB409" s="25">
        <f>H409/(100-BC409)*100</f>
        <v>0</v>
      </c>
      <c r="BC409" s="25">
        <v>0</v>
      </c>
      <c r="BD409" s="25">
        <f>M409</f>
        <v>4.7573499999999991E-2</v>
      </c>
      <c r="BF409" s="25">
        <f>G409*AM409</f>
        <v>0</v>
      </c>
      <c r="BG409" s="25">
        <f>G409*AN409</f>
        <v>0</v>
      </c>
      <c r="BH409" s="25">
        <f>G409*H409</f>
        <v>0</v>
      </c>
      <c r="BI409" s="27" t="s">
        <v>65</v>
      </c>
      <c r="BJ409" s="25">
        <v>34</v>
      </c>
      <c r="BU409" s="25" t="e">
        <f>#REF!</f>
        <v>#REF!</v>
      </c>
      <c r="BV409" s="4" t="s">
        <v>612</v>
      </c>
    </row>
    <row r="410" spans="1:74" ht="14.4" x14ac:dyDescent="0.3">
      <c r="A410" s="28"/>
      <c r="D410" s="29" t="s">
        <v>613</v>
      </c>
      <c r="E410" s="29" t="s">
        <v>52</v>
      </c>
      <c r="G410" s="30">
        <v>4.2249999999999996</v>
      </c>
      <c r="H410" s="63"/>
      <c r="N410" s="31"/>
    </row>
    <row r="411" spans="1:74" ht="14.4" x14ac:dyDescent="0.3">
      <c r="A411" s="2" t="s">
        <v>614</v>
      </c>
      <c r="B411" s="3" t="s">
        <v>510</v>
      </c>
      <c r="C411" s="3" t="s">
        <v>615</v>
      </c>
      <c r="D411" s="112" t="s">
        <v>616</v>
      </c>
      <c r="E411" s="109"/>
      <c r="F411" s="3" t="s">
        <v>122</v>
      </c>
      <c r="G411" s="25">
        <v>7</v>
      </c>
      <c r="H411" s="62"/>
      <c r="I411" s="25">
        <f>ROUND(G411*AM411,2)</f>
        <v>0</v>
      </c>
      <c r="J411" s="25">
        <f>ROUND(G411*AN411,2)</f>
        <v>0</v>
      </c>
      <c r="K411" s="25">
        <f>ROUND(G411*H411,2)</f>
        <v>0</v>
      </c>
      <c r="L411" s="25">
        <v>1.6000000000000001E-3</v>
      </c>
      <c r="M411" s="25">
        <f>G411*L411</f>
        <v>1.12E-2</v>
      </c>
      <c r="N411" s="26"/>
      <c r="X411" s="25">
        <f>ROUND(IF(AO411="5",BH411,0),2)</f>
        <v>0</v>
      </c>
      <c r="Z411" s="25">
        <f>ROUND(IF(AO411="1",BF411,0),2)</f>
        <v>0</v>
      </c>
      <c r="AA411" s="25">
        <f>ROUND(IF(AO411="1",BG411,0),2)</f>
        <v>0</v>
      </c>
      <c r="AB411" s="25">
        <f>ROUND(IF(AO411="7",BF411,0),2)</f>
        <v>0</v>
      </c>
      <c r="AC411" s="25">
        <f>ROUND(IF(AO411="7",BG411,0),2)</f>
        <v>0</v>
      </c>
      <c r="AD411" s="25">
        <f>ROUND(IF(AO411="2",BF411,0),2)</f>
        <v>0</v>
      </c>
      <c r="AE411" s="25">
        <f>ROUND(IF(AO411="2",BG411,0),2)</f>
        <v>0</v>
      </c>
      <c r="AF411" s="25">
        <f>ROUND(IF(AO411="0",BH411,0),2)</f>
        <v>0</v>
      </c>
      <c r="AG411" s="10" t="s">
        <v>510</v>
      </c>
      <c r="AH411" s="25">
        <f>IF(AL411=0,K411,0)</f>
        <v>0</v>
      </c>
      <c r="AI411" s="25">
        <f>IF(AL411=12,K411,0)</f>
        <v>0</v>
      </c>
      <c r="AJ411" s="25">
        <f>IF(AL411=21,K411,0)</f>
        <v>0</v>
      </c>
      <c r="AL411" s="25">
        <v>21</v>
      </c>
      <c r="AM411" s="25">
        <f>H411*1</f>
        <v>0</v>
      </c>
      <c r="AN411" s="25">
        <f>H411*(1-1)</f>
        <v>0</v>
      </c>
      <c r="AO411" s="27" t="s">
        <v>57</v>
      </c>
      <c r="AT411" s="25">
        <f>ROUND(AU411+AV411,2)</f>
        <v>0</v>
      </c>
      <c r="AU411" s="25">
        <f>ROUND(G411*AM411,2)</f>
        <v>0</v>
      </c>
      <c r="AV411" s="25">
        <f>ROUND(G411*AN411,2)</f>
        <v>0</v>
      </c>
      <c r="AW411" s="27" t="s">
        <v>591</v>
      </c>
      <c r="AX411" s="27" t="s">
        <v>592</v>
      </c>
      <c r="AY411" s="10" t="s">
        <v>518</v>
      </c>
      <c r="BA411" s="25">
        <f>AU411+AV411</f>
        <v>0</v>
      </c>
      <c r="BB411" s="25">
        <f>H411/(100-BC411)*100</f>
        <v>0</v>
      </c>
      <c r="BC411" s="25">
        <v>0</v>
      </c>
      <c r="BD411" s="25">
        <f>M411</f>
        <v>1.12E-2</v>
      </c>
      <c r="BF411" s="25">
        <f>G411*AM411</f>
        <v>0</v>
      </c>
      <c r="BG411" s="25">
        <f>G411*AN411</f>
        <v>0</v>
      </c>
      <c r="BH411" s="25">
        <f>G411*H411</f>
        <v>0</v>
      </c>
      <c r="BI411" s="27" t="s">
        <v>576</v>
      </c>
      <c r="BJ411" s="25">
        <v>34</v>
      </c>
      <c r="BU411" s="25" t="e">
        <f>#REF!</f>
        <v>#REF!</v>
      </c>
      <c r="BV411" s="4" t="s">
        <v>616</v>
      </c>
    </row>
    <row r="412" spans="1:74" ht="14.4" x14ac:dyDescent="0.3">
      <c r="A412" s="28"/>
      <c r="D412" s="29" t="s">
        <v>61</v>
      </c>
      <c r="E412" s="29" t="s">
        <v>52</v>
      </c>
      <c r="G412" s="30">
        <v>7</v>
      </c>
      <c r="H412" s="63"/>
      <c r="N412" s="31"/>
    </row>
    <row r="413" spans="1:74" ht="14.4" x14ac:dyDescent="0.3">
      <c r="A413" s="21" t="s">
        <v>52</v>
      </c>
      <c r="B413" s="22" t="s">
        <v>510</v>
      </c>
      <c r="C413" s="22" t="s">
        <v>320</v>
      </c>
      <c r="D413" s="170" t="s">
        <v>617</v>
      </c>
      <c r="E413" s="171"/>
      <c r="F413" s="23" t="s">
        <v>32</v>
      </c>
      <c r="G413" s="23" t="s">
        <v>32</v>
      </c>
      <c r="H413" s="64"/>
      <c r="I413" s="1">
        <f>SUM(I414:I422)</f>
        <v>0</v>
      </c>
      <c r="J413" s="1">
        <f>SUM(J414:J422)</f>
        <v>0</v>
      </c>
      <c r="K413" s="1">
        <f>SUM(K414:K422)</f>
        <v>0</v>
      </c>
      <c r="L413" s="10" t="s">
        <v>52</v>
      </c>
      <c r="M413" s="1">
        <f>SUM(M414:M422)</f>
        <v>0.14995976</v>
      </c>
      <c r="N413" s="24"/>
      <c r="AG413" s="10" t="s">
        <v>510</v>
      </c>
      <c r="AQ413" s="1">
        <f>SUM(AH414:AH422)</f>
        <v>0</v>
      </c>
      <c r="AR413" s="1">
        <f>SUM(AI414:AI422)</f>
        <v>0</v>
      </c>
      <c r="AS413" s="1">
        <f>SUM(AJ414:AJ422)</f>
        <v>0</v>
      </c>
    </row>
    <row r="414" spans="1:74" ht="14.4" x14ac:dyDescent="0.3">
      <c r="A414" s="2" t="s">
        <v>618</v>
      </c>
      <c r="B414" s="3" t="s">
        <v>510</v>
      </c>
      <c r="C414" s="3" t="s">
        <v>619</v>
      </c>
      <c r="D414" s="112" t="s">
        <v>620</v>
      </c>
      <c r="E414" s="109"/>
      <c r="F414" s="3" t="s">
        <v>148</v>
      </c>
      <c r="G414" s="25">
        <v>0.05</v>
      </c>
      <c r="H414" s="62"/>
      <c r="I414" s="25">
        <f>ROUND(G414*AM414,2)</f>
        <v>0</v>
      </c>
      <c r="J414" s="25">
        <f>ROUND(G414*AN414,2)</f>
        <v>0</v>
      </c>
      <c r="K414" s="25">
        <f>ROUND(G414*H414,2)</f>
        <v>0</v>
      </c>
      <c r="L414" s="25">
        <v>2.7501099999999998</v>
      </c>
      <c r="M414" s="25">
        <f>G414*L414</f>
        <v>0.1375055</v>
      </c>
      <c r="N414" s="26"/>
      <c r="X414" s="25">
        <f>ROUND(IF(AO414="5",BH414,0),2)</f>
        <v>0</v>
      </c>
      <c r="Z414" s="25">
        <f>ROUND(IF(AO414="1",BF414,0),2)</f>
        <v>0</v>
      </c>
      <c r="AA414" s="25">
        <f>ROUND(IF(AO414="1",BG414,0),2)</f>
        <v>0</v>
      </c>
      <c r="AB414" s="25">
        <f>ROUND(IF(AO414="7",BF414,0),2)</f>
        <v>0</v>
      </c>
      <c r="AC414" s="25">
        <f>ROUND(IF(AO414="7",BG414,0),2)</f>
        <v>0</v>
      </c>
      <c r="AD414" s="25">
        <f>ROUND(IF(AO414="2",BF414,0),2)</f>
        <v>0</v>
      </c>
      <c r="AE414" s="25">
        <f>ROUND(IF(AO414="2",BG414,0),2)</f>
        <v>0</v>
      </c>
      <c r="AF414" s="25">
        <f>ROUND(IF(AO414="0",BH414,0),2)</f>
        <v>0</v>
      </c>
      <c r="AG414" s="10" t="s">
        <v>510</v>
      </c>
      <c r="AH414" s="25">
        <f>IF(AL414=0,K414,0)</f>
        <v>0</v>
      </c>
      <c r="AI414" s="25">
        <f>IF(AL414=12,K414,0)</f>
        <v>0</v>
      </c>
      <c r="AJ414" s="25">
        <f>IF(AL414=21,K414,0)</f>
        <v>0</v>
      </c>
      <c r="AL414" s="25">
        <v>21</v>
      </c>
      <c r="AM414" s="25">
        <f>H414*0.80785351</f>
        <v>0</v>
      </c>
      <c r="AN414" s="25">
        <f>H414*(1-0.80785351)</f>
        <v>0</v>
      </c>
      <c r="AO414" s="27" t="s">
        <v>57</v>
      </c>
      <c r="AT414" s="25">
        <f>ROUND(AU414+AV414,2)</f>
        <v>0</v>
      </c>
      <c r="AU414" s="25">
        <f>ROUND(G414*AM414,2)</f>
        <v>0</v>
      </c>
      <c r="AV414" s="25">
        <f>ROUND(G414*AN414,2)</f>
        <v>0</v>
      </c>
      <c r="AW414" s="27" t="s">
        <v>621</v>
      </c>
      <c r="AX414" s="27" t="s">
        <v>622</v>
      </c>
      <c r="AY414" s="10" t="s">
        <v>518</v>
      </c>
      <c r="BA414" s="25">
        <f>AU414+AV414</f>
        <v>0</v>
      </c>
      <c r="BB414" s="25">
        <f>H414/(100-BC414)*100</f>
        <v>0</v>
      </c>
      <c r="BC414" s="25">
        <v>0</v>
      </c>
      <c r="BD414" s="25">
        <f>M414</f>
        <v>0.1375055</v>
      </c>
      <c r="BF414" s="25">
        <f>G414*AM414</f>
        <v>0</v>
      </c>
      <c r="BG414" s="25">
        <f>G414*AN414</f>
        <v>0</v>
      </c>
      <c r="BH414" s="25">
        <f>G414*H414</f>
        <v>0</v>
      </c>
      <c r="BI414" s="27" t="s">
        <v>65</v>
      </c>
      <c r="BJ414" s="25">
        <v>41</v>
      </c>
      <c r="BU414" s="25" t="e">
        <f>#REF!</f>
        <v>#REF!</v>
      </c>
      <c r="BV414" s="4" t="s">
        <v>620</v>
      </c>
    </row>
    <row r="415" spans="1:74" ht="14.4" x14ac:dyDescent="0.3">
      <c r="A415" s="28"/>
      <c r="D415" s="29" t="s">
        <v>623</v>
      </c>
      <c r="E415" s="29" t="s">
        <v>624</v>
      </c>
      <c r="G415" s="30">
        <v>0.05</v>
      </c>
      <c r="H415" s="63"/>
      <c r="N415" s="31"/>
    </row>
    <row r="416" spans="1:74" ht="14.4" x14ac:dyDescent="0.3">
      <c r="A416" s="2" t="s">
        <v>625</v>
      </c>
      <c r="B416" s="3" t="s">
        <v>510</v>
      </c>
      <c r="C416" s="3" t="s">
        <v>626</v>
      </c>
      <c r="D416" s="112" t="s">
        <v>627</v>
      </c>
      <c r="E416" s="109"/>
      <c r="F416" s="3" t="s">
        <v>60</v>
      </c>
      <c r="G416" s="25">
        <v>0.94099999999999995</v>
      </c>
      <c r="H416" s="62"/>
      <c r="I416" s="25">
        <f>ROUND(G416*AM416,2)</f>
        <v>0</v>
      </c>
      <c r="J416" s="25">
        <f>ROUND(G416*AN416,2)</f>
        <v>0</v>
      </c>
      <c r="K416" s="25">
        <f>ROUND(G416*H416,2)</f>
        <v>0</v>
      </c>
      <c r="L416" s="25">
        <v>7.8100000000000001E-3</v>
      </c>
      <c r="M416" s="25">
        <f>G416*L416</f>
        <v>7.3492100000000001E-3</v>
      </c>
      <c r="N416" s="26"/>
      <c r="X416" s="25">
        <f>ROUND(IF(AO416="5",BH416,0),2)</f>
        <v>0</v>
      </c>
      <c r="Z416" s="25">
        <f>ROUND(IF(AO416="1",BF416,0),2)</f>
        <v>0</v>
      </c>
      <c r="AA416" s="25">
        <f>ROUND(IF(AO416="1",BG416,0),2)</f>
        <v>0</v>
      </c>
      <c r="AB416" s="25">
        <f>ROUND(IF(AO416="7",BF416,0),2)</f>
        <v>0</v>
      </c>
      <c r="AC416" s="25">
        <f>ROUND(IF(AO416="7",BG416,0),2)</f>
        <v>0</v>
      </c>
      <c r="AD416" s="25">
        <f>ROUND(IF(AO416="2",BF416,0),2)</f>
        <v>0</v>
      </c>
      <c r="AE416" s="25">
        <f>ROUND(IF(AO416="2",BG416,0),2)</f>
        <v>0</v>
      </c>
      <c r="AF416" s="25">
        <f>ROUND(IF(AO416="0",BH416,0),2)</f>
        <v>0</v>
      </c>
      <c r="AG416" s="10" t="s">
        <v>510</v>
      </c>
      <c r="AH416" s="25">
        <f>IF(AL416=0,K416,0)</f>
        <v>0</v>
      </c>
      <c r="AI416" s="25">
        <f>IF(AL416=12,K416,0)</f>
        <v>0</v>
      </c>
      <c r="AJ416" s="25">
        <f>IF(AL416=21,K416,0)</f>
        <v>0</v>
      </c>
      <c r="AL416" s="25">
        <v>21</v>
      </c>
      <c r="AM416" s="25">
        <f>H416*0.180145846</f>
        <v>0</v>
      </c>
      <c r="AN416" s="25">
        <f>H416*(1-0.180145846)</f>
        <v>0</v>
      </c>
      <c r="AO416" s="27" t="s">
        <v>57</v>
      </c>
      <c r="AT416" s="25">
        <f>ROUND(AU416+AV416,2)</f>
        <v>0</v>
      </c>
      <c r="AU416" s="25">
        <f>ROUND(G416*AM416,2)</f>
        <v>0</v>
      </c>
      <c r="AV416" s="25">
        <f>ROUND(G416*AN416,2)</f>
        <v>0</v>
      </c>
      <c r="AW416" s="27" t="s">
        <v>621</v>
      </c>
      <c r="AX416" s="27" t="s">
        <v>622</v>
      </c>
      <c r="AY416" s="10" t="s">
        <v>518</v>
      </c>
      <c r="BA416" s="25">
        <f>AU416+AV416</f>
        <v>0</v>
      </c>
      <c r="BB416" s="25">
        <f>H416/(100-BC416)*100</f>
        <v>0</v>
      </c>
      <c r="BC416" s="25">
        <v>0</v>
      </c>
      <c r="BD416" s="25">
        <f>M416</f>
        <v>7.3492100000000001E-3</v>
      </c>
      <c r="BF416" s="25">
        <f>G416*AM416</f>
        <v>0</v>
      </c>
      <c r="BG416" s="25">
        <f>G416*AN416</f>
        <v>0</v>
      </c>
      <c r="BH416" s="25">
        <f>G416*H416</f>
        <v>0</v>
      </c>
      <c r="BI416" s="27" t="s">
        <v>65</v>
      </c>
      <c r="BJ416" s="25">
        <v>41</v>
      </c>
      <c r="BU416" s="25" t="e">
        <f>#REF!</f>
        <v>#REF!</v>
      </c>
      <c r="BV416" s="4" t="s">
        <v>627</v>
      </c>
    </row>
    <row r="417" spans="1:74" ht="14.4" x14ac:dyDescent="0.3">
      <c r="A417" s="28"/>
      <c r="D417" s="29" t="s">
        <v>628</v>
      </c>
      <c r="E417" s="29" t="s">
        <v>624</v>
      </c>
      <c r="G417" s="30">
        <v>0.94099999999999995</v>
      </c>
      <c r="H417" s="63"/>
      <c r="N417" s="31"/>
    </row>
    <row r="418" spans="1:74" ht="14.4" x14ac:dyDescent="0.3">
      <c r="A418" s="2" t="s">
        <v>629</v>
      </c>
      <c r="B418" s="3" t="s">
        <v>510</v>
      </c>
      <c r="C418" s="3" t="s">
        <v>630</v>
      </c>
      <c r="D418" s="112" t="s">
        <v>631</v>
      </c>
      <c r="E418" s="109"/>
      <c r="F418" s="3" t="s">
        <v>60</v>
      </c>
      <c r="G418" s="25">
        <v>0.94099999999999995</v>
      </c>
      <c r="H418" s="62"/>
      <c r="I418" s="25">
        <f>ROUND(G418*AM418,2)</f>
        <v>0</v>
      </c>
      <c r="J418" s="25">
        <f>ROUND(G418*AN418,2)</f>
        <v>0</v>
      </c>
      <c r="K418" s="25">
        <f>ROUND(G418*H418,2)</f>
        <v>0</v>
      </c>
      <c r="L418" s="25">
        <v>0</v>
      </c>
      <c r="M418" s="25">
        <f>G418*L418</f>
        <v>0</v>
      </c>
      <c r="N418" s="26"/>
      <c r="X418" s="25">
        <f>ROUND(IF(AO418="5",BH418,0),2)</f>
        <v>0</v>
      </c>
      <c r="Z418" s="25">
        <f>ROUND(IF(AO418="1",BF418,0),2)</f>
        <v>0</v>
      </c>
      <c r="AA418" s="25">
        <f>ROUND(IF(AO418="1",BG418,0),2)</f>
        <v>0</v>
      </c>
      <c r="AB418" s="25">
        <f>ROUND(IF(AO418="7",BF418,0),2)</f>
        <v>0</v>
      </c>
      <c r="AC418" s="25">
        <f>ROUND(IF(AO418="7",BG418,0),2)</f>
        <v>0</v>
      </c>
      <c r="AD418" s="25">
        <f>ROUND(IF(AO418="2",BF418,0),2)</f>
        <v>0</v>
      </c>
      <c r="AE418" s="25">
        <f>ROUND(IF(AO418="2",BG418,0),2)</f>
        <v>0</v>
      </c>
      <c r="AF418" s="25">
        <f>ROUND(IF(AO418="0",BH418,0),2)</f>
        <v>0</v>
      </c>
      <c r="AG418" s="10" t="s">
        <v>510</v>
      </c>
      <c r="AH418" s="25">
        <f>IF(AL418=0,K418,0)</f>
        <v>0</v>
      </c>
      <c r="AI418" s="25">
        <f>IF(AL418=12,K418,0)</f>
        <v>0</v>
      </c>
      <c r="AJ418" s="25">
        <f>IF(AL418=21,K418,0)</f>
        <v>0</v>
      </c>
      <c r="AL418" s="25">
        <v>21</v>
      </c>
      <c r="AM418" s="25">
        <f>H418*0</f>
        <v>0</v>
      </c>
      <c r="AN418" s="25">
        <f>H418*(1-0)</f>
        <v>0</v>
      </c>
      <c r="AO418" s="27" t="s">
        <v>57</v>
      </c>
      <c r="AT418" s="25">
        <f>ROUND(AU418+AV418,2)</f>
        <v>0</v>
      </c>
      <c r="AU418" s="25">
        <f>ROUND(G418*AM418,2)</f>
        <v>0</v>
      </c>
      <c r="AV418" s="25">
        <f>ROUND(G418*AN418,2)</f>
        <v>0</v>
      </c>
      <c r="AW418" s="27" t="s">
        <v>621</v>
      </c>
      <c r="AX418" s="27" t="s">
        <v>622</v>
      </c>
      <c r="AY418" s="10" t="s">
        <v>518</v>
      </c>
      <c r="BA418" s="25">
        <f>AU418+AV418</f>
        <v>0</v>
      </c>
      <c r="BB418" s="25">
        <f>H418/(100-BC418)*100</f>
        <v>0</v>
      </c>
      <c r="BC418" s="25">
        <v>0</v>
      </c>
      <c r="BD418" s="25">
        <f>M418</f>
        <v>0</v>
      </c>
      <c r="BF418" s="25">
        <f>G418*AM418</f>
        <v>0</v>
      </c>
      <c r="BG418" s="25">
        <f>G418*AN418</f>
        <v>0</v>
      </c>
      <c r="BH418" s="25">
        <f>G418*H418</f>
        <v>0</v>
      </c>
      <c r="BI418" s="27" t="s">
        <v>65</v>
      </c>
      <c r="BJ418" s="25">
        <v>41</v>
      </c>
      <c r="BU418" s="25" t="e">
        <f>#REF!</f>
        <v>#REF!</v>
      </c>
      <c r="BV418" s="4" t="s">
        <v>631</v>
      </c>
    </row>
    <row r="419" spans="1:74" ht="14.4" x14ac:dyDescent="0.3">
      <c r="A419" s="28"/>
      <c r="D419" s="29" t="s">
        <v>628</v>
      </c>
      <c r="E419" s="29" t="s">
        <v>624</v>
      </c>
      <c r="G419" s="30">
        <v>0.94099999999999995</v>
      </c>
      <c r="H419" s="63"/>
      <c r="N419" s="31"/>
    </row>
    <row r="420" spans="1:74" ht="14.4" x14ac:dyDescent="0.3">
      <c r="A420" s="2" t="s">
        <v>632</v>
      </c>
      <c r="B420" s="3" t="s">
        <v>510</v>
      </c>
      <c r="C420" s="3" t="s">
        <v>633</v>
      </c>
      <c r="D420" s="112" t="s">
        <v>634</v>
      </c>
      <c r="E420" s="109"/>
      <c r="F420" s="3" t="s">
        <v>278</v>
      </c>
      <c r="G420" s="25">
        <v>5.0000000000000001E-3</v>
      </c>
      <c r="H420" s="62"/>
      <c r="I420" s="25">
        <f>ROUND(G420*AM420,2)</f>
        <v>0</v>
      </c>
      <c r="J420" s="25">
        <f>ROUND(G420*AN420,2)</f>
        <v>0</v>
      </c>
      <c r="K420" s="25">
        <f>ROUND(G420*H420,2)</f>
        <v>0</v>
      </c>
      <c r="L420" s="25">
        <v>1.02101</v>
      </c>
      <c r="M420" s="25">
        <f>G420*L420</f>
        <v>5.1050499999999999E-3</v>
      </c>
      <c r="N420" s="26"/>
      <c r="X420" s="25">
        <f>ROUND(IF(AO420="5",BH420,0),2)</f>
        <v>0</v>
      </c>
      <c r="Z420" s="25">
        <f>ROUND(IF(AO420="1",BF420,0),2)</f>
        <v>0</v>
      </c>
      <c r="AA420" s="25">
        <f>ROUND(IF(AO420="1",BG420,0),2)</f>
        <v>0</v>
      </c>
      <c r="AB420" s="25">
        <f>ROUND(IF(AO420="7",BF420,0),2)</f>
        <v>0</v>
      </c>
      <c r="AC420" s="25">
        <f>ROUND(IF(AO420="7",BG420,0),2)</f>
        <v>0</v>
      </c>
      <c r="AD420" s="25">
        <f>ROUND(IF(AO420="2",BF420,0),2)</f>
        <v>0</v>
      </c>
      <c r="AE420" s="25">
        <f>ROUND(IF(AO420="2",BG420,0),2)</f>
        <v>0</v>
      </c>
      <c r="AF420" s="25">
        <f>ROUND(IF(AO420="0",BH420,0),2)</f>
        <v>0</v>
      </c>
      <c r="AG420" s="10" t="s">
        <v>510</v>
      </c>
      <c r="AH420" s="25">
        <f>IF(AL420=0,K420,0)</f>
        <v>0</v>
      </c>
      <c r="AI420" s="25">
        <f>IF(AL420=12,K420,0)</f>
        <v>0</v>
      </c>
      <c r="AJ420" s="25">
        <f>IF(AL420=21,K420,0)</f>
        <v>0</v>
      </c>
      <c r="AL420" s="25">
        <v>21</v>
      </c>
      <c r="AM420" s="25">
        <f>H420*0.658654649</f>
        <v>0</v>
      </c>
      <c r="AN420" s="25">
        <f>H420*(1-0.658654649)</f>
        <v>0</v>
      </c>
      <c r="AO420" s="27" t="s">
        <v>57</v>
      </c>
      <c r="AT420" s="25">
        <f>ROUND(AU420+AV420,2)</f>
        <v>0</v>
      </c>
      <c r="AU420" s="25">
        <f>ROUND(G420*AM420,2)</f>
        <v>0</v>
      </c>
      <c r="AV420" s="25">
        <f>ROUND(G420*AN420,2)</f>
        <v>0</v>
      </c>
      <c r="AW420" s="27" t="s">
        <v>621</v>
      </c>
      <c r="AX420" s="27" t="s">
        <v>622</v>
      </c>
      <c r="AY420" s="10" t="s">
        <v>518</v>
      </c>
      <c r="BA420" s="25">
        <f>AU420+AV420</f>
        <v>0</v>
      </c>
      <c r="BB420" s="25">
        <f>H420/(100-BC420)*100</f>
        <v>0</v>
      </c>
      <c r="BC420" s="25">
        <v>0</v>
      </c>
      <c r="BD420" s="25">
        <f>M420</f>
        <v>5.1050499999999999E-3</v>
      </c>
      <c r="BF420" s="25">
        <f>G420*AM420</f>
        <v>0</v>
      </c>
      <c r="BG420" s="25">
        <f>G420*AN420</f>
        <v>0</v>
      </c>
      <c r="BH420" s="25">
        <f>G420*H420</f>
        <v>0</v>
      </c>
      <c r="BI420" s="27" t="s">
        <v>65</v>
      </c>
      <c r="BJ420" s="25">
        <v>41</v>
      </c>
      <c r="BU420" s="25" t="e">
        <f>#REF!</f>
        <v>#REF!</v>
      </c>
      <c r="BV420" s="4" t="s">
        <v>634</v>
      </c>
    </row>
    <row r="421" spans="1:74" ht="14.4" x14ac:dyDescent="0.3">
      <c r="A421" s="28"/>
      <c r="D421" s="29" t="s">
        <v>635</v>
      </c>
      <c r="E421" s="29" t="s">
        <v>636</v>
      </c>
      <c r="G421" s="30">
        <v>5.0000000000000001E-3</v>
      </c>
      <c r="H421" s="63"/>
      <c r="N421" s="31"/>
    </row>
    <row r="422" spans="1:74" ht="14.4" x14ac:dyDescent="0.3">
      <c r="A422" s="2" t="s">
        <v>637</v>
      </c>
      <c r="B422" s="3" t="s">
        <v>510</v>
      </c>
      <c r="C422" s="3" t="s">
        <v>638</v>
      </c>
      <c r="D422" s="112" t="s">
        <v>639</v>
      </c>
      <c r="E422" s="109"/>
      <c r="F422" s="3" t="s">
        <v>122</v>
      </c>
      <c r="G422" s="25">
        <v>14</v>
      </c>
      <c r="H422" s="62"/>
      <c r="I422" s="25">
        <f>ROUND(G422*AM422,2)</f>
        <v>0</v>
      </c>
      <c r="J422" s="25">
        <f>ROUND(G422*AN422,2)</f>
        <v>0</v>
      </c>
      <c r="K422" s="25">
        <f>ROUND(G422*H422,2)</f>
        <v>0</v>
      </c>
      <c r="L422" s="25">
        <v>0</v>
      </c>
      <c r="M422" s="25">
        <f>G422*L422</f>
        <v>0</v>
      </c>
      <c r="N422" s="26"/>
      <c r="X422" s="25">
        <f>ROUND(IF(AO422="5",BH422,0),2)</f>
        <v>0</v>
      </c>
      <c r="Z422" s="25">
        <f>ROUND(IF(AO422="1",BF422,0),2)</f>
        <v>0</v>
      </c>
      <c r="AA422" s="25">
        <f>ROUND(IF(AO422="1",BG422,0),2)</f>
        <v>0</v>
      </c>
      <c r="AB422" s="25">
        <f>ROUND(IF(AO422="7",BF422,0),2)</f>
        <v>0</v>
      </c>
      <c r="AC422" s="25">
        <f>ROUND(IF(AO422="7",BG422,0),2)</f>
        <v>0</v>
      </c>
      <c r="AD422" s="25">
        <f>ROUND(IF(AO422="2",BF422,0),2)</f>
        <v>0</v>
      </c>
      <c r="AE422" s="25">
        <f>ROUND(IF(AO422="2",BG422,0),2)</f>
        <v>0</v>
      </c>
      <c r="AF422" s="25">
        <f>ROUND(IF(AO422="0",BH422,0),2)</f>
        <v>0</v>
      </c>
      <c r="AG422" s="10" t="s">
        <v>510</v>
      </c>
      <c r="AH422" s="25">
        <f>IF(AL422=0,K422,0)</f>
        <v>0</v>
      </c>
      <c r="AI422" s="25">
        <f>IF(AL422=12,K422,0)</f>
        <v>0</v>
      </c>
      <c r="AJ422" s="25">
        <f>IF(AL422=21,K422,0)</f>
        <v>0</v>
      </c>
      <c r="AL422" s="25">
        <v>21</v>
      </c>
      <c r="AM422" s="25">
        <f>H422*0.464695122</f>
        <v>0</v>
      </c>
      <c r="AN422" s="25">
        <f>H422*(1-0.464695122)</f>
        <v>0</v>
      </c>
      <c r="AO422" s="27" t="s">
        <v>57</v>
      </c>
      <c r="AT422" s="25">
        <f>ROUND(AU422+AV422,2)</f>
        <v>0</v>
      </c>
      <c r="AU422" s="25">
        <f>ROUND(G422*AM422,2)</f>
        <v>0</v>
      </c>
      <c r="AV422" s="25">
        <f>ROUND(G422*AN422,2)</f>
        <v>0</v>
      </c>
      <c r="AW422" s="27" t="s">
        <v>621</v>
      </c>
      <c r="AX422" s="27" t="s">
        <v>622</v>
      </c>
      <c r="AY422" s="10" t="s">
        <v>518</v>
      </c>
      <c r="BA422" s="25">
        <f>AU422+AV422</f>
        <v>0</v>
      </c>
      <c r="BB422" s="25">
        <f>H422/(100-BC422)*100</f>
        <v>0</v>
      </c>
      <c r="BC422" s="25">
        <v>0</v>
      </c>
      <c r="BD422" s="25">
        <f>M422</f>
        <v>0</v>
      </c>
      <c r="BF422" s="25">
        <f>G422*AM422</f>
        <v>0</v>
      </c>
      <c r="BG422" s="25">
        <f>G422*AN422</f>
        <v>0</v>
      </c>
      <c r="BH422" s="25">
        <f>G422*H422</f>
        <v>0</v>
      </c>
      <c r="BI422" s="27" t="s">
        <v>65</v>
      </c>
      <c r="BJ422" s="25">
        <v>41</v>
      </c>
      <c r="BU422" s="25" t="e">
        <f>#REF!</f>
        <v>#REF!</v>
      </c>
      <c r="BV422" s="4" t="s">
        <v>639</v>
      </c>
    </row>
    <row r="423" spans="1:74" ht="14.4" x14ac:dyDescent="0.3">
      <c r="A423" s="28"/>
      <c r="D423" s="29" t="s">
        <v>159</v>
      </c>
      <c r="E423" s="29" t="s">
        <v>640</v>
      </c>
      <c r="G423" s="30">
        <v>14</v>
      </c>
      <c r="H423" s="63"/>
      <c r="N423" s="31"/>
    </row>
    <row r="424" spans="1:74" ht="14.4" x14ac:dyDescent="0.3">
      <c r="A424" s="21" t="s">
        <v>52</v>
      </c>
      <c r="B424" s="22" t="s">
        <v>510</v>
      </c>
      <c r="C424" s="22" t="s">
        <v>413</v>
      </c>
      <c r="D424" s="170" t="s">
        <v>641</v>
      </c>
      <c r="E424" s="171"/>
      <c r="F424" s="23" t="s">
        <v>32</v>
      </c>
      <c r="G424" s="23" t="s">
        <v>32</v>
      </c>
      <c r="H424" s="64"/>
      <c r="I424" s="1">
        <f>SUM(I425:I425)</f>
        <v>0</v>
      </c>
      <c r="J424" s="1">
        <f>SUM(J425:J425)</f>
        <v>0</v>
      </c>
      <c r="K424" s="1">
        <f>SUM(K425:K425)</f>
        <v>0</v>
      </c>
      <c r="L424" s="10" t="s">
        <v>52</v>
      </c>
      <c r="M424" s="1">
        <f>SUM(M425:M425)</f>
        <v>0</v>
      </c>
      <c r="N424" s="24"/>
      <c r="AG424" s="10" t="s">
        <v>510</v>
      </c>
      <c r="AQ424" s="1">
        <f>SUM(AH425:AH425)</f>
        <v>0</v>
      </c>
      <c r="AR424" s="1">
        <f>SUM(AI425:AI425)</f>
        <v>0</v>
      </c>
      <c r="AS424" s="1">
        <f>SUM(AJ425:AJ425)</f>
        <v>0</v>
      </c>
    </row>
    <row r="425" spans="1:74" ht="14.4" x14ac:dyDescent="0.3">
      <c r="A425" s="2" t="s">
        <v>642</v>
      </c>
      <c r="B425" s="3" t="s">
        <v>510</v>
      </c>
      <c r="C425" s="3" t="s">
        <v>643</v>
      </c>
      <c r="D425" s="112" t="s">
        <v>644</v>
      </c>
      <c r="E425" s="109"/>
      <c r="F425" s="3" t="s">
        <v>60</v>
      </c>
      <c r="G425" s="25">
        <v>21</v>
      </c>
      <c r="H425" s="62"/>
      <c r="I425" s="25">
        <f>ROUND(G425*AM425,2)</f>
        <v>0</v>
      </c>
      <c r="J425" s="25">
        <f>ROUND(G425*AN425,2)</f>
        <v>0</v>
      </c>
      <c r="K425" s="25">
        <f>ROUND(G425*H425,2)</f>
        <v>0</v>
      </c>
      <c r="L425" s="25">
        <v>0</v>
      </c>
      <c r="M425" s="25">
        <f>G425*L425</f>
        <v>0</v>
      </c>
      <c r="N425" s="26"/>
      <c r="X425" s="25">
        <f>ROUND(IF(AO425="5",BH425,0),2)</f>
        <v>0</v>
      </c>
      <c r="Z425" s="25">
        <f>ROUND(IF(AO425="1",BF425,0),2)</f>
        <v>0</v>
      </c>
      <c r="AA425" s="25">
        <f>ROUND(IF(AO425="1",BG425,0),2)</f>
        <v>0</v>
      </c>
      <c r="AB425" s="25">
        <f>ROUND(IF(AO425="7",BF425,0),2)</f>
        <v>0</v>
      </c>
      <c r="AC425" s="25">
        <f>ROUND(IF(AO425="7",BG425,0),2)</f>
        <v>0</v>
      </c>
      <c r="AD425" s="25">
        <f>ROUND(IF(AO425="2",BF425,0),2)</f>
        <v>0</v>
      </c>
      <c r="AE425" s="25">
        <f>ROUND(IF(AO425="2",BG425,0),2)</f>
        <v>0</v>
      </c>
      <c r="AF425" s="25">
        <f>ROUND(IF(AO425="0",BH425,0),2)</f>
        <v>0</v>
      </c>
      <c r="AG425" s="10" t="s">
        <v>510</v>
      </c>
      <c r="AH425" s="25">
        <f>IF(AL425=0,K425,0)</f>
        <v>0</v>
      </c>
      <c r="AI425" s="25">
        <f>IF(AL425=12,K425,0)</f>
        <v>0</v>
      </c>
      <c r="AJ425" s="25">
        <f>IF(AL425=21,K425,0)</f>
        <v>0</v>
      </c>
      <c r="AL425" s="25">
        <v>21</v>
      </c>
      <c r="AM425" s="25">
        <f>H425*0</f>
        <v>0</v>
      </c>
      <c r="AN425" s="25">
        <f>H425*(1-0)</f>
        <v>0</v>
      </c>
      <c r="AO425" s="27" t="s">
        <v>57</v>
      </c>
      <c r="AT425" s="25">
        <f>ROUND(AU425+AV425,2)</f>
        <v>0</v>
      </c>
      <c r="AU425" s="25">
        <f>ROUND(G425*AM425,2)</f>
        <v>0</v>
      </c>
      <c r="AV425" s="25">
        <f>ROUND(G425*AN425,2)</f>
        <v>0</v>
      </c>
      <c r="AW425" s="27" t="s">
        <v>645</v>
      </c>
      <c r="AX425" s="27" t="s">
        <v>646</v>
      </c>
      <c r="AY425" s="10" t="s">
        <v>518</v>
      </c>
      <c r="BA425" s="25">
        <f>AU425+AV425</f>
        <v>0</v>
      </c>
      <c r="BB425" s="25">
        <f>H425/(100-BC425)*100</f>
        <v>0</v>
      </c>
      <c r="BC425" s="25">
        <v>0</v>
      </c>
      <c r="BD425" s="25">
        <f>M425</f>
        <v>0</v>
      </c>
      <c r="BF425" s="25">
        <f>G425*AM425</f>
        <v>0</v>
      </c>
      <c r="BG425" s="25">
        <f>G425*AN425</f>
        <v>0</v>
      </c>
      <c r="BH425" s="25">
        <f>G425*H425</f>
        <v>0</v>
      </c>
      <c r="BI425" s="27" t="s">
        <v>65</v>
      </c>
      <c r="BJ425" s="25">
        <v>56</v>
      </c>
      <c r="BU425" s="25" t="e">
        <f>#REF!</f>
        <v>#REF!</v>
      </c>
      <c r="BV425" s="4" t="s">
        <v>644</v>
      </c>
    </row>
    <row r="426" spans="1:74" ht="14.4" x14ac:dyDescent="0.3">
      <c r="A426" s="28"/>
      <c r="D426" s="29" t="s">
        <v>519</v>
      </c>
      <c r="E426" s="29" t="s">
        <v>52</v>
      </c>
      <c r="G426" s="30">
        <v>21</v>
      </c>
      <c r="H426" s="63"/>
      <c r="N426" s="31"/>
    </row>
    <row r="427" spans="1:74" ht="14.4" x14ac:dyDescent="0.3">
      <c r="A427" s="21" t="s">
        <v>52</v>
      </c>
      <c r="B427" s="22" t="s">
        <v>510</v>
      </c>
      <c r="C427" s="22" t="s">
        <v>417</v>
      </c>
      <c r="D427" s="170" t="s">
        <v>647</v>
      </c>
      <c r="E427" s="171"/>
      <c r="F427" s="23" t="s">
        <v>32</v>
      </c>
      <c r="G427" s="23" t="s">
        <v>32</v>
      </c>
      <c r="H427" s="64"/>
      <c r="I427" s="1">
        <f>SUM(I428:I434)</f>
        <v>0</v>
      </c>
      <c r="J427" s="1">
        <f>SUM(J428:J434)</f>
        <v>0</v>
      </c>
      <c r="K427" s="1">
        <f>SUM(K428:K434)</f>
        <v>0</v>
      </c>
      <c r="L427" s="10" t="s">
        <v>52</v>
      </c>
      <c r="M427" s="1">
        <f>SUM(M428:M434)</f>
        <v>22.267140000000001</v>
      </c>
      <c r="N427" s="24"/>
      <c r="AG427" s="10" t="s">
        <v>510</v>
      </c>
      <c r="AQ427" s="1">
        <f>SUM(AH428:AH434)</f>
        <v>0</v>
      </c>
      <c r="AR427" s="1">
        <f>SUM(AI428:AI434)</f>
        <v>0</v>
      </c>
      <c r="AS427" s="1">
        <f>SUM(AJ428:AJ434)</f>
        <v>0</v>
      </c>
    </row>
    <row r="428" spans="1:74" ht="14.4" x14ac:dyDescent="0.3">
      <c r="A428" s="2" t="s">
        <v>648</v>
      </c>
      <c r="B428" s="3" t="s">
        <v>510</v>
      </c>
      <c r="C428" s="3" t="s">
        <v>649</v>
      </c>
      <c r="D428" s="112" t="s">
        <v>650</v>
      </c>
      <c r="E428" s="109"/>
      <c r="F428" s="3" t="s">
        <v>60</v>
      </c>
      <c r="G428" s="25">
        <v>21</v>
      </c>
      <c r="H428" s="62"/>
      <c r="I428" s="25">
        <f>ROUND(G428*AM428,2)</f>
        <v>0</v>
      </c>
      <c r="J428" s="25">
        <f>ROUND(G428*AN428,2)</f>
        <v>0</v>
      </c>
      <c r="K428" s="25">
        <f>ROUND(G428*H428,2)</f>
        <v>0</v>
      </c>
      <c r="L428" s="25">
        <v>6.9999999999999999E-4</v>
      </c>
      <c r="M428" s="25">
        <f>G428*L428</f>
        <v>1.47E-2</v>
      </c>
      <c r="N428" s="26"/>
      <c r="X428" s="25">
        <f>ROUND(IF(AO428="5",BH428,0),2)</f>
        <v>0</v>
      </c>
      <c r="Z428" s="25">
        <f>ROUND(IF(AO428="1",BF428,0),2)</f>
        <v>0</v>
      </c>
      <c r="AA428" s="25">
        <f>ROUND(IF(AO428="1",BG428,0),2)</f>
        <v>0</v>
      </c>
      <c r="AB428" s="25">
        <f>ROUND(IF(AO428="7",BF428,0),2)</f>
        <v>0</v>
      </c>
      <c r="AC428" s="25">
        <f>ROUND(IF(AO428="7",BG428,0),2)</f>
        <v>0</v>
      </c>
      <c r="AD428" s="25">
        <f>ROUND(IF(AO428="2",BF428,0),2)</f>
        <v>0</v>
      </c>
      <c r="AE428" s="25">
        <f>ROUND(IF(AO428="2",BG428,0),2)</f>
        <v>0</v>
      </c>
      <c r="AF428" s="25">
        <f>ROUND(IF(AO428="0",BH428,0),2)</f>
        <v>0</v>
      </c>
      <c r="AG428" s="10" t="s">
        <v>510</v>
      </c>
      <c r="AH428" s="25">
        <f>IF(AL428=0,K428,0)</f>
        <v>0</v>
      </c>
      <c r="AI428" s="25">
        <f>IF(AL428=12,K428,0)</f>
        <v>0</v>
      </c>
      <c r="AJ428" s="25">
        <f>IF(AL428=21,K428,0)</f>
        <v>0</v>
      </c>
      <c r="AL428" s="25">
        <v>21</v>
      </c>
      <c r="AM428" s="25">
        <f>H428*0.859790492</f>
        <v>0</v>
      </c>
      <c r="AN428" s="25">
        <f>H428*(1-0.859790492)</f>
        <v>0</v>
      </c>
      <c r="AO428" s="27" t="s">
        <v>57</v>
      </c>
      <c r="AT428" s="25">
        <f>ROUND(AU428+AV428,2)</f>
        <v>0</v>
      </c>
      <c r="AU428" s="25">
        <f>ROUND(G428*AM428,2)</f>
        <v>0</v>
      </c>
      <c r="AV428" s="25">
        <f>ROUND(G428*AN428,2)</f>
        <v>0</v>
      </c>
      <c r="AW428" s="27" t="s">
        <v>651</v>
      </c>
      <c r="AX428" s="27" t="s">
        <v>646</v>
      </c>
      <c r="AY428" s="10" t="s">
        <v>518</v>
      </c>
      <c r="BA428" s="25">
        <f>AU428+AV428</f>
        <v>0</v>
      </c>
      <c r="BB428" s="25">
        <f>H428/(100-BC428)*100</f>
        <v>0</v>
      </c>
      <c r="BC428" s="25">
        <v>0</v>
      </c>
      <c r="BD428" s="25">
        <f>M428</f>
        <v>1.47E-2</v>
      </c>
      <c r="BF428" s="25">
        <f>G428*AM428</f>
        <v>0</v>
      </c>
      <c r="BG428" s="25">
        <f>G428*AN428</f>
        <v>0</v>
      </c>
      <c r="BH428" s="25">
        <f>G428*H428</f>
        <v>0</v>
      </c>
      <c r="BI428" s="27" t="s">
        <v>65</v>
      </c>
      <c r="BJ428" s="25">
        <v>57</v>
      </c>
      <c r="BU428" s="25" t="e">
        <f>#REF!</f>
        <v>#REF!</v>
      </c>
      <c r="BV428" s="4" t="s">
        <v>650</v>
      </c>
    </row>
    <row r="429" spans="1:74" ht="14.4" x14ac:dyDescent="0.3">
      <c r="A429" s="28"/>
      <c r="D429" s="29" t="s">
        <v>519</v>
      </c>
      <c r="E429" s="29" t="s">
        <v>52</v>
      </c>
      <c r="G429" s="30">
        <v>21</v>
      </c>
      <c r="H429" s="63"/>
      <c r="N429" s="31"/>
    </row>
    <row r="430" spans="1:74" ht="14.4" x14ac:dyDescent="0.3">
      <c r="A430" s="2" t="s">
        <v>652</v>
      </c>
      <c r="B430" s="3" t="s">
        <v>510</v>
      </c>
      <c r="C430" s="3" t="s">
        <v>653</v>
      </c>
      <c r="D430" s="112" t="s">
        <v>654</v>
      </c>
      <c r="E430" s="109"/>
      <c r="F430" s="3" t="s">
        <v>60</v>
      </c>
      <c r="G430" s="25">
        <v>21</v>
      </c>
      <c r="H430" s="62"/>
      <c r="I430" s="25">
        <f>ROUND(G430*AM430,2)</f>
        <v>0</v>
      </c>
      <c r="J430" s="25">
        <f>ROUND(G430*AN430,2)</f>
        <v>0</v>
      </c>
      <c r="K430" s="25">
        <f>ROUND(G430*H430,2)</f>
        <v>0</v>
      </c>
      <c r="L430" s="25">
        <v>2.5300000000000001E-3</v>
      </c>
      <c r="M430" s="25">
        <f>G430*L430</f>
        <v>5.3130000000000004E-2</v>
      </c>
      <c r="N430" s="26"/>
      <c r="X430" s="25">
        <f>ROUND(IF(AO430="5",BH430,0),2)</f>
        <v>0</v>
      </c>
      <c r="Z430" s="25">
        <f>ROUND(IF(AO430="1",BF430,0),2)</f>
        <v>0</v>
      </c>
      <c r="AA430" s="25">
        <f>ROUND(IF(AO430="1",BG430,0),2)</f>
        <v>0</v>
      </c>
      <c r="AB430" s="25">
        <f>ROUND(IF(AO430="7",BF430,0),2)</f>
        <v>0</v>
      </c>
      <c r="AC430" s="25">
        <f>ROUND(IF(AO430="7",BG430,0),2)</f>
        <v>0</v>
      </c>
      <c r="AD430" s="25">
        <f>ROUND(IF(AO430="2",BF430,0),2)</f>
        <v>0</v>
      </c>
      <c r="AE430" s="25">
        <f>ROUND(IF(AO430="2",BG430,0),2)</f>
        <v>0</v>
      </c>
      <c r="AF430" s="25">
        <f>ROUND(IF(AO430="0",BH430,0),2)</f>
        <v>0</v>
      </c>
      <c r="AG430" s="10" t="s">
        <v>510</v>
      </c>
      <c r="AH430" s="25">
        <f>IF(AL430=0,K430,0)</f>
        <v>0</v>
      </c>
      <c r="AI430" s="25">
        <f>IF(AL430=12,K430,0)</f>
        <v>0</v>
      </c>
      <c r="AJ430" s="25">
        <f>IF(AL430=21,K430,0)</f>
        <v>0</v>
      </c>
      <c r="AL430" s="25">
        <v>21</v>
      </c>
      <c r="AM430" s="25">
        <f>H430*0.983831418</f>
        <v>0</v>
      </c>
      <c r="AN430" s="25">
        <f>H430*(1-0.983831418)</f>
        <v>0</v>
      </c>
      <c r="AO430" s="27" t="s">
        <v>57</v>
      </c>
      <c r="AT430" s="25">
        <f>ROUND(AU430+AV430,2)</f>
        <v>0</v>
      </c>
      <c r="AU430" s="25">
        <f>ROUND(G430*AM430,2)</f>
        <v>0</v>
      </c>
      <c r="AV430" s="25">
        <f>ROUND(G430*AN430,2)</f>
        <v>0</v>
      </c>
      <c r="AW430" s="27" t="s">
        <v>651</v>
      </c>
      <c r="AX430" s="27" t="s">
        <v>646</v>
      </c>
      <c r="AY430" s="10" t="s">
        <v>518</v>
      </c>
      <c r="BA430" s="25">
        <f>AU430+AV430</f>
        <v>0</v>
      </c>
      <c r="BB430" s="25">
        <f>H430/(100-BC430)*100</f>
        <v>0</v>
      </c>
      <c r="BC430" s="25">
        <v>0</v>
      </c>
      <c r="BD430" s="25">
        <f>M430</f>
        <v>5.3130000000000004E-2</v>
      </c>
      <c r="BF430" s="25">
        <f>G430*AM430</f>
        <v>0</v>
      </c>
      <c r="BG430" s="25">
        <f>G430*AN430</f>
        <v>0</v>
      </c>
      <c r="BH430" s="25">
        <f>G430*H430</f>
        <v>0</v>
      </c>
      <c r="BI430" s="27" t="s">
        <v>65</v>
      </c>
      <c r="BJ430" s="25">
        <v>57</v>
      </c>
      <c r="BU430" s="25" t="e">
        <f>#REF!</f>
        <v>#REF!</v>
      </c>
      <c r="BV430" s="4" t="s">
        <v>654</v>
      </c>
    </row>
    <row r="431" spans="1:74" ht="14.4" x14ac:dyDescent="0.3">
      <c r="A431" s="28"/>
      <c r="D431" s="29" t="s">
        <v>519</v>
      </c>
      <c r="E431" s="29" t="s">
        <v>52</v>
      </c>
      <c r="G431" s="30">
        <v>21</v>
      </c>
      <c r="H431" s="63"/>
      <c r="N431" s="31"/>
    </row>
    <row r="432" spans="1:74" ht="14.4" x14ac:dyDescent="0.3">
      <c r="A432" s="2" t="s">
        <v>655</v>
      </c>
      <c r="B432" s="3" t="s">
        <v>510</v>
      </c>
      <c r="C432" s="3" t="s">
        <v>656</v>
      </c>
      <c r="D432" s="112" t="s">
        <v>657</v>
      </c>
      <c r="E432" s="109"/>
      <c r="F432" s="3" t="s">
        <v>60</v>
      </c>
      <c r="G432" s="25">
        <v>21</v>
      </c>
      <c r="H432" s="62"/>
      <c r="I432" s="25">
        <f>ROUND(G432*AM432,2)</f>
        <v>0</v>
      </c>
      <c r="J432" s="25">
        <f>ROUND(G432*AN432,2)</f>
        <v>0</v>
      </c>
      <c r="K432" s="25">
        <f>ROUND(G432*H432,2)</f>
        <v>0</v>
      </c>
      <c r="L432" s="25">
        <v>4.6399999999999997E-2</v>
      </c>
      <c r="M432" s="25">
        <f>G432*L432</f>
        <v>0.97439999999999993</v>
      </c>
      <c r="N432" s="26"/>
      <c r="X432" s="25">
        <f>ROUND(IF(AO432="5",BH432,0),2)</f>
        <v>0</v>
      </c>
      <c r="Z432" s="25">
        <f>ROUND(IF(AO432="1",BF432,0),2)</f>
        <v>0</v>
      </c>
      <c r="AA432" s="25">
        <f>ROUND(IF(AO432="1",BG432,0),2)</f>
        <v>0</v>
      </c>
      <c r="AB432" s="25">
        <f>ROUND(IF(AO432="7",BF432,0),2)</f>
        <v>0</v>
      </c>
      <c r="AC432" s="25">
        <f>ROUND(IF(AO432="7",BG432,0),2)</f>
        <v>0</v>
      </c>
      <c r="AD432" s="25">
        <f>ROUND(IF(AO432="2",BF432,0),2)</f>
        <v>0</v>
      </c>
      <c r="AE432" s="25">
        <f>ROUND(IF(AO432="2",BG432,0),2)</f>
        <v>0</v>
      </c>
      <c r="AF432" s="25">
        <f>ROUND(IF(AO432="0",BH432,0),2)</f>
        <v>0</v>
      </c>
      <c r="AG432" s="10" t="s">
        <v>510</v>
      </c>
      <c r="AH432" s="25">
        <f>IF(AL432=0,K432,0)</f>
        <v>0</v>
      </c>
      <c r="AI432" s="25">
        <f>IF(AL432=12,K432,0)</f>
        <v>0</v>
      </c>
      <c r="AJ432" s="25">
        <f>IF(AL432=21,K432,0)</f>
        <v>0</v>
      </c>
      <c r="AL432" s="25">
        <v>21</v>
      </c>
      <c r="AM432" s="25">
        <f>H432*0.734433962</f>
        <v>0</v>
      </c>
      <c r="AN432" s="25">
        <f>H432*(1-0.734433962)</f>
        <v>0</v>
      </c>
      <c r="AO432" s="27" t="s">
        <v>57</v>
      </c>
      <c r="AT432" s="25">
        <f>ROUND(AU432+AV432,2)</f>
        <v>0</v>
      </c>
      <c r="AU432" s="25">
        <f>ROUND(G432*AM432,2)</f>
        <v>0</v>
      </c>
      <c r="AV432" s="25">
        <f>ROUND(G432*AN432,2)</f>
        <v>0</v>
      </c>
      <c r="AW432" s="27" t="s">
        <v>651</v>
      </c>
      <c r="AX432" s="27" t="s">
        <v>646</v>
      </c>
      <c r="AY432" s="10" t="s">
        <v>518</v>
      </c>
      <c r="BA432" s="25">
        <f>AU432+AV432</f>
        <v>0</v>
      </c>
      <c r="BB432" s="25">
        <f>H432/(100-BC432)*100</f>
        <v>0</v>
      </c>
      <c r="BC432" s="25">
        <v>0</v>
      </c>
      <c r="BD432" s="25">
        <f>M432</f>
        <v>0.97439999999999993</v>
      </c>
      <c r="BF432" s="25">
        <f>G432*AM432</f>
        <v>0</v>
      </c>
      <c r="BG432" s="25">
        <f>G432*AN432</f>
        <v>0</v>
      </c>
      <c r="BH432" s="25">
        <f>G432*H432</f>
        <v>0</v>
      </c>
      <c r="BI432" s="27" t="s">
        <v>65</v>
      </c>
      <c r="BJ432" s="25">
        <v>57</v>
      </c>
      <c r="BU432" s="25" t="e">
        <f>#REF!</f>
        <v>#REF!</v>
      </c>
      <c r="BV432" s="4" t="s">
        <v>657</v>
      </c>
    </row>
    <row r="433" spans="1:74" ht="14.4" x14ac:dyDescent="0.3">
      <c r="A433" s="28"/>
      <c r="D433" s="29" t="s">
        <v>519</v>
      </c>
      <c r="E433" s="29" t="s">
        <v>52</v>
      </c>
      <c r="G433" s="30">
        <v>21</v>
      </c>
      <c r="H433" s="63"/>
      <c r="N433" s="31"/>
    </row>
    <row r="434" spans="1:74" ht="14.4" x14ac:dyDescent="0.3">
      <c r="A434" s="2" t="s">
        <v>658</v>
      </c>
      <c r="B434" s="3" t="s">
        <v>510</v>
      </c>
      <c r="C434" s="3" t="s">
        <v>659</v>
      </c>
      <c r="D434" s="112" t="s">
        <v>660</v>
      </c>
      <c r="E434" s="109"/>
      <c r="F434" s="3" t="s">
        <v>60</v>
      </c>
      <c r="G434" s="25">
        <v>21</v>
      </c>
      <c r="H434" s="62"/>
      <c r="I434" s="25">
        <f>ROUND(G434*AM434,2)</f>
        <v>0</v>
      </c>
      <c r="J434" s="25">
        <f>ROUND(G434*AN434,2)</f>
        <v>0</v>
      </c>
      <c r="K434" s="25">
        <f>ROUND(G434*H434,2)</f>
        <v>0</v>
      </c>
      <c r="L434" s="25">
        <v>1.01071</v>
      </c>
      <c r="M434" s="25">
        <f>G434*L434</f>
        <v>21.224910000000001</v>
      </c>
      <c r="N434" s="26"/>
      <c r="X434" s="25">
        <f>ROUND(IF(AO434="5",BH434,0),2)</f>
        <v>0</v>
      </c>
      <c r="Z434" s="25">
        <f>ROUND(IF(AO434="1",BF434,0),2)</f>
        <v>0</v>
      </c>
      <c r="AA434" s="25">
        <f>ROUND(IF(AO434="1",BG434,0),2)</f>
        <v>0</v>
      </c>
      <c r="AB434" s="25">
        <f>ROUND(IF(AO434="7",BF434,0),2)</f>
        <v>0</v>
      </c>
      <c r="AC434" s="25">
        <f>ROUND(IF(AO434="7",BG434,0),2)</f>
        <v>0</v>
      </c>
      <c r="AD434" s="25">
        <f>ROUND(IF(AO434="2",BF434,0),2)</f>
        <v>0</v>
      </c>
      <c r="AE434" s="25">
        <f>ROUND(IF(AO434="2",BG434,0),2)</f>
        <v>0</v>
      </c>
      <c r="AF434" s="25">
        <f>ROUND(IF(AO434="0",BH434,0),2)</f>
        <v>0</v>
      </c>
      <c r="AG434" s="10" t="s">
        <v>510</v>
      </c>
      <c r="AH434" s="25">
        <f>IF(AL434=0,K434,0)</f>
        <v>0</v>
      </c>
      <c r="AI434" s="25">
        <f>IF(AL434=12,K434,0)</f>
        <v>0</v>
      </c>
      <c r="AJ434" s="25">
        <f>IF(AL434=21,K434,0)</f>
        <v>0</v>
      </c>
      <c r="AL434" s="25">
        <v>21</v>
      </c>
      <c r="AM434" s="25">
        <f>H434*0.654605884</f>
        <v>0</v>
      </c>
      <c r="AN434" s="25">
        <f>H434*(1-0.654605884)</f>
        <v>0</v>
      </c>
      <c r="AO434" s="27" t="s">
        <v>57</v>
      </c>
      <c r="AT434" s="25">
        <f>ROUND(AU434+AV434,2)</f>
        <v>0</v>
      </c>
      <c r="AU434" s="25">
        <f>ROUND(G434*AM434,2)</f>
        <v>0</v>
      </c>
      <c r="AV434" s="25">
        <f>ROUND(G434*AN434,2)</f>
        <v>0</v>
      </c>
      <c r="AW434" s="27" t="s">
        <v>651</v>
      </c>
      <c r="AX434" s="27" t="s">
        <v>646</v>
      </c>
      <c r="AY434" s="10" t="s">
        <v>518</v>
      </c>
      <c r="BA434" s="25">
        <f>AU434+AV434</f>
        <v>0</v>
      </c>
      <c r="BB434" s="25">
        <f>H434/(100-BC434)*100</f>
        <v>0</v>
      </c>
      <c r="BC434" s="25">
        <v>0</v>
      </c>
      <c r="BD434" s="25">
        <f>M434</f>
        <v>21.224910000000001</v>
      </c>
      <c r="BF434" s="25">
        <f>G434*AM434</f>
        <v>0</v>
      </c>
      <c r="BG434" s="25">
        <f>G434*AN434</f>
        <v>0</v>
      </c>
      <c r="BH434" s="25">
        <f>G434*H434</f>
        <v>0</v>
      </c>
      <c r="BI434" s="27" t="s">
        <v>65</v>
      </c>
      <c r="BJ434" s="25">
        <v>57</v>
      </c>
      <c r="BU434" s="25" t="e">
        <f>#REF!</f>
        <v>#REF!</v>
      </c>
      <c r="BV434" s="4" t="s">
        <v>660</v>
      </c>
    </row>
    <row r="435" spans="1:74" ht="14.4" x14ac:dyDescent="0.3">
      <c r="A435" s="28"/>
      <c r="D435" s="29" t="s">
        <v>519</v>
      </c>
      <c r="E435" s="29" t="s">
        <v>52</v>
      </c>
      <c r="G435" s="30">
        <v>21</v>
      </c>
      <c r="H435" s="63"/>
      <c r="N435" s="31"/>
    </row>
    <row r="436" spans="1:74" ht="14.4" x14ac:dyDescent="0.3">
      <c r="A436" s="21" t="s">
        <v>52</v>
      </c>
      <c r="B436" s="22" t="s">
        <v>510</v>
      </c>
      <c r="C436" s="22" t="s">
        <v>434</v>
      </c>
      <c r="D436" s="170" t="s">
        <v>661</v>
      </c>
      <c r="E436" s="171"/>
      <c r="F436" s="23" t="s">
        <v>32</v>
      </c>
      <c r="G436" s="23" t="s">
        <v>32</v>
      </c>
      <c r="H436" s="64"/>
      <c r="I436" s="1">
        <f>SUM(I437:I525)</f>
        <v>0</v>
      </c>
      <c r="J436" s="1">
        <f>SUM(J437:J525)</f>
        <v>0</v>
      </c>
      <c r="K436" s="1">
        <f>SUM(K437:K525)</f>
        <v>0</v>
      </c>
      <c r="L436" s="10" t="s">
        <v>52</v>
      </c>
      <c r="M436" s="1">
        <f>SUM(M437:M525)</f>
        <v>26.085495210000001</v>
      </c>
      <c r="N436" s="24"/>
      <c r="AG436" s="10" t="s">
        <v>510</v>
      </c>
      <c r="AQ436" s="1">
        <f>SUM(AH437:AH525)</f>
        <v>0</v>
      </c>
      <c r="AR436" s="1">
        <f>SUM(AI437:AI525)</f>
        <v>0</v>
      </c>
      <c r="AS436" s="1">
        <f>SUM(AJ437:AJ525)</f>
        <v>0</v>
      </c>
    </row>
    <row r="437" spans="1:74" ht="14.4" x14ac:dyDescent="0.3">
      <c r="A437" s="2" t="s">
        <v>662</v>
      </c>
      <c r="B437" s="3" t="s">
        <v>510</v>
      </c>
      <c r="C437" s="3" t="s">
        <v>663</v>
      </c>
      <c r="D437" s="112" t="s">
        <v>664</v>
      </c>
      <c r="E437" s="109"/>
      <c r="F437" s="3" t="s">
        <v>60</v>
      </c>
      <c r="G437" s="25">
        <v>73.03</v>
      </c>
      <c r="H437" s="62"/>
      <c r="I437" s="25">
        <f>ROUND(G437*AM437,2)</f>
        <v>0</v>
      </c>
      <c r="J437" s="25">
        <f>ROUND(G437*AN437,2)</f>
        <v>0</v>
      </c>
      <c r="K437" s="25">
        <f>ROUND(G437*H437,2)</f>
        <v>0</v>
      </c>
      <c r="L437" s="25">
        <v>4.4999999999999999E-4</v>
      </c>
      <c r="M437" s="25">
        <f>G437*L437</f>
        <v>3.2863499999999997E-2</v>
      </c>
      <c r="N437" s="26"/>
      <c r="X437" s="25">
        <f>ROUND(IF(AO437="5",BH437,0),2)</f>
        <v>0</v>
      </c>
      <c r="Z437" s="25">
        <f>ROUND(IF(AO437="1",BF437,0),2)</f>
        <v>0</v>
      </c>
      <c r="AA437" s="25">
        <f>ROUND(IF(AO437="1",BG437,0),2)</f>
        <v>0</v>
      </c>
      <c r="AB437" s="25">
        <f>ROUND(IF(AO437="7",BF437,0),2)</f>
        <v>0</v>
      </c>
      <c r="AC437" s="25">
        <f>ROUND(IF(AO437="7",BG437,0),2)</f>
        <v>0</v>
      </c>
      <c r="AD437" s="25">
        <f>ROUND(IF(AO437="2",BF437,0),2)</f>
        <v>0</v>
      </c>
      <c r="AE437" s="25">
        <f>ROUND(IF(AO437="2",BG437,0),2)</f>
        <v>0</v>
      </c>
      <c r="AF437" s="25">
        <f>ROUND(IF(AO437="0",BH437,0),2)</f>
        <v>0</v>
      </c>
      <c r="AG437" s="10" t="s">
        <v>510</v>
      </c>
      <c r="AH437" s="25">
        <f>IF(AL437=0,K437,0)</f>
        <v>0</v>
      </c>
      <c r="AI437" s="25">
        <f>IF(AL437=12,K437,0)</f>
        <v>0</v>
      </c>
      <c r="AJ437" s="25">
        <f>IF(AL437=21,K437,0)</f>
        <v>0</v>
      </c>
      <c r="AL437" s="25">
        <v>21</v>
      </c>
      <c r="AM437" s="25">
        <f>H437*0.044965461</f>
        <v>0</v>
      </c>
      <c r="AN437" s="25">
        <f>H437*(1-0.044965461)</f>
        <v>0</v>
      </c>
      <c r="AO437" s="27" t="s">
        <v>57</v>
      </c>
      <c r="AT437" s="25">
        <f>ROUND(AU437+AV437,2)</f>
        <v>0</v>
      </c>
      <c r="AU437" s="25">
        <f>ROUND(G437*AM437,2)</f>
        <v>0</v>
      </c>
      <c r="AV437" s="25">
        <f>ROUND(G437*AN437,2)</f>
        <v>0</v>
      </c>
      <c r="AW437" s="27" t="s">
        <v>665</v>
      </c>
      <c r="AX437" s="27" t="s">
        <v>666</v>
      </c>
      <c r="AY437" s="10" t="s">
        <v>518</v>
      </c>
      <c r="BA437" s="25">
        <f>AU437+AV437</f>
        <v>0</v>
      </c>
      <c r="BB437" s="25">
        <f>H437/(100-BC437)*100</f>
        <v>0</v>
      </c>
      <c r="BC437" s="25">
        <v>0</v>
      </c>
      <c r="BD437" s="25">
        <f>M437</f>
        <v>3.2863499999999997E-2</v>
      </c>
      <c r="BF437" s="25">
        <f>G437*AM437</f>
        <v>0</v>
      </c>
      <c r="BG437" s="25">
        <f>G437*AN437</f>
        <v>0</v>
      </c>
      <c r="BH437" s="25">
        <f>G437*H437</f>
        <v>0</v>
      </c>
      <c r="BI437" s="27" t="s">
        <v>65</v>
      </c>
      <c r="BJ437" s="25">
        <v>61</v>
      </c>
      <c r="BU437" s="25" t="e">
        <f>#REF!</f>
        <v>#REF!</v>
      </c>
      <c r="BV437" s="4" t="s">
        <v>664</v>
      </c>
    </row>
    <row r="438" spans="1:74" ht="14.4" x14ac:dyDescent="0.3">
      <c r="A438" s="28"/>
      <c r="D438" s="29" t="s">
        <v>667</v>
      </c>
      <c r="E438" s="29" t="s">
        <v>170</v>
      </c>
      <c r="G438" s="30">
        <v>14.2</v>
      </c>
      <c r="H438" s="63"/>
      <c r="N438" s="31"/>
    </row>
    <row r="439" spans="1:74" ht="14.4" x14ac:dyDescent="0.3">
      <c r="A439" s="28"/>
      <c r="D439" s="29" t="s">
        <v>668</v>
      </c>
      <c r="E439" s="29" t="s">
        <v>163</v>
      </c>
      <c r="G439" s="30">
        <v>16.77</v>
      </c>
      <c r="H439" s="63"/>
      <c r="N439" s="31"/>
    </row>
    <row r="440" spans="1:74" ht="14.4" x14ac:dyDescent="0.3">
      <c r="A440" s="28"/>
      <c r="D440" s="29" t="s">
        <v>669</v>
      </c>
      <c r="E440" s="29" t="s">
        <v>69</v>
      </c>
      <c r="G440" s="30">
        <v>9.9</v>
      </c>
      <c r="H440" s="63"/>
      <c r="N440" s="31"/>
    </row>
    <row r="441" spans="1:74" ht="14.4" x14ac:dyDescent="0.3">
      <c r="A441" s="28"/>
      <c r="D441" s="29" t="s">
        <v>172</v>
      </c>
      <c r="E441" s="29" t="s">
        <v>70</v>
      </c>
      <c r="G441" s="30">
        <v>19.670000000000002</v>
      </c>
      <c r="H441" s="63"/>
      <c r="N441" s="31"/>
    </row>
    <row r="442" spans="1:74" ht="14.4" x14ac:dyDescent="0.3">
      <c r="A442" s="28"/>
      <c r="D442" s="29" t="s">
        <v>173</v>
      </c>
      <c r="E442" s="29" t="s">
        <v>174</v>
      </c>
      <c r="G442" s="30">
        <v>5.42</v>
      </c>
      <c r="H442" s="63"/>
      <c r="N442" s="31"/>
    </row>
    <row r="443" spans="1:74" ht="14.4" x14ac:dyDescent="0.3">
      <c r="A443" s="28"/>
      <c r="D443" s="29" t="s">
        <v>670</v>
      </c>
      <c r="E443" s="29" t="s">
        <v>180</v>
      </c>
      <c r="G443" s="30">
        <v>3</v>
      </c>
      <c r="H443" s="63"/>
      <c r="N443" s="31"/>
    </row>
    <row r="444" spans="1:74" ht="14.4" x14ac:dyDescent="0.3">
      <c r="A444" s="28"/>
      <c r="D444" s="29" t="s">
        <v>181</v>
      </c>
      <c r="E444" s="29" t="s">
        <v>182</v>
      </c>
      <c r="G444" s="30">
        <v>1.37</v>
      </c>
      <c r="H444" s="63"/>
      <c r="N444" s="31"/>
    </row>
    <row r="445" spans="1:74" ht="14.4" x14ac:dyDescent="0.3">
      <c r="A445" s="28"/>
      <c r="D445" s="29" t="s">
        <v>183</v>
      </c>
      <c r="E445" s="29" t="s">
        <v>72</v>
      </c>
      <c r="G445" s="30">
        <v>2.7</v>
      </c>
      <c r="H445" s="63"/>
      <c r="N445" s="31"/>
    </row>
    <row r="446" spans="1:74" ht="14.4" x14ac:dyDescent="0.3">
      <c r="A446" s="2" t="s">
        <v>671</v>
      </c>
      <c r="B446" s="3" t="s">
        <v>510</v>
      </c>
      <c r="C446" s="3" t="s">
        <v>672</v>
      </c>
      <c r="D446" s="112" t="s">
        <v>673</v>
      </c>
      <c r="E446" s="109"/>
      <c r="F446" s="3" t="s">
        <v>60</v>
      </c>
      <c r="G446" s="25">
        <v>73.03</v>
      </c>
      <c r="H446" s="62"/>
      <c r="I446" s="25">
        <f>ROUND(G446*AM446,2)</f>
        <v>0</v>
      </c>
      <c r="J446" s="25">
        <f>ROUND(G446*AN446,2)</f>
        <v>0</v>
      </c>
      <c r="K446" s="25">
        <f>ROUND(G446*H446,2)</f>
        <v>0</v>
      </c>
      <c r="L446" s="25">
        <v>5.1229999999999998E-2</v>
      </c>
      <c r="M446" s="25">
        <f>G446*L446</f>
        <v>3.7413268999999998</v>
      </c>
      <c r="N446" s="26"/>
      <c r="X446" s="25">
        <f>ROUND(IF(AO446="5",BH446,0),2)</f>
        <v>0</v>
      </c>
      <c r="Z446" s="25">
        <f>ROUND(IF(AO446="1",BF446,0),2)</f>
        <v>0</v>
      </c>
      <c r="AA446" s="25">
        <f>ROUND(IF(AO446="1",BG446,0),2)</f>
        <v>0</v>
      </c>
      <c r="AB446" s="25">
        <f>ROUND(IF(AO446="7",BF446,0),2)</f>
        <v>0</v>
      </c>
      <c r="AC446" s="25">
        <f>ROUND(IF(AO446="7",BG446,0),2)</f>
        <v>0</v>
      </c>
      <c r="AD446" s="25">
        <f>ROUND(IF(AO446="2",BF446,0),2)</f>
        <v>0</v>
      </c>
      <c r="AE446" s="25">
        <f>ROUND(IF(AO446="2",BG446,0),2)</f>
        <v>0</v>
      </c>
      <c r="AF446" s="25">
        <f>ROUND(IF(AO446="0",BH446,0),2)</f>
        <v>0</v>
      </c>
      <c r="AG446" s="10" t="s">
        <v>510</v>
      </c>
      <c r="AH446" s="25">
        <f>IF(AL446=0,K446,0)</f>
        <v>0</v>
      </c>
      <c r="AI446" s="25">
        <f>IF(AL446=12,K446,0)</f>
        <v>0</v>
      </c>
      <c r="AJ446" s="25">
        <f>IF(AL446=21,K446,0)</f>
        <v>0</v>
      </c>
      <c r="AL446" s="25">
        <v>21</v>
      </c>
      <c r="AM446" s="25">
        <f>H446*0.186053965</f>
        <v>0</v>
      </c>
      <c r="AN446" s="25">
        <f>H446*(1-0.186053965)</f>
        <v>0</v>
      </c>
      <c r="AO446" s="27" t="s">
        <v>57</v>
      </c>
      <c r="AT446" s="25">
        <f>ROUND(AU446+AV446,2)</f>
        <v>0</v>
      </c>
      <c r="AU446" s="25">
        <f>ROUND(G446*AM446,2)</f>
        <v>0</v>
      </c>
      <c r="AV446" s="25">
        <f>ROUND(G446*AN446,2)</f>
        <v>0</v>
      </c>
      <c r="AW446" s="27" t="s">
        <v>665</v>
      </c>
      <c r="AX446" s="27" t="s">
        <v>666</v>
      </c>
      <c r="AY446" s="10" t="s">
        <v>518</v>
      </c>
      <c r="BA446" s="25">
        <f>AU446+AV446</f>
        <v>0</v>
      </c>
      <c r="BB446" s="25">
        <f>H446/(100-BC446)*100</f>
        <v>0</v>
      </c>
      <c r="BC446" s="25">
        <v>0</v>
      </c>
      <c r="BD446" s="25">
        <f>M446</f>
        <v>3.7413268999999998</v>
      </c>
      <c r="BF446" s="25">
        <f>G446*AM446</f>
        <v>0</v>
      </c>
      <c r="BG446" s="25">
        <f>G446*AN446</f>
        <v>0</v>
      </c>
      <c r="BH446" s="25">
        <f>G446*H446</f>
        <v>0</v>
      </c>
      <c r="BI446" s="27" t="s">
        <v>65</v>
      </c>
      <c r="BJ446" s="25">
        <v>61</v>
      </c>
      <c r="BU446" s="25" t="e">
        <f>#REF!</f>
        <v>#REF!</v>
      </c>
      <c r="BV446" s="4" t="s">
        <v>673</v>
      </c>
    </row>
    <row r="447" spans="1:74" ht="14.4" x14ac:dyDescent="0.3">
      <c r="A447" s="28"/>
      <c r="D447" s="29" t="s">
        <v>667</v>
      </c>
      <c r="E447" s="29" t="s">
        <v>170</v>
      </c>
      <c r="G447" s="30">
        <v>14.2</v>
      </c>
      <c r="H447" s="63"/>
      <c r="N447" s="31"/>
    </row>
    <row r="448" spans="1:74" ht="14.4" x14ac:dyDescent="0.3">
      <c r="A448" s="28"/>
      <c r="D448" s="29" t="s">
        <v>668</v>
      </c>
      <c r="E448" s="29" t="s">
        <v>163</v>
      </c>
      <c r="G448" s="30">
        <v>16.77</v>
      </c>
      <c r="H448" s="63"/>
      <c r="N448" s="31"/>
    </row>
    <row r="449" spans="1:74" ht="14.4" x14ac:dyDescent="0.3">
      <c r="A449" s="28"/>
      <c r="D449" s="29" t="s">
        <v>669</v>
      </c>
      <c r="E449" s="29" t="s">
        <v>69</v>
      </c>
      <c r="G449" s="30">
        <v>9.9</v>
      </c>
      <c r="H449" s="63"/>
      <c r="N449" s="31"/>
    </row>
    <row r="450" spans="1:74" ht="14.4" x14ac:dyDescent="0.3">
      <c r="A450" s="28"/>
      <c r="D450" s="29" t="s">
        <v>172</v>
      </c>
      <c r="E450" s="29" t="s">
        <v>70</v>
      </c>
      <c r="G450" s="30">
        <v>19.670000000000002</v>
      </c>
      <c r="H450" s="63"/>
      <c r="N450" s="31"/>
    </row>
    <row r="451" spans="1:74" ht="14.4" x14ac:dyDescent="0.3">
      <c r="A451" s="28"/>
      <c r="D451" s="29" t="s">
        <v>173</v>
      </c>
      <c r="E451" s="29" t="s">
        <v>174</v>
      </c>
      <c r="G451" s="30">
        <v>5.42</v>
      </c>
      <c r="H451" s="63"/>
      <c r="N451" s="31"/>
    </row>
    <row r="452" spans="1:74" ht="14.4" x14ac:dyDescent="0.3">
      <c r="A452" s="28"/>
      <c r="D452" s="29" t="s">
        <v>670</v>
      </c>
      <c r="E452" s="29" t="s">
        <v>180</v>
      </c>
      <c r="G452" s="30">
        <v>3</v>
      </c>
      <c r="H452" s="63"/>
      <c r="N452" s="31"/>
    </row>
    <row r="453" spans="1:74" ht="14.4" x14ac:dyDescent="0.3">
      <c r="A453" s="28"/>
      <c r="D453" s="29" t="s">
        <v>181</v>
      </c>
      <c r="E453" s="29" t="s">
        <v>182</v>
      </c>
      <c r="G453" s="30">
        <v>1.37</v>
      </c>
      <c r="H453" s="63"/>
      <c r="N453" s="31"/>
    </row>
    <row r="454" spans="1:74" ht="14.4" x14ac:dyDescent="0.3">
      <c r="A454" s="28"/>
      <c r="D454" s="29" t="s">
        <v>183</v>
      </c>
      <c r="E454" s="29" t="s">
        <v>72</v>
      </c>
      <c r="G454" s="30">
        <v>2.7</v>
      </c>
      <c r="H454" s="63"/>
      <c r="N454" s="31"/>
    </row>
    <row r="455" spans="1:74" ht="14.4" x14ac:dyDescent="0.3">
      <c r="A455" s="2" t="s">
        <v>674</v>
      </c>
      <c r="B455" s="3" t="s">
        <v>510</v>
      </c>
      <c r="C455" s="3" t="s">
        <v>675</v>
      </c>
      <c r="D455" s="112" t="s">
        <v>676</v>
      </c>
      <c r="E455" s="109"/>
      <c r="F455" s="3" t="s">
        <v>60</v>
      </c>
      <c r="G455" s="25">
        <v>11.933999999999999</v>
      </c>
      <c r="H455" s="62"/>
      <c r="I455" s="25">
        <f>ROUND(G455*AM455,2)</f>
        <v>0</v>
      </c>
      <c r="J455" s="25">
        <f>ROUND(G455*AN455,2)</f>
        <v>0</v>
      </c>
      <c r="K455" s="25">
        <f>ROUND(G455*H455,2)</f>
        <v>0</v>
      </c>
      <c r="L455" s="25">
        <v>4.0000000000000003E-5</v>
      </c>
      <c r="M455" s="25">
        <f>G455*L455</f>
        <v>4.7736000000000002E-4</v>
      </c>
      <c r="N455" s="26"/>
      <c r="X455" s="25">
        <f>ROUND(IF(AO455="5",BH455,0),2)</f>
        <v>0</v>
      </c>
      <c r="Z455" s="25">
        <f>ROUND(IF(AO455="1",BF455,0),2)</f>
        <v>0</v>
      </c>
      <c r="AA455" s="25">
        <f>ROUND(IF(AO455="1",BG455,0),2)</f>
        <v>0</v>
      </c>
      <c r="AB455" s="25">
        <f>ROUND(IF(AO455="7",BF455,0),2)</f>
        <v>0</v>
      </c>
      <c r="AC455" s="25">
        <f>ROUND(IF(AO455="7",BG455,0),2)</f>
        <v>0</v>
      </c>
      <c r="AD455" s="25">
        <f>ROUND(IF(AO455="2",BF455,0),2)</f>
        <v>0</v>
      </c>
      <c r="AE455" s="25">
        <f>ROUND(IF(AO455="2",BG455,0),2)</f>
        <v>0</v>
      </c>
      <c r="AF455" s="25">
        <f>ROUND(IF(AO455="0",BH455,0),2)</f>
        <v>0</v>
      </c>
      <c r="AG455" s="10" t="s">
        <v>510</v>
      </c>
      <c r="AH455" s="25">
        <f>IF(AL455=0,K455,0)</f>
        <v>0</v>
      </c>
      <c r="AI455" s="25">
        <f>IF(AL455=12,K455,0)</f>
        <v>0</v>
      </c>
      <c r="AJ455" s="25">
        <f>IF(AL455=21,K455,0)</f>
        <v>0</v>
      </c>
      <c r="AL455" s="25">
        <v>21</v>
      </c>
      <c r="AM455" s="25">
        <f>H455*0.334087186</f>
        <v>0</v>
      </c>
      <c r="AN455" s="25">
        <f>H455*(1-0.334087186)</f>
        <v>0</v>
      </c>
      <c r="AO455" s="27" t="s">
        <v>57</v>
      </c>
      <c r="AT455" s="25">
        <f>ROUND(AU455+AV455,2)</f>
        <v>0</v>
      </c>
      <c r="AU455" s="25">
        <f>ROUND(G455*AM455,2)</f>
        <v>0</v>
      </c>
      <c r="AV455" s="25">
        <f>ROUND(G455*AN455,2)</f>
        <v>0</v>
      </c>
      <c r="AW455" s="27" t="s">
        <v>665</v>
      </c>
      <c r="AX455" s="27" t="s">
        <v>666</v>
      </c>
      <c r="AY455" s="10" t="s">
        <v>518</v>
      </c>
      <c r="BA455" s="25">
        <f>AU455+AV455</f>
        <v>0</v>
      </c>
      <c r="BB455" s="25">
        <f>H455/(100-BC455)*100</f>
        <v>0</v>
      </c>
      <c r="BC455" s="25">
        <v>0</v>
      </c>
      <c r="BD455" s="25">
        <f>M455</f>
        <v>4.7736000000000002E-4</v>
      </c>
      <c r="BF455" s="25">
        <f>G455*AM455</f>
        <v>0</v>
      </c>
      <c r="BG455" s="25">
        <f>G455*AN455</f>
        <v>0</v>
      </c>
      <c r="BH455" s="25">
        <f>G455*H455</f>
        <v>0</v>
      </c>
      <c r="BI455" s="27" t="s">
        <v>65</v>
      </c>
      <c r="BJ455" s="25">
        <v>61</v>
      </c>
      <c r="BU455" s="25" t="e">
        <f>#REF!</f>
        <v>#REF!</v>
      </c>
      <c r="BV455" s="4" t="s">
        <v>676</v>
      </c>
    </row>
    <row r="456" spans="1:74" ht="14.4" x14ac:dyDescent="0.3">
      <c r="A456" s="28"/>
      <c r="D456" s="29" t="s">
        <v>677</v>
      </c>
      <c r="E456" s="29" t="s">
        <v>678</v>
      </c>
      <c r="G456" s="30">
        <v>4.9139999999999997</v>
      </c>
      <c r="H456" s="63"/>
      <c r="N456" s="31"/>
    </row>
    <row r="457" spans="1:74" ht="14.4" x14ac:dyDescent="0.3">
      <c r="A457" s="28"/>
      <c r="D457" s="29" t="s">
        <v>679</v>
      </c>
      <c r="E457" s="29" t="s">
        <v>163</v>
      </c>
      <c r="G457" s="30">
        <v>1.175</v>
      </c>
      <c r="H457" s="63"/>
      <c r="N457" s="31"/>
    </row>
    <row r="458" spans="1:74" ht="14.4" x14ac:dyDescent="0.3">
      <c r="A458" s="28"/>
      <c r="D458" s="29" t="s">
        <v>680</v>
      </c>
      <c r="E458" s="29" t="s">
        <v>70</v>
      </c>
      <c r="G458" s="30">
        <v>4.7839999999999998</v>
      </c>
      <c r="H458" s="63"/>
      <c r="N458" s="31"/>
    </row>
    <row r="459" spans="1:74" ht="14.4" x14ac:dyDescent="0.3">
      <c r="A459" s="28"/>
      <c r="D459" s="29" t="s">
        <v>681</v>
      </c>
      <c r="E459" s="29" t="s">
        <v>74</v>
      </c>
      <c r="G459" s="30">
        <v>1.0609999999999999</v>
      </c>
      <c r="H459" s="63"/>
      <c r="N459" s="31"/>
    </row>
    <row r="460" spans="1:74" ht="14.4" x14ac:dyDescent="0.3">
      <c r="A460" s="2" t="s">
        <v>682</v>
      </c>
      <c r="B460" s="3" t="s">
        <v>510</v>
      </c>
      <c r="C460" s="3" t="s">
        <v>683</v>
      </c>
      <c r="D460" s="112" t="s">
        <v>684</v>
      </c>
      <c r="E460" s="109"/>
      <c r="F460" s="3" t="s">
        <v>60</v>
      </c>
      <c r="G460" s="25">
        <v>246.06899999999999</v>
      </c>
      <c r="H460" s="62"/>
      <c r="I460" s="25">
        <f>ROUND(G460*AM460,2)</f>
        <v>0</v>
      </c>
      <c r="J460" s="25">
        <f>ROUND(G460*AN460,2)</f>
        <v>0</v>
      </c>
      <c r="K460" s="25">
        <f>ROUND(G460*H460,2)</f>
        <v>0</v>
      </c>
      <c r="L460" s="25">
        <v>4.7660000000000001E-2</v>
      </c>
      <c r="M460" s="25">
        <f>G460*L460</f>
        <v>11.727648540000001</v>
      </c>
      <c r="N460" s="26"/>
      <c r="X460" s="25">
        <f>ROUND(IF(AO460="5",BH460,0),2)</f>
        <v>0</v>
      </c>
      <c r="Z460" s="25">
        <f>ROUND(IF(AO460="1",BF460,0),2)</f>
        <v>0</v>
      </c>
      <c r="AA460" s="25">
        <f>ROUND(IF(AO460="1",BG460,0),2)</f>
        <v>0</v>
      </c>
      <c r="AB460" s="25">
        <f>ROUND(IF(AO460="7",BF460,0),2)</f>
        <v>0</v>
      </c>
      <c r="AC460" s="25">
        <f>ROUND(IF(AO460="7",BG460,0),2)</f>
        <v>0</v>
      </c>
      <c r="AD460" s="25">
        <f>ROUND(IF(AO460="2",BF460,0),2)</f>
        <v>0</v>
      </c>
      <c r="AE460" s="25">
        <f>ROUND(IF(AO460="2",BG460,0),2)</f>
        <v>0</v>
      </c>
      <c r="AF460" s="25">
        <f>ROUND(IF(AO460="0",BH460,0),2)</f>
        <v>0</v>
      </c>
      <c r="AG460" s="10" t="s">
        <v>510</v>
      </c>
      <c r="AH460" s="25">
        <f>IF(AL460=0,K460,0)</f>
        <v>0</v>
      </c>
      <c r="AI460" s="25">
        <f>IF(AL460=12,K460,0)</f>
        <v>0</v>
      </c>
      <c r="AJ460" s="25">
        <f>IF(AL460=21,K460,0)</f>
        <v>0</v>
      </c>
      <c r="AL460" s="25">
        <v>21</v>
      </c>
      <c r="AM460" s="25">
        <f>H460*0.131226079</f>
        <v>0</v>
      </c>
      <c r="AN460" s="25">
        <f>H460*(1-0.131226079)</f>
        <v>0</v>
      </c>
      <c r="AO460" s="27" t="s">
        <v>57</v>
      </c>
      <c r="AT460" s="25">
        <f>ROUND(AU460+AV460,2)</f>
        <v>0</v>
      </c>
      <c r="AU460" s="25">
        <f>ROUND(G460*AM460,2)</f>
        <v>0</v>
      </c>
      <c r="AV460" s="25">
        <f>ROUND(G460*AN460,2)</f>
        <v>0</v>
      </c>
      <c r="AW460" s="27" t="s">
        <v>665</v>
      </c>
      <c r="AX460" s="27" t="s">
        <v>666</v>
      </c>
      <c r="AY460" s="10" t="s">
        <v>518</v>
      </c>
      <c r="BA460" s="25">
        <f>AU460+AV460</f>
        <v>0</v>
      </c>
      <c r="BB460" s="25">
        <f>H460/(100-BC460)*100</f>
        <v>0</v>
      </c>
      <c r="BC460" s="25">
        <v>0</v>
      </c>
      <c r="BD460" s="25">
        <f>M460</f>
        <v>11.727648540000001</v>
      </c>
      <c r="BF460" s="25">
        <f>G460*AM460</f>
        <v>0</v>
      </c>
      <c r="BG460" s="25">
        <f>G460*AN460</f>
        <v>0</v>
      </c>
      <c r="BH460" s="25">
        <f>G460*H460</f>
        <v>0</v>
      </c>
      <c r="BI460" s="27" t="s">
        <v>65</v>
      </c>
      <c r="BJ460" s="25">
        <v>61</v>
      </c>
      <c r="BU460" s="25" t="e">
        <f>#REF!</f>
        <v>#REF!</v>
      </c>
      <c r="BV460" s="4" t="s">
        <v>684</v>
      </c>
    </row>
    <row r="461" spans="1:74" ht="14.4" x14ac:dyDescent="0.3">
      <c r="A461" s="28"/>
      <c r="D461" s="29" t="s">
        <v>685</v>
      </c>
      <c r="E461" s="29" t="s">
        <v>170</v>
      </c>
      <c r="G461" s="30">
        <v>48.140999999999998</v>
      </c>
      <c r="H461" s="63"/>
      <c r="N461" s="31"/>
    </row>
    <row r="462" spans="1:74" ht="14.4" x14ac:dyDescent="0.3">
      <c r="A462" s="28"/>
      <c r="D462" s="29" t="s">
        <v>686</v>
      </c>
      <c r="E462" s="29" t="s">
        <v>163</v>
      </c>
      <c r="G462" s="30">
        <v>53.42</v>
      </c>
      <c r="H462" s="63"/>
      <c r="N462" s="31"/>
    </row>
    <row r="463" spans="1:74" ht="14.4" x14ac:dyDescent="0.3">
      <c r="A463" s="28"/>
      <c r="D463" s="29" t="s">
        <v>687</v>
      </c>
      <c r="E463" s="29" t="s">
        <v>69</v>
      </c>
      <c r="G463" s="30">
        <v>14.662000000000001</v>
      </c>
      <c r="H463" s="63"/>
      <c r="N463" s="31"/>
    </row>
    <row r="464" spans="1:74" ht="14.4" x14ac:dyDescent="0.3">
      <c r="A464" s="28"/>
      <c r="D464" s="29" t="s">
        <v>688</v>
      </c>
      <c r="E464" s="29" t="s">
        <v>70</v>
      </c>
      <c r="G464" s="30">
        <v>33.651000000000003</v>
      </c>
      <c r="H464" s="63"/>
      <c r="N464" s="31"/>
    </row>
    <row r="465" spans="1:74" ht="14.4" x14ac:dyDescent="0.3">
      <c r="A465" s="28"/>
      <c r="D465" s="29" t="s">
        <v>689</v>
      </c>
      <c r="E465" s="29" t="s">
        <v>174</v>
      </c>
      <c r="G465" s="30">
        <v>31.827999999999999</v>
      </c>
      <c r="H465" s="63"/>
      <c r="N465" s="31"/>
    </row>
    <row r="466" spans="1:74" ht="14.4" x14ac:dyDescent="0.3">
      <c r="A466" s="28"/>
      <c r="D466" s="29" t="s">
        <v>690</v>
      </c>
      <c r="E466" s="29" t="s">
        <v>180</v>
      </c>
      <c r="G466" s="30">
        <v>7.8879999999999999</v>
      </c>
      <c r="H466" s="63"/>
      <c r="N466" s="31"/>
    </row>
    <row r="467" spans="1:74" ht="14.4" x14ac:dyDescent="0.3">
      <c r="A467" s="28"/>
      <c r="D467" s="29" t="s">
        <v>691</v>
      </c>
      <c r="E467" s="29" t="s">
        <v>182</v>
      </c>
      <c r="G467" s="30">
        <v>8.0660000000000007</v>
      </c>
      <c r="H467" s="63"/>
      <c r="N467" s="31"/>
    </row>
    <row r="468" spans="1:74" ht="14.4" x14ac:dyDescent="0.3">
      <c r="A468" s="28"/>
      <c r="D468" s="29" t="s">
        <v>692</v>
      </c>
      <c r="E468" s="29" t="s">
        <v>72</v>
      </c>
      <c r="G468" s="30">
        <v>11.361000000000001</v>
      </c>
      <c r="H468" s="63"/>
      <c r="N468" s="31"/>
    </row>
    <row r="469" spans="1:74" ht="14.4" x14ac:dyDescent="0.3">
      <c r="A469" s="28"/>
      <c r="D469" s="29" t="s">
        <v>693</v>
      </c>
      <c r="E469" s="29" t="s">
        <v>112</v>
      </c>
      <c r="G469" s="30">
        <v>37.052</v>
      </c>
      <c r="H469" s="63"/>
      <c r="N469" s="31"/>
    </row>
    <row r="470" spans="1:74" ht="14.4" x14ac:dyDescent="0.3">
      <c r="A470" s="2" t="s">
        <v>694</v>
      </c>
      <c r="B470" s="3" t="s">
        <v>510</v>
      </c>
      <c r="C470" s="3" t="s">
        <v>695</v>
      </c>
      <c r="D470" s="112" t="s">
        <v>696</v>
      </c>
      <c r="E470" s="109"/>
      <c r="F470" s="3" t="s">
        <v>60</v>
      </c>
      <c r="G470" s="25">
        <v>246.06899999999999</v>
      </c>
      <c r="H470" s="62"/>
      <c r="I470" s="25">
        <f>ROUND(G470*AM470,2)</f>
        <v>0</v>
      </c>
      <c r="J470" s="25">
        <f>ROUND(G470*AN470,2)</f>
        <v>0</v>
      </c>
      <c r="K470" s="25">
        <f>ROUND(G470*H470,2)</f>
        <v>0</v>
      </c>
      <c r="L470" s="25">
        <v>3.6700000000000001E-3</v>
      </c>
      <c r="M470" s="25">
        <f>G470*L470</f>
        <v>0.90307322999999995</v>
      </c>
      <c r="N470" s="26"/>
      <c r="X470" s="25">
        <f>ROUND(IF(AO470="5",BH470,0),2)</f>
        <v>0</v>
      </c>
      <c r="Z470" s="25">
        <f>ROUND(IF(AO470="1",BF470,0),2)</f>
        <v>0</v>
      </c>
      <c r="AA470" s="25">
        <f>ROUND(IF(AO470="1",BG470,0),2)</f>
        <v>0</v>
      </c>
      <c r="AB470" s="25">
        <f>ROUND(IF(AO470="7",BF470,0),2)</f>
        <v>0</v>
      </c>
      <c r="AC470" s="25">
        <f>ROUND(IF(AO470="7",BG470,0),2)</f>
        <v>0</v>
      </c>
      <c r="AD470" s="25">
        <f>ROUND(IF(AO470="2",BF470,0),2)</f>
        <v>0</v>
      </c>
      <c r="AE470" s="25">
        <f>ROUND(IF(AO470="2",BG470,0),2)</f>
        <v>0</v>
      </c>
      <c r="AF470" s="25">
        <f>ROUND(IF(AO470="0",BH470,0),2)</f>
        <v>0</v>
      </c>
      <c r="AG470" s="10" t="s">
        <v>510</v>
      </c>
      <c r="AH470" s="25">
        <f>IF(AL470=0,K470,0)</f>
        <v>0</v>
      </c>
      <c r="AI470" s="25">
        <f>IF(AL470=12,K470,0)</f>
        <v>0</v>
      </c>
      <c r="AJ470" s="25">
        <f>IF(AL470=21,K470,0)</f>
        <v>0</v>
      </c>
      <c r="AL470" s="25">
        <v>21</v>
      </c>
      <c r="AM470" s="25">
        <f>H470*0.297330025</f>
        <v>0</v>
      </c>
      <c r="AN470" s="25">
        <f>H470*(1-0.297330025)</f>
        <v>0</v>
      </c>
      <c r="AO470" s="27" t="s">
        <v>57</v>
      </c>
      <c r="AT470" s="25">
        <f>ROUND(AU470+AV470,2)</f>
        <v>0</v>
      </c>
      <c r="AU470" s="25">
        <f>ROUND(G470*AM470,2)</f>
        <v>0</v>
      </c>
      <c r="AV470" s="25">
        <f>ROUND(G470*AN470,2)</f>
        <v>0</v>
      </c>
      <c r="AW470" s="27" t="s">
        <v>665</v>
      </c>
      <c r="AX470" s="27" t="s">
        <v>666</v>
      </c>
      <c r="AY470" s="10" t="s">
        <v>518</v>
      </c>
      <c r="BA470" s="25">
        <f>AU470+AV470</f>
        <v>0</v>
      </c>
      <c r="BB470" s="25">
        <f>H470/(100-BC470)*100</f>
        <v>0</v>
      </c>
      <c r="BC470" s="25">
        <v>0</v>
      </c>
      <c r="BD470" s="25">
        <f>M470</f>
        <v>0.90307322999999995</v>
      </c>
      <c r="BF470" s="25">
        <f>G470*AM470</f>
        <v>0</v>
      </c>
      <c r="BG470" s="25">
        <f>G470*AN470</f>
        <v>0</v>
      </c>
      <c r="BH470" s="25">
        <f>G470*H470</f>
        <v>0</v>
      </c>
      <c r="BI470" s="27" t="s">
        <v>65</v>
      </c>
      <c r="BJ470" s="25">
        <v>61</v>
      </c>
      <c r="BU470" s="25" t="e">
        <f>#REF!</f>
        <v>#REF!</v>
      </c>
      <c r="BV470" s="4" t="s">
        <v>696</v>
      </c>
    </row>
    <row r="471" spans="1:74" ht="14.4" x14ac:dyDescent="0.3">
      <c r="A471" s="28"/>
      <c r="D471" s="29" t="s">
        <v>685</v>
      </c>
      <c r="E471" s="29" t="s">
        <v>170</v>
      </c>
      <c r="G471" s="30">
        <v>48.140999999999998</v>
      </c>
      <c r="H471" s="63"/>
      <c r="N471" s="31"/>
    </row>
    <row r="472" spans="1:74" ht="14.4" x14ac:dyDescent="0.3">
      <c r="A472" s="28"/>
      <c r="D472" s="29" t="s">
        <v>686</v>
      </c>
      <c r="E472" s="29" t="s">
        <v>163</v>
      </c>
      <c r="G472" s="30">
        <v>53.42</v>
      </c>
      <c r="H472" s="63"/>
      <c r="N472" s="31"/>
    </row>
    <row r="473" spans="1:74" ht="14.4" x14ac:dyDescent="0.3">
      <c r="A473" s="28"/>
      <c r="D473" s="29" t="s">
        <v>687</v>
      </c>
      <c r="E473" s="29" t="s">
        <v>69</v>
      </c>
      <c r="G473" s="30">
        <v>14.662000000000001</v>
      </c>
      <c r="H473" s="63"/>
      <c r="N473" s="31"/>
    </row>
    <row r="474" spans="1:74" ht="14.4" x14ac:dyDescent="0.3">
      <c r="A474" s="28"/>
      <c r="D474" s="29" t="s">
        <v>688</v>
      </c>
      <c r="E474" s="29" t="s">
        <v>70</v>
      </c>
      <c r="G474" s="30">
        <v>33.651000000000003</v>
      </c>
      <c r="H474" s="63"/>
      <c r="N474" s="31"/>
    </row>
    <row r="475" spans="1:74" ht="14.4" x14ac:dyDescent="0.3">
      <c r="A475" s="28"/>
      <c r="D475" s="29" t="s">
        <v>689</v>
      </c>
      <c r="E475" s="29" t="s">
        <v>174</v>
      </c>
      <c r="G475" s="30">
        <v>31.827999999999999</v>
      </c>
      <c r="H475" s="63"/>
      <c r="N475" s="31"/>
    </row>
    <row r="476" spans="1:74" ht="14.4" x14ac:dyDescent="0.3">
      <c r="A476" s="28"/>
      <c r="D476" s="29" t="s">
        <v>690</v>
      </c>
      <c r="E476" s="29" t="s">
        <v>180</v>
      </c>
      <c r="G476" s="30">
        <v>7.8879999999999999</v>
      </c>
      <c r="H476" s="63"/>
      <c r="N476" s="31"/>
    </row>
    <row r="477" spans="1:74" ht="14.4" x14ac:dyDescent="0.3">
      <c r="A477" s="28"/>
      <c r="D477" s="29" t="s">
        <v>691</v>
      </c>
      <c r="E477" s="29" t="s">
        <v>182</v>
      </c>
      <c r="G477" s="30">
        <v>8.0660000000000007</v>
      </c>
      <c r="H477" s="63"/>
      <c r="N477" s="31"/>
    </row>
    <row r="478" spans="1:74" ht="14.4" x14ac:dyDescent="0.3">
      <c r="A478" s="28"/>
      <c r="D478" s="29" t="s">
        <v>692</v>
      </c>
      <c r="E478" s="29" t="s">
        <v>72</v>
      </c>
      <c r="G478" s="30">
        <v>11.361000000000001</v>
      </c>
      <c r="H478" s="63"/>
      <c r="N478" s="31"/>
    </row>
    <row r="479" spans="1:74" ht="14.4" x14ac:dyDescent="0.3">
      <c r="A479" s="28"/>
      <c r="D479" s="29" t="s">
        <v>693</v>
      </c>
      <c r="E479" s="29" t="s">
        <v>112</v>
      </c>
      <c r="G479" s="30">
        <v>37.052</v>
      </c>
      <c r="H479" s="63"/>
      <c r="N479" s="31"/>
    </row>
    <row r="480" spans="1:74" ht="14.4" x14ac:dyDescent="0.3">
      <c r="A480" s="2" t="s">
        <v>697</v>
      </c>
      <c r="B480" s="3" t="s">
        <v>510</v>
      </c>
      <c r="C480" s="3" t="s">
        <v>698</v>
      </c>
      <c r="D480" s="112" t="s">
        <v>699</v>
      </c>
      <c r="E480" s="109"/>
      <c r="F480" s="3" t="s">
        <v>115</v>
      </c>
      <c r="G480" s="25">
        <v>108.045</v>
      </c>
      <c r="H480" s="62"/>
      <c r="I480" s="25">
        <f>ROUND(G480*AM480,2)</f>
        <v>0</v>
      </c>
      <c r="J480" s="25">
        <f>ROUND(G480*AN480,2)</f>
        <v>0</v>
      </c>
      <c r="K480" s="25">
        <f>ROUND(G480*H480,2)</f>
        <v>0</v>
      </c>
      <c r="L480" s="25">
        <v>4.3099999999999996E-3</v>
      </c>
      <c r="M480" s="25">
        <f>G480*L480</f>
        <v>0.46567394999999995</v>
      </c>
      <c r="N480" s="26"/>
      <c r="X480" s="25">
        <f>ROUND(IF(AO480="5",BH480,0),2)</f>
        <v>0</v>
      </c>
      <c r="Z480" s="25">
        <f>ROUND(IF(AO480="1",BF480,0),2)</f>
        <v>0</v>
      </c>
      <c r="AA480" s="25">
        <f>ROUND(IF(AO480="1",BG480,0),2)</f>
        <v>0</v>
      </c>
      <c r="AB480" s="25">
        <f>ROUND(IF(AO480="7",BF480,0),2)</f>
        <v>0</v>
      </c>
      <c r="AC480" s="25">
        <f>ROUND(IF(AO480="7",BG480,0),2)</f>
        <v>0</v>
      </c>
      <c r="AD480" s="25">
        <f>ROUND(IF(AO480="2",BF480,0),2)</f>
        <v>0</v>
      </c>
      <c r="AE480" s="25">
        <f>ROUND(IF(AO480="2",BG480,0),2)</f>
        <v>0</v>
      </c>
      <c r="AF480" s="25">
        <f>ROUND(IF(AO480="0",BH480,0),2)</f>
        <v>0</v>
      </c>
      <c r="AG480" s="10" t="s">
        <v>510</v>
      </c>
      <c r="AH480" s="25">
        <f>IF(AL480=0,K480,0)</f>
        <v>0</v>
      </c>
      <c r="AI480" s="25">
        <f>IF(AL480=12,K480,0)</f>
        <v>0</v>
      </c>
      <c r="AJ480" s="25">
        <f>IF(AL480=21,K480,0)</f>
        <v>0</v>
      </c>
      <c r="AL480" s="25">
        <v>21</v>
      </c>
      <c r="AM480" s="25">
        <f>H480*0.0547729</f>
        <v>0</v>
      </c>
      <c r="AN480" s="25">
        <f>H480*(1-0.0547729)</f>
        <v>0</v>
      </c>
      <c r="AO480" s="27" t="s">
        <v>57</v>
      </c>
      <c r="AT480" s="25">
        <f>ROUND(AU480+AV480,2)</f>
        <v>0</v>
      </c>
      <c r="AU480" s="25">
        <f>ROUND(G480*AM480,2)</f>
        <v>0</v>
      </c>
      <c r="AV480" s="25">
        <f>ROUND(G480*AN480,2)</f>
        <v>0</v>
      </c>
      <c r="AW480" s="27" t="s">
        <v>665</v>
      </c>
      <c r="AX480" s="27" t="s">
        <v>666</v>
      </c>
      <c r="AY480" s="10" t="s">
        <v>518</v>
      </c>
      <c r="BA480" s="25">
        <f>AU480+AV480</f>
        <v>0</v>
      </c>
      <c r="BB480" s="25">
        <f>H480/(100-BC480)*100</f>
        <v>0</v>
      </c>
      <c r="BC480" s="25">
        <v>0</v>
      </c>
      <c r="BD480" s="25">
        <f>M480</f>
        <v>0.46567394999999995</v>
      </c>
      <c r="BF480" s="25">
        <f>G480*AM480</f>
        <v>0</v>
      </c>
      <c r="BG480" s="25">
        <f>G480*AN480</f>
        <v>0</v>
      </c>
      <c r="BH480" s="25">
        <f>G480*H480</f>
        <v>0</v>
      </c>
      <c r="BI480" s="27" t="s">
        <v>65</v>
      </c>
      <c r="BJ480" s="25">
        <v>61</v>
      </c>
      <c r="BU480" s="25" t="e">
        <f>#REF!</f>
        <v>#REF!</v>
      </c>
      <c r="BV480" s="4" t="s">
        <v>699</v>
      </c>
    </row>
    <row r="481" spans="1:74" ht="14.4" x14ac:dyDescent="0.3">
      <c r="A481" s="28"/>
      <c r="D481" s="29" t="s">
        <v>700</v>
      </c>
      <c r="E481" s="29" t="s">
        <v>170</v>
      </c>
      <c r="G481" s="30">
        <v>11.82</v>
      </c>
      <c r="H481" s="63"/>
      <c r="N481" s="31"/>
    </row>
    <row r="482" spans="1:74" ht="14.4" x14ac:dyDescent="0.3">
      <c r="A482" s="28"/>
      <c r="D482" s="29" t="s">
        <v>701</v>
      </c>
      <c r="E482" s="29" t="s">
        <v>163</v>
      </c>
      <c r="G482" s="30">
        <v>9.3800000000000008</v>
      </c>
      <c r="H482" s="63"/>
      <c r="N482" s="31"/>
    </row>
    <row r="483" spans="1:74" ht="14.4" x14ac:dyDescent="0.3">
      <c r="A483" s="28"/>
      <c r="D483" s="29" t="s">
        <v>702</v>
      </c>
      <c r="E483" s="29" t="s">
        <v>70</v>
      </c>
      <c r="G483" s="30">
        <v>23.155000000000001</v>
      </c>
      <c r="H483" s="63"/>
      <c r="N483" s="31"/>
    </row>
    <row r="484" spans="1:74" ht="14.4" x14ac:dyDescent="0.3">
      <c r="A484" s="28"/>
      <c r="D484" s="29" t="s">
        <v>703</v>
      </c>
      <c r="E484" s="29" t="s">
        <v>69</v>
      </c>
      <c r="G484" s="30">
        <v>11.75</v>
      </c>
      <c r="H484" s="63"/>
      <c r="N484" s="31"/>
    </row>
    <row r="485" spans="1:74" ht="14.4" x14ac:dyDescent="0.3">
      <c r="A485" s="28"/>
      <c r="D485" s="29" t="s">
        <v>704</v>
      </c>
      <c r="E485" s="29" t="s">
        <v>72</v>
      </c>
      <c r="G485" s="30">
        <v>5.93</v>
      </c>
      <c r="H485" s="63"/>
      <c r="N485" s="31"/>
    </row>
    <row r="486" spans="1:74" ht="14.4" x14ac:dyDescent="0.3">
      <c r="A486" s="28"/>
      <c r="D486" s="29" t="s">
        <v>705</v>
      </c>
      <c r="E486" s="29" t="s">
        <v>174</v>
      </c>
      <c r="G486" s="30">
        <v>14.62</v>
      </c>
      <c r="H486" s="63"/>
      <c r="N486" s="31"/>
    </row>
    <row r="487" spans="1:74" ht="14.4" x14ac:dyDescent="0.3">
      <c r="A487" s="28"/>
      <c r="D487" s="29" t="s">
        <v>706</v>
      </c>
      <c r="E487" s="29" t="s">
        <v>180</v>
      </c>
      <c r="G487" s="30">
        <v>10.4</v>
      </c>
      <c r="H487" s="63"/>
      <c r="N487" s="31"/>
    </row>
    <row r="488" spans="1:74" ht="14.4" x14ac:dyDescent="0.3">
      <c r="A488" s="28"/>
      <c r="D488" s="29" t="s">
        <v>707</v>
      </c>
      <c r="E488" s="29" t="s">
        <v>182</v>
      </c>
      <c r="G488" s="30">
        <v>9.27</v>
      </c>
      <c r="H488" s="63"/>
      <c r="N488" s="31"/>
    </row>
    <row r="489" spans="1:74" ht="14.4" x14ac:dyDescent="0.3">
      <c r="A489" s="28"/>
      <c r="D489" s="29" t="s">
        <v>708</v>
      </c>
      <c r="E489" s="29" t="s">
        <v>112</v>
      </c>
      <c r="G489" s="30">
        <v>11.72</v>
      </c>
      <c r="H489" s="63"/>
      <c r="N489" s="31"/>
    </row>
    <row r="490" spans="1:74" ht="14.4" x14ac:dyDescent="0.3">
      <c r="A490" s="2" t="s">
        <v>709</v>
      </c>
      <c r="B490" s="3" t="s">
        <v>510</v>
      </c>
      <c r="C490" s="3" t="s">
        <v>698</v>
      </c>
      <c r="D490" s="112" t="s">
        <v>710</v>
      </c>
      <c r="E490" s="109"/>
      <c r="F490" s="3" t="s">
        <v>115</v>
      </c>
      <c r="G490" s="25">
        <v>11.64</v>
      </c>
      <c r="H490" s="62"/>
      <c r="I490" s="25">
        <f>ROUND(G490*AM490,2)</f>
        <v>0</v>
      </c>
      <c r="J490" s="25">
        <f>ROUND(G490*AN490,2)</f>
        <v>0</v>
      </c>
      <c r="K490" s="25">
        <f>ROUND(G490*H490,2)</f>
        <v>0</v>
      </c>
      <c r="L490" s="25">
        <v>4.3099999999999996E-3</v>
      </c>
      <c r="M490" s="25">
        <f>G490*L490</f>
        <v>5.0168399999999995E-2</v>
      </c>
      <c r="N490" s="26"/>
      <c r="X490" s="25">
        <f>ROUND(IF(AO490="5",BH490,0),2)</f>
        <v>0</v>
      </c>
      <c r="Z490" s="25">
        <f>ROUND(IF(AO490="1",BF490,0),2)</f>
        <v>0</v>
      </c>
      <c r="AA490" s="25">
        <f>ROUND(IF(AO490="1",BG490,0),2)</f>
        <v>0</v>
      </c>
      <c r="AB490" s="25">
        <f>ROUND(IF(AO490="7",BF490,0),2)</f>
        <v>0</v>
      </c>
      <c r="AC490" s="25">
        <f>ROUND(IF(AO490="7",BG490,0),2)</f>
        <v>0</v>
      </c>
      <c r="AD490" s="25">
        <f>ROUND(IF(AO490="2",BF490,0),2)</f>
        <v>0</v>
      </c>
      <c r="AE490" s="25">
        <f>ROUND(IF(AO490="2",BG490,0),2)</f>
        <v>0</v>
      </c>
      <c r="AF490" s="25">
        <f>ROUND(IF(AO490="0",BH490,0),2)</f>
        <v>0</v>
      </c>
      <c r="AG490" s="10" t="s">
        <v>510</v>
      </c>
      <c r="AH490" s="25">
        <f>IF(AL490=0,K490,0)</f>
        <v>0</v>
      </c>
      <c r="AI490" s="25">
        <f>IF(AL490=12,K490,0)</f>
        <v>0</v>
      </c>
      <c r="AJ490" s="25">
        <f>IF(AL490=21,K490,0)</f>
        <v>0</v>
      </c>
      <c r="AL490" s="25">
        <v>21</v>
      </c>
      <c r="AM490" s="25">
        <f>H490*0.054774116</f>
        <v>0</v>
      </c>
      <c r="AN490" s="25">
        <f>H490*(1-0.054774116)</f>
        <v>0</v>
      </c>
      <c r="AO490" s="27" t="s">
        <v>57</v>
      </c>
      <c r="AT490" s="25">
        <f>ROUND(AU490+AV490,2)</f>
        <v>0</v>
      </c>
      <c r="AU490" s="25">
        <f>ROUND(G490*AM490,2)</f>
        <v>0</v>
      </c>
      <c r="AV490" s="25">
        <f>ROUND(G490*AN490,2)</f>
        <v>0</v>
      </c>
      <c r="AW490" s="27" t="s">
        <v>665</v>
      </c>
      <c r="AX490" s="27" t="s">
        <v>666</v>
      </c>
      <c r="AY490" s="10" t="s">
        <v>518</v>
      </c>
      <c r="BA490" s="25">
        <f>AU490+AV490</f>
        <v>0</v>
      </c>
      <c r="BB490" s="25">
        <f>H490/(100-BC490)*100</f>
        <v>0</v>
      </c>
      <c r="BC490" s="25">
        <v>0</v>
      </c>
      <c r="BD490" s="25">
        <f>M490</f>
        <v>5.0168399999999995E-2</v>
      </c>
      <c r="BF490" s="25">
        <f>G490*AM490</f>
        <v>0</v>
      </c>
      <c r="BG490" s="25">
        <f>G490*AN490</f>
        <v>0</v>
      </c>
      <c r="BH490" s="25">
        <f>G490*H490</f>
        <v>0</v>
      </c>
      <c r="BI490" s="27" t="s">
        <v>65</v>
      </c>
      <c r="BJ490" s="25">
        <v>61</v>
      </c>
      <c r="BU490" s="25" t="e">
        <f>#REF!</f>
        <v>#REF!</v>
      </c>
      <c r="BV490" s="4" t="s">
        <v>710</v>
      </c>
    </row>
    <row r="491" spans="1:74" ht="14.4" x14ac:dyDescent="0.3">
      <c r="A491" s="28"/>
      <c r="D491" s="29" t="s">
        <v>711</v>
      </c>
      <c r="E491" s="29" t="s">
        <v>163</v>
      </c>
      <c r="G491" s="30">
        <v>2.38</v>
      </c>
      <c r="H491" s="63"/>
      <c r="N491" s="31"/>
    </row>
    <row r="492" spans="1:74" ht="14.4" x14ac:dyDescent="0.3">
      <c r="A492" s="28"/>
      <c r="D492" s="29" t="s">
        <v>712</v>
      </c>
      <c r="E492" s="29" t="s">
        <v>69</v>
      </c>
      <c r="G492" s="30">
        <v>3.38</v>
      </c>
      <c r="H492" s="63"/>
      <c r="N492" s="31"/>
    </row>
    <row r="493" spans="1:74" ht="14.4" x14ac:dyDescent="0.3">
      <c r="A493" s="28"/>
      <c r="D493" s="29" t="s">
        <v>713</v>
      </c>
      <c r="E493" s="29" t="s">
        <v>70</v>
      </c>
      <c r="G493" s="30">
        <v>3.88</v>
      </c>
      <c r="H493" s="63"/>
      <c r="N493" s="31"/>
    </row>
    <row r="494" spans="1:74" ht="14.4" x14ac:dyDescent="0.3">
      <c r="A494" s="28"/>
      <c r="D494" s="29" t="s">
        <v>714</v>
      </c>
      <c r="E494" s="29" t="s">
        <v>715</v>
      </c>
      <c r="G494" s="30">
        <v>1</v>
      </c>
      <c r="H494" s="63"/>
      <c r="N494" s="31"/>
    </row>
    <row r="495" spans="1:74" ht="14.4" x14ac:dyDescent="0.3">
      <c r="A495" s="28"/>
      <c r="D495" s="29" t="s">
        <v>71</v>
      </c>
      <c r="E495" s="29" t="s">
        <v>72</v>
      </c>
      <c r="G495" s="30">
        <v>0.5</v>
      </c>
      <c r="H495" s="63"/>
      <c r="N495" s="31"/>
    </row>
    <row r="496" spans="1:74" ht="14.4" x14ac:dyDescent="0.3">
      <c r="A496" s="28"/>
      <c r="D496" s="29" t="s">
        <v>71</v>
      </c>
      <c r="E496" s="29" t="s">
        <v>182</v>
      </c>
      <c r="G496" s="30">
        <v>0.5</v>
      </c>
      <c r="H496" s="63"/>
      <c r="N496" s="31"/>
    </row>
    <row r="497" spans="1:74" ht="14.4" x14ac:dyDescent="0.3">
      <c r="A497" s="2" t="s">
        <v>716</v>
      </c>
      <c r="B497" s="3" t="s">
        <v>510</v>
      </c>
      <c r="C497" s="3" t="s">
        <v>717</v>
      </c>
      <c r="D497" s="112" t="s">
        <v>718</v>
      </c>
      <c r="E497" s="109"/>
      <c r="F497" s="3" t="s">
        <v>60</v>
      </c>
      <c r="G497" s="25">
        <v>246.06899999999999</v>
      </c>
      <c r="H497" s="62"/>
      <c r="I497" s="25">
        <f>ROUND(G497*AM497,2)</f>
        <v>0</v>
      </c>
      <c r="J497" s="25">
        <f>ROUND(G497*AN497,2)</f>
        <v>0</v>
      </c>
      <c r="K497" s="25">
        <f>ROUND(G497*H497,2)</f>
        <v>0</v>
      </c>
      <c r="L497" s="25">
        <v>5.2999999999999998E-4</v>
      </c>
      <c r="M497" s="25">
        <f>G497*L497</f>
        <v>0.13041656999999998</v>
      </c>
      <c r="N497" s="26"/>
      <c r="X497" s="25">
        <f>ROUND(IF(AO497="5",BH497,0),2)</f>
        <v>0</v>
      </c>
      <c r="Z497" s="25">
        <f>ROUND(IF(AO497="1",BF497,0),2)</f>
        <v>0</v>
      </c>
      <c r="AA497" s="25">
        <f>ROUND(IF(AO497="1",BG497,0),2)</f>
        <v>0</v>
      </c>
      <c r="AB497" s="25">
        <f>ROUND(IF(AO497="7",BF497,0),2)</f>
        <v>0</v>
      </c>
      <c r="AC497" s="25">
        <f>ROUND(IF(AO497="7",BG497,0),2)</f>
        <v>0</v>
      </c>
      <c r="AD497" s="25">
        <f>ROUND(IF(AO497="2",BF497,0),2)</f>
        <v>0</v>
      </c>
      <c r="AE497" s="25">
        <f>ROUND(IF(AO497="2",BG497,0),2)</f>
        <v>0</v>
      </c>
      <c r="AF497" s="25">
        <f>ROUND(IF(AO497="0",BH497,0),2)</f>
        <v>0</v>
      </c>
      <c r="AG497" s="10" t="s">
        <v>510</v>
      </c>
      <c r="AH497" s="25">
        <f>IF(AL497=0,K497,0)</f>
        <v>0</v>
      </c>
      <c r="AI497" s="25">
        <f>IF(AL497=12,K497,0)</f>
        <v>0</v>
      </c>
      <c r="AJ497" s="25">
        <f>IF(AL497=21,K497,0)</f>
        <v>0</v>
      </c>
      <c r="AL497" s="25">
        <v>21</v>
      </c>
      <c r="AM497" s="25">
        <f>H497*0.610808012</f>
        <v>0</v>
      </c>
      <c r="AN497" s="25">
        <f>H497*(1-0.610808012)</f>
        <v>0</v>
      </c>
      <c r="AO497" s="27" t="s">
        <v>57</v>
      </c>
      <c r="AT497" s="25">
        <f>ROUND(AU497+AV497,2)</f>
        <v>0</v>
      </c>
      <c r="AU497" s="25">
        <f>ROUND(G497*AM497,2)</f>
        <v>0</v>
      </c>
      <c r="AV497" s="25">
        <f>ROUND(G497*AN497,2)</f>
        <v>0</v>
      </c>
      <c r="AW497" s="27" t="s">
        <v>665</v>
      </c>
      <c r="AX497" s="27" t="s">
        <v>666</v>
      </c>
      <c r="AY497" s="10" t="s">
        <v>518</v>
      </c>
      <c r="BA497" s="25">
        <f>AU497+AV497</f>
        <v>0</v>
      </c>
      <c r="BB497" s="25">
        <f>H497/(100-BC497)*100</f>
        <v>0</v>
      </c>
      <c r="BC497" s="25">
        <v>0</v>
      </c>
      <c r="BD497" s="25">
        <f>M497</f>
        <v>0.13041656999999998</v>
      </c>
      <c r="BF497" s="25">
        <f>G497*AM497</f>
        <v>0</v>
      </c>
      <c r="BG497" s="25">
        <f>G497*AN497</f>
        <v>0</v>
      </c>
      <c r="BH497" s="25">
        <f>G497*H497</f>
        <v>0</v>
      </c>
      <c r="BI497" s="27" t="s">
        <v>65</v>
      </c>
      <c r="BJ497" s="25">
        <v>61</v>
      </c>
      <c r="BU497" s="25" t="e">
        <f>#REF!</f>
        <v>#REF!</v>
      </c>
      <c r="BV497" s="4" t="s">
        <v>718</v>
      </c>
    </row>
    <row r="498" spans="1:74" ht="14.4" x14ac:dyDescent="0.3">
      <c r="A498" s="28"/>
      <c r="D498" s="29" t="s">
        <v>685</v>
      </c>
      <c r="E498" s="29" t="s">
        <v>170</v>
      </c>
      <c r="G498" s="30">
        <v>48.140999999999998</v>
      </c>
      <c r="H498" s="63"/>
      <c r="N498" s="31"/>
    </row>
    <row r="499" spans="1:74" ht="14.4" x14ac:dyDescent="0.3">
      <c r="A499" s="28"/>
      <c r="D499" s="29" t="s">
        <v>686</v>
      </c>
      <c r="E499" s="29" t="s">
        <v>163</v>
      </c>
      <c r="G499" s="30">
        <v>53.42</v>
      </c>
      <c r="H499" s="63"/>
      <c r="N499" s="31"/>
    </row>
    <row r="500" spans="1:74" ht="14.4" x14ac:dyDescent="0.3">
      <c r="A500" s="28"/>
      <c r="D500" s="29" t="s">
        <v>687</v>
      </c>
      <c r="E500" s="29" t="s">
        <v>69</v>
      </c>
      <c r="G500" s="30">
        <v>14.662000000000001</v>
      </c>
      <c r="H500" s="63"/>
      <c r="N500" s="31"/>
    </row>
    <row r="501" spans="1:74" ht="14.4" x14ac:dyDescent="0.3">
      <c r="A501" s="28"/>
      <c r="D501" s="29" t="s">
        <v>688</v>
      </c>
      <c r="E501" s="29" t="s">
        <v>70</v>
      </c>
      <c r="G501" s="30">
        <v>33.651000000000003</v>
      </c>
      <c r="H501" s="63"/>
      <c r="N501" s="31"/>
    </row>
    <row r="502" spans="1:74" ht="14.4" x14ac:dyDescent="0.3">
      <c r="A502" s="28"/>
      <c r="D502" s="29" t="s">
        <v>689</v>
      </c>
      <c r="E502" s="29" t="s">
        <v>174</v>
      </c>
      <c r="G502" s="30">
        <v>31.827999999999999</v>
      </c>
      <c r="H502" s="63"/>
      <c r="N502" s="31"/>
    </row>
    <row r="503" spans="1:74" ht="14.4" x14ac:dyDescent="0.3">
      <c r="A503" s="28"/>
      <c r="D503" s="29" t="s">
        <v>690</v>
      </c>
      <c r="E503" s="29" t="s">
        <v>180</v>
      </c>
      <c r="G503" s="30">
        <v>7.8879999999999999</v>
      </c>
      <c r="H503" s="63"/>
      <c r="N503" s="31"/>
    </row>
    <row r="504" spans="1:74" ht="14.4" x14ac:dyDescent="0.3">
      <c r="A504" s="28"/>
      <c r="D504" s="29" t="s">
        <v>691</v>
      </c>
      <c r="E504" s="29" t="s">
        <v>182</v>
      </c>
      <c r="G504" s="30">
        <v>8.0660000000000007</v>
      </c>
      <c r="H504" s="63"/>
      <c r="N504" s="31"/>
    </row>
    <row r="505" spans="1:74" ht="14.4" x14ac:dyDescent="0.3">
      <c r="A505" s="28"/>
      <c r="D505" s="29" t="s">
        <v>692</v>
      </c>
      <c r="E505" s="29" t="s">
        <v>72</v>
      </c>
      <c r="G505" s="30">
        <v>11.361000000000001</v>
      </c>
      <c r="H505" s="63"/>
      <c r="N505" s="31"/>
    </row>
    <row r="506" spans="1:74" ht="14.4" x14ac:dyDescent="0.3">
      <c r="A506" s="28"/>
      <c r="D506" s="29" t="s">
        <v>693</v>
      </c>
      <c r="E506" s="29" t="s">
        <v>112</v>
      </c>
      <c r="G506" s="30">
        <v>37.052</v>
      </c>
      <c r="H506" s="63"/>
      <c r="N506" s="31"/>
    </row>
    <row r="507" spans="1:74" ht="14.4" x14ac:dyDescent="0.3">
      <c r="A507" s="2" t="s">
        <v>719</v>
      </c>
      <c r="B507" s="3" t="s">
        <v>510</v>
      </c>
      <c r="C507" s="3" t="s">
        <v>720</v>
      </c>
      <c r="D507" s="112" t="s">
        <v>721</v>
      </c>
      <c r="E507" s="109"/>
      <c r="F507" s="3" t="s">
        <v>60</v>
      </c>
      <c r="G507" s="25">
        <v>111.748</v>
      </c>
      <c r="H507" s="62"/>
      <c r="I507" s="25">
        <f>ROUND(G507*AM507,2)</f>
        <v>0</v>
      </c>
      <c r="J507" s="25">
        <f>ROUND(G507*AN507,2)</f>
        <v>0</v>
      </c>
      <c r="K507" s="25">
        <f>ROUND(G507*H507,2)</f>
        <v>0</v>
      </c>
      <c r="L507" s="25">
        <v>4.4139999999999999E-2</v>
      </c>
      <c r="M507" s="25">
        <f>G507*L507</f>
        <v>4.93255672</v>
      </c>
      <c r="N507" s="26"/>
      <c r="X507" s="25">
        <f>ROUND(IF(AO507="5",BH507,0),2)</f>
        <v>0</v>
      </c>
      <c r="Z507" s="25">
        <f>ROUND(IF(AO507="1",BF507,0),2)</f>
        <v>0</v>
      </c>
      <c r="AA507" s="25">
        <f>ROUND(IF(AO507="1",BG507,0),2)</f>
        <v>0</v>
      </c>
      <c r="AB507" s="25">
        <f>ROUND(IF(AO507="7",BF507,0),2)</f>
        <v>0</v>
      </c>
      <c r="AC507" s="25">
        <f>ROUND(IF(AO507="7",BG507,0),2)</f>
        <v>0</v>
      </c>
      <c r="AD507" s="25">
        <f>ROUND(IF(AO507="2",BF507,0),2)</f>
        <v>0</v>
      </c>
      <c r="AE507" s="25">
        <f>ROUND(IF(AO507="2",BG507,0),2)</f>
        <v>0</v>
      </c>
      <c r="AF507" s="25">
        <f>ROUND(IF(AO507="0",BH507,0),2)</f>
        <v>0</v>
      </c>
      <c r="AG507" s="10" t="s">
        <v>510</v>
      </c>
      <c r="AH507" s="25">
        <f>IF(AL507=0,K507,0)</f>
        <v>0</v>
      </c>
      <c r="AI507" s="25">
        <f>IF(AL507=12,K507,0)</f>
        <v>0</v>
      </c>
      <c r="AJ507" s="25">
        <f>IF(AL507=21,K507,0)</f>
        <v>0</v>
      </c>
      <c r="AL507" s="25">
        <v>21</v>
      </c>
      <c r="AM507" s="25">
        <f>H507*0.118851618</f>
        <v>0</v>
      </c>
      <c r="AN507" s="25">
        <f>H507*(1-0.118851618)</f>
        <v>0</v>
      </c>
      <c r="AO507" s="27" t="s">
        <v>57</v>
      </c>
      <c r="AT507" s="25">
        <f>ROUND(AU507+AV507,2)</f>
        <v>0</v>
      </c>
      <c r="AU507" s="25">
        <f>ROUND(G507*AM507,2)</f>
        <v>0</v>
      </c>
      <c r="AV507" s="25">
        <f>ROUND(G507*AN507,2)</f>
        <v>0</v>
      </c>
      <c r="AW507" s="27" t="s">
        <v>665</v>
      </c>
      <c r="AX507" s="27" t="s">
        <v>666</v>
      </c>
      <c r="AY507" s="10" t="s">
        <v>518</v>
      </c>
      <c r="BA507" s="25">
        <f>AU507+AV507</f>
        <v>0</v>
      </c>
      <c r="BB507" s="25">
        <f>H507/(100-BC507)*100</f>
        <v>0</v>
      </c>
      <c r="BC507" s="25">
        <v>0</v>
      </c>
      <c r="BD507" s="25">
        <f>M507</f>
        <v>4.93255672</v>
      </c>
      <c r="BF507" s="25">
        <f>G507*AM507</f>
        <v>0</v>
      </c>
      <c r="BG507" s="25">
        <f>G507*AN507</f>
        <v>0</v>
      </c>
      <c r="BH507" s="25">
        <f>G507*H507</f>
        <v>0</v>
      </c>
      <c r="BI507" s="27" t="s">
        <v>65</v>
      </c>
      <c r="BJ507" s="25">
        <v>61</v>
      </c>
      <c r="BU507" s="25" t="e">
        <f>#REF!</f>
        <v>#REF!</v>
      </c>
      <c r="BV507" s="4" t="s">
        <v>721</v>
      </c>
    </row>
    <row r="508" spans="1:74" ht="14.4" x14ac:dyDescent="0.3">
      <c r="A508" s="28"/>
      <c r="D508" s="29" t="s">
        <v>722</v>
      </c>
      <c r="E508" s="29" t="s">
        <v>69</v>
      </c>
      <c r="G508" s="30">
        <v>24.754999999999999</v>
      </c>
      <c r="H508" s="63"/>
      <c r="N508" s="31"/>
    </row>
    <row r="509" spans="1:74" ht="14.4" x14ac:dyDescent="0.3">
      <c r="A509" s="28"/>
      <c r="D509" s="29" t="s">
        <v>723</v>
      </c>
      <c r="E509" s="29" t="s">
        <v>70</v>
      </c>
      <c r="G509" s="30">
        <v>13.951000000000001</v>
      </c>
      <c r="H509" s="63"/>
      <c r="N509" s="31"/>
    </row>
    <row r="510" spans="1:74" ht="14.4" x14ac:dyDescent="0.3">
      <c r="A510" s="28"/>
      <c r="D510" s="29" t="s">
        <v>724</v>
      </c>
      <c r="E510" s="29" t="s">
        <v>180</v>
      </c>
      <c r="G510" s="30">
        <v>13.756</v>
      </c>
      <c r="H510" s="63"/>
      <c r="N510" s="31"/>
    </row>
    <row r="511" spans="1:74" ht="14.4" x14ac:dyDescent="0.3">
      <c r="A511" s="28"/>
      <c r="D511" s="29" t="s">
        <v>725</v>
      </c>
      <c r="E511" s="29" t="s">
        <v>182</v>
      </c>
      <c r="G511" s="30">
        <v>9.1989999999999998</v>
      </c>
      <c r="H511" s="63"/>
      <c r="N511" s="31"/>
    </row>
    <row r="512" spans="1:74" ht="14.4" x14ac:dyDescent="0.3">
      <c r="A512" s="28"/>
      <c r="D512" s="29" t="s">
        <v>726</v>
      </c>
      <c r="E512" s="29" t="s">
        <v>72</v>
      </c>
      <c r="G512" s="30">
        <v>12.516999999999999</v>
      </c>
      <c r="H512" s="63"/>
      <c r="N512" s="31"/>
    </row>
    <row r="513" spans="1:74" ht="14.4" x14ac:dyDescent="0.3">
      <c r="A513" s="28"/>
      <c r="D513" s="29" t="s">
        <v>727</v>
      </c>
      <c r="E513" s="29" t="s">
        <v>728</v>
      </c>
      <c r="G513" s="30">
        <v>18.785</v>
      </c>
      <c r="H513" s="63"/>
      <c r="N513" s="31"/>
    </row>
    <row r="514" spans="1:74" ht="14.4" x14ac:dyDescent="0.3">
      <c r="A514" s="28"/>
      <c r="D514" s="29" t="s">
        <v>727</v>
      </c>
      <c r="E514" s="29" t="s">
        <v>729</v>
      </c>
      <c r="G514" s="30">
        <v>18.785</v>
      </c>
      <c r="H514" s="63"/>
      <c r="N514" s="31"/>
    </row>
    <row r="515" spans="1:74" ht="14.4" x14ac:dyDescent="0.3">
      <c r="A515" s="2" t="s">
        <v>730</v>
      </c>
      <c r="B515" s="3" t="s">
        <v>510</v>
      </c>
      <c r="C515" s="3" t="s">
        <v>731</v>
      </c>
      <c r="D515" s="112" t="s">
        <v>732</v>
      </c>
      <c r="E515" s="109"/>
      <c r="F515" s="3" t="s">
        <v>60</v>
      </c>
      <c r="G515" s="25">
        <v>251.97399999999999</v>
      </c>
      <c r="H515" s="62"/>
      <c r="I515" s="25">
        <f>ROUND(G515*AM515,2)</f>
        <v>0</v>
      </c>
      <c r="J515" s="25">
        <f>ROUND(G515*AN515,2)</f>
        <v>0</v>
      </c>
      <c r="K515" s="25">
        <f>ROUND(G515*H515,2)</f>
        <v>0</v>
      </c>
      <c r="L515" s="25">
        <v>1.5810000000000001E-2</v>
      </c>
      <c r="M515" s="25">
        <f>G515*L515</f>
        <v>3.9837089400000001</v>
      </c>
      <c r="N515" s="26"/>
      <c r="X515" s="25">
        <f>ROUND(IF(AO515="5",BH515,0),2)</f>
        <v>0</v>
      </c>
      <c r="Z515" s="25">
        <f>ROUND(IF(AO515="1",BF515,0),2)</f>
        <v>0</v>
      </c>
      <c r="AA515" s="25">
        <f>ROUND(IF(AO515="1",BG515,0),2)</f>
        <v>0</v>
      </c>
      <c r="AB515" s="25">
        <f>ROUND(IF(AO515="7",BF515,0),2)</f>
        <v>0</v>
      </c>
      <c r="AC515" s="25">
        <f>ROUND(IF(AO515="7",BG515,0),2)</f>
        <v>0</v>
      </c>
      <c r="AD515" s="25">
        <f>ROUND(IF(AO515="2",BF515,0),2)</f>
        <v>0</v>
      </c>
      <c r="AE515" s="25">
        <f>ROUND(IF(AO515="2",BG515,0),2)</f>
        <v>0</v>
      </c>
      <c r="AF515" s="25">
        <f>ROUND(IF(AO515="0",BH515,0),2)</f>
        <v>0</v>
      </c>
      <c r="AG515" s="10" t="s">
        <v>510</v>
      </c>
      <c r="AH515" s="25">
        <f>IF(AL515=0,K515,0)</f>
        <v>0</v>
      </c>
      <c r="AI515" s="25">
        <f>IF(AL515=12,K515,0)</f>
        <v>0</v>
      </c>
      <c r="AJ515" s="25">
        <f>IF(AL515=21,K515,0)</f>
        <v>0</v>
      </c>
      <c r="AL515" s="25">
        <v>21</v>
      </c>
      <c r="AM515" s="25">
        <f>H515*0.177162817</f>
        <v>0</v>
      </c>
      <c r="AN515" s="25">
        <f>H515*(1-0.177162817)</f>
        <v>0</v>
      </c>
      <c r="AO515" s="27" t="s">
        <v>57</v>
      </c>
      <c r="AT515" s="25">
        <f>ROUND(AU515+AV515,2)</f>
        <v>0</v>
      </c>
      <c r="AU515" s="25">
        <f>ROUND(G515*AM515,2)</f>
        <v>0</v>
      </c>
      <c r="AV515" s="25">
        <f>ROUND(G515*AN515,2)</f>
        <v>0</v>
      </c>
      <c r="AW515" s="27" t="s">
        <v>665</v>
      </c>
      <c r="AX515" s="27" t="s">
        <v>666</v>
      </c>
      <c r="AY515" s="10" t="s">
        <v>518</v>
      </c>
      <c r="BA515" s="25">
        <f>AU515+AV515</f>
        <v>0</v>
      </c>
      <c r="BB515" s="25">
        <f>H515/(100-BC515)*100</f>
        <v>0</v>
      </c>
      <c r="BC515" s="25">
        <v>0</v>
      </c>
      <c r="BD515" s="25">
        <f>M515</f>
        <v>3.9837089400000001</v>
      </c>
      <c r="BF515" s="25">
        <f>G515*AM515</f>
        <v>0</v>
      </c>
      <c r="BG515" s="25">
        <f>G515*AN515</f>
        <v>0</v>
      </c>
      <c r="BH515" s="25">
        <f>G515*H515</f>
        <v>0</v>
      </c>
      <c r="BI515" s="27" t="s">
        <v>65</v>
      </c>
      <c r="BJ515" s="25">
        <v>61</v>
      </c>
      <c r="BU515" s="25" t="e">
        <f>#REF!</f>
        <v>#REF!</v>
      </c>
      <c r="BV515" s="4" t="s">
        <v>732</v>
      </c>
    </row>
    <row r="516" spans="1:74" ht="14.4" x14ac:dyDescent="0.3">
      <c r="A516" s="28"/>
      <c r="D516" s="29" t="s">
        <v>685</v>
      </c>
      <c r="E516" s="29" t="s">
        <v>170</v>
      </c>
      <c r="G516" s="30">
        <v>48.140999999999998</v>
      </c>
      <c r="H516" s="63"/>
      <c r="N516" s="31"/>
    </row>
    <row r="517" spans="1:74" ht="14.4" x14ac:dyDescent="0.3">
      <c r="A517" s="28"/>
      <c r="D517" s="29" t="s">
        <v>733</v>
      </c>
      <c r="E517" s="29" t="s">
        <v>163</v>
      </c>
      <c r="G517" s="30">
        <v>34.57</v>
      </c>
      <c r="H517" s="63"/>
      <c r="N517" s="31"/>
    </row>
    <row r="518" spans="1:74" ht="14.4" x14ac:dyDescent="0.3">
      <c r="A518" s="28"/>
      <c r="D518" s="29" t="s">
        <v>734</v>
      </c>
      <c r="E518" s="29" t="s">
        <v>69</v>
      </c>
      <c r="G518" s="30">
        <v>39.417000000000002</v>
      </c>
      <c r="H518" s="63"/>
      <c r="N518" s="31"/>
    </row>
    <row r="519" spans="1:74" ht="14.4" x14ac:dyDescent="0.3">
      <c r="A519" s="28"/>
      <c r="D519" s="29" t="s">
        <v>688</v>
      </c>
      <c r="E519" s="29" t="s">
        <v>70</v>
      </c>
      <c r="G519" s="30">
        <v>33.651000000000003</v>
      </c>
      <c r="H519" s="63"/>
      <c r="N519" s="31"/>
    </row>
    <row r="520" spans="1:74" ht="14.4" x14ac:dyDescent="0.3">
      <c r="A520" s="28"/>
      <c r="D520" s="29" t="s">
        <v>689</v>
      </c>
      <c r="E520" s="29" t="s">
        <v>174</v>
      </c>
      <c r="G520" s="30">
        <v>31.827999999999999</v>
      </c>
      <c r="H520" s="63"/>
      <c r="N520" s="31"/>
    </row>
    <row r="521" spans="1:74" ht="14.4" x14ac:dyDescent="0.3">
      <c r="A521" s="28"/>
      <c r="D521" s="29" t="s">
        <v>690</v>
      </c>
      <c r="E521" s="29" t="s">
        <v>180</v>
      </c>
      <c r="G521" s="30">
        <v>7.8879999999999999</v>
      </c>
      <c r="H521" s="63"/>
      <c r="N521" s="31"/>
    </row>
    <row r="522" spans="1:74" ht="14.4" x14ac:dyDescent="0.3">
      <c r="A522" s="28"/>
      <c r="D522" s="29" t="s">
        <v>691</v>
      </c>
      <c r="E522" s="29" t="s">
        <v>182</v>
      </c>
      <c r="G522" s="30">
        <v>8.0660000000000007</v>
      </c>
      <c r="H522" s="63"/>
      <c r="N522" s="31"/>
    </row>
    <row r="523" spans="1:74" ht="14.4" x14ac:dyDescent="0.3">
      <c r="A523" s="28"/>
      <c r="D523" s="29" t="s">
        <v>692</v>
      </c>
      <c r="E523" s="29" t="s">
        <v>72</v>
      </c>
      <c r="G523" s="30">
        <v>11.361000000000001</v>
      </c>
      <c r="H523" s="63"/>
      <c r="N523" s="31"/>
    </row>
    <row r="524" spans="1:74" ht="14.4" x14ac:dyDescent="0.3">
      <c r="A524" s="28"/>
      <c r="D524" s="29" t="s">
        <v>693</v>
      </c>
      <c r="E524" s="29" t="s">
        <v>112</v>
      </c>
      <c r="G524" s="30">
        <v>37.052</v>
      </c>
      <c r="H524" s="63"/>
      <c r="N524" s="31"/>
    </row>
    <row r="525" spans="1:74" ht="14.4" x14ac:dyDescent="0.3">
      <c r="A525" s="2" t="s">
        <v>735</v>
      </c>
      <c r="B525" s="3" t="s">
        <v>510</v>
      </c>
      <c r="C525" s="3" t="s">
        <v>736</v>
      </c>
      <c r="D525" s="112" t="s">
        <v>737</v>
      </c>
      <c r="E525" s="109"/>
      <c r="F525" s="3" t="s">
        <v>60</v>
      </c>
      <c r="G525" s="25">
        <v>2.19</v>
      </c>
      <c r="H525" s="62"/>
      <c r="I525" s="25">
        <f>ROUND(G525*AM525,2)</f>
        <v>0</v>
      </c>
      <c r="J525" s="25">
        <f>ROUND(G525*AN525,2)</f>
        <v>0</v>
      </c>
      <c r="K525" s="25">
        <f>ROUND(G525*H525,2)</f>
        <v>0</v>
      </c>
      <c r="L525" s="25">
        <v>5.3690000000000002E-2</v>
      </c>
      <c r="M525" s="25">
        <f>G525*L525</f>
        <v>0.11758109999999999</v>
      </c>
      <c r="N525" s="26"/>
      <c r="X525" s="25">
        <f>ROUND(IF(AO525="5",BH525,0),2)</f>
        <v>0</v>
      </c>
      <c r="Z525" s="25">
        <f>ROUND(IF(AO525="1",BF525,0),2)</f>
        <v>0</v>
      </c>
      <c r="AA525" s="25">
        <f>ROUND(IF(AO525="1",BG525,0),2)</f>
        <v>0</v>
      </c>
      <c r="AB525" s="25">
        <f>ROUND(IF(AO525="7",BF525,0),2)</f>
        <v>0</v>
      </c>
      <c r="AC525" s="25">
        <f>ROUND(IF(AO525="7",BG525,0),2)</f>
        <v>0</v>
      </c>
      <c r="AD525" s="25">
        <f>ROUND(IF(AO525="2",BF525,0),2)</f>
        <v>0</v>
      </c>
      <c r="AE525" s="25">
        <f>ROUND(IF(AO525="2",BG525,0),2)</f>
        <v>0</v>
      </c>
      <c r="AF525" s="25">
        <f>ROUND(IF(AO525="0",BH525,0),2)</f>
        <v>0</v>
      </c>
      <c r="AG525" s="10" t="s">
        <v>510</v>
      </c>
      <c r="AH525" s="25">
        <f>IF(AL525=0,K525,0)</f>
        <v>0</v>
      </c>
      <c r="AI525" s="25">
        <f>IF(AL525=12,K525,0)</f>
        <v>0</v>
      </c>
      <c r="AJ525" s="25">
        <f>IF(AL525=21,K525,0)</f>
        <v>0</v>
      </c>
      <c r="AL525" s="25">
        <v>21</v>
      </c>
      <c r="AM525" s="25">
        <f>H525*0.132179254</f>
        <v>0</v>
      </c>
      <c r="AN525" s="25">
        <f>H525*(1-0.132179254)</f>
        <v>0</v>
      </c>
      <c r="AO525" s="27" t="s">
        <v>57</v>
      </c>
      <c r="AT525" s="25">
        <f>ROUND(AU525+AV525,2)</f>
        <v>0</v>
      </c>
      <c r="AU525" s="25">
        <f>ROUND(G525*AM525,2)</f>
        <v>0</v>
      </c>
      <c r="AV525" s="25">
        <f>ROUND(G525*AN525,2)</f>
        <v>0</v>
      </c>
      <c r="AW525" s="27" t="s">
        <v>665</v>
      </c>
      <c r="AX525" s="27" t="s">
        <v>666</v>
      </c>
      <c r="AY525" s="10" t="s">
        <v>518</v>
      </c>
      <c r="BA525" s="25">
        <f>AU525+AV525</f>
        <v>0</v>
      </c>
      <c r="BB525" s="25">
        <f>H525/(100-BC525)*100</f>
        <v>0</v>
      </c>
      <c r="BC525" s="25">
        <v>0</v>
      </c>
      <c r="BD525" s="25">
        <f>M525</f>
        <v>0.11758109999999999</v>
      </c>
      <c r="BF525" s="25">
        <f>G525*AM525</f>
        <v>0</v>
      </c>
      <c r="BG525" s="25">
        <f>G525*AN525</f>
        <v>0</v>
      </c>
      <c r="BH525" s="25">
        <f>G525*H525</f>
        <v>0</v>
      </c>
      <c r="BI525" s="27" t="s">
        <v>65</v>
      </c>
      <c r="BJ525" s="25">
        <v>61</v>
      </c>
      <c r="BU525" s="25" t="e">
        <f>#REF!</f>
        <v>#REF!</v>
      </c>
      <c r="BV525" s="4" t="s">
        <v>737</v>
      </c>
    </row>
    <row r="526" spans="1:74" ht="14.4" x14ac:dyDescent="0.3">
      <c r="A526" s="28"/>
      <c r="D526" s="29" t="s">
        <v>738</v>
      </c>
      <c r="E526" s="29" t="s">
        <v>170</v>
      </c>
      <c r="G526" s="30">
        <v>0.36699999999999999</v>
      </c>
      <c r="H526" s="63"/>
      <c r="N526" s="31"/>
    </row>
    <row r="527" spans="1:74" ht="14.4" x14ac:dyDescent="0.3">
      <c r="A527" s="28"/>
      <c r="D527" s="29" t="s">
        <v>739</v>
      </c>
      <c r="E527" s="29" t="s">
        <v>163</v>
      </c>
      <c r="G527" s="30">
        <v>0.36399999999999999</v>
      </c>
      <c r="H527" s="63"/>
      <c r="N527" s="31"/>
    </row>
    <row r="528" spans="1:74" ht="14.4" x14ac:dyDescent="0.3">
      <c r="A528" s="28"/>
      <c r="D528" s="29" t="s">
        <v>740</v>
      </c>
      <c r="E528" s="29" t="s">
        <v>70</v>
      </c>
      <c r="G528" s="30">
        <v>0.72799999999999998</v>
      </c>
      <c r="H528" s="63"/>
      <c r="N528" s="31"/>
    </row>
    <row r="529" spans="1:74" ht="14.4" x14ac:dyDescent="0.3">
      <c r="A529" s="28"/>
      <c r="D529" s="29" t="s">
        <v>741</v>
      </c>
      <c r="E529" s="29" t="s">
        <v>180</v>
      </c>
      <c r="G529" s="30">
        <v>0.182</v>
      </c>
      <c r="H529" s="63"/>
      <c r="N529" s="31"/>
    </row>
    <row r="530" spans="1:74" ht="14.4" x14ac:dyDescent="0.3">
      <c r="A530" s="28"/>
      <c r="D530" s="29" t="s">
        <v>741</v>
      </c>
      <c r="E530" s="29" t="s">
        <v>182</v>
      </c>
      <c r="G530" s="30">
        <v>0.182</v>
      </c>
      <c r="H530" s="63"/>
      <c r="N530" s="31"/>
    </row>
    <row r="531" spans="1:74" ht="14.4" x14ac:dyDescent="0.3">
      <c r="A531" s="28"/>
      <c r="D531" s="29" t="s">
        <v>738</v>
      </c>
      <c r="E531" s="29" t="s">
        <v>112</v>
      </c>
      <c r="G531" s="30">
        <v>0.36699999999999999</v>
      </c>
      <c r="H531" s="63"/>
      <c r="N531" s="31"/>
    </row>
    <row r="532" spans="1:74" ht="14.4" x14ac:dyDescent="0.3">
      <c r="A532" s="21" t="s">
        <v>52</v>
      </c>
      <c r="B532" s="22" t="s">
        <v>510</v>
      </c>
      <c r="C532" s="22" t="s">
        <v>441</v>
      </c>
      <c r="D532" s="170" t="s">
        <v>742</v>
      </c>
      <c r="E532" s="171"/>
      <c r="F532" s="23" t="s">
        <v>32</v>
      </c>
      <c r="G532" s="23" t="s">
        <v>32</v>
      </c>
      <c r="H532" s="64"/>
      <c r="I532" s="1">
        <f>SUM(I533:I556)</f>
        <v>0</v>
      </c>
      <c r="J532" s="1">
        <f>SUM(J533:J556)</f>
        <v>0</v>
      </c>
      <c r="K532" s="1">
        <f>SUM(K533:K556)</f>
        <v>0</v>
      </c>
      <c r="L532" s="10" t="s">
        <v>52</v>
      </c>
      <c r="M532" s="1">
        <f>SUM(M533:M556)</f>
        <v>7.6284971519999996</v>
      </c>
      <c r="N532" s="24"/>
      <c r="AG532" s="10" t="s">
        <v>510</v>
      </c>
      <c r="AQ532" s="1">
        <f>SUM(AH533:AH556)</f>
        <v>0</v>
      </c>
      <c r="AR532" s="1">
        <f>SUM(AI533:AI556)</f>
        <v>0</v>
      </c>
      <c r="AS532" s="1">
        <f>SUM(AJ533:AJ556)</f>
        <v>0</v>
      </c>
    </row>
    <row r="533" spans="1:74" ht="14.4" x14ac:dyDescent="0.3">
      <c r="A533" s="2" t="s">
        <v>743</v>
      </c>
      <c r="B533" s="3" t="s">
        <v>510</v>
      </c>
      <c r="C533" s="3" t="s">
        <v>744</v>
      </c>
      <c r="D533" s="112" t="s">
        <v>745</v>
      </c>
      <c r="E533" s="109"/>
      <c r="F533" s="3" t="s">
        <v>278</v>
      </c>
      <c r="G533" s="25">
        <v>0.38629999999999998</v>
      </c>
      <c r="H533" s="62"/>
      <c r="I533" s="25">
        <f>ROUND(G533*AM533,2)</f>
        <v>0</v>
      </c>
      <c r="J533" s="25">
        <f>ROUND(G533*AN533,2)</f>
        <v>0</v>
      </c>
      <c r="K533" s="25">
        <f>ROUND(G533*H533,2)</f>
        <v>0</v>
      </c>
      <c r="L533" s="25">
        <v>1.0800399999999999</v>
      </c>
      <c r="M533" s="25">
        <f>G533*L533</f>
        <v>0.41721945199999994</v>
      </c>
      <c r="N533" s="26"/>
      <c r="X533" s="25">
        <f>ROUND(IF(AO533="5",BH533,0),2)</f>
        <v>0</v>
      </c>
      <c r="Z533" s="25">
        <f>ROUND(IF(AO533="1",BF533,0),2)</f>
        <v>0</v>
      </c>
      <c r="AA533" s="25">
        <f>ROUND(IF(AO533="1",BG533,0),2)</f>
        <v>0</v>
      </c>
      <c r="AB533" s="25">
        <f>ROUND(IF(AO533="7",BF533,0),2)</f>
        <v>0</v>
      </c>
      <c r="AC533" s="25">
        <f>ROUND(IF(AO533="7",BG533,0),2)</f>
        <v>0</v>
      </c>
      <c r="AD533" s="25">
        <f>ROUND(IF(AO533="2",BF533,0),2)</f>
        <v>0</v>
      </c>
      <c r="AE533" s="25">
        <f>ROUND(IF(AO533="2",BG533,0),2)</f>
        <v>0</v>
      </c>
      <c r="AF533" s="25">
        <f>ROUND(IF(AO533="0",BH533,0),2)</f>
        <v>0</v>
      </c>
      <c r="AG533" s="10" t="s">
        <v>510</v>
      </c>
      <c r="AH533" s="25">
        <f>IF(AL533=0,K533,0)</f>
        <v>0</v>
      </c>
      <c r="AI533" s="25">
        <f>IF(AL533=12,K533,0)</f>
        <v>0</v>
      </c>
      <c r="AJ533" s="25">
        <f>IF(AL533=21,K533,0)</f>
        <v>0</v>
      </c>
      <c r="AL533" s="25">
        <v>21</v>
      </c>
      <c r="AM533" s="25">
        <f>H533*0.758055683</f>
        <v>0</v>
      </c>
      <c r="AN533" s="25">
        <f>H533*(1-0.758055683)</f>
        <v>0</v>
      </c>
      <c r="AO533" s="27" t="s">
        <v>57</v>
      </c>
      <c r="AT533" s="25">
        <f>ROUND(AU533+AV533,2)</f>
        <v>0</v>
      </c>
      <c r="AU533" s="25">
        <f>ROUND(G533*AM533,2)</f>
        <v>0</v>
      </c>
      <c r="AV533" s="25">
        <f>ROUND(G533*AN533,2)</f>
        <v>0</v>
      </c>
      <c r="AW533" s="27" t="s">
        <v>746</v>
      </c>
      <c r="AX533" s="27" t="s">
        <v>666</v>
      </c>
      <c r="AY533" s="10" t="s">
        <v>518</v>
      </c>
      <c r="BA533" s="25">
        <f>AU533+AV533</f>
        <v>0</v>
      </c>
      <c r="BB533" s="25">
        <f>H533/(100-BC533)*100</f>
        <v>0</v>
      </c>
      <c r="BC533" s="25">
        <v>0</v>
      </c>
      <c r="BD533" s="25">
        <f>M533</f>
        <v>0.41721945199999994</v>
      </c>
      <c r="BF533" s="25">
        <f>G533*AM533</f>
        <v>0</v>
      </c>
      <c r="BG533" s="25">
        <f>G533*AN533</f>
        <v>0</v>
      </c>
      <c r="BH533" s="25">
        <f>G533*H533</f>
        <v>0</v>
      </c>
      <c r="BI533" s="27" t="s">
        <v>65</v>
      </c>
      <c r="BJ533" s="25">
        <v>63</v>
      </c>
      <c r="BU533" s="25" t="e">
        <f>#REF!</f>
        <v>#REF!</v>
      </c>
      <c r="BV533" s="4" t="s">
        <v>745</v>
      </c>
    </row>
    <row r="534" spans="1:74" ht="14.4" x14ac:dyDescent="0.3">
      <c r="A534" s="28"/>
      <c r="D534" s="29" t="s">
        <v>747</v>
      </c>
      <c r="E534" s="29" t="s">
        <v>748</v>
      </c>
      <c r="G534" s="30">
        <v>7.3999999999999996E-2</v>
      </c>
      <c r="H534" s="63"/>
      <c r="N534" s="31"/>
    </row>
    <row r="535" spans="1:74" ht="14.4" x14ac:dyDescent="0.3">
      <c r="A535" s="28"/>
      <c r="D535" s="29" t="s">
        <v>749</v>
      </c>
      <c r="E535" s="29" t="s">
        <v>750</v>
      </c>
      <c r="G535" s="30">
        <v>0.31230000000000002</v>
      </c>
      <c r="H535" s="63"/>
      <c r="N535" s="31"/>
    </row>
    <row r="536" spans="1:74" ht="14.4" x14ac:dyDescent="0.3">
      <c r="A536" s="2" t="s">
        <v>751</v>
      </c>
      <c r="B536" s="3" t="s">
        <v>510</v>
      </c>
      <c r="C536" s="3" t="s">
        <v>752</v>
      </c>
      <c r="D536" s="112" t="s">
        <v>753</v>
      </c>
      <c r="E536" s="109"/>
      <c r="F536" s="3" t="s">
        <v>148</v>
      </c>
      <c r="G536" s="25">
        <v>1.0349999999999999</v>
      </c>
      <c r="H536" s="62"/>
      <c r="I536" s="25">
        <f>ROUND(G536*AM536,2)</f>
        <v>0</v>
      </c>
      <c r="J536" s="25">
        <f>ROUND(G536*AN536,2)</f>
        <v>0</v>
      </c>
      <c r="K536" s="25">
        <f>ROUND(G536*H536,2)</f>
        <v>0</v>
      </c>
      <c r="L536" s="25">
        <v>2.5</v>
      </c>
      <c r="M536" s="25">
        <f>G536*L536</f>
        <v>2.5874999999999999</v>
      </c>
      <c r="N536" s="26"/>
      <c r="X536" s="25">
        <f>ROUND(IF(AO536="5",BH536,0),2)</f>
        <v>0</v>
      </c>
      <c r="Z536" s="25">
        <f>ROUND(IF(AO536="1",BF536,0),2)</f>
        <v>0</v>
      </c>
      <c r="AA536" s="25">
        <f>ROUND(IF(AO536="1",BG536,0),2)</f>
        <v>0</v>
      </c>
      <c r="AB536" s="25">
        <f>ROUND(IF(AO536="7",BF536,0),2)</f>
        <v>0</v>
      </c>
      <c r="AC536" s="25">
        <f>ROUND(IF(AO536="7",BG536,0),2)</f>
        <v>0</v>
      </c>
      <c r="AD536" s="25">
        <f>ROUND(IF(AO536="2",BF536,0),2)</f>
        <v>0</v>
      </c>
      <c r="AE536" s="25">
        <f>ROUND(IF(AO536="2",BG536,0),2)</f>
        <v>0</v>
      </c>
      <c r="AF536" s="25">
        <f>ROUND(IF(AO536="0",BH536,0),2)</f>
        <v>0</v>
      </c>
      <c r="AG536" s="10" t="s">
        <v>510</v>
      </c>
      <c r="AH536" s="25">
        <f>IF(AL536=0,K536,0)</f>
        <v>0</v>
      </c>
      <c r="AI536" s="25">
        <f>IF(AL536=12,K536,0)</f>
        <v>0</v>
      </c>
      <c r="AJ536" s="25">
        <f>IF(AL536=21,K536,0)</f>
        <v>0</v>
      </c>
      <c r="AL536" s="25">
        <v>21</v>
      </c>
      <c r="AM536" s="25">
        <f>H536*0.515920153</f>
        <v>0</v>
      </c>
      <c r="AN536" s="25">
        <f>H536*(1-0.515920153)</f>
        <v>0</v>
      </c>
      <c r="AO536" s="27" t="s">
        <v>57</v>
      </c>
      <c r="AT536" s="25">
        <f>ROUND(AU536+AV536,2)</f>
        <v>0</v>
      </c>
      <c r="AU536" s="25">
        <f>ROUND(G536*AM536,2)</f>
        <v>0</v>
      </c>
      <c r="AV536" s="25">
        <f>ROUND(G536*AN536,2)</f>
        <v>0</v>
      </c>
      <c r="AW536" s="27" t="s">
        <v>746</v>
      </c>
      <c r="AX536" s="27" t="s">
        <v>666</v>
      </c>
      <c r="AY536" s="10" t="s">
        <v>518</v>
      </c>
      <c r="BA536" s="25">
        <f>AU536+AV536</f>
        <v>0</v>
      </c>
      <c r="BB536" s="25">
        <f>H536/(100-BC536)*100</f>
        <v>0</v>
      </c>
      <c r="BC536" s="25">
        <v>0</v>
      </c>
      <c r="BD536" s="25">
        <f>M536</f>
        <v>2.5874999999999999</v>
      </c>
      <c r="BF536" s="25">
        <f>G536*AM536</f>
        <v>0</v>
      </c>
      <c r="BG536" s="25">
        <f>G536*AN536</f>
        <v>0</v>
      </c>
      <c r="BH536" s="25">
        <f>G536*H536</f>
        <v>0</v>
      </c>
      <c r="BI536" s="27" t="s">
        <v>65</v>
      </c>
      <c r="BJ536" s="25">
        <v>63</v>
      </c>
      <c r="BU536" s="25" t="e">
        <f>#REF!</f>
        <v>#REF!</v>
      </c>
      <c r="BV536" s="4" t="s">
        <v>753</v>
      </c>
    </row>
    <row r="537" spans="1:74" ht="14.4" x14ac:dyDescent="0.3">
      <c r="A537" s="28"/>
      <c r="D537" s="29" t="s">
        <v>754</v>
      </c>
      <c r="E537" s="29" t="s">
        <v>755</v>
      </c>
      <c r="G537" s="30">
        <v>0.24</v>
      </c>
      <c r="H537" s="63"/>
      <c r="N537" s="31"/>
    </row>
    <row r="538" spans="1:74" ht="14.4" x14ac:dyDescent="0.3">
      <c r="A538" s="28"/>
      <c r="D538" s="29" t="s">
        <v>756</v>
      </c>
      <c r="E538" s="29" t="s">
        <v>757</v>
      </c>
      <c r="G538" s="30">
        <v>0.33</v>
      </c>
      <c r="H538" s="63"/>
      <c r="N538" s="31"/>
    </row>
    <row r="539" spans="1:74" ht="14.4" x14ac:dyDescent="0.3">
      <c r="A539" s="28"/>
      <c r="D539" s="29" t="s">
        <v>758</v>
      </c>
      <c r="E539" s="29" t="s">
        <v>759</v>
      </c>
      <c r="G539" s="30">
        <v>0.375</v>
      </c>
      <c r="H539" s="63"/>
      <c r="N539" s="31"/>
    </row>
    <row r="540" spans="1:74" ht="14.4" x14ac:dyDescent="0.3">
      <c r="A540" s="28"/>
      <c r="D540" s="29" t="s">
        <v>760</v>
      </c>
      <c r="E540" s="29" t="s">
        <v>761</v>
      </c>
      <c r="G540" s="30">
        <v>0.03</v>
      </c>
      <c r="H540" s="63"/>
      <c r="N540" s="31"/>
    </row>
    <row r="541" spans="1:74" ht="14.4" x14ac:dyDescent="0.3">
      <c r="A541" s="28"/>
      <c r="D541" s="29" t="s">
        <v>762</v>
      </c>
      <c r="E541" s="29" t="s">
        <v>763</v>
      </c>
      <c r="G541" s="30">
        <v>0.06</v>
      </c>
      <c r="H541" s="63"/>
      <c r="N541" s="31"/>
    </row>
    <row r="542" spans="1:74" ht="14.4" x14ac:dyDescent="0.3">
      <c r="A542" s="2" t="s">
        <v>764</v>
      </c>
      <c r="B542" s="3" t="s">
        <v>510</v>
      </c>
      <c r="C542" s="3" t="s">
        <v>765</v>
      </c>
      <c r="D542" s="112" t="s">
        <v>766</v>
      </c>
      <c r="E542" s="109"/>
      <c r="F542" s="3" t="s">
        <v>60</v>
      </c>
      <c r="G542" s="25">
        <v>32.840000000000003</v>
      </c>
      <c r="H542" s="62"/>
      <c r="I542" s="25">
        <f>ROUND(G542*AM542,2)</f>
        <v>0</v>
      </c>
      <c r="J542" s="25">
        <f>ROUND(G542*AN542,2)</f>
        <v>0</v>
      </c>
      <c r="K542" s="25">
        <f>ROUND(G542*H542,2)</f>
        <v>0</v>
      </c>
      <c r="L542" s="25">
        <v>0.10013</v>
      </c>
      <c r="M542" s="25">
        <f>G542*L542</f>
        <v>3.2882692000000002</v>
      </c>
      <c r="N542" s="26"/>
      <c r="X542" s="25">
        <f>ROUND(IF(AO542="5",BH542,0),2)</f>
        <v>0</v>
      </c>
      <c r="Z542" s="25">
        <f>ROUND(IF(AO542="1",BF542,0),2)</f>
        <v>0</v>
      </c>
      <c r="AA542" s="25">
        <f>ROUND(IF(AO542="1",BG542,0),2)</f>
        <v>0</v>
      </c>
      <c r="AB542" s="25">
        <f>ROUND(IF(AO542="7",BF542,0),2)</f>
        <v>0</v>
      </c>
      <c r="AC542" s="25">
        <f>ROUND(IF(AO542="7",BG542,0),2)</f>
        <v>0</v>
      </c>
      <c r="AD542" s="25">
        <f>ROUND(IF(AO542="2",BF542,0),2)</f>
        <v>0</v>
      </c>
      <c r="AE542" s="25">
        <f>ROUND(IF(AO542="2",BG542,0),2)</f>
        <v>0</v>
      </c>
      <c r="AF542" s="25">
        <f>ROUND(IF(AO542="0",BH542,0),2)</f>
        <v>0</v>
      </c>
      <c r="AG542" s="10" t="s">
        <v>510</v>
      </c>
      <c r="AH542" s="25">
        <f>IF(AL542=0,K542,0)</f>
        <v>0</v>
      </c>
      <c r="AI542" s="25">
        <f>IF(AL542=12,K542,0)</f>
        <v>0</v>
      </c>
      <c r="AJ542" s="25">
        <f>IF(AL542=21,K542,0)</f>
        <v>0</v>
      </c>
      <c r="AL542" s="25">
        <v>21</v>
      </c>
      <c r="AM542" s="25">
        <f>H542*0.68627641</f>
        <v>0</v>
      </c>
      <c r="AN542" s="25">
        <f>H542*(1-0.68627641)</f>
        <v>0</v>
      </c>
      <c r="AO542" s="27" t="s">
        <v>57</v>
      </c>
      <c r="AT542" s="25">
        <f>ROUND(AU542+AV542,2)</f>
        <v>0</v>
      </c>
      <c r="AU542" s="25">
        <f>ROUND(G542*AM542,2)</f>
        <v>0</v>
      </c>
      <c r="AV542" s="25">
        <f>ROUND(G542*AN542,2)</f>
        <v>0</v>
      </c>
      <c r="AW542" s="27" t="s">
        <v>746</v>
      </c>
      <c r="AX542" s="27" t="s">
        <v>666</v>
      </c>
      <c r="AY542" s="10" t="s">
        <v>518</v>
      </c>
      <c r="BA542" s="25">
        <f>AU542+AV542</f>
        <v>0</v>
      </c>
      <c r="BB542" s="25">
        <f>H542/(100-BC542)*100</f>
        <v>0</v>
      </c>
      <c r="BC542" s="25">
        <v>0</v>
      </c>
      <c r="BD542" s="25">
        <f>M542</f>
        <v>3.2882692000000002</v>
      </c>
      <c r="BF542" s="25">
        <f>G542*AM542</f>
        <v>0</v>
      </c>
      <c r="BG542" s="25">
        <f>G542*AN542</f>
        <v>0</v>
      </c>
      <c r="BH542" s="25">
        <f>G542*H542</f>
        <v>0</v>
      </c>
      <c r="BI542" s="27" t="s">
        <v>65</v>
      </c>
      <c r="BJ542" s="25">
        <v>63</v>
      </c>
      <c r="BU542" s="25" t="e">
        <f>#REF!</f>
        <v>#REF!</v>
      </c>
      <c r="BV542" s="4" t="s">
        <v>766</v>
      </c>
    </row>
    <row r="543" spans="1:74" ht="14.4" x14ac:dyDescent="0.3">
      <c r="A543" s="28"/>
      <c r="D543" s="29" t="s">
        <v>668</v>
      </c>
      <c r="E543" s="29" t="s">
        <v>163</v>
      </c>
      <c r="G543" s="30">
        <v>16.77</v>
      </c>
      <c r="H543" s="63"/>
      <c r="N543" s="31"/>
    </row>
    <row r="544" spans="1:74" ht="14.4" x14ac:dyDescent="0.3">
      <c r="A544" s="28"/>
      <c r="D544" s="29" t="s">
        <v>767</v>
      </c>
      <c r="E544" s="29" t="s">
        <v>72</v>
      </c>
      <c r="G544" s="30">
        <v>2.7</v>
      </c>
      <c r="H544" s="63"/>
      <c r="N544" s="31"/>
    </row>
    <row r="545" spans="1:74" ht="14.4" x14ac:dyDescent="0.3">
      <c r="A545" s="28"/>
      <c r="D545" s="29" t="s">
        <v>768</v>
      </c>
      <c r="E545" s="29" t="s">
        <v>755</v>
      </c>
      <c r="G545" s="30">
        <v>1.6</v>
      </c>
      <c r="H545" s="63"/>
      <c r="N545" s="31"/>
    </row>
    <row r="546" spans="1:74" ht="14.4" x14ac:dyDescent="0.3">
      <c r="A546" s="28"/>
      <c r="D546" s="29" t="s">
        <v>769</v>
      </c>
      <c r="E546" s="29" t="s">
        <v>757</v>
      </c>
      <c r="G546" s="30">
        <v>2.2000000000000002</v>
      </c>
      <c r="H546" s="63"/>
      <c r="N546" s="31"/>
    </row>
    <row r="547" spans="1:74" ht="14.4" x14ac:dyDescent="0.3">
      <c r="A547" s="28"/>
      <c r="D547" s="29" t="s">
        <v>68</v>
      </c>
      <c r="E547" s="29" t="s">
        <v>759</v>
      </c>
      <c r="G547" s="30">
        <v>2.5</v>
      </c>
      <c r="H547" s="63"/>
      <c r="N547" s="31"/>
    </row>
    <row r="548" spans="1:74" ht="14.4" x14ac:dyDescent="0.3">
      <c r="A548" s="28"/>
      <c r="D548" s="29" t="s">
        <v>87</v>
      </c>
      <c r="E548" s="29" t="s">
        <v>180</v>
      </c>
      <c r="G548" s="30">
        <v>3</v>
      </c>
      <c r="H548" s="63"/>
      <c r="N548" s="31"/>
    </row>
    <row r="549" spans="1:74" ht="14.4" x14ac:dyDescent="0.3">
      <c r="A549" s="28"/>
      <c r="D549" s="29" t="s">
        <v>767</v>
      </c>
      <c r="E549" s="29" t="s">
        <v>72</v>
      </c>
      <c r="G549" s="30">
        <v>2.7</v>
      </c>
      <c r="H549" s="63"/>
      <c r="N549" s="31"/>
    </row>
    <row r="550" spans="1:74" ht="14.4" x14ac:dyDescent="0.3">
      <c r="A550" s="28"/>
      <c r="D550" s="29" t="s">
        <v>181</v>
      </c>
      <c r="E550" s="29" t="s">
        <v>182</v>
      </c>
      <c r="G550" s="30">
        <v>1.37</v>
      </c>
      <c r="H550" s="63"/>
      <c r="N550" s="31"/>
    </row>
    <row r="551" spans="1:74" ht="14.4" x14ac:dyDescent="0.3">
      <c r="A551" s="2" t="s">
        <v>770</v>
      </c>
      <c r="B551" s="3" t="s">
        <v>510</v>
      </c>
      <c r="C551" s="3" t="s">
        <v>771</v>
      </c>
      <c r="D551" s="112" t="s">
        <v>772</v>
      </c>
      <c r="E551" s="109"/>
      <c r="F551" s="3" t="s">
        <v>60</v>
      </c>
      <c r="G551" s="25">
        <v>49.19</v>
      </c>
      <c r="H551" s="62"/>
      <c r="I551" s="25">
        <f>ROUND(G551*AM551,2)</f>
        <v>0</v>
      </c>
      <c r="J551" s="25">
        <f>ROUND(G551*AN551,2)</f>
        <v>0</v>
      </c>
      <c r="K551" s="25">
        <f>ROUND(G551*H551,2)</f>
        <v>0</v>
      </c>
      <c r="L551" s="25">
        <v>2.7150000000000001E-2</v>
      </c>
      <c r="M551" s="25">
        <f>G551*L551</f>
        <v>1.3355085</v>
      </c>
      <c r="N551" s="26"/>
      <c r="X551" s="25">
        <f>ROUND(IF(AO551="5",BH551,0),2)</f>
        <v>0</v>
      </c>
      <c r="Z551" s="25">
        <f>ROUND(IF(AO551="1",BF551,0),2)</f>
        <v>0</v>
      </c>
      <c r="AA551" s="25">
        <f>ROUND(IF(AO551="1",BG551,0),2)</f>
        <v>0</v>
      </c>
      <c r="AB551" s="25">
        <f>ROUND(IF(AO551="7",BF551,0),2)</f>
        <v>0</v>
      </c>
      <c r="AC551" s="25">
        <f>ROUND(IF(AO551="7",BG551,0),2)</f>
        <v>0</v>
      </c>
      <c r="AD551" s="25">
        <f>ROUND(IF(AO551="2",BF551,0),2)</f>
        <v>0</v>
      </c>
      <c r="AE551" s="25">
        <f>ROUND(IF(AO551="2",BG551,0),2)</f>
        <v>0</v>
      </c>
      <c r="AF551" s="25">
        <f>ROUND(IF(AO551="0",BH551,0),2)</f>
        <v>0</v>
      </c>
      <c r="AG551" s="10" t="s">
        <v>510</v>
      </c>
      <c r="AH551" s="25">
        <f>IF(AL551=0,K551,0)</f>
        <v>0</v>
      </c>
      <c r="AI551" s="25">
        <f>IF(AL551=12,K551,0)</f>
        <v>0</v>
      </c>
      <c r="AJ551" s="25">
        <f>IF(AL551=21,K551,0)</f>
        <v>0</v>
      </c>
      <c r="AL551" s="25">
        <v>21</v>
      </c>
      <c r="AM551" s="25">
        <f>H551*0.664165694</f>
        <v>0</v>
      </c>
      <c r="AN551" s="25">
        <f>H551*(1-0.664165694)</f>
        <v>0</v>
      </c>
      <c r="AO551" s="27" t="s">
        <v>57</v>
      </c>
      <c r="AT551" s="25">
        <f>ROUND(AU551+AV551,2)</f>
        <v>0</v>
      </c>
      <c r="AU551" s="25">
        <f>ROUND(G551*AM551,2)</f>
        <v>0</v>
      </c>
      <c r="AV551" s="25">
        <f>ROUND(G551*AN551,2)</f>
        <v>0</v>
      </c>
      <c r="AW551" s="27" t="s">
        <v>746</v>
      </c>
      <c r="AX551" s="27" t="s">
        <v>666</v>
      </c>
      <c r="AY551" s="10" t="s">
        <v>518</v>
      </c>
      <c r="BA551" s="25">
        <f>AU551+AV551</f>
        <v>0</v>
      </c>
      <c r="BB551" s="25">
        <f>H551/(100-BC551)*100</f>
        <v>0</v>
      </c>
      <c r="BC551" s="25">
        <v>0</v>
      </c>
      <c r="BD551" s="25">
        <f>M551</f>
        <v>1.3355085</v>
      </c>
      <c r="BF551" s="25">
        <f>G551*AM551</f>
        <v>0</v>
      </c>
      <c r="BG551" s="25">
        <f>G551*AN551</f>
        <v>0</v>
      </c>
      <c r="BH551" s="25">
        <f>G551*H551</f>
        <v>0</v>
      </c>
      <c r="BI551" s="27" t="s">
        <v>65</v>
      </c>
      <c r="BJ551" s="25">
        <v>63</v>
      </c>
      <c r="BU551" s="25" t="e">
        <f>#REF!</f>
        <v>#REF!</v>
      </c>
      <c r="BV551" s="4" t="s">
        <v>772</v>
      </c>
    </row>
    <row r="552" spans="1:74" ht="14.4" x14ac:dyDescent="0.3">
      <c r="A552" s="28"/>
      <c r="D552" s="29" t="s">
        <v>169</v>
      </c>
      <c r="E552" s="29" t="s">
        <v>170</v>
      </c>
      <c r="G552" s="30">
        <v>14.2</v>
      </c>
      <c r="H552" s="63"/>
      <c r="N552" s="31"/>
    </row>
    <row r="553" spans="1:74" ht="14.4" x14ac:dyDescent="0.3">
      <c r="A553" s="28"/>
      <c r="D553" s="29" t="s">
        <v>171</v>
      </c>
      <c r="E553" s="29" t="s">
        <v>69</v>
      </c>
      <c r="G553" s="30">
        <v>9.9</v>
      </c>
      <c r="H553" s="63"/>
      <c r="N553" s="31"/>
    </row>
    <row r="554" spans="1:74" ht="14.4" x14ac:dyDescent="0.3">
      <c r="A554" s="28"/>
      <c r="D554" s="29" t="s">
        <v>172</v>
      </c>
      <c r="E554" s="29" t="s">
        <v>70</v>
      </c>
      <c r="G554" s="30">
        <v>19.670000000000002</v>
      </c>
      <c r="H554" s="63"/>
      <c r="N554" s="31"/>
    </row>
    <row r="555" spans="1:74" ht="14.4" x14ac:dyDescent="0.3">
      <c r="A555" s="28"/>
      <c r="D555" s="29" t="s">
        <v>173</v>
      </c>
      <c r="E555" s="29" t="s">
        <v>174</v>
      </c>
      <c r="G555" s="30">
        <v>5.42</v>
      </c>
      <c r="H555" s="63"/>
      <c r="N555" s="31"/>
    </row>
    <row r="556" spans="1:74" ht="14.4" x14ac:dyDescent="0.3">
      <c r="A556" s="2" t="s">
        <v>773</v>
      </c>
      <c r="B556" s="3" t="s">
        <v>510</v>
      </c>
      <c r="C556" s="3" t="s">
        <v>774</v>
      </c>
      <c r="D556" s="112" t="s">
        <v>775</v>
      </c>
      <c r="E556" s="109"/>
      <c r="F556" s="3" t="s">
        <v>148</v>
      </c>
      <c r="G556" s="25">
        <v>3.9352</v>
      </c>
      <c r="H556" s="62"/>
      <c r="I556" s="25">
        <f>ROUND(G556*AM556,2)</f>
        <v>0</v>
      </c>
      <c r="J556" s="25">
        <f>ROUND(G556*AN556,2)</f>
        <v>0</v>
      </c>
      <c r="K556" s="25">
        <f>ROUND(G556*H556,2)</f>
        <v>0</v>
      </c>
      <c r="L556" s="25">
        <v>0</v>
      </c>
      <c r="M556" s="25">
        <f>G556*L556</f>
        <v>0</v>
      </c>
      <c r="N556" s="26"/>
      <c r="X556" s="25">
        <f>ROUND(IF(AO556="5",BH556,0),2)</f>
        <v>0</v>
      </c>
      <c r="Z556" s="25">
        <f>ROUND(IF(AO556="1",BF556,0),2)</f>
        <v>0</v>
      </c>
      <c r="AA556" s="25">
        <f>ROUND(IF(AO556="1",BG556,0),2)</f>
        <v>0</v>
      </c>
      <c r="AB556" s="25">
        <f>ROUND(IF(AO556="7",BF556,0),2)</f>
        <v>0</v>
      </c>
      <c r="AC556" s="25">
        <f>ROUND(IF(AO556="7",BG556,0),2)</f>
        <v>0</v>
      </c>
      <c r="AD556" s="25">
        <f>ROUND(IF(AO556="2",BF556,0),2)</f>
        <v>0</v>
      </c>
      <c r="AE556" s="25">
        <f>ROUND(IF(AO556="2",BG556,0),2)</f>
        <v>0</v>
      </c>
      <c r="AF556" s="25">
        <f>ROUND(IF(AO556="0",BH556,0),2)</f>
        <v>0</v>
      </c>
      <c r="AG556" s="10" t="s">
        <v>510</v>
      </c>
      <c r="AH556" s="25">
        <f>IF(AL556=0,K556,0)</f>
        <v>0</v>
      </c>
      <c r="AI556" s="25">
        <f>IF(AL556=12,K556,0)</f>
        <v>0</v>
      </c>
      <c r="AJ556" s="25">
        <f>IF(AL556=21,K556,0)</f>
        <v>0</v>
      </c>
      <c r="AL556" s="25">
        <v>21</v>
      </c>
      <c r="AM556" s="25">
        <f>H556*0</f>
        <v>0</v>
      </c>
      <c r="AN556" s="25">
        <f>H556*(1-0)</f>
        <v>0</v>
      </c>
      <c r="AO556" s="27" t="s">
        <v>57</v>
      </c>
      <c r="AT556" s="25">
        <f>ROUND(AU556+AV556,2)</f>
        <v>0</v>
      </c>
      <c r="AU556" s="25">
        <f>ROUND(G556*AM556,2)</f>
        <v>0</v>
      </c>
      <c r="AV556" s="25">
        <f>ROUND(G556*AN556,2)</f>
        <v>0</v>
      </c>
      <c r="AW556" s="27" t="s">
        <v>746</v>
      </c>
      <c r="AX556" s="27" t="s">
        <v>666</v>
      </c>
      <c r="AY556" s="10" t="s">
        <v>518</v>
      </c>
      <c r="BA556" s="25">
        <f>AU556+AV556</f>
        <v>0</v>
      </c>
      <c r="BB556" s="25">
        <f>H556/(100-BC556)*100</f>
        <v>0</v>
      </c>
      <c r="BC556" s="25">
        <v>0</v>
      </c>
      <c r="BD556" s="25">
        <f>M556</f>
        <v>0</v>
      </c>
      <c r="BF556" s="25">
        <f>G556*AM556</f>
        <v>0</v>
      </c>
      <c r="BG556" s="25">
        <f>G556*AN556</f>
        <v>0</v>
      </c>
      <c r="BH556" s="25">
        <f>G556*H556</f>
        <v>0</v>
      </c>
      <c r="BI556" s="27" t="s">
        <v>65</v>
      </c>
      <c r="BJ556" s="25">
        <v>63</v>
      </c>
      <c r="BU556" s="25" t="e">
        <f>#REF!</f>
        <v>#REF!</v>
      </c>
      <c r="BV556" s="4" t="s">
        <v>775</v>
      </c>
    </row>
    <row r="557" spans="1:74" ht="14.4" x14ac:dyDescent="0.3">
      <c r="A557" s="28"/>
      <c r="D557" s="29" t="s">
        <v>776</v>
      </c>
      <c r="E557" s="29" t="s">
        <v>170</v>
      </c>
      <c r="G557" s="30">
        <v>1.1359999999999999</v>
      </c>
      <c r="H557" s="63"/>
      <c r="N557" s="31"/>
    </row>
    <row r="558" spans="1:74" ht="14.4" x14ac:dyDescent="0.3">
      <c r="A558" s="28"/>
      <c r="D558" s="29" t="s">
        <v>777</v>
      </c>
      <c r="E558" s="29" t="s">
        <v>69</v>
      </c>
      <c r="G558" s="30">
        <v>0.79200000000000004</v>
      </c>
      <c r="H558" s="63"/>
      <c r="N558" s="31"/>
    </row>
    <row r="559" spans="1:74" ht="14.4" x14ac:dyDescent="0.3">
      <c r="A559" s="28"/>
      <c r="D559" s="29" t="s">
        <v>778</v>
      </c>
      <c r="E559" s="29" t="s">
        <v>70</v>
      </c>
      <c r="G559" s="30">
        <v>1.5736000000000001</v>
      </c>
      <c r="H559" s="63"/>
      <c r="N559" s="31"/>
    </row>
    <row r="560" spans="1:74" ht="14.4" x14ac:dyDescent="0.3">
      <c r="A560" s="28"/>
      <c r="D560" s="29" t="s">
        <v>779</v>
      </c>
      <c r="E560" s="29" t="s">
        <v>174</v>
      </c>
      <c r="G560" s="30">
        <v>0.43359999999999999</v>
      </c>
      <c r="H560" s="63"/>
      <c r="N560" s="31"/>
    </row>
    <row r="561" spans="1:74" ht="14.4" x14ac:dyDescent="0.3">
      <c r="A561" s="21" t="s">
        <v>52</v>
      </c>
      <c r="B561" s="22" t="s">
        <v>510</v>
      </c>
      <c r="C561" s="22" t="s">
        <v>444</v>
      </c>
      <c r="D561" s="170" t="s">
        <v>780</v>
      </c>
      <c r="E561" s="171"/>
      <c r="F561" s="23" t="s">
        <v>32</v>
      </c>
      <c r="G561" s="23" t="s">
        <v>32</v>
      </c>
      <c r="H561" s="64"/>
      <c r="I561" s="1">
        <f>SUM(I562:I573)</f>
        <v>0</v>
      </c>
      <c r="J561" s="1">
        <f>SUM(J562:J573)</f>
        <v>0</v>
      </c>
      <c r="K561" s="1">
        <f>SUM(K562:K573)</f>
        <v>0</v>
      </c>
      <c r="L561" s="10" t="s">
        <v>52</v>
      </c>
      <c r="M561" s="1">
        <f>SUM(M562:M573)</f>
        <v>0.34539999999999998</v>
      </c>
      <c r="N561" s="24"/>
      <c r="AG561" s="10" t="s">
        <v>510</v>
      </c>
      <c r="AQ561" s="1">
        <f>SUM(AH562:AH573)</f>
        <v>0</v>
      </c>
      <c r="AR561" s="1">
        <f>SUM(AI562:AI573)</f>
        <v>0</v>
      </c>
      <c r="AS561" s="1">
        <f>SUM(AJ562:AJ573)</f>
        <v>0</v>
      </c>
    </row>
    <row r="562" spans="1:74" ht="14.4" x14ac:dyDescent="0.3">
      <c r="A562" s="2" t="s">
        <v>781</v>
      </c>
      <c r="B562" s="3" t="s">
        <v>510</v>
      </c>
      <c r="C562" s="3" t="s">
        <v>782</v>
      </c>
      <c r="D562" s="112" t="s">
        <v>783</v>
      </c>
      <c r="E562" s="109"/>
      <c r="F562" s="3" t="s">
        <v>122</v>
      </c>
      <c r="G562" s="25">
        <v>10</v>
      </c>
      <c r="H562" s="62"/>
      <c r="I562" s="25">
        <f>ROUND(G562*AM562,2)</f>
        <v>0</v>
      </c>
      <c r="J562" s="25">
        <f>ROUND(G562*AN562,2)</f>
        <v>0</v>
      </c>
      <c r="K562" s="25">
        <f>ROUND(G562*H562,2)</f>
        <v>0</v>
      </c>
      <c r="L562" s="25">
        <v>1.8970000000000001E-2</v>
      </c>
      <c r="M562" s="25">
        <f>G562*L562</f>
        <v>0.18970000000000001</v>
      </c>
      <c r="N562" s="26"/>
      <c r="X562" s="25">
        <f>ROUND(IF(AO562="5",BH562,0),2)</f>
        <v>0</v>
      </c>
      <c r="Z562" s="25">
        <f>ROUND(IF(AO562="1",BF562,0),2)</f>
        <v>0</v>
      </c>
      <c r="AA562" s="25">
        <f>ROUND(IF(AO562="1",BG562,0),2)</f>
        <v>0</v>
      </c>
      <c r="AB562" s="25">
        <f>ROUND(IF(AO562="7",BF562,0),2)</f>
        <v>0</v>
      </c>
      <c r="AC562" s="25">
        <f>ROUND(IF(AO562="7",BG562,0),2)</f>
        <v>0</v>
      </c>
      <c r="AD562" s="25">
        <f>ROUND(IF(AO562="2",BF562,0),2)</f>
        <v>0</v>
      </c>
      <c r="AE562" s="25">
        <f>ROUND(IF(AO562="2",BG562,0),2)</f>
        <v>0</v>
      </c>
      <c r="AF562" s="25">
        <f>ROUND(IF(AO562="0",BH562,0),2)</f>
        <v>0</v>
      </c>
      <c r="AG562" s="10" t="s">
        <v>510</v>
      </c>
      <c r="AH562" s="25">
        <f>IF(AL562=0,K562,0)</f>
        <v>0</v>
      </c>
      <c r="AI562" s="25">
        <f>IF(AL562=12,K562,0)</f>
        <v>0</v>
      </c>
      <c r="AJ562" s="25">
        <f>IF(AL562=21,K562,0)</f>
        <v>0</v>
      </c>
      <c r="AL562" s="25">
        <v>21</v>
      </c>
      <c r="AM562" s="25">
        <f>H562*0.023675048</f>
        <v>0</v>
      </c>
      <c r="AN562" s="25">
        <f>H562*(1-0.023675048)</f>
        <v>0</v>
      </c>
      <c r="AO562" s="27" t="s">
        <v>57</v>
      </c>
      <c r="AT562" s="25">
        <f>ROUND(AU562+AV562,2)</f>
        <v>0</v>
      </c>
      <c r="AU562" s="25">
        <f>ROUND(G562*AM562,2)</f>
        <v>0</v>
      </c>
      <c r="AV562" s="25">
        <f>ROUND(G562*AN562,2)</f>
        <v>0</v>
      </c>
      <c r="AW562" s="27" t="s">
        <v>784</v>
      </c>
      <c r="AX562" s="27" t="s">
        <v>666</v>
      </c>
      <c r="AY562" s="10" t="s">
        <v>518</v>
      </c>
      <c r="BA562" s="25">
        <f>AU562+AV562</f>
        <v>0</v>
      </c>
      <c r="BB562" s="25">
        <f>H562/(100-BC562)*100</f>
        <v>0</v>
      </c>
      <c r="BC562" s="25">
        <v>0</v>
      </c>
      <c r="BD562" s="25">
        <f>M562</f>
        <v>0.18970000000000001</v>
      </c>
      <c r="BF562" s="25">
        <f>G562*AM562</f>
        <v>0</v>
      </c>
      <c r="BG562" s="25">
        <f>G562*AN562</f>
        <v>0</v>
      </c>
      <c r="BH562" s="25">
        <f>G562*H562</f>
        <v>0</v>
      </c>
      <c r="BI562" s="27" t="s">
        <v>65</v>
      </c>
      <c r="BJ562" s="25">
        <v>64</v>
      </c>
      <c r="BU562" s="25" t="e">
        <f>#REF!</f>
        <v>#REF!</v>
      </c>
      <c r="BV562" s="4" t="s">
        <v>783</v>
      </c>
    </row>
    <row r="563" spans="1:74" ht="14.4" x14ac:dyDescent="0.3">
      <c r="A563" s="28"/>
      <c r="D563" s="29" t="s">
        <v>129</v>
      </c>
      <c r="E563" s="29" t="s">
        <v>52</v>
      </c>
      <c r="G563" s="30">
        <v>10</v>
      </c>
      <c r="H563" s="63"/>
      <c r="N563" s="31"/>
    </row>
    <row r="564" spans="1:74" ht="26.4" x14ac:dyDescent="0.3">
      <c r="A564" s="2" t="s">
        <v>785</v>
      </c>
      <c r="B564" s="3" t="s">
        <v>510</v>
      </c>
      <c r="C564" s="3" t="s">
        <v>786</v>
      </c>
      <c r="D564" s="112" t="s">
        <v>787</v>
      </c>
      <c r="E564" s="109"/>
      <c r="F564" s="3" t="s">
        <v>122</v>
      </c>
      <c r="G564" s="25">
        <v>1</v>
      </c>
      <c r="H564" s="62"/>
      <c r="I564" s="25">
        <f>ROUND(G564*AM564,2)</f>
        <v>0</v>
      </c>
      <c r="J564" s="25">
        <f>ROUND(G564*AN564,2)</f>
        <v>0</v>
      </c>
      <c r="K564" s="25">
        <f>ROUND(G564*H564,2)</f>
        <v>0</v>
      </c>
      <c r="L564" s="25">
        <v>1.9199999999999998E-2</v>
      </c>
      <c r="M564" s="25">
        <f>G564*L564</f>
        <v>1.9199999999999998E-2</v>
      </c>
      <c r="N564" s="102"/>
      <c r="X564" s="25">
        <f>ROUND(IF(AO564="5",BH564,0),2)</f>
        <v>0</v>
      </c>
      <c r="Z564" s="25">
        <f>ROUND(IF(AO564="1",BF564,0),2)</f>
        <v>0</v>
      </c>
      <c r="AA564" s="25">
        <f>ROUND(IF(AO564="1",BG564,0),2)</f>
        <v>0</v>
      </c>
      <c r="AB564" s="25">
        <f>ROUND(IF(AO564="7",BF564,0),2)</f>
        <v>0</v>
      </c>
      <c r="AC564" s="25">
        <f>ROUND(IF(AO564="7",BG564,0),2)</f>
        <v>0</v>
      </c>
      <c r="AD564" s="25">
        <f>ROUND(IF(AO564="2",BF564,0),2)</f>
        <v>0</v>
      </c>
      <c r="AE564" s="25">
        <f>ROUND(IF(AO564="2",BG564,0),2)</f>
        <v>0</v>
      </c>
      <c r="AF564" s="25">
        <f>ROUND(IF(AO564="0",BH564,0),2)</f>
        <v>0</v>
      </c>
      <c r="AG564" s="10" t="s">
        <v>510</v>
      </c>
      <c r="AH564" s="25">
        <f>IF(AL564=0,K564,0)</f>
        <v>0</v>
      </c>
      <c r="AI564" s="25">
        <f>IF(AL564=12,K564,0)</f>
        <v>0</v>
      </c>
      <c r="AJ564" s="25">
        <f>IF(AL564=21,K564,0)</f>
        <v>0</v>
      </c>
      <c r="AL564" s="25">
        <v>21</v>
      </c>
      <c r="AM564" s="25">
        <f>H564*1</f>
        <v>0</v>
      </c>
      <c r="AN564" s="25">
        <f>H564*(1-1)</f>
        <v>0</v>
      </c>
      <c r="AO564" s="27" t="s">
        <v>57</v>
      </c>
      <c r="AT564" s="25">
        <f>ROUND(AU564+AV564,2)</f>
        <v>0</v>
      </c>
      <c r="AU564" s="25">
        <f>ROUND(G564*AM564,2)</f>
        <v>0</v>
      </c>
      <c r="AV564" s="25">
        <f>ROUND(G564*AN564,2)</f>
        <v>0</v>
      </c>
      <c r="AW564" s="27" t="s">
        <v>784</v>
      </c>
      <c r="AX564" s="27" t="s">
        <v>666</v>
      </c>
      <c r="AY564" s="10" t="s">
        <v>518</v>
      </c>
      <c r="BA564" s="25">
        <f>AU564+AV564</f>
        <v>0</v>
      </c>
      <c r="BB564" s="25">
        <f>H564/(100-BC564)*100</f>
        <v>0</v>
      </c>
      <c r="BC564" s="25">
        <v>0</v>
      </c>
      <c r="BD564" s="25">
        <f>M564</f>
        <v>1.9199999999999998E-2</v>
      </c>
      <c r="BF564" s="25">
        <f>G564*AM564</f>
        <v>0</v>
      </c>
      <c r="BG564" s="25">
        <f>G564*AN564</f>
        <v>0</v>
      </c>
      <c r="BH564" s="25">
        <f>G564*H564</f>
        <v>0</v>
      </c>
      <c r="BI564" s="27" t="s">
        <v>576</v>
      </c>
      <c r="BJ564" s="25">
        <v>64</v>
      </c>
      <c r="BU564" s="25" t="e">
        <f>#REF!</f>
        <v>#REF!</v>
      </c>
      <c r="BV564" s="4" t="s">
        <v>787</v>
      </c>
    </row>
    <row r="565" spans="1:74" ht="14.4" x14ac:dyDescent="0.3">
      <c r="A565" s="28"/>
      <c r="D565" s="29" t="s">
        <v>57</v>
      </c>
      <c r="E565" s="29" t="s">
        <v>788</v>
      </c>
      <c r="G565" s="30">
        <v>1</v>
      </c>
      <c r="H565" s="63"/>
      <c r="N565" s="31"/>
    </row>
    <row r="566" spans="1:74" ht="26.4" x14ac:dyDescent="0.3">
      <c r="A566" s="2" t="s">
        <v>789</v>
      </c>
      <c r="B566" s="3" t="s">
        <v>510</v>
      </c>
      <c r="C566" s="3" t="s">
        <v>790</v>
      </c>
      <c r="D566" s="112" t="s">
        <v>791</v>
      </c>
      <c r="E566" s="109"/>
      <c r="F566" s="3" t="s">
        <v>122</v>
      </c>
      <c r="G566" s="25">
        <v>1</v>
      </c>
      <c r="H566" s="62"/>
      <c r="I566" s="25">
        <f>ROUND(G566*AM566,2)</f>
        <v>0</v>
      </c>
      <c r="J566" s="25">
        <f>ROUND(G566*AN566,2)</f>
        <v>0</v>
      </c>
      <c r="K566" s="25">
        <f>ROUND(G566*H566,2)</f>
        <v>0</v>
      </c>
      <c r="L566" s="25">
        <v>1.9800000000000002E-2</v>
      </c>
      <c r="M566" s="25">
        <f>G566*L566</f>
        <v>1.9800000000000002E-2</v>
      </c>
      <c r="N566" s="102"/>
      <c r="X566" s="25">
        <f>ROUND(IF(AO566="5",BH566,0),2)</f>
        <v>0</v>
      </c>
      <c r="Z566" s="25">
        <f>ROUND(IF(AO566="1",BF566,0),2)</f>
        <v>0</v>
      </c>
      <c r="AA566" s="25">
        <f>ROUND(IF(AO566="1",BG566,0),2)</f>
        <v>0</v>
      </c>
      <c r="AB566" s="25">
        <f>ROUND(IF(AO566="7",BF566,0),2)</f>
        <v>0</v>
      </c>
      <c r="AC566" s="25">
        <f>ROUND(IF(AO566="7",BG566,0),2)</f>
        <v>0</v>
      </c>
      <c r="AD566" s="25">
        <f>ROUND(IF(AO566="2",BF566,0),2)</f>
        <v>0</v>
      </c>
      <c r="AE566" s="25">
        <f>ROUND(IF(AO566="2",BG566,0),2)</f>
        <v>0</v>
      </c>
      <c r="AF566" s="25">
        <f>ROUND(IF(AO566="0",BH566,0),2)</f>
        <v>0</v>
      </c>
      <c r="AG566" s="10" t="s">
        <v>510</v>
      </c>
      <c r="AH566" s="25">
        <f>IF(AL566=0,K566,0)</f>
        <v>0</v>
      </c>
      <c r="AI566" s="25">
        <f>IF(AL566=12,K566,0)</f>
        <v>0</v>
      </c>
      <c r="AJ566" s="25">
        <f>IF(AL566=21,K566,0)</f>
        <v>0</v>
      </c>
      <c r="AL566" s="25">
        <v>21</v>
      </c>
      <c r="AM566" s="25">
        <f>H566*1</f>
        <v>0</v>
      </c>
      <c r="AN566" s="25">
        <f>H566*(1-1)</f>
        <v>0</v>
      </c>
      <c r="AO566" s="27" t="s">
        <v>57</v>
      </c>
      <c r="AT566" s="25">
        <f>ROUND(AU566+AV566,2)</f>
        <v>0</v>
      </c>
      <c r="AU566" s="25">
        <f>ROUND(G566*AM566,2)</f>
        <v>0</v>
      </c>
      <c r="AV566" s="25">
        <f>ROUND(G566*AN566,2)</f>
        <v>0</v>
      </c>
      <c r="AW566" s="27" t="s">
        <v>784</v>
      </c>
      <c r="AX566" s="27" t="s">
        <v>666</v>
      </c>
      <c r="AY566" s="10" t="s">
        <v>518</v>
      </c>
      <c r="BA566" s="25">
        <f>AU566+AV566</f>
        <v>0</v>
      </c>
      <c r="BB566" s="25">
        <f>H566/(100-BC566)*100</f>
        <v>0</v>
      </c>
      <c r="BC566" s="25">
        <v>0</v>
      </c>
      <c r="BD566" s="25">
        <f>M566</f>
        <v>1.9800000000000002E-2</v>
      </c>
      <c r="BF566" s="25">
        <f>G566*AM566</f>
        <v>0</v>
      </c>
      <c r="BG566" s="25">
        <f>G566*AN566</f>
        <v>0</v>
      </c>
      <c r="BH566" s="25">
        <f>G566*H566</f>
        <v>0</v>
      </c>
      <c r="BI566" s="27" t="s">
        <v>576</v>
      </c>
      <c r="BJ566" s="25">
        <v>64</v>
      </c>
      <c r="BU566" s="25" t="e">
        <f>#REF!</f>
        <v>#REF!</v>
      </c>
      <c r="BV566" s="4" t="s">
        <v>791</v>
      </c>
    </row>
    <row r="567" spans="1:74" ht="14.4" x14ac:dyDescent="0.3">
      <c r="A567" s="28"/>
      <c r="D567" s="29" t="s">
        <v>57</v>
      </c>
      <c r="E567" s="29" t="s">
        <v>792</v>
      </c>
      <c r="G567" s="30">
        <v>1</v>
      </c>
      <c r="H567" s="63"/>
      <c r="N567" s="31"/>
    </row>
    <row r="568" spans="1:74" ht="26.4" x14ac:dyDescent="0.3">
      <c r="A568" s="2" t="s">
        <v>793</v>
      </c>
      <c r="B568" s="3" t="s">
        <v>510</v>
      </c>
      <c r="C568" s="3" t="s">
        <v>794</v>
      </c>
      <c r="D568" s="112" t="s">
        <v>795</v>
      </c>
      <c r="E568" s="109"/>
      <c r="F568" s="3" t="s">
        <v>122</v>
      </c>
      <c r="G568" s="25">
        <v>1</v>
      </c>
      <c r="H568" s="62"/>
      <c r="I568" s="25">
        <f>ROUND(G568*AM568,2)</f>
        <v>0</v>
      </c>
      <c r="J568" s="25">
        <f>ROUND(G568*AN568,2)</f>
        <v>0</v>
      </c>
      <c r="K568" s="25">
        <f>ROUND(G568*H568,2)</f>
        <v>0</v>
      </c>
      <c r="L568" s="25">
        <v>1.9300000000000001E-2</v>
      </c>
      <c r="M568" s="25">
        <f>G568*L568</f>
        <v>1.9300000000000001E-2</v>
      </c>
      <c r="N568" s="102"/>
      <c r="X568" s="25">
        <f>ROUND(IF(AO568="5",BH568,0),2)</f>
        <v>0</v>
      </c>
      <c r="Z568" s="25">
        <f>ROUND(IF(AO568="1",BF568,0),2)</f>
        <v>0</v>
      </c>
      <c r="AA568" s="25">
        <f>ROUND(IF(AO568="1",BG568,0),2)</f>
        <v>0</v>
      </c>
      <c r="AB568" s="25">
        <f>ROUND(IF(AO568="7",BF568,0),2)</f>
        <v>0</v>
      </c>
      <c r="AC568" s="25">
        <f>ROUND(IF(AO568="7",BG568,0),2)</f>
        <v>0</v>
      </c>
      <c r="AD568" s="25">
        <f>ROUND(IF(AO568="2",BF568,0),2)</f>
        <v>0</v>
      </c>
      <c r="AE568" s="25">
        <f>ROUND(IF(AO568="2",BG568,0),2)</f>
        <v>0</v>
      </c>
      <c r="AF568" s="25">
        <f>ROUND(IF(AO568="0",BH568,0),2)</f>
        <v>0</v>
      </c>
      <c r="AG568" s="10" t="s">
        <v>510</v>
      </c>
      <c r="AH568" s="25">
        <f>IF(AL568=0,K568,0)</f>
        <v>0</v>
      </c>
      <c r="AI568" s="25">
        <f>IF(AL568=12,K568,0)</f>
        <v>0</v>
      </c>
      <c r="AJ568" s="25">
        <f>IF(AL568=21,K568,0)</f>
        <v>0</v>
      </c>
      <c r="AL568" s="25">
        <v>21</v>
      </c>
      <c r="AM568" s="25">
        <f>H568*1</f>
        <v>0</v>
      </c>
      <c r="AN568" s="25">
        <f>H568*(1-1)</f>
        <v>0</v>
      </c>
      <c r="AO568" s="27" t="s">
        <v>57</v>
      </c>
      <c r="AT568" s="25">
        <f>ROUND(AU568+AV568,2)</f>
        <v>0</v>
      </c>
      <c r="AU568" s="25">
        <f>ROUND(G568*AM568,2)</f>
        <v>0</v>
      </c>
      <c r="AV568" s="25">
        <f>ROUND(G568*AN568,2)</f>
        <v>0</v>
      </c>
      <c r="AW568" s="27" t="s">
        <v>784</v>
      </c>
      <c r="AX568" s="27" t="s">
        <v>666</v>
      </c>
      <c r="AY568" s="10" t="s">
        <v>518</v>
      </c>
      <c r="BA568" s="25">
        <f>AU568+AV568</f>
        <v>0</v>
      </c>
      <c r="BB568" s="25">
        <f>H568/(100-BC568)*100</f>
        <v>0</v>
      </c>
      <c r="BC568" s="25">
        <v>0</v>
      </c>
      <c r="BD568" s="25">
        <f>M568</f>
        <v>1.9300000000000001E-2</v>
      </c>
      <c r="BF568" s="25">
        <f>G568*AM568</f>
        <v>0</v>
      </c>
      <c r="BG568" s="25">
        <f>G568*AN568</f>
        <v>0</v>
      </c>
      <c r="BH568" s="25">
        <f>G568*H568</f>
        <v>0</v>
      </c>
      <c r="BI568" s="27" t="s">
        <v>576</v>
      </c>
      <c r="BJ568" s="25">
        <v>64</v>
      </c>
      <c r="BU568" s="25" t="e">
        <f>#REF!</f>
        <v>#REF!</v>
      </c>
      <c r="BV568" s="4" t="s">
        <v>795</v>
      </c>
    </row>
    <row r="569" spans="1:74" ht="14.4" x14ac:dyDescent="0.3">
      <c r="A569" s="28"/>
      <c r="D569" s="29" t="s">
        <v>57</v>
      </c>
      <c r="E569" s="29" t="s">
        <v>796</v>
      </c>
      <c r="G569" s="30">
        <v>1</v>
      </c>
      <c r="H569" s="63"/>
      <c r="N569" s="31"/>
    </row>
    <row r="570" spans="1:74" ht="26.4" x14ac:dyDescent="0.3">
      <c r="A570" s="2" t="s">
        <v>797</v>
      </c>
      <c r="B570" s="3" t="s">
        <v>510</v>
      </c>
      <c r="C570" s="3" t="s">
        <v>798</v>
      </c>
      <c r="D570" s="112" t="s">
        <v>799</v>
      </c>
      <c r="E570" s="109"/>
      <c r="F570" s="3" t="s">
        <v>122</v>
      </c>
      <c r="G570" s="25">
        <v>4</v>
      </c>
      <c r="H570" s="62"/>
      <c r="I570" s="25">
        <f>ROUND(G570*AM570,2)</f>
        <v>0</v>
      </c>
      <c r="J570" s="25">
        <f>ROUND(G570*AN570,2)</f>
        <v>0</v>
      </c>
      <c r="K570" s="25">
        <f>ROUND(G570*H570,2)</f>
        <v>0</v>
      </c>
      <c r="L570" s="25">
        <v>1.9400000000000001E-2</v>
      </c>
      <c r="M570" s="25">
        <f>G570*L570</f>
        <v>7.7600000000000002E-2</v>
      </c>
      <c r="N570" s="102"/>
      <c r="X570" s="25">
        <f>ROUND(IF(AO570="5",BH570,0),2)</f>
        <v>0</v>
      </c>
      <c r="Z570" s="25">
        <f>ROUND(IF(AO570="1",BF570,0),2)</f>
        <v>0</v>
      </c>
      <c r="AA570" s="25">
        <f>ROUND(IF(AO570="1",BG570,0),2)</f>
        <v>0</v>
      </c>
      <c r="AB570" s="25">
        <f>ROUND(IF(AO570="7",BF570,0),2)</f>
        <v>0</v>
      </c>
      <c r="AC570" s="25">
        <f>ROUND(IF(AO570="7",BG570,0),2)</f>
        <v>0</v>
      </c>
      <c r="AD570" s="25">
        <f>ROUND(IF(AO570="2",BF570,0),2)</f>
        <v>0</v>
      </c>
      <c r="AE570" s="25">
        <f>ROUND(IF(AO570="2",BG570,0),2)</f>
        <v>0</v>
      </c>
      <c r="AF570" s="25">
        <f>ROUND(IF(AO570="0",BH570,0),2)</f>
        <v>0</v>
      </c>
      <c r="AG570" s="10" t="s">
        <v>510</v>
      </c>
      <c r="AH570" s="25">
        <f>IF(AL570=0,K570,0)</f>
        <v>0</v>
      </c>
      <c r="AI570" s="25">
        <f>IF(AL570=12,K570,0)</f>
        <v>0</v>
      </c>
      <c r="AJ570" s="25">
        <f>IF(AL570=21,K570,0)</f>
        <v>0</v>
      </c>
      <c r="AL570" s="25">
        <v>21</v>
      </c>
      <c r="AM570" s="25">
        <f>H570*1</f>
        <v>0</v>
      </c>
      <c r="AN570" s="25">
        <f>H570*(1-1)</f>
        <v>0</v>
      </c>
      <c r="AO570" s="27" t="s">
        <v>57</v>
      </c>
      <c r="AT570" s="25">
        <f>ROUND(AU570+AV570,2)</f>
        <v>0</v>
      </c>
      <c r="AU570" s="25">
        <f>ROUND(G570*AM570,2)</f>
        <v>0</v>
      </c>
      <c r="AV570" s="25">
        <f>ROUND(G570*AN570,2)</f>
        <v>0</v>
      </c>
      <c r="AW570" s="27" t="s">
        <v>784</v>
      </c>
      <c r="AX570" s="27" t="s">
        <v>666</v>
      </c>
      <c r="AY570" s="10" t="s">
        <v>518</v>
      </c>
      <c r="BA570" s="25">
        <f>AU570+AV570</f>
        <v>0</v>
      </c>
      <c r="BB570" s="25">
        <f>H570/(100-BC570)*100</f>
        <v>0</v>
      </c>
      <c r="BC570" s="25">
        <v>0</v>
      </c>
      <c r="BD570" s="25">
        <f>M570</f>
        <v>7.7600000000000002E-2</v>
      </c>
      <c r="BF570" s="25">
        <f>G570*AM570</f>
        <v>0</v>
      </c>
      <c r="BG570" s="25">
        <f>G570*AN570</f>
        <v>0</v>
      </c>
      <c r="BH570" s="25">
        <f>G570*H570</f>
        <v>0</v>
      </c>
      <c r="BI570" s="27" t="s">
        <v>576</v>
      </c>
      <c r="BJ570" s="25">
        <v>64</v>
      </c>
      <c r="BU570" s="25" t="e">
        <f>#REF!</f>
        <v>#REF!</v>
      </c>
      <c r="BV570" s="4" t="s">
        <v>799</v>
      </c>
    </row>
    <row r="571" spans="1:74" ht="14.4" x14ac:dyDescent="0.3">
      <c r="A571" s="28"/>
      <c r="D571" s="29" t="s">
        <v>87</v>
      </c>
      <c r="E571" s="29" t="s">
        <v>800</v>
      </c>
      <c r="G571" s="30">
        <v>3</v>
      </c>
      <c r="H571" s="63"/>
      <c r="N571" s="31"/>
    </row>
    <row r="572" spans="1:74" ht="14.4" x14ac:dyDescent="0.3">
      <c r="A572" s="28"/>
      <c r="D572" s="29" t="s">
        <v>57</v>
      </c>
      <c r="E572" s="29" t="s">
        <v>801</v>
      </c>
      <c r="G572" s="30">
        <v>1</v>
      </c>
      <c r="H572" s="63"/>
      <c r="N572" s="31"/>
    </row>
    <row r="573" spans="1:74" ht="26.4" x14ac:dyDescent="0.3">
      <c r="A573" s="2" t="s">
        <v>802</v>
      </c>
      <c r="B573" s="3" t="s">
        <v>510</v>
      </c>
      <c r="C573" s="3" t="s">
        <v>803</v>
      </c>
      <c r="D573" s="112" t="s">
        <v>804</v>
      </c>
      <c r="E573" s="109"/>
      <c r="F573" s="3" t="s">
        <v>122</v>
      </c>
      <c r="G573" s="25">
        <v>1</v>
      </c>
      <c r="H573" s="62"/>
      <c r="I573" s="25">
        <f>ROUND(G573*AM573,2)</f>
        <v>0</v>
      </c>
      <c r="J573" s="25">
        <f>ROUND(G573*AN573,2)</f>
        <v>0</v>
      </c>
      <c r="K573" s="25">
        <f>ROUND(G573*H573,2)</f>
        <v>0</v>
      </c>
      <c r="L573" s="25">
        <v>1.9800000000000002E-2</v>
      </c>
      <c r="M573" s="25">
        <f>G573*L573</f>
        <v>1.9800000000000002E-2</v>
      </c>
      <c r="N573" s="102"/>
      <c r="X573" s="25">
        <f>ROUND(IF(AO573="5",BH573,0),2)</f>
        <v>0</v>
      </c>
      <c r="Z573" s="25">
        <f>ROUND(IF(AO573="1",BF573,0),2)</f>
        <v>0</v>
      </c>
      <c r="AA573" s="25">
        <f>ROUND(IF(AO573="1",BG573,0),2)</f>
        <v>0</v>
      </c>
      <c r="AB573" s="25">
        <f>ROUND(IF(AO573="7",BF573,0),2)</f>
        <v>0</v>
      </c>
      <c r="AC573" s="25">
        <f>ROUND(IF(AO573="7",BG573,0),2)</f>
        <v>0</v>
      </c>
      <c r="AD573" s="25">
        <f>ROUND(IF(AO573="2",BF573,0),2)</f>
        <v>0</v>
      </c>
      <c r="AE573" s="25">
        <f>ROUND(IF(AO573="2",BG573,0),2)</f>
        <v>0</v>
      </c>
      <c r="AF573" s="25">
        <f>ROUND(IF(AO573="0",BH573,0),2)</f>
        <v>0</v>
      </c>
      <c r="AG573" s="10" t="s">
        <v>510</v>
      </c>
      <c r="AH573" s="25">
        <f>IF(AL573=0,K573,0)</f>
        <v>0</v>
      </c>
      <c r="AI573" s="25">
        <f>IF(AL573=12,K573,0)</f>
        <v>0</v>
      </c>
      <c r="AJ573" s="25">
        <f>IF(AL573=21,K573,0)</f>
        <v>0</v>
      </c>
      <c r="AL573" s="25">
        <v>21</v>
      </c>
      <c r="AM573" s="25">
        <f>H573*1</f>
        <v>0</v>
      </c>
      <c r="AN573" s="25">
        <f>H573*(1-1)</f>
        <v>0</v>
      </c>
      <c r="AO573" s="27" t="s">
        <v>57</v>
      </c>
      <c r="AT573" s="25">
        <f>ROUND(AU573+AV573,2)</f>
        <v>0</v>
      </c>
      <c r="AU573" s="25">
        <f>ROUND(G573*AM573,2)</f>
        <v>0</v>
      </c>
      <c r="AV573" s="25">
        <f>ROUND(G573*AN573,2)</f>
        <v>0</v>
      </c>
      <c r="AW573" s="27" t="s">
        <v>784</v>
      </c>
      <c r="AX573" s="27" t="s">
        <v>666</v>
      </c>
      <c r="AY573" s="10" t="s">
        <v>518</v>
      </c>
      <c r="BA573" s="25">
        <f>AU573+AV573</f>
        <v>0</v>
      </c>
      <c r="BB573" s="25">
        <f>H573/(100-BC573)*100</f>
        <v>0</v>
      </c>
      <c r="BC573" s="25">
        <v>0</v>
      </c>
      <c r="BD573" s="25">
        <f>M573</f>
        <v>1.9800000000000002E-2</v>
      </c>
      <c r="BF573" s="25">
        <f>G573*AM573</f>
        <v>0</v>
      </c>
      <c r="BG573" s="25">
        <f>G573*AN573</f>
        <v>0</v>
      </c>
      <c r="BH573" s="25">
        <f>G573*H573</f>
        <v>0</v>
      </c>
      <c r="BI573" s="27" t="s">
        <v>576</v>
      </c>
      <c r="BJ573" s="25">
        <v>64</v>
      </c>
      <c r="BU573" s="25" t="e">
        <f>#REF!</f>
        <v>#REF!</v>
      </c>
      <c r="BV573" s="4" t="s">
        <v>804</v>
      </c>
    </row>
    <row r="574" spans="1:74" ht="14.4" x14ac:dyDescent="0.3">
      <c r="A574" s="28"/>
      <c r="D574" s="29" t="s">
        <v>57</v>
      </c>
      <c r="E574" s="29" t="s">
        <v>805</v>
      </c>
      <c r="G574" s="30">
        <v>1</v>
      </c>
      <c r="H574" s="63"/>
      <c r="N574" s="31"/>
    </row>
    <row r="575" spans="1:74" ht="14.4" x14ac:dyDescent="0.3">
      <c r="A575" s="21" t="s">
        <v>52</v>
      </c>
      <c r="B575" s="22" t="s">
        <v>510</v>
      </c>
      <c r="C575" s="22" t="s">
        <v>55</v>
      </c>
      <c r="D575" s="170" t="s">
        <v>56</v>
      </c>
      <c r="E575" s="171"/>
      <c r="F575" s="23" t="s">
        <v>32</v>
      </c>
      <c r="G575" s="23" t="s">
        <v>32</v>
      </c>
      <c r="H575" s="64"/>
      <c r="I575" s="1">
        <f>SUM(I576:I597)</f>
        <v>0</v>
      </c>
      <c r="J575" s="1">
        <f>SUM(J576:J597)</f>
        <v>0</v>
      </c>
      <c r="K575" s="1">
        <f>SUM(K576:K597)</f>
        <v>0</v>
      </c>
      <c r="L575" s="10" t="s">
        <v>52</v>
      </c>
      <c r="M575" s="1">
        <f>SUM(M576:M597)</f>
        <v>0.30432643000000004</v>
      </c>
      <c r="N575" s="24"/>
      <c r="AG575" s="10" t="s">
        <v>510</v>
      </c>
      <c r="AQ575" s="1">
        <f>SUM(AH576:AH597)</f>
        <v>0</v>
      </c>
      <c r="AR575" s="1">
        <f>SUM(AI576:AI597)</f>
        <v>0</v>
      </c>
      <c r="AS575" s="1">
        <f>SUM(AJ576:AJ597)</f>
        <v>0</v>
      </c>
    </row>
    <row r="576" spans="1:74" ht="26.4" x14ac:dyDescent="0.3">
      <c r="A576" s="2" t="s">
        <v>806</v>
      </c>
      <c r="B576" s="3" t="s">
        <v>510</v>
      </c>
      <c r="C576" s="3" t="s">
        <v>807</v>
      </c>
      <c r="D576" s="112" t="s">
        <v>808</v>
      </c>
      <c r="E576" s="109"/>
      <c r="F576" s="3" t="s">
        <v>60</v>
      </c>
      <c r="G576" s="25">
        <v>73.766999999999996</v>
      </c>
      <c r="H576" s="62"/>
      <c r="I576" s="25">
        <f>ROUND(G576*AM576,2)</f>
        <v>0</v>
      </c>
      <c r="J576" s="25">
        <f>ROUND(G576*AN576,2)</f>
        <v>0</v>
      </c>
      <c r="K576" s="25">
        <f>ROUND(G576*H576,2)</f>
        <v>0</v>
      </c>
      <c r="L576" s="25">
        <v>2.1000000000000001E-4</v>
      </c>
      <c r="M576" s="25">
        <f>G576*L576</f>
        <v>1.5491069999999999E-2</v>
      </c>
      <c r="N576" s="26"/>
      <c r="X576" s="25">
        <f>ROUND(IF(AO576="5",BH576,0),2)</f>
        <v>0</v>
      </c>
      <c r="Z576" s="25">
        <f>ROUND(IF(AO576="1",BF576,0),2)</f>
        <v>0</v>
      </c>
      <c r="AA576" s="25">
        <f>ROUND(IF(AO576="1",BG576,0),2)</f>
        <v>0</v>
      </c>
      <c r="AB576" s="25">
        <f>ROUND(IF(AO576="7",BF576,0),2)</f>
        <v>0</v>
      </c>
      <c r="AC576" s="25">
        <f>ROUND(IF(AO576="7",BG576,0),2)</f>
        <v>0</v>
      </c>
      <c r="AD576" s="25">
        <f>ROUND(IF(AO576="2",BF576,0),2)</f>
        <v>0</v>
      </c>
      <c r="AE576" s="25">
        <f>ROUND(IF(AO576="2",BG576,0),2)</f>
        <v>0</v>
      </c>
      <c r="AF576" s="25">
        <f>ROUND(IF(AO576="0",BH576,0),2)</f>
        <v>0</v>
      </c>
      <c r="AG576" s="10" t="s">
        <v>510</v>
      </c>
      <c r="AH576" s="25">
        <f>IF(AL576=0,K576,0)</f>
        <v>0</v>
      </c>
      <c r="AI576" s="25">
        <f>IF(AL576=12,K576,0)</f>
        <v>0</v>
      </c>
      <c r="AJ576" s="25">
        <f>IF(AL576=21,K576,0)</f>
        <v>0</v>
      </c>
      <c r="AL576" s="25">
        <v>21</v>
      </c>
      <c r="AM576" s="25">
        <f>H576*0.343628728</f>
        <v>0</v>
      </c>
      <c r="AN576" s="25">
        <f>H576*(1-0.343628728)</f>
        <v>0</v>
      </c>
      <c r="AO576" s="27" t="s">
        <v>61</v>
      </c>
      <c r="AT576" s="25">
        <f>ROUND(AU576+AV576,2)</f>
        <v>0</v>
      </c>
      <c r="AU576" s="25">
        <f>ROUND(G576*AM576,2)</f>
        <v>0</v>
      </c>
      <c r="AV576" s="25">
        <f>ROUND(G576*AN576,2)</f>
        <v>0</v>
      </c>
      <c r="AW576" s="27" t="s">
        <v>62</v>
      </c>
      <c r="AX576" s="27" t="s">
        <v>809</v>
      </c>
      <c r="AY576" s="10" t="s">
        <v>518</v>
      </c>
      <c r="BA576" s="25">
        <f>AU576+AV576</f>
        <v>0</v>
      </c>
      <c r="BB576" s="25">
        <f>H576/(100-BC576)*100</f>
        <v>0</v>
      </c>
      <c r="BC576" s="25">
        <v>0</v>
      </c>
      <c r="BD576" s="25">
        <f>M576</f>
        <v>1.5491069999999999E-2</v>
      </c>
      <c r="BF576" s="25">
        <f>G576*AM576</f>
        <v>0</v>
      </c>
      <c r="BG576" s="25">
        <f>G576*AN576</f>
        <v>0</v>
      </c>
      <c r="BH576" s="25">
        <f>G576*H576</f>
        <v>0</v>
      </c>
      <c r="BI576" s="27" t="s">
        <v>65</v>
      </c>
      <c r="BJ576" s="25">
        <v>711</v>
      </c>
      <c r="BU576" s="25" t="e">
        <f>#REF!</f>
        <v>#REF!</v>
      </c>
      <c r="BV576" s="4" t="s">
        <v>808</v>
      </c>
    </row>
    <row r="577" spans="1:74" ht="14.4" x14ac:dyDescent="0.3">
      <c r="A577" s="28"/>
      <c r="D577" s="29" t="s">
        <v>810</v>
      </c>
      <c r="E577" s="29" t="s">
        <v>69</v>
      </c>
      <c r="G577" s="30">
        <v>32.880000000000003</v>
      </c>
      <c r="H577" s="63"/>
      <c r="N577" s="31"/>
    </row>
    <row r="578" spans="1:74" ht="14.4" x14ac:dyDescent="0.3">
      <c r="A578" s="28"/>
      <c r="D578" s="29" t="s">
        <v>811</v>
      </c>
      <c r="E578" s="29" t="s">
        <v>70</v>
      </c>
      <c r="G578" s="30">
        <v>22.956</v>
      </c>
      <c r="H578" s="63"/>
      <c r="N578" s="31"/>
    </row>
    <row r="579" spans="1:74" ht="14.4" x14ac:dyDescent="0.3">
      <c r="A579" s="28"/>
      <c r="D579" s="29" t="s">
        <v>812</v>
      </c>
      <c r="E579" s="29" t="s">
        <v>72</v>
      </c>
      <c r="G579" s="30">
        <v>4.4820000000000002</v>
      </c>
      <c r="H579" s="63"/>
      <c r="N579" s="31"/>
    </row>
    <row r="580" spans="1:74" ht="14.4" x14ac:dyDescent="0.3">
      <c r="A580" s="28"/>
      <c r="D580" s="29" t="s">
        <v>813</v>
      </c>
      <c r="E580" s="29" t="s">
        <v>180</v>
      </c>
      <c r="G580" s="30">
        <v>10.531000000000001</v>
      </c>
      <c r="H580" s="63"/>
      <c r="N580" s="31"/>
    </row>
    <row r="581" spans="1:74" ht="14.4" x14ac:dyDescent="0.3">
      <c r="A581" s="28"/>
      <c r="D581" s="29" t="s">
        <v>814</v>
      </c>
      <c r="E581" s="29" t="s">
        <v>182</v>
      </c>
      <c r="G581" s="30">
        <v>2.9180000000000001</v>
      </c>
      <c r="H581" s="63"/>
      <c r="N581" s="31"/>
    </row>
    <row r="582" spans="1:74" ht="14.4" x14ac:dyDescent="0.3">
      <c r="A582" s="2" t="s">
        <v>815</v>
      </c>
      <c r="B582" s="3" t="s">
        <v>510</v>
      </c>
      <c r="C582" s="3" t="s">
        <v>816</v>
      </c>
      <c r="D582" s="112" t="s">
        <v>817</v>
      </c>
      <c r="E582" s="109"/>
      <c r="F582" s="3" t="s">
        <v>60</v>
      </c>
      <c r="G582" s="25">
        <v>73.766999999999996</v>
      </c>
      <c r="H582" s="62"/>
      <c r="I582" s="25">
        <f>ROUND(G582*AM582,2)</f>
        <v>0</v>
      </c>
      <c r="J582" s="25">
        <f>ROUND(G582*AN582,2)</f>
        <v>0</v>
      </c>
      <c r="K582" s="25">
        <f>ROUND(G582*H582,2)</f>
        <v>0</v>
      </c>
      <c r="L582" s="25">
        <v>3.6800000000000001E-3</v>
      </c>
      <c r="M582" s="25">
        <f>G582*L582</f>
        <v>0.27146256000000002</v>
      </c>
      <c r="N582" s="26"/>
      <c r="X582" s="25">
        <f>ROUND(IF(AO582="5",BH582,0),2)</f>
        <v>0</v>
      </c>
      <c r="Z582" s="25">
        <f>ROUND(IF(AO582="1",BF582,0),2)</f>
        <v>0</v>
      </c>
      <c r="AA582" s="25">
        <f>ROUND(IF(AO582="1",BG582,0),2)</f>
        <v>0</v>
      </c>
      <c r="AB582" s="25">
        <f>ROUND(IF(AO582="7",BF582,0),2)</f>
        <v>0</v>
      </c>
      <c r="AC582" s="25">
        <f>ROUND(IF(AO582="7",BG582,0),2)</f>
        <v>0</v>
      </c>
      <c r="AD582" s="25">
        <f>ROUND(IF(AO582="2",BF582,0),2)</f>
        <v>0</v>
      </c>
      <c r="AE582" s="25">
        <f>ROUND(IF(AO582="2",BG582,0),2)</f>
        <v>0</v>
      </c>
      <c r="AF582" s="25">
        <f>ROUND(IF(AO582="0",BH582,0),2)</f>
        <v>0</v>
      </c>
      <c r="AG582" s="10" t="s">
        <v>510</v>
      </c>
      <c r="AH582" s="25">
        <f>IF(AL582=0,K582,0)</f>
        <v>0</v>
      </c>
      <c r="AI582" s="25">
        <f>IF(AL582=12,K582,0)</f>
        <v>0</v>
      </c>
      <c r="AJ582" s="25">
        <f>IF(AL582=21,K582,0)</f>
        <v>0</v>
      </c>
      <c r="AL582" s="25">
        <v>21</v>
      </c>
      <c r="AM582" s="25">
        <f>H582*0.698736111</f>
        <v>0</v>
      </c>
      <c r="AN582" s="25">
        <f>H582*(1-0.698736111)</f>
        <v>0</v>
      </c>
      <c r="AO582" s="27" t="s">
        <v>61</v>
      </c>
      <c r="AT582" s="25">
        <f>ROUND(AU582+AV582,2)</f>
        <v>0</v>
      </c>
      <c r="AU582" s="25">
        <f>ROUND(G582*AM582,2)</f>
        <v>0</v>
      </c>
      <c r="AV582" s="25">
        <f>ROUND(G582*AN582,2)</f>
        <v>0</v>
      </c>
      <c r="AW582" s="27" t="s">
        <v>62</v>
      </c>
      <c r="AX582" s="27" t="s">
        <v>809</v>
      </c>
      <c r="AY582" s="10" t="s">
        <v>518</v>
      </c>
      <c r="BA582" s="25">
        <f>AU582+AV582</f>
        <v>0</v>
      </c>
      <c r="BB582" s="25">
        <f>H582/(100-BC582)*100</f>
        <v>0</v>
      </c>
      <c r="BC582" s="25">
        <v>0</v>
      </c>
      <c r="BD582" s="25">
        <f>M582</f>
        <v>0.27146256000000002</v>
      </c>
      <c r="BF582" s="25">
        <f>G582*AM582</f>
        <v>0</v>
      </c>
      <c r="BG582" s="25">
        <f>G582*AN582</f>
        <v>0</v>
      </c>
      <c r="BH582" s="25">
        <f>G582*H582</f>
        <v>0</v>
      </c>
      <c r="BI582" s="27" t="s">
        <v>65</v>
      </c>
      <c r="BJ582" s="25">
        <v>711</v>
      </c>
      <c r="BU582" s="25" t="e">
        <f>#REF!</f>
        <v>#REF!</v>
      </c>
      <c r="BV582" s="4" t="s">
        <v>817</v>
      </c>
    </row>
    <row r="583" spans="1:74" ht="14.4" x14ac:dyDescent="0.3">
      <c r="A583" s="28"/>
      <c r="D583" s="29" t="s">
        <v>810</v>
      </c>
      <c r="E583" s="29" t="s">
        <v>69</v>
      </c>
      <c r="G583" s="30">
        <v>32.880000000000003</v>
      </c>
      <c r="H583" s="63"/>
      <c r="N583" s="31"/>
    </row>
    <row r="584" spans="1:74" ht="14.4" x14ac:dyDescent="0.3">
      <c r="A584" s="28"/>
      <c r="D584" s="29" t="s">
        <v>811</v>
      </c>
      <c r="E584" s="29" t="s">
        <v>70</v>
      </c>
      <c r="G584" s="30">
        <v>22.956</v>
      </c>
      <c r="H584" s="63"/>
      <c r="N584" s="31"/>
    </row>
    <row r="585" spans="1:74" ht="14.4" x14ac:dyDescent="0.3">
      <c r="A585" s="28"/>
      <c r="D585" s="29" t="s">
        <v>812</v>
      </c>
      <c r="E585" s="29" t="s">
        <v>72</v>
      </c>
      <c r="G585" s="30">
        <v>4.4820000000000002</v>
      </c>
      <c r="H585" s="63"/>
      <c r="N585" s="31"/>
    </row>
    <row r="586" spans="1:74" ht="14.4" x14ac:dyDescent="0.3">
      <c r="A586" s="28"/>
      <c r="D586" s="29" t="s">
        <v>813</v>
      </c>
      <c r="E586" s="29" t="s">
        <v>180</v>
      </c>
      <c r="G586" s="30">
        <v>10.531000000000001</v>
      </c>
      <c r="H586" s="63"/>
      <c r="N586" s="31"/>
    </row>
    <row r="587" spans="1:74" ht="14.4" x14ac:dyDescent="0.3">
      <c r="A587" s="28"/>
      <c r="D587" s="29" t="s">
        <v>814</v>
      </c>
      <c r="E587" s="29" t="s">
        <v>182</v>
      </c>
      <c r="G587" s="30">
        <v>2.9180000000000001</v>
      </c>
      <c r="H587" s="63"/>
      <c r="N587" s="31"/>
    </row>
    <row r="588" spans="1:74" ht="14.4" x14ac:dyDescent="0.3">
      <c r="A588" s="2" t="s">
        <v>818</v>
      </c>
      <c r="B588" s="3" t="s">
        <v>510</v>
      </c>
      <c r="C588" s="3" t="s">
        <v>819</v>
      </c>
      <c r="D588" s="112" t="s">
        <v>820</v>
      </c>
      <c r="E588" s="109"/>
      <c r="F588" s="3" t="s">
        <v>115</v>
      </c>
      <c r="G588" s="25">
        <v>50.09</v>
      </c>
      <c r="H588" s="62"/>
      <c r="I588" s="25">
        <f>ROUND(G588*AM588,2)</f>
        <v>0</v>
      </c>
      <c r="J588" s="25">
        <f>ROUND(G588*AN588,2)</f>
        <v>0</v>
      </c>
      <c r="K588" s="25">
        <f>ROUND(G588*H588,2)</f>
        <v>0</v>
      </c>
      <c r="L588" s="25">
        <v>3.2000000000000003E-4</v>
      </c>
      <c r="M588" s="25">
        <f>G588*L588</f>
        <v>1.6028800000000003E-2</v>
      </c>
      <c r="N588" s="26"/>
      <c r="X588" s="25">
        <f>ROUND(IF(AO588="5",BH588,0),2)</f>
        <v>0</v>
      </c>
      <c r="Z588" s="25">
        <f>ROUND(IF(AO588="1",BF588,0),2)</f>
        <v>0</v>
      </c>
      <c r="AA588" s="25">
        <f>ROUND(IF(AO588="1",BG588,0),2)</f>
        <v>0</v>
      </c>
      <c r="AB588" s="25">
        <f>ROUND(IF(AO588="7",BF588,0),2)</f>
        <v>0</v>
      </c>
      <c r="AC588" s="25">
        <f>ROUND(IF(AO588="7",BG588,0),2)</f>
        <v>0</v>
      </c>
      <c r="AD588" s="25">
        <f>ROUND(IF(AO588="2",BF588,0),2)</f>
        <v>0</v>
      </c>
      <c r="AE588" s="25">
        <f>ROUND(IF(AO588="2",BG588,0),2)</f>
        <v>0</v>
      </c>
      <c r="AF588" s="25">
        <f>ROUND(IF(AO588="0",BH588,0),2)</f>
        <v>0</v>
      </c>
      <c r="AG588" s="10" t="s">
        <v>510</v>
      </c>
      <c r="AH588" s="25">
        <f>IF(AL588=0,K588,0)</f>
        <v>0</v>
      </c>
      <c r="AI588" s="25">
        <f>IF(AL588=12,K588,0)</f>
        <v>0</v>
      </c>
      <c r="AJ588" s="25">
        <f>IF(AL588=21,K588,0)</f>
        <v>0</v>
      </c>
      <c r="AL588" s="25">
        <v>21</v>
      </c>
      <c r="AM588" s="25">
        <f>H588*0.696225226</f>
        <v>0</v>
      </c>
      <c r="AN588" s="25">
        <f>H588*(1-0.696225226)</f>
        <v>0</v>
      </c>
      <c r="AO588" s="27" t="s">
        <v>61</v>
      </c>
      <c r="AT588" s="25">
        <f>ROUND(AU588+AV588,2)</f>
        <v>0</v>
      </c>
      <c r="AU588" s="25">
        <f>ROUND(G588*AM588,2)</f>
        <v>0</v>
      </c>
      <c r="AV588" s="25">
        <f>ROUND(G588*AN588,2)</f>
        <v>0</v>
      </c>
      <c r="AW588" s="27" t="s">
        <v>62</v>
      </c>
      <c r="AX588" s="27" t="s">
        <v>809</v>
      </c>
      <c r="AY588" s="10" t="s">
        <v>518</v>
      </c>
      <c r="BA588" s="25">
        <f>AU588+AV588</f>
        <v>0</v>
      </c>
      <c r="BB588" s="25">
        <f>H588/(100-BC588)*100</f>
        <v>0</v>
      </c>
      <c r="BC588" s="25">
        <v>0</v>
      </c>
      <c r="BD588" s="25">
        <f>M588</f>
        <v>1.6028800000000003E-2</v>
      </c>
      <c r="BF588" s="25">
        <f>G588*AM588</f>
        <v>0</v>
      </c>
      <c r="BG588" s="25">
        <f>G588*AN588</f>
        <v>0</v>
      </c>
      <c r="BH588" s="25">
        <f>G588*H588</f>
        <v>0</v>
      </c>
      <c r="BI588" s="27" t="s">
        <v>65</v>
      </c>
      <c r="BJ588" s="25">
        <v>711</v>
      </c>
      <c r="BU588" s="25" t="e">
        <f>#REF!</f>
        <v>#REF!</v>
      </c>
      <c r="BV588" s="4" t="s">
        <v>820</v>
      </c>
    </row>
    <row r="589" spans="1:74" ht="14.4" x14ac:dyDescent="0.3">
      <c r="A589" s="28"/>
      <c r="D589" s="29" t="s">
        <v>199</v>
      </c>
      <c r="E589" s="29" t="s">
        <v>69</v>
      </c>
      <c r="G589" s="30">
        <v>11.75</v>
      </c>
      <c r="H589" s="63"/>
      <c r="N589" s="31"/>
    </row>
    <row r="590" spans="1:74" ht="14.4" x14ac:dyDescent="0.3">
      <c r="A590" s="28"/>
      <c r="D590" s="29" t="s">
        <v>821</v>
      </c>
      <c r="E590" s="29" t="s">
        <v>70</v>
      </c>
      <c r="G590" s="30">
        <v>15.27</v>
      </c>
      <c r="H590" s="63"/>
      <c r="N590" s="31"/>
    </row>
    <row r="591" spans="1:74" ht="14.4" x14ac:dyDescent="0.3">
      <c r="A591" s="28"/>
      <c r="D591" s="29" t="s">
        <v>822</v>
      </c>
      <c r="E591" s="29" t="s">
        <v>72</v>
      </c>
      <c r="G591" s="30">
        <v>5.94</v>
      </c>
      <c r="H591" s="63"/>
      <c r="N591" s="31"/>
    </row>
    <row r="592" spans="1:74" ht="14.4" x14ac:dyDescent="0.3">
      <c r="A592" s="28"/>
      <c r="D592" s="29" t="s">
        <v>823</v>
      </c>
      <c r="E592" s="29" t="s">
        <v>180</v>
      </c>
      <c r="G592" s="30">
        <v>6.52</v>
      </c>
      <c r="H592" s="63"/>
      <c r="N592" s="31"/>
    </row>
    <row r="593" spans="1:74" ht="14.4" x14ac:dyDescent="0.3">
      <c r="A593" s="28"/>
      <c r="D593" s="29" t="s">
        <v>824</v>
      </c>
      <c r="E593" s="29" t="s">
        <v>182</v>
      </c>
      <c r="G593" s="30">
        <v>4.34</v>
      </c>
      <c r="H593" s="63"/>
      <c r="N593" s="31"/>
    </row>
    <row r="594" spans="1:74" ht="14.4" x14ac:dyDescent="0.3">
      <c r="A594" s="28"/>
      <c r="D594" s="29" t="s">
        <v>825</v>
      </c>
      <c r="E594" s="29" t="s">
        <v>826</v>
      </c>
      <c r="G594" s="30">
        <v>6.27</v>
      </c>
      <c r="H594" s="63"/>
      <c r="N594" s="31"/>
    </row>
    <row r="595" spans="1:74" ht="14.4" x14ac:dyDescent="0.3">
      <c r="A595" s="2" t="s">
        <v>827</v>
      </c>
      <c r="B595" s="3" t="s">
        <v>510</v>
      </c>
      <c r="C595" s="3" t="s">
        <v>828</v>
      </c>
      <c r="D595" s="112" t="s">
        <v>829</v>
      </c>
      <c r="E595" s="109"/>
      <c r="F595" s="3" t="s">
        <v>115</v>
      </c>
      <c r="G595" s="25">
        <v>4.2</v>
      </c>
      <c r="H595" s="62"/>
      <c r="I595" s="25">
        <f>ROUND(G595*AM595,2)</f>
        <v>0</v>
      </c>
      <c r="J595" s="25">
        <f>ROUND(G595*AN595,2)</f>
        <v>0</v>
      </c>
      <c r="K595" s="25">
        <f>ROUND(G595*H595,2)</f>
        <v>0</v>
      </c>
      <c r="L595" s="25">
        <v>3.2000000000000003E-4</v>
      </c>
      <c r="M595" s="25">
        <f>G595*L595</f>
        <v>1.3440000000000001E-3</v>
      </c>
      <c r="N595" s="26"/>
      <c r="X595" s="25">
        <f>ROUND(IF(AO595="5",BH595,0),2)</f>
        <v>0</v>
      </c>
      <c r="Z595" s="25">
        <f>ROUND(IF(AO595="1",BF595,0),2)</f>
        <v>0</v>
      </c>
      <c r="AA595" s="25">
        <f>ROUND(IF(AO595="1",BG595,0),2)</f>
        <v>0</v>
      </c>
      <c r="AB595" s="25">
        <f>ROUND(IF(AO595="7",BF595,0),2)</f>
        <v>0</v>
      </c>
      <c r="AC595" s="25">
        <f>ROUND(IF(AO595="7",BG595,0),2)</f>
        <v>0</v>
      </c>
      <c r="AD595" s="25">
        <f>ROUND(IF(AO595="2",BF595,0),2)</f>
        <v>0</v>
      </c>
      <c r="AE595" s="25">
        <f>ROUND(IF(AO595="2",BG595,0),2)</f>
        <v>0</v>
      </c>
      <c r="AF595" s="25">
        <f>ROUND(IF(AO595="0",BH595,0),2)</f>
        <v>0</v>
      </c>
      <c r="AG595" s="10" t="s">
        <v>510</v>
      </c>
      <c r="AH595" s="25">
        <f>IF(AL595=0,K595,0)</f>
        <v>0</v>
      </c>
      <c r="AI595" s="25">
        <f>IF(AL595=12,K595,0)</f>
        <v>0</v>
      </c>
      <c r="AJ595" s="25">
        <f>IF(AL595=21,K595,0)</f>
        <v>0</v>
      </c>
      <c r="AL595" s="25">
        <v>21</v>
      </c>
      <c r="AM595" s="25">
        <f>H595*0.591228591</f>
        <v>0</v>
      </c>
      <c r="AN595" s="25">
        <f>H595*(1-0.591228591)</f>
        <v>0</v>
      </c>
      <c r="AO595" s="27" t="s">
        <v>61</v>
      </c>
      <c r="AT595" s="25">
        <f>ROUND(AU595+AV595,2)</f>
        <v>0</v>
      </c>
      <c r="AU595" s="25">
        <f>ROUND(G595*AM595,2)</f>
        <v>0</v>
      </c>
      <c r="AV595" s="25">
        <f>ROUND(G595*AN595,2)</f>
        <v>0</v>
      </c>
      <c r="AW595" s="27" t="s">
        <v>62</v>
      </c>
      <c r="AX595" s="27" t="s">
        <v>809</v>
      </c>
      <c r="AY595" s="10" t="s">
        <v>518</v>
      </c>
      <c r="BA595" s="25">
        <f>AU595+AV595</f>
        <v>0</v>
      </c>
      <c r="BB595" s="25">
        <f>H595/(100-BC595)*100</f>
        <v>0</v>
      </c>
      <c r="BC595" s="25">
        <v>0</v>
      </c>
      <c r="BD595" s="25">
        <f>M595</f>
        <v>1.3440000000000001E-3</v>
      </c>
      <c r="BF595" s="25">
        <f>G595*AM595</f>
        <v>0</v>
      </c>
      <c r="BG595" s="25">
        <f>G595*AN595</f>
        <v>0</v>
      </c>
      <c r="BH595" s="25">
        <f>G595*H595</f>
        <v>0</v>
      </c>
      <c r="BI595" s="27" t="s">
        <v>65</v>
      </c>
      <c r="BJ595" s="25">
        <v>711</v>
      </c>
      <c r="BU595" s="25" t="e">
        <f>#REF!</f>
        <v>#REF!</v>
      </c>
      <c r="BV595" s="4" t="s">
        <v>829</v>
      </c>
    </row>
    <row r="596" spans="1:74" ht="14.4" x14ac:dyDescent="0.3">
      <c r="A596" s="28"/>
      <c r="D596" s="29" t="s">
        <v>830</v>
      </c>
      <c r="E596" s="29" t="s">
        <v>180</v>
      </c>
      <c r="G596" s="30">
        <v>4.2</v>
      </c>
      <c r="H596" s="63"/>
      <c r="N596" s="31"/>
    </row>
    <row r="597" spans="1:74" ht="14.4" x14ac:dyDescent="0.3">
      <c r="A597" s="2" t="s">
        <v>831</v>
      </c>
      <c r="B597" s="3" t="s">
        <v>510</v>
      </c>
      <c r="C597" s="3" t="s">
        <v>832</v>
      </c>
      <c r="D597" s="112" t="s">
        <v>833</v>
      </c>
      <c r="E597" s="109"/>
      <c r="F597" s="3" t="s">
        <v>278</v>
      </c>
      <c r="G597" s="25">
        <v>0.30432999999999999</v>
      </c>
      <c r="H597" s="62"/>
      <c r="I597" s="25">
        <f>ROUND(G597*AM597,2)</f>
        <v>0</v>
      </c>
      <c r="J597" s="25">
        <f>ROUND(G597*AN597,2)</f>
        <v>0</v>
      </c>
      <c r="K597" s="25">
        <f>ROUND(G597*H597,2)</f>
        <v>0</v>
      </c>
      <c r="L597" s="25">
        <v>0</v>
      </c>
      <c r="M597" s="25">
        <f>G597*L597</f>
        <v>0</v>
      </c>
      <c r="N597" s="26"/>
      <c r="X597" s="25">
        <f>ROUND(IF(AO597="5",BH597,0),2)</f>
        <v>0</v>
      </c>
      <c r="Z597" s="25">
        <f>ROUND(IF(AO597="1",BF597,0),2)</f>
        <v>0</v>
      </c>
      <c r="AA597" s="25">
        <f>ROUND(IF(AO597="1",BG597,0),2)</f>
        <v>0</v>
      </c>
      <c r="AB597" s="25">
        <f>ROUND(IF(AO597="7",BF597,0),2)</f>
        <v>0</v>
      </c>
      <c r="AC597" s="25">
        <f>ROUND(IF(AO597="7",BG597,0),2)</f>
        <v>0</v>
      </c>
      <c r="AD597" s="25">
        <f>ROUND(IF(AO597="2",BF597,0),2)</f>
        <v>0</v>
      </c>
      <c r="AE597" s="25">
        <f>ROUND(IF(AO597="2",BG597,0),2)</f>
        <v>0</v>
      </c>
      <c r="AF597" s="25">
        <f>ROUND(IF(AO597="0",BH597,0),2)</f>
        <v>0</v>
      </c>
      <c r="AG597" s="10" t="s">
        <v>510</v>
      </c>
      <c r="AH597" s="25">
        <f>IF(AL597=0,K597,0)</f>
        <v>0</v>
      </c>
      <c r="AI597" s="25">
        <f>IF(AL597=12,K597,0)</f>
        <v>0</v>
      </c>
      <c r="AJ597" s="25">
        <f>IF(AL597=21,K597,0)</f>
        <v>0</v>
      </c>
      <c r="AL597" s="25">
        <v>21</v>
      </c>
      <c r="AM597" s="25">
        <f>H597*0</f>
        <v>0</v>
      </c>
      <c r="AN597" s="25">
        <f>H597*(1-0)</f>
        <v>0</v>
      </c>
      <c r="AO597" s="27" t="s">
        <v>97</v>
      </c>
      <c r="AT597" s="25">
        <f>ROUND(AU597+AV597,2)</f>
        <v>0</v>
      </c>
      <c r="AU597" s="25">
        <f>ROUND(G597*AM597,2)</f>
        <v>0</v>
      </c>
      <c r="AV597" s="25">
        <f>ROUND(G597*AN597,2)</f>
        <v>0</v>
      </c>
      <c r="AW597" s="27" t="s">
        <v>62</v>
      </c>
      <c r="AX597" s="27" t="s">
        <v>809</v>
      </c>
      <c r="AY597" s="10" t="s">
        <v>518</v>
      </c>
      <c r="BA597" s="25">
        <f>AU597+AV597</f>
        <v>0</v>
      </c>
      <c r="BB597" s="25">
        <f>H597/(100-BC597)*100</f>
        <v>0</v>
      </c>
      <c r="BC597" s="25">
        <v>0</v>
      </c>
      <c r="BD597" s="25">
        <f>M597</f>
        <v>0</v>
      </c>
      <c r="BF597" s="25">
        <f>G597*AM597</f>
        <v>0</v>
      </c>
      <c r="BG597" s="25">
        <f>G597*AN597</f>
        <v>0</v>
      </c>
      <c r="BH597" s="25">
        <f>G597*H597</f>
        <v>0</v>
      </c>
      <c r="BI597" s="27" t="s">
        <v>65</v>
      </c>
      <c r="BJ597" s="25">
        <v>711</v>
      </c>
      <c r="BU597" s="25" t="e">
        <f>#REF!</f>
        <v>#REF!</v>
      </c>
      <c r="BV597" s="4" t="s">
        <v>833</v>
      </c>
    </row>
    <row r="598" spans="1:74" ht="14.4" x14ac:dyDescent="0.3">
      <c r="A598" s="21" t="s">
        <v>52</v>
      </c>
      <c r="B598" s="22" t="s">
        <v>510</v>
      </c>
      <c r="C598" s="22" t="s">
        <v>79</v>
      </c>
      <c r="D598" s="170" t="s">
        <v>80</v>
      </c>
      <c r="E598" s="171"/>
      <c r="F598" s="23" t="s">
        <v>32</v>
      </c>
      <c r="G598" s="23" t="s">
        <v>32</v>
      </c>
      <c r="H598" s="64"/>
      <c r="I598" s="1">
        <f>SUM(I599:I627)</f>
        <v>0</v>
      </c>
      <c r="J598" s="1">
        <f>SUM(J599:J627)</f>
        <v>0</v>
      </c>
      <c r="K598" s="1">
        <f>SUM(K599:K627)</f>
        <v>0</v>
      </c>
      <c r="L598" s="10" t="s">
        <v>52</v>
      </c>
      <c r="M598" s="1">
        <f>SUM(M599:M627)</f>
        <v>2.2550219999999999E-2</v>
      </c>
      <c r="N598" s="24"/>
      <c r="AG598" s="10" t="s">
        <v>510</v>
      </c>
      <c r="AQ598" s="1">
        <f>SUM(AH599:AH627)</f>
        <v>0</v>
      </c>
      <c r="AR598" s="1">
        <f>SUM(AI599:AI627)</f>
        <v>0</v>
      </c>
      <c r="AS598" s="1">
        <f>SUM(AJ599:AJ627)</f>
        <v>0</v>
      </c>
    </row>
    <row r="599" spans="1:74" ht="14.4" x14ac:dyDescent="0.3">
      <c r="A599" s="2" t="s">
        <v>834</v>
      </c>
      <c r="B599" s="3" t="s">
        <v>510</v>
      </c>
      <c r="C599" s="3" t="s">
        <v>835</v>
      </c>
      <c r="D599" s="112" t="s">
        <v>836</v>
      </c>
      <c r="E599" s="109"/>
      <c r="F599" s="3" t="s">
        <v>60</v>
      </c>
      <c r="G599" s="25">
        <v>23.84</v>
      </c>
      <c r="H599" s="62"/>
      <c r="I599" s="25">
        <f>ROUND(G599*AM599,2)</f>
        <v>0</v>
      </c>
      <c r="J599" s="25">
        <f>ROUND(G599*AN599,2)</f>
        <v>0</v>
      </c>
      <c r="K599" s="25">
        <f>ROUND(G599*H599,2)</f>
        <v>0</v>
      </c>
      <c r="L599" s="25">
        <v>0</v>
      </c>
      <c r="M599" s="25">
        <f>G599*L599</f>
        <v>0</v>
      </c>
      <c r="N599" s="26"/>
      <c r="X599" s="25">
        <f>ROUND(IF(AO599="5",BH599,0),2)</f>
        <v>0</v>
      </c>
      <c r="Z599" s="25">
        <f>ROUND(IF(AO599="1",BF599,0),2)</f>
        <v>0</v>
      </c>
      <c r="AA599" s="25">
        <f>ROUND(IF(AO599="1",BG599,0),2)</f>
        <v>0</v>
      </c>
      <c r="AB599" s="25">
        <f>ROUND(IF(AO599="7",BF599,0),2)</f>
        <v>0</v>
      </c>
      <c r="AC599" s="25">
        <f>ROUND(IF(AO599="7",BG599,0),2)</f>
        <v>0</v>
      </c>
      <c r="AD599" s="25">
        <f>ROUND(IF(AO599="2",BF599,0),2)</f>
        <v>0</v>
      </c>
      <c r="AE599" s="25">
        <f>ROUND(IF(AO599="2",BG599,0),2)</f>
        <v>0</v>
      </c>
      <c r="AF599" s="25">
        <f>ROUND(IF(AO599="0",BH599,0),2)</f>
        <v>0</v>
      </c>
      <c r="AG599" s="10" t="s">
        <v>510</v>
      </c>
      <c r="AH599" s="25">
        <f>IF(AL599=0,K599,0)</f>
        <v>0</v>
      </c>
      <c r="AI599" s="25">
        <f>IF(AL599=12,K599,0)</f>
        <v>0</v>
      </c>
      <c r="AJ599" s="25">
        <f>IF(AL599=21,K599,0)</f>
        <v>0</v>
      </c>
      <c r="AL599" s="25">
        <v>21</v>
      </c>
      <c r="AM599" s="25">
        <f>H599*0</f>
        <v>0</v>
      </c>
      <c r="AN599" s="25">
        <f>H599*(1-0)</f>
        <v>0</v>
      </c>
      <c r="AO599" s="27" t="s">
        <v>61</v>
      </c>
      <c r="AT599" s="25">
        <f>ROUND(AU599+AV599,2)</f>
        <v>0</v>
      </c>
      <c r="AU599" s="25">
        <f>ROUND(G599*AM599,2)</f>
        <v>0</v>
      </c>
      <c r="AV599" s="25">
        <f>ROUND(G599*AN599,2)</f>
        <v>0</v>
      </c>
      <c r="AW599" s="27" t="s">
        <v>84</v>
      </c>
      <c r="AX599" s="27" t="s">
        <v>809</v>
      </c>
      <c r="AY599" s="10" t="s">
        <v>518</v>
      </c>
      <c r="BA599" s="25">
        <f>AU599+AV599</f>
        <v>0</v>
      </c>
      <c r="BB599" s="25">
        <f>H599/(100-BC599)*100</f>
        <v>0</v>
      </c>
      <c r="BC599" s="25">
        <v>0</v>
      </c>
      <c r="BD599" s="25">
        <f>M599</f>
        <v>0</v>
      </c>
      <c r="BF599" s="25">
        <f>G599*AM599</f>
        <v>0</v>
      </c>
      <c r="BG599" s="25">
        <f>G599*AN599</f>
        <v>0</v>
      </c>
      <c r="BH599" s="25">
        <f>G599*H599</f>
        <v>0</v>
      </c>
      <c r="BI599" s="27" t="s">
        <v>65</v>
      </c>
      <c r="BJ599" s="25">
        <v>713</v>
      </c>
      <c r="BU599" s="25" t="e">
        <f>#REF!</f>
        <v>#REF!</v>
      </c>
      <c r="BV599" s="4" t="s">
        <v>836</v>
      </c>
    </row>
    <row r="600" spans="1:74" ht="14.4" x14ac:dyDescent="0.3">
      <c r="A600" s="28"/>
      <c r="D600" s="29" t="s">
        <v>668</v>
      </c>
      <c r="E600" s="29" t="s">
        <v>163</v>
      </c>
      <c r="G600" s="30">
        <v>16.77</v>
      </c>
      <c r="H600" s="63"/>
      <c r="N600" s="31"/>
    </row>
    <row r="601" spans="1:74" ht="14.4" x14ac:dyDescent="0.3">
      <c r="A601" s="28"/>
      <c r="D601" s="29" t="s">
        <v>767</v>
      </c>
      <c r="E601" s="29" t="s">
        <v>72</v>
      </c>
      <c r="G601" s="30">
        <v>2.7</v>
      </c>
      <c r="H601" s="63"/>
      <c r="N601" s="31"/>
    </row>
    <row r="602" spans="1:74" ht="14.4" x14ac:dyDescent="0.3">
      <c r="A602" s="28"/>
      <c r="D602" s="29" t="s">
        <v>181</v>
      </c>
      <c r="E602" s="29" t="s">
        <v>182</v>
      </c>
      <c r="G602" s="30">
        <v>1.37</v>
      </c>
      <c r="H602" s="63"/>
      <c r="N602" s="31"/>
    </row>
    <row r="603" spans="1:74" ht="14.4" x14ac:dyDescent="0.3">
      <c r="A603" s="28"/>
      <c r="D603" s="29" t="s">
        <v>87</v>
      </c>
      <c r="E603" s="29" t="s">
        <v>180</v>
      </c>
      <c r="G603" s="30">
        <v>3</v>
      </c>
      <c r="H603" s="63"/>
      <c r="N603" s="31"/>
    </row>
    <row r="604" spans="1:74" ht="14.4" x14ac:dyDescent="0.3">
      <c r="A604" s="2" t="s">
        <v>837</v>
      </c>
      <c r="B604" s="3" t="s">
        <v>510</v>
      </c>
      <c r="C604" s="3" t="s">
        <v>838</v>
      </c>
      <c r="D604" s="112" t="s">
        <v>839</v>
      </c>
      <c r="E604" s="109"/>
      <c r="F604" s="3" t="s">
        <v>60</v>
      </c>
      <c r="G604" s="25">
        <v>31.856999999999999</v>
      </c>
      <c r="H604" s="62"/>
      <c r="I604" s="25">
        <f>ROUND(G604*AM604,2)</f>
        <v>0</v>
      </c>
      <c r="J604" s="25">
        <f>ROUND(G604*AN604,2)</f>
        <v>0</v>
      </c>
      <c r="K604" s="25">
        <f>ROUND(G604*H604,2)</f>
        <v>0</v>
      </c>
      <c r="L604" s="25">
        <v>6.9999999999999999E-4</v>
      </c>
      <c r="M604" s="25">
        <f>G604*L604</f>
        <v>2.2299900000000001E-2</v>
      </c>
      <c r="N604" s="26"/>
      <c r="X604" s="25">
        <f>ROUND(IF(AO604="5",BH604,0),2)</f>
        <v>0</v>
      </c>
      <c r="Z604" s="25">
        <f>ROUND(IF(AO604="1",BF604,0),2)</f>
        <v>0</v>
      </c>
      <c r="AA604" s="25">
        <f>ROUND(IF(AO604="1",BG604,0),2)</f>
        <v>0</v>
      </c>
      <c r="AB604" s="25">
        <f>ROUND(IF(AO604="7",BF604,0),2)</f>
        <v>0</v>
      </c>
      <c r="AC604" s="25">
        <f>ROUND(IF(AO604="7",BG604,0),2)</f>
        <v>0</v>
      </c>
      <c r="AD604" s="25">
        <f>ROUND(IF(AO604="2",BF604,0),2)</f>
        <v>0</v>
      </c>
      <c r="AE604" s="25">
        <f>ROUND(IF(AO604="2",BG604,0),2)</f>
        <v>0</v>
      </c>
      <c r="AF604" s="25">
        <f>ROUND(IF(AO604="0",BH604,0),2)</f>
        <v>0</v>
      </c>
      <c r="AG604" s="10" t="s">
        <v>510</v>
      </c>
      <c r="AH604" s="25">
        <f>IF(AL604=0,K604,0)</f>
        <v>0</v>
      </c>
      <c r="AI604" s="25">
        <f>IF(AL604=12,K604,0)</f>
        <v>0</v>
      </c>
      <c r="AJ604" s="25">
        <f>IF(AL604=21,K604,0)</f>
        <v>0</v>
      </c>
      <c r="AL604" s="25">
        <v>21</v>
      </c>
      <c r="AM604" s="25">
        <f>H604*1</f>
        <v>0</v>
      </c>
      <c r="AN604" s="25">
        <f>H604*(1-1)</f>
        <v>0</v>
      </c>
      <c r="AO604" s="27" t="s">
        <v>61</v>
      </c>
      <c r="AT604" s="25">
        <f>ROUND(AU604+AV604,2)</f>
        <v>0</v>
      </c>
      <c r="AU604" s="25">
        <f>ROUND(G604*AM604,2)</f>
        <v>0</v>
      </c>
      <c r="AV604" s="25">
        <f>ROUND(G604*AN604,2)</f>
        <v>0</v>
      </c>
      <c r="AW604" s="27" t="s">
        <v>84</v>
      </c>
      <c r="AX604" s="27" t="s">
        <v>809</v>
      </c>
      <c r="AY604" s="10" t="s">
        <v>518</v>
      </c>
      <c r="BA604" s="25">
        <f>AU604+AV604</f>
        <v>0</v>
      </c>
      <c r="BB604" s="25">
        <f>H604/(100-BC604)*100</f>
        <v>0</v>
      </c>
      <c r="BC604" s="25">
        <v>0</v>
      </c>
      <c r="BD604" s="25">
        <f>M604</f>
        <v>2.2299900000000001E-2</v>
      </c>
      <c r="BF604" s="25">
        <f>G604*AM604</f>
        <v>0</v>
      </c>
      <c r="BG604" s="25">
        <f>G604*AN604</f>
        <v>0</v>
      </c>
      <c r="BH604" s="25">
        <f>G604*H604</f>
        <v>0</v>
      </c>
      <c r="BI604" s="27" t="s">
        <v>576</v>
      </c>
      <c r="BJ604" s="25">
        <v>713</v>
      </c>
      <c r="BU604" s="25" t="e">
        <f>#REF!</f>
        <v>#REF!</v>
      </c>
      <c r="BV604" s="4" t="s">
        <v>839</v>
      </c>
    </row>
    <row r="605" spans="1:74" ht="14.4" x14ac:dyDescent="0.3">
      <c r="A605" s="28"/>
      <c r="D605" s="29" t="s">
        <v>668</v>
      </c>
      <c r="E605" s="29" t="s">
        <v>163</v>
      </c>
      <c r="G605" s="30">
        <v>16.77</v>
      </c>
      <c r="H605" s="63"/>
      <c r="N605" s="31"/>
    </row>
    <row r="606" spans="1:74" ht="14.4" x14ac:dyDescent="0.3">
      <c r="A606" s="28"/>
      <c r="D606" s="29" t="s">
        <v>767</v>
      </c>
      <c r="E606" s="29" t="s">
        <v>72</v>
      </c>
      <c r="G606" s="30">
        <v>2.7</v>
      </c>
      <c r="H606" s="63"/>
      <c r="N606" s="31"/>
    </row>
    <row r="607" spans="1:74" ht="14.4" x14ac:dyDescent="0.3">
      <c r="A607" s="28"/>
      <c r="D607" s="29" t="s">
        <v>823</v>
      </c>
      <c r="E607" s="29" t="s">
        <v>180</v>
      </c>
      <c r="G607" s="30">
        <v>6.52</v>
      </c>
      <c r="H607" s="63"/>
      <c r="N607" s="31"/>
    </row>
    <row r="608" spans="1:74" ht="14.4" x14ac:dyDescent="0.3">
      <c r="A608" s="28"/>
      <c r="D608" s="29" t="s">
        <v>840</v>
      </c>
      <c r="E608" s="29" t="s">
        <v>182</v>
      </c>
      <c r="G608" s="30">
        <v>4.3499999999999996</v>
      </c>
      <c r="H608" s="63"/>
      <c r="N608" s="31"/>
    </row>
    <row r="609" spans="1:74" ht="14.4" x14ac:dyDescent="0.3">
      <c r="A609" s="28"/>
      <c r="D609" s="29" t="s">
        <v>841</v>
      </c>
      <c r="E609" s="29" t="s">
        <v>52</v>
      </c>
      <c r="G609" s="30">
        <v>1.5169999999999999</v>
      </c>
      <c r="H609" s="63"/>
      <c r="N609" s="31"/>
    </row>
    <row r="610" spans="1:74" ht="14.4" x14ac:dyDescent="0.3">
      <c r="A610" s="2" t="s">
        <v>842</v>
      </c>
      <c r="B610" s="3" t="s">
        <v>510</v>
      </c>
      <c r="C610" s="3" t="s">
        <v>843</v>
      </c>
      <c r="D610" s="112" t="s">
        <v>844</v>
      </c>
      <c r="E610" s="109"/>
      <c r="F610" s="3" t="s">
        <v>115</v>
      </c>
      <c r="G610" s="25">
        <v>33.22</v>
      </c>
      <c r="H610" s="62"/>
      <c r="I610" s="25">
        <f>ROUND(G610*AM610,2)</f>
        <v>0</v>
      </c>
      <c r="J610" s="25">
        <f>ROUND(G610*AN610,2)</f>
        <v>0</v>
      </c>
      <c r="K610" s="25">
        <f>ROUND(G610*H610,2)</f>
        <v>0</v>
      </c>
      <c r="L610" s="25">
        <v>0</v>
      </c>
      <c r="M610" s="25">
        <f>G610*L610</f>
        <v>0</v>
      </c>
      <c r="N610" s="26"/>
      <c r="X610" s="25">
        <f>ROUND(IF(AO610="5",BH610,0),2)</f>
        <v>0</v>
      </c>
      <c r="Z610" s="25">
        <f>ROUND(IF(AO610="1",BF610,0),2)</f>
        <v>0</v>
      </c>
      <c r="AA610" s="25">
        <f>ROUND(IF(AO610="1",BG610,0),2)</f>
        <v>0</v>
      </c>
      <c r="AB610" s="25">
        <f>ROUND(IF(AO610="7",BF610,0),2)</f>
        <v>0</v>
      </c>
      <c r="AC610" s="25">
        <f>ROUND(IF(AO610="7",BG610,0),2)</f>
        <v>0</v>
      </c>
      <c r="AD610" s="25">
        <f>ROUND(IF(AO610="2",BF610,0),2)</f>
        <v>0</v>
      </c>
      <c r="AE610" s="25">
        <f>ROUND(IF(AO610="2",BG610,0),2)</f>
        <v>0</v>
      </c>
      <c r="AF610" s="25">
        <f>ROUND(IF(AO610="0",BH610,0),2)</f>
        <v>0</v>
      </c>
      <c r="AG610" s="10" t="s">
        <v>510</v>
      </c>
      <c r="AH610" s="25">
        <f>IF(AL610=0,K610,0)</f>
        <v>0</v>
      </c>
      <c r="AI610" s="25">
        <f>IF(AL610=12,K610,0)</f>
        <v>0</v>
      </c>
      <c r="AJ610" s="25">
        <f>IF(AL610=21,K610,0)</f>
        <v>0</v>
      </c>
      <c r="AL610" s="25">
        <v>21</v>
      </c>
      <c r="AM610" s="25">
        <f>H610*0</f>
        <v>0</v>
      </c>
      <c r="AN610" s="25">
        <f>H610*(1-0)</f>
        <v>0</v>
      </c>
      <c r="AO610" s="27" t="s">
        <v>61</v>
      </c>
      <c r="AT610" s="25">
        <f>ROUND(AU610+AV610,2)</f>
        <v>0</v>
      </c>
      <c r="AU610" s="25">
        <f>ROUND(G610*AM610,2)</f>
        <v>0</v>
      </c>
      <c r="AV610" s="25">
        <f>ROUND(G610*AN610,2)</f>
        <v>0</v>
      </c>
      <c r="AW610" s="27" t="s">
        <v>84</v>
      </c>
      <c r="AX610" s="27" t="s">
        <v>809</v>
      </c>
      <c r="AY610" s="10" t="s">
        <v>518</v>
      </c>
      <c r="BA610" s="25">
        <f>AU610+AV610</f>
        <v>0</v>
      </c>
      <c r="BB610" s="25">
        <f>H610/(100-BC610)*100</f>
        <v>0</v>
      </c>
      <c r="BC610" s="25">
        <v>0</v>
      </c>
      <c r="BD610" s="25">
        <f>M610</f>
        <v>0</v>
      </c>
      <c r="BF610" s="25">
        <f>G610*AM610</f>
        <v>0</v>
      </c>
      <c r="BG610" s="25">
        <f>G610*AN610</f>
        <v>0</v>
      </c>
      <c r="BH610" s="25">
        <f>G610*H610</f>
        <v>0</v>
      </c>
      <c r="BI610" s="27" t="s">
        <v>65</v>
      </c>
      <c r="BJ610" s="25">
        <v>713</v>
      </c>
      <c r="BU610" s="25" t="e">
        <f>#REF!</f>
        <v>#REF!</v>
      </c>
      <c r="BV610" s="4" t="s">
        <v>844</v>
      </c>
    </row>
    <row r="611" spans="1:74" ht="14.4" x14ac:dyDescent="0.3">
      <c r="A611" s="28"/>
      <c r="D611" s="29" t="s">
        <v>845</v>
      </c>
      <c r="E611" s="29" t="s">
        <v>163</v>
      </c>
      <c r="G611" s="30">
        <v>16.420000000000002</v>
      </c>
      <c r="H611" s="63"/>
      <c r="N611" s="31"/>
    </row>
    <row r="612" spans="1:74" ht="14.4" x14ac:dyDescent="0.3">
      <c r="A612" s="28"/>
      <c r="D612" s="29" t="s">
        <v>704</v>
      </c>
      <c r="E612" s="29" t="s">
        <v>72</v>
      </c>
      <c r="G612" s="30">
        <v>5.93</v>
      </c>
      <c r="H612" s="63"/>
      <c r="N612" s="31"/>
    </row>
    <row r="613" spans="1:74" ht="14.4" x14ac:dyDescent="0.3">
      <c r="A613" s="28"/>
      <c r="D613" s="29" t="s">
        <v>823</v>
      </c>
      <c r="E613" s="29" t="s">
        <v>180</v>
      </c>
      <c r="G613" s="30">
        <v>6.52</v>
      </c>
      <c r="H613" s="63"/>
      <c r="N613" s="31"/>
    </row>
    <row r="614" spans="1:74" ht="14.4" x14ac:dyDescent="0.3">
      <c r="A614" s="28"/>
      <c r="D614" s="29" t="s">
        <v>840</v>
      </c>
      <c r="E614" s="29" t="s">
        <v>182</v>
      </c>
      <c r="G614" s="30">
        <v>4.3499999999999996</v>
      </c>
      <c r="H614" s="63"/>
      <c r="N614" s="31"/>
    </row>
    <row r="615" spans="1:74" ht="14.4" x14ac:dyDescent="0.3">
      <c r="A615" s="2" t="s">
        <v>846</v>
      </c>
      <c r="B615" s="3" t="s">
        <v>510</v>
      </c>
      <c r="C615" s="3" t="s">
        <v>847</v>
      </c>
      <c r="D615" s="112" t="s">
        <v>848</v>
      </c>
      <c r="E615" s="109"/>
      <c r="F615" s="3" t="s">
        <v>60</v>
      </c>
      <c r="G615" s="25">
        <v>25.032</v>
      </c>
      <c r="H615" s="62"/>
      <c r="I615" s="25">
        <f>ROUND(G615*AM615,2)</f>
        <v>0</v>
      </c>
      <c r="J615" s="25">
        <f>ROUND(G615*AN615,2)</f>
        <v>0</v>
      </c>
      <c r="K615" s="25">
        <f>ROUND(G615*H615,2)</f>
        <v>0</v>
      </c>
      <c r="L615" s="25">
        <v>1.0000000000000001E-5</v>
      </c>
      <c r="M615" s="25">
        <f>G615*L615</f>
        <v>2.5032E-4</v>
      </c>
      <c r="N615" s="26"/>
      <c r="X615" s="25">
        <f>ROUND(IF(AO615="5",BH615,0),2)</f>
        <v>0</v>
      </c>
      <c r="Z615" s="25">
        <f>ROUND(IF(AO615="1",BF615,0),2)</f>
        <v>0</v>
      </c>
      <c r="AA615" s="25">
        <f>ROUND(IF(AO615="1",BG615,0),2)</f>
        <v>0</v>
      </c>
      <c r="AB615" s="25">
        <f>ROUND(IF(AO615="7",BF615,0),2)</f>
        <v>0</v>
      </c>
      <c r="AC615" s="25">
        <f>ROUND(IF(AO615="7",BG615,0),2)</f>
        <v>0</v>
      </c>
      <c r="AD615" s="25">
        <f>ROUND(IF(AO615="2",BF615,0),2)</f>
        <v>0</v>
      </c>
      <c r="AE615" s="25">
        <f>ROUND(IF(AO615="2",BG615,0),2)</f>
        <v>0</v>
      </c>
      <c r="AF615" s="25">
        <f>ROUND(IF(AO615="0",BH615,0),2)</f>
        <v>0</v>
      </c>
      <c r="AG615" s="10" t="s">
        <v>510</v>
      </c>
      <c r="AH615" s="25">
        <f>IF(AL615=0,K615,0)</f>
        <v>0</v>
      </c>
      <c r="AI615" s="25">
        <f>IF(AL615=12,K615,0)</f>
        <v>0</v>
      </c>
      <c r="AJ615" s="25">
        <f>IF(AL615=21,K615,0)</f>
        <v>0</v>
      </c>
      <c r="AL615" s="25">
        <v>21</v>
      </c>
      <c r="AM615" s="25">
        <f>H615*0.211578024</f>
        <v>0</v>
      </c>
      <c r="AN615" s="25">
        <f>H615*(1-0.211578024)</f>
        <v>0</v>
      </c>
      <c r="AO615" s="27" t="s">
        <v>61</v>
      </c>
      <c r="AT615" s="25">
        <f>ROUND(AU615+AV615,2)</f>
        <v>0</v>
      </c>
      <c r="AU615" s="25">
        <f>ROUND(G615*AM615,2)</f>
        <v>0</v>
      </c>
      <c r="AV615" s="25">
        <f>ROUND(G615*AN615,2)</f>
        <v>0</v>
      </c>
      <c r="AW615" s="27" t="s">
        <v>84</v>
      </c>
      <c r="AX615" s="27" t="s">
        <v>809</v>
      </c>
      <c r="AY615" s="10" t="s">
        <v>518</v>
      </c>
      <c r="BA615" s="25">
        <f>AU615+AV615</f>
        <v>0</v>
      </c>
      <c r="BB615" s="25">
        <f>H615/(100-BC615)*100</f>
        <v>0</v>
      </c>
      <c r="BC615" s="25">
        <v>0</v>
      </c>
      <c r="BD615" s="25">
        <f>M615</f>
        <v>2.5032E-4</v>
      </c>
      <c r="BF615" s="25">
        <f>G615*AM615</f>
        <v>0</v>
      </c>
      <c r="BG615" s="25">
        <f>G615*AN615</f>
        <v>0</v>
      </c>
      <c r="BH615" s="25">
        <f>G615*H615</f>
        <v>0</v>
      </c>
      <c r="BI615" s="27" t="s">
        <v>65</v>
      </c>
      <c r="BJ615" s="25">
        <v>713</v>
      </c>
      <c r="BU615" s="25" t="e">
        <f>#REF!</f>
        <v>#REF!</v>
      </c>
      <c r="BV615" s="4" t="s">
        <v>848</v>
      </c>
    </row>
    <row r="616" spans="1:74" ht="14.4" x14ac:dyDescent="0.3">
      <c r="A616" s="28"/>
      <c r="D616" s="29" t="s">
        <v>668</v>
      </c>
      <c r="E616" s="29" t="s">
        <v>163</v>
      </c>
      <c r="G616" s="30">
        <v>16.77</v>
      </c>
      <c r="H616" s="63"/>
      <c r="N616" s="31"/>
    </row>
    <row r="617" spans="1:74" ht="14.4" x14ac:dyDescent="0.3">
      <c r="A617" s="28"/>
      <c r="D617" s="29" t="s">
        <v>767</v>
      </c>
      <c r="E617" s="29" t="s">
        <v>72</v>
      </c>
      <c r="G617" s="30">
        <v>2.7</v>
      </c>
      <c r="H617" s="63"/>
      <c r="N617" s="31"/>
    </row>
    <row r="618" spans="1:74" ht="14.4" x14ac:dyDescent="0.3">
      <c r="A618" s="28"/>
      <c r="D618" s="29" t="s">
        <v>87</v>
      </c>
      <c r="E618" s="29" t="s">
        <v>180</v>
      </c>
      <c r="G618" s="30">
        <v>3</v>
      </c>
      <c r="H618" s="63"/>
      <c r="N618" s="31"/>
    </row>
    <row r="619" spans="1:74" ht="14.4" x14ac:dyDescent="0.3">
      <c r="A619" s="28"/>
      <c r="D619" s="29" t="s">
        <v>181</v>
      </c>
      <c r="E619" s="29" t="s">
        <v>182</v>
      </c>
      <c r="G619" s="30">
        <v>1.37</v>
      </c>
      <c r="H619" s="63"/>
      <c r="N619" s="31"/>
    </row>
    <row r="620" spans="1:74" ht="14.4" x14ac:dyDescent="0.3">
      <c r="A620" s="28"/>
      <c r="D620" s="29" t="s">
        <v>849</v>
      </c>
      <c r="E620" s="29" t="s">
        <v>52</v>
      </c>
      <c r="G620" s="30">
        <v>1.1919999999999999</v>
      </c>
      <c r="H620" s="63"/>
      <c r="N620" s="31"/>
    </row>
    <row r="621" spans="1:74" ht="14.4" x14ac:dyDescent="0.3">
      <c r="A621" s="2" t="s">
        <v>850</v>
      </c>
      <c r="B621" s="3" t="s">
        <v>510</v>
      </c>
      <c r="C621" s="3" t="s">
        <v>851</v>
      </c>
      <c r="D621" s="112" t="s">
        <v>852</v>
      </c>
      <c r="E621" s="109"/>
      <c r="F621" s="3" t="s">
        <v>115</v>
      </c>
      <c r="G621" s="25">
        <v>34.881</v>
      </c>
      <c r="H621" s="62"/>
      <c r="I621" s="25">
        <f>ROUND(G621*AM621,2)</f>
        <v>0</v>
      </c>
      <c r="J621" s="25">
        <f>ROUND(G621*AN621,2)</f>
        <v>0</v>
      </c>
      <c r="K621" s="25">
        <f>ROUND(G621*H621,2)</f>
        <v>0</v>
      </c>
      <c r="L621" s="25">
        <v>0</v>
      </c>
      <c r="M621" s="25">
        <f>G621*L621</f>
        <v>0</v>
      </c>
      <c r="N621" s="26"/>
      <c r="X621" s="25">
        <f>ROUND(IF(AO621="5",BH621,0),2)</f>
        <v>0</v>
      </c>
      <c r="Z621" s="25">
        <f>ROUND(IF(AO621="1",BF621,0),2)</f>
        <v>0</v>
      </c>
      <c r="AA621" s="25">
        <f>ROUND(IF(AO621="1",BG621,0),2)</f>
        <v>0</v>
      </c>
      <c r="AB621" s="25">
        <f>ROUND(IF(AO621="7",BF621,0),2)</f>
        <v>0</v>
      </c>
      <c r="AC621" s="25">
        <f>ROUND(IF(AO621="7",BG621,0),2)</f>
        <v>0</v>
      </c>
      <c r="AD621" s="25">
        <f>ROUND(IF(AO621="2",BF621,0),2)</f>
        <v>0</v>
      </c>
      <c r="AE621" s="25">
        <f>ROUND(IF(AO621="2",BG621,0),2)</f>
        <v>0</v>
      </c>
      <c r="AF621" s="25">
        <f>ROUND(IF(AO621="0",BH621,0),2)</f>
        <v>0</v>
      </c>
      <c r="AG621" s="10" t="s">
        <v>510</v>
      </c>
      <c r="AH621" s="25">
        <f>IF(AL621=0,K621,0)</f>
        <v>0</v>
      </c>
      <c r="AI621" s="25">
        <f>IF(AL621=12,K621,0)</f>
        <v>0</v>
      </c>
      <c r="AJ621" s="25">
        <f>IF(AL621=21,K621,0)</f>
        <v>0</v>
      </c>
      <c r="AL621" s="25">
        <v>21</v>
      </c>
      <c r="AM621" s="25">
        <f>H621*1</f>
        <v>0</v>
      </c>
      <c r="AN621" s="25">
        <f>H621*(1-1)</f>
        <v>0</v>
      </c>
      <c r="AO621" s="27" t="s">
        <v>61</v>
      </c>
      <c r="AT621" s="25">
        <f>ROUND(AU621+AV621,2)</f>
        <v>0</v>
      </c>
      <c r="AU621" s="25">
        <f>ROUND(G621*AM621,2)</f>
        <v>0</v>
      </c>
      <c r="AV621" s="25">
        <f>ROUND(G621*AN621,2)</f>
        <v>0</v>
      </c>
      <c r="AW621" s="27" t="s">
        <v>84</v>
      </c>
      <c r="AX621" s="27" t="s">
        <v>809</v>
      </c>
      <c r="AY621" s="10" t="s">
        <v>518</v>
      </c>
      <c r="BA621" s="25">
        <f>AU621+AV621</f>
        <v>0</v>
      </c>
      <c r="BB621" s="25">
        <f>H621/(100-BC621)*100</f>
        <v>0</v>
      </c>
      <c r="BC621" s="25">
        <v>0</v>
      </c>
      <c r="BD621" s="25">
        <f>M621</f>
        <v>0</v>
      </c>
      <c r="BF621" s="25">
        <f>G621*AM621</f>
        <v>0</v>
      </c>
      <c r="BG621" s="25">
        <f>G621*AN621</f>
        <v>0</v>
      </c>
      <c r="BH621" s="25">
        <f>G621*H621</f>
        <v>0</v>
      </c>
      <c r="BI621" s="27" t="s">
        <v>576</v>
      </c>
      <c r="BJ621" s="25">
        <v>713</v>
      </c>
      <c r="BU621" s="25" t="e">
        <f>#REF!</f>
        <v>#REF!</v>
      </c>
      <c r="BV621" s="4" t="s">
        <v>852</v>
      </c>
    </row>
    <row r="622" spans="1:74" ht="14.4" x14ac:dyDescent="0.3">
      <c r="A622" s="28"/>
      <c r="D622" s="29" t="s">
        <v>845</v>
      </c>
      <c r="E622" s="29" t="s">
        <v>163</v>
      </c>
      <c r="G622" s="30">
        <v>16.420000000000002</v>
      </c>
      <c r="H622" s="63"/>
      <c r="N622" s="31"/>
    </row>
    <row r="623" spans="1:74" ht="14.4" x14ac:dyDescent="0.3">
      <c r="A623" s="28"/>
      <c r="D623" s="29" t="s">
        <v>704</v>
      </c>
      <c r="E623" s="29" t="s">
        <v>72</v>
      </c>
      <c r="G623" s="30">
        <v>5.93</v>
      </c>
      <c r="H623" s="63"/>
      <c r="N623" s="31"/>
    </row>
    <row r="624" spans="1:74" ht="14.4" x14ac:dyDescent="0.3">
      <c r="A624" s="28"/>
      <c r="D624" s="29" t="s">
        <v>823</v>
      </c>
      <c r="E624" s="29" t="s">
        <v>180</v>
      </c>
      <c r="G624" s="30">
        <v>6.52</v>
      </c>
      <c r="H624" s="63"/>
      <c r="N624" s="31"/>
    </row>
    <row r="625" spans="1:74" ht="14.4" x14ac:dyDescent="0.3">
      <c r="A625" s="28"/>
      <c r="D625" s="29" t="s">
        <v>840</v>
      </c>
      <c r="E625" s="29" t="s">
        <v>182</v>
      </c>
      <c r="G625" s="30">
        <v>4.3499999999999996</v>
      </c>
      <c r="H625" s="63"/>
      <c r="N625" s="31"/>
    </row>
    <row r="626" spans="1:74" ht="14.4" x14ac:dyDescent="0.3">
      <c r="A626" s="28"/>
      <c r="D626" s="29" t="s">
        <v>853</v>
      </c>
      <c r="E626" s="29" t="s">
        <v>52</v>
      </c>
      <c r="G626" s="30">
        <v>1.661</v>
      </c>
      <c r="H626" s="63"/>
      <c r="N626" s="31"/>
    </row>
    <row r="627" spans="1:74" ht="14.4" x14ac:dyDescent="0.3">
      <c r="A627" s="2" t="s">
        <v>854</v>
      </c>
      <c r="B627" s="3" t="s">
        <v>510</v>
      </c>
      <c r="C627" s="3" t="s">
        <v>855</v>
      </c>
      <c r="D627" s="112" t="s">
        <v>856</v>
      </c>
      <c r="E627" s="109"/>
      <c r="F627" s="3" t="s">
        <v>278</v>
      </c>
      <c r="G627" s="25">
        <v>2.2550000000000001E-2</v>
      </c>
      <c r="H627" s="62"/>
      <c r="I627" s="25">
        <f>ROUND(G627*AM627,2)</f>
        <v>0</v>
      </c>
      <c r="J627" s="25">
        <f>ROUND(G627*AN627,2)</f>
        <v>0</v>
      </c>
      <c r="K627" s="25">
        <f>ROUND(G627*H627,2)</f>
        <v>0</v>
      </c>
      <c r="L627" s="25">
        <v>0</v>
      </c>
      <c r="M627" s="25">
        <f>G627*L627</f>
        <v>0</v>
      </c>
      <c r="N627" s="26"/>
      <c r="X627" s="25">
        <f>ROUND(IF(AO627="5",BH627,0),2)</f>
        <v>0</v>
      </c>
      <c r="Z627" s="25">
        <f>ROUND(IF(AO627="1",BF627,0),2)</f>
        <v>0</v>
      </c>
      <c r="AA627" s="25">
        <f>ROUND(IF(AO627="1",BG627,0),2)</f>
        <v>0</v>
      </c>
      <c r="AB627" s="25">
        <f>ROUND(IF(AO627="7",BF627,0),2)</f>
        <v>0</v>
      </c>
      <c r="AC627" s="25">
        <f>ROUND(IF(AO627="7",BG627,0),2)</f>
        <v>0</v>
      </c>
      <c r="AD627" s="25">
        <f>ROUND(IF(AO627="2",BF627,0),2)</f>
        <v>0</v>
      </c>
      <c r="AE627" s="25">
        <f>ROUND(IF(AO627="2",BG627,0),2)</f>
        <v>0</v>
      </c>
      <c r="AF627" s="25">
        <f>ROUND(IF(AO627="0",BH627,0),2)</f>
        <v>0</v>
      </c>
      <c r="AG627" s="10" t="s">
        <v>510</v>
      </c>
      <c r="AH627" s="25">
        <f>IF(AL627=0,K627,0)</f>
        <v>0</v>
      </c>
      <c r="AI627" s="25">
        <f>IF(AL627=12,K627,0)</f>
        <v>0</v>
      </c>
      <c r="AJ627" s="25">
        <f>IF(AL627=21,K627,0)</f>
        <v>0</v>
      </c>
      <c r="AL627" s="25">
        <v>21</v>
      </c>
      <c r="AM627" s="25">
        <f>H627*0</f>
        <v>0</v>
      </c>
      <c r="AN627" s="25">
        <f>H627*(1-0)</f>
        <v>0</v>
      </c>
      <c r="AO627" s="27" t="s">
        <v>97</v>
      </c>
      <c r="AT627" s="25">
        <f>ROUND(AU627+AV627,2)</f>
        <v>0</v>
      </c>
      <c r="AU627" s="25">
        <f>ROUND(G627*AM627,2)</f>
        <v>0</v>
      </c>
      <c r="AV627" s="25">
        <f>ROUND(G627*AN627,2)</f>
        <v>0</v>
      </c>
      <c r="AW627" s="27" t="s">
        <v>84</v>
      </c>
      <c r="AX627" s="27" t="s">
        <v>809</v>
      </c>
      <c r="AY627" s="10" t="s">
        <v>518</v>
      </c>
      <c r="BA627" s="25">
        <f>AU627+AV627</f>
        <v>0</v>
      </c>
      <c r="BB627" s="25">
        <f>H627/(100-BC627)*100</f>
        <v>0</v>
      </c>
      <c r="BC627" s="25">
        <v>0</v>
      </c>
      <c r="BD627" s="25">
        <f>M627</f>
        <v>0</v>
      </c>
      <c r="BF627" s="25">
        <f>G627*AM627</f>
        <v>0</v>
      </c>
      <c r="BG627" s="25">
        <f>G627*AN627</f>
        <v>0</v>
      </c>
      <c r="BH627" s="25">
        <f>G627*H627</f>
        <v>0</v>
      </c>
      <c r="BI627" s="27" t="s">
        <v>65</v>
      </c>
      <c r="BJ627" s="25">
        <v>713</v>
      </c>
      <c r="BU627" s="25" t="e">
        <f>#REF!</f>
        <v>#REF!</v>
      </c>
      <c r="BV627" s="4" t="s">
        <v>856</v>
      </c>
    </row>
    <row r="628" spans="1:74" ht="14.4" x14ac:dyDescent="0.3">
      <c r="A628" s="21" t="s">
        <v>52</v>
      </c>
      <c r="B628" s="22" t="s">
        <v>510</v>
      </c>
      <c r="C628" s="22" t="s">
        <v>95</v>
      </c>
      <c r="D628" s="170" t="s">
        <v>96</v>
      </c>
      <c r="E628" s="171"/>
      <c r="F628" s="23" t="s">
        <v>32</v>
      </c>
      <c r="G628" s="23" t="s">
        <v>32</v>
      </c>
      <c r="H628" s="64"/>
      <c r="I628" s="1">
        <f>SUM(I629:I641)</f>
        <v>0</v>
      </c>
      <c r="J628" s="1">
        <f>SUM(J629:J641)</f>
        <v>0</v>
      </c>
      <c r="K628" s="1">
        <f>SUM(K629:K641)</f>
        <v>0</v>
      </c>
      <c r="L628" s="10" t="s">
        <v>52</v>
      </c>
      <c r="M628" s="1">
        <f>SUM(M629:M641)</f>
        <v>1.0540000000000001E-2</v>
      </c>
      <c r="N628" s="24"/>
      <c r="AG628" s="10" t="s">
        <v>510</v>
      </c>
      <c r="AQ628" s="1">
        <f>SUM(AH629:AH641)</f>
        <v>0</v>
      </c>
      <c r="AR628" s="1">
        <f>SUM(AI629:AI641)</f>
        <v>0</v>
      </c>
      <c r="AS628" s="1">
        <f>SUM(AJ629:AJ641)</f>
        <v>0</v>
      </c>
    </row>
    <row r="629" spans="1:74" ht="14.4" x14ac:dyDescent="0.3">
      <c r="A629" s="2" t="s">
        <v>857</v>
      </c>
      <c r="B629" s="3" t="s">
        <v>510</v>
      </c>
      <c r="C629" s="3" t="s">
        <v>858</v>
      </c>
      <c r="D629" s="112" t="s">
        <v>859</v>
      </c>
      <c r="E629" s="109"/>
      <c r="F629" s="3" t="s">
        <v>860</v>
      </c>
      <c r="G629" s="25">
        <v>8</v>
      </c>
      <c r="H629" s="62"/>
      <c r="I629" s="25">
        <f>ROUND(G629*AM629,2)</f>
        <v>0</v>
      </c>
      <c r="J629" s="25">
        <f>ROUND(G629*AN629,2)</f>
        <v>0</v>
      </c>
      <c r="K629" s="25">
        <f>ROUND(G629*H629,2)</f>
        <v>0</v>
      </c>
      <c r="L629" s="25">
        <v>3.0000000000000001E-5</v>
      </c>
      <c r="M629" s="25">
        <f>G629*L629</f>
        <v>2.4000000000000001E-4</v>
      </c>
      <c r="N629" s="26"/>
      <c r="X629" s="25">
        <f>ROUND(IF(AO629="5",BH629,0),2)</f>
        <v>0</v>
      </c>
      <c r="Z629" s="25">
        <f>ROUND(IF(AO629="1",BF629,0),2)</f>
        <v>0</v>
      </c>
      <c r="AA629" s="25">
        <f>ROUND(IF(AO629="1",BG629,0),2)</f>
        <v>0</v>
      </c>
      <c r="AB629" s="25">
        <f>ROUND(IF(AO629="7",BF629,0),2)</f>
        <v>0</v>
      </c>
      <c r="AC629" s="25">
        <f>ROUND(IF(AO629="7",BG629,0),2)</f>
        <v>0</v>
      </c>
      <c r="AD629" s="25">
        <f>ROUND(IF(AO629="2",BF629,0),2)</f>
        <v>0</v>
      </c>
      <c r="AE629" s="25">
        <f>ROUND(IF(AO629="2",BG629,0),2)</f>
        <v>0</v>
      </c>
      <c r="AF629" s="25">
        <f>ROUND(IF(AO629="0",BH629,0),2)</f>
        <v>0</v>
      </c>
      <c r="AG629" s="10" t="s">
        <v>510</v>
      </c>
      <c r="AH629" s="25">
        <f>IF(AL629=0,K629,0)</f>
        <v>0</v>
      </c>
      <c r="AI629" s="25">
        <f>IF(AL629=12,K629,0)</f>
        <v>0</v>
      </c>
      <c r="AJ629" s="25">
        <f>IF(AL629=21,K629,0)</f>
        <v>0</v>
      </c>
      <c r="AL629" s="25">
        <v>21</v>
      </c>
      <c r="AM629" s="25">
        <f>H629*0.090349398</f>
        <v>0</v>
      </c>
      <c r="AN629" s="25">
        <f>H629*(1-0.090349398)</f>
        <v>0</v>
      </c>
      <c r="AO629" s="27" t="s">
        <v>61</v>
      </c>
      <c r="AT629" s="25">
        <f>ROUND(AU629+AV629,2)</f>
        <v>0</v>
      </c>
      <c r="AU629" s="25">
        <f>ROUND(G629*AM629,2)</f>
        <v>0</v>
      </c>
      <c r="AV629" s="25">
        <f>ROUND(G629*AN629,2)</f>
        <v>0</v>
      </c>
      <c r="AW629" s="27" t="s">
        <v>101</v>
      </c>
      <c r="AX629" s="27" t="s">
        <v>861</v>
      </c>
      <c r="AY629" s="10" t="s">
        <v>518</v>
      </c>
      <c r="BA629" s="25">
        <f>AU629+AV629</f>
        <v>0</v>
      </c>
      <c r="BB629" s="25">
        <f>H629/(100-BC629)*100</f>
        <v>0</v>
      </c>
      <c r="BC629" s="25">
        <v>0</v>
      </c>
      <c r="BD629" s="25">
        <f>M629</f>
        <v>2.4000000000000001E-4</v>
      </c>
      <c r="BF629" s="25">
        <f>G629*AM629</f>
        <v>0</v>
      </c>
      <c r="BG629" s="25">
        <f>G629*AN629</f>
        <v>0</v>
      </c>
      <c r="BH629" s="25">
        <f>G629*H629</f>
        <v>0</v>
      </c>
      <c r="BI629" s="27" t="s">
        <v>65</v>
      </c>
      <c r="BJ629" s="25">
        <v>725</v>
      </c>
      <c r="BU629" s="25" t="e">
        <f>#REF!</f>
        <v>#REF!</v>
      </c>
      <c r="BV629" s="4" t="s">
        <v>859</v>
      </c>
    </row>
    <row r="630" spans="1:74" ht="14.4" x14ac:dyDescent="0.3">
      <c r="A630" s="28"/>
      <c r="D630" s="29" t="s">
        <v>119</v>
      </c>
      <c r="E630" s="29" t="s">
        <v>52</v>
      </c>
      <c r="G630" s="30">
        <v>8</v>
      </c>
      <c r="H630" s="63"/>
      <c r="N630" s="31"/>
    </row>
    <row r="631" spans="1:74" ht="14.4" x14ac:dyDescent="0.3">
      <c r="A631" s="2" t="s">
        <v>862</v>
      </c>
      <c r="B631" s="3" t="s">
        <v>510</v>
      </c>
      <c r="C631" s="3" t="s">
        <v>863</v>
      </c>
      <c r="D631" s="112" t="s">
        <v>864</v>
      </c>
      <c r="E631" s="109"/>
      <c r="F631" s="3" t="s">
        <v>860</v>
      </c>
      <c r="G631" s="25">
        <v>1</v>
      </c>
      <c r="H631" s="62"/>
      <c r="I631" s="25">
        <f>ROUND(G631*AM631,2)</f>
        <v>0</v>
      </c>
      <c r="J631" s="25">
        <f>ROUND(G631*AN631,2)</f>
        <v>0</v>
      </c>
      <c r="K631" s="25">
        <f>ROUND(G631*H631,2)</f>
        <v>0</v>
      </c>
      <c r="L631" s="25">
        <v>1.2999999999999999E-3</v>
      </c>
      <c r="M631" s="25">
        <f>G631*L631</f>
        <v>1.2999999999999999E-3</v>
      </c>
      <c r="N631" s="102"/>
      <c r="X631" s="25">
        <f>ROUND(IF(AO631="5",BH631,0),2)</f>
        <v>0</v>
      </c>
      <c r="Z631" s="25">
        <f>ROUND(IF(AO631="1",BF631,0),2)</f>
        <v>0</v>
      </c>
      <c r="AA631" s="25">
        <f>ROUND(IF(AO631="1",BG631,0),2)</f>
        <v>0</v>
      </c>
      <c r="AB631" s="25">
        <f>ROUND(IF(AO631="7",BF631,0),2)</f>
        <v>0</v>
      </c>
      <c r="AC631" s="25">
        <f>ROUND(IF(AO631="7",BG631,0),2)</f>
        <v>0</v>
      </c>
      <c r="AD631" s="25">
        <f>ROUND(IF(AO631="2",BF631,0),2)</f>
        <v>0</v>
      </c>
      <c r="AE631" s="25">
        <f>ROUND(IF(AO631="2",BG631,0),2)</f>
        <v>0</v>
      </c>
      <c r="AF631" s="25">
        <f>ROUND(IF(AO631="0",BH631,0),2)</f>
        <v>0</v>
      </c>
      <c r="AG631" s="10" t="s">
        <v>510</v>
      </c>
      <c r="AH631" s="25">
        <f>IF(AL631=0,K631,0)</f>
        <v>0</v>
      </c>
      <c r="AI631" s="25">
        <f>IF(AL631=12,K631,0)</f>
        <v>0</v>
      </c>
      <c r="AJ631" s="25">
        <f>IF(AL631=21,K631,0)</f>
        <v>0</v>
      </c>
      <c r="AL631" s="25">
        <v>21</v>
      </c>
      <c r="AM631" s="25">
        <f>H631*0.852395845</f>
        <v>0</v>
      </c>
      <c r="AN631" s="25">
        <f>H631*(1-0.852395845)</f>
        <v>0</v>
      </c>
      <c r="AO631" s="27" t="s">
        <v>61</v>
      </c>
      <c r="AT631" s="25">
        <f>ROUND(AU631+AV631,2)</f>
        <v>0</v>
      </c>
      <c r="AU631" s="25">
        <f>ROUND(G631*AM631,2)</f>
        <v>0</v>
      </c>
      <c r="AV631" s="25">
        <f>ROUND(G631*AN631,2)</f>
        <v>0</v>
      </c>
      <c r="AW631" s="27" t="s">
        <v>101</v>
      </c>
      <c r="AX631" s="27" t="s">
        <v>861</v>
      </c>
      <c r="AY631" s="10" t="s">
        <v>518</v>
      </c>
      <c r="BA631" s="25">
        <f>AU631+AV631</f>
        <v>0</v>
      </c>
      <c r="BB631" s="25">
        <f>H631/(100-BC631)*100</f>
        <v>0</v>
      </c>
      <c r="BC631" s="25">
        <v>0</v>
      </c>
      <c r="BD631" s="25">
        <f>M631</f>
        <v>1.2999999999999999E-3</v>
      </c>
      <c r="BF631" s="25">
        <f>G631*AM631</f>
        <v>0</v>
      </c>
      <c r="BG631" s="25">
        <f>G631*AN631</f>
        <v>0</v>
      </c>
      <c r="BH631" s="25">
        <f>G631*H631</f>
        <v>0</v>
      </c>
      <c r="BI631" s="27" t="s">
        <v>65</v>
      </c>
      <c r="BJ631" s="25">
        <v>725</v>
      </c>
      <c r="BU631" s="25" t="e">
        <f>#REF!</f>
        <v>#REF!</v>
      </c>
      <c r="BV631" s="4" t="s">
        <v>864</v>
      </c>
    </row>
    <row r="632" spans="1:74" ht="14.4" x14ac:dyDescent="0.3">
      <c r="A632" s="28"/>
      <c r="D632" s="29" t="s">
        <v>57</v>
      </c>
      <c r="E632" s="29" t="s">
        <v>865</v>
      </c>
      <c r="G632" s="30">
        <v>1</v>
      </c>
      <c r="H632" s="63"/>
      <c r="N632" s="31"/>
    </row>
    <row r="633" spans="1:74" ht="14.4" x14ac:dyDescent="0.3">
      <c r="A633" s="2" t="s">
        <v>866</v>
      </c>
      <c r="B633" s="3" t="s">
        <v>510</v>
      </c>
      <c r="C633" s="3" t="s">
        <v>867</v>
      </c>
      <c r="D633" s="112" t="s">
        <v>868</v>
      </c>
      <c r="E633" s="109"/>
      <c r="F633" s="3" t="s">
        <v>122</v>
      </c>
      <c r="G633" s="25">
        <v>1</v>
      </c>
      <c r="H633" s="62"/>
      <c r="I633" s="25">
        <f>ROUND(G633*AM633,2)</f>
        <v>0</v>
      </c>
      <c r="J633" s="25">
        <f>ROUND(G633*AN633,2)</f>
        <v>0</v>
      </c>
      <c r="K633" s="25">
        <f>ROUND(G633*H633,2)</f>
        <v>0</v>
      </c>
      <c r="L633" s="25">
        <v>2E-3</v>
      </c>
      <c r="M633" s="25">
        <f>G633*L633</f>
        <v>2E-3</v>
      </c>
      <c r="N633" s="102"/>
      <c r="X633" s="25">
        <f>ROUND(IF(AO633="5",BH633,0),2)</f>
        <v>0</v>
      </c>
      <c r="Z633" s="25">
        <f>ROUND(IF(AO633="1",BF633,0),2)</f>
        <v>0</v>
      </c>
      <c r="AA633" s="25">
        <f>ROUND(IF(AO633="1",BG633,0),2)</f>
        <v>0</v>
      </c>
      <c r="AB633" s="25">
        <f>ROUND(IF(AO633="7",BF633,0),2)</f>
        <v>0</v>
      </c>
      <c r="AC633" s="25">
        <f>ROUND(IF(AO633="7",BG633,0),2)</f>
        <v>0</v>
      </c>
      <c r="AD633" s="25">
        <f>ROUND(IF(AO633="2",BF633,0),2)</f>
        <v>0</v>
      </c>
      <c r="AE633" s="25">
        <f>ROUND(IF(AO633="2",BG633,0),2)</f>
        <v>0</v>
      </c>
      <c r="AF633" s="25">
        <f>ROUND(IF(AO633="0",BH633,0),2)</f>
        <v>0</v>
      </c>
      <c r="AG633" s="10" t="s">
        <v>510</v>
      </c>
      <c r="AH633" s="25">
        <f>IF(AL633=0,K633,0)</f>
        <v>0</v>
      </c>
      <c r="AI633" s="25">
        <f>IF(AL633=12,K633,0)</f>
        <v>0</v>
      </c>
      <c r="AJ633" s="25">
        <f>IF(AL633=21,K633,0)</f>
        <v>0</v>
      </c>
      <c r="AL633" s="25">
        <v>21</v>
      </c>
      <c r="AM633" s="25">
        <f>H633*1</f>
        <v>0</v>
      </c>
      <c r="AN633" s="25">
        <f>H633*(1-1)</f>
        <v>0</v>
      </c>
      <c r="AO633" s="27" t="s">
        <v>61</v>
      </c>
      <c r="AT633" s="25">
        <f>ROUND(AU633+AV633,2)</f>
        <v>0</v>
      </c>
      <c r="AU633" s="25">
        <f>ROUND(G633*AM633,2)</f>
        <v>0</v>
      </c>
      <c r="AV633" s="25">
        <f>ROUND(G633*AN633,2)</f>
        <v>0</v>
      </c>
      <c r="AW633" s="27" t="s">
        <v>101</v>
      </c>
      <c r="AX633" s="27" t="s">
        <v>861</v>
      </c>
      <c r="AY633" s="10" t="s">
        <v>518</v>
      </c>
      <c r="BA633" s="25">
        <f>AU633+AV633</f>
        <v>0</v>
      </c>
      <c r="BB633" s="25">
        <f>H633/(100-BC633)*100</f>
        <v>0</v>
      </c>
      <c r="BC633" s="25">
        <v>0</v>
      </c>
      <c r="BD633" s="25">
        <f>M633</f>
        <v>2E-3</v>
      </c>
      <c r="BF633" s="25">
        <f>G633*AM633</f>
        <v>0</v>
      </c>
      <c r="BG633" s="25">
        <f>G633*AN633</f>
        <v>0</v>
      </c>
      <c r="BH633" s="25">
        <f>G633*H633</f>
        <v>0</v>
      </c>
      <c r="BI633" s="27" t="s">
        <v>576</v>
      </c>
      <c r="BJ633" s="25">
        <v>725</v>
      </c>
      <c r="BU633" s="25" t="e">
        <f>#REF!</f>
        <v>#REF!</v>
      </c>
      <c r="BV633" s="4" t="s">
        <v>868</v>
      </c>
    </row>
    <row r="634" spans="1:74" ht="14.4" x14ac:dyDescent="0.3">
      <c r="A634" s="28"/>
      <c r="D634" s="29" t="s">
        <v>57</v>
      </c>
      <c r="E634" s="29" t="s">
        <v>52</v>
      </c>
      <c r="G634" s="30">
        <v>1</v>
      </c>
      <c r="H634" s="63"/>
      <c r="N634" s="31"/>
    </row>
    <row r="635" spans="1:74" ht="14.4" x14ac:dyDescent="0.3">
      <c r="A635" s="2" t="s">
        <v>869</v>
      </c>
      <c r="B635" s="3" t="s">
        <v>510</v>
      </c>
      <c r="C635" s="3" t="s">
        <v>870</v>
      </c>
      <c r="D635" s="112" t="s">
        <v>871</v>
      </c>
      <c r="E635" s="109"/>
      <c r="F635" s="3" t="s">
        <v>122</v>
      </c>
      <c r="G635" s="25">
        <v>2</v>
      </c>
      <c r="H635" s="62"/>
      <c r="I635" s="25">
        <f>ROUND(G635*AM635,2)</f>
        <v>0</v>
      </c>
      <c r="J635" s="25">
        <f>ROUND(G635*AN635,2)</f>
        <v>0</v>
      </c>
      <c r="K635" s="25">
        <f>ROUND(G635*H635,2)</f>
        <v>0</v>
      </c>
      <c r="L635" s="25">
        <v>1E-3</v>
      </c>
      <c r="M635" s="25">
        <f>G635*L635</f>
        <v>2E-3</v>
      </c>
      <c r="N635" s="102"/>
      <c r="X635" s="25">
        <f>ROUND(IF(AO635="5",BH635,0),2)</f>
        <v>0</v>
      </c>
      <c r="Z635" s="25">
        <f>ROUND(IF(AO635="1",BF635,0),2)</f>
        <v>0</v>
      </c>
      <c r="AA635" s="25">
        <f>ROUND(IF(AO635="1",BG635,0),2)</f>
        <v>0</v>
      </c>
      <c r="AB635" s="25">
        <f>ROUND(IF(AO635="7",BF635,0),2)</f>
        <v>0</v>
      </c>
      <c r="AC635" s="25">
        <f>ROUND(IF(AO635="7",BG635,0),2)</f>
        <v>0</v>
      </c>
      <c r="AD635" s="25">
        <f>ROUND(IF(AO635="2",BF635,0),2)</f>
        <v>0</v>
      </c>
      <c r="AE635" s="25">
        <f>ROUND(IF(AO635="2",BG635,0),2)</f>
        <v>0</v>
      </c>
      <c r="AF635" s="25">
        <f>ROUND(IF(AO635="0",BH635,0),2)</f>
        <v>0</v>
      </c>
      <c r="AG635" s="10" t="s">
        <v>510</v>
      </c>
      <c r="AH635" s="25">
        <f>IF(AL635=0,K635,0)</f>
        <v>0</v>
      </c>
      <c r="AI635" s="25">
        <f>IF(AL635=12,K635,0)</f>
        <v>0</v>
      </c>
      <c r="AJ635" s="25">
        <f>IF(AL635=21,K635,0)</f>
        <v>0</v>
      </c>
      <c r="AL635" s="25">
        <v>21</v>
      </c>
      <c r="AM635" s="25">
        <f>H635*1</f>
        <v>0</v>
      </c>
      <c r="AN635" s="25">
        <f>H635*(1-1)</f>
        <v>0</v>
      </c>
      <c r="AO635" s="27" t="s">
        <v>61</v>
      </c>
      <c r="AT635" s="25">
        <f>ROUND(AU635+AV635,2)</f>
        <v>0</v>
      </c>
      <c r="AU635" s="25">
        <f>ROUND(G635*AM635,2)</f>
        <v>0</v>
      </c>
      <c r="AV635" s="25">
        <f>ROUND(G635*AN635,2)</f>
        <v>0</v>
      </c>
      <c r="AW635" s="27" t="s">
        <v>101</v>
      </c>
      <c r="AX635" s="27" t="s">
        <v>861</v>
      </c>
      <c r="AY635" s="10" t="s">
        <v>518</v>
      </c>
      <c r="BA635" s="25">
        <f>AU635+AV635</f>
        <v>0</v>
      </c>
      <c r="BB635" s="25">
        <f>H635/(100-BC635)*100</f>
        <v>0</v>
      </c>
      <c r="BC635" s="25">
        <v>0</v>
      </c>
      <c r="BD635" s="25">
        <f>M635</f>
        <v>2E-3</v>
      </c>
      <c r="BF635" s="25">
        <f>G635*AM635</f>
        <v>0</v>
      </c>
      <c r="BG635" s="25">
        <f>G635*AN635</f>
        <v>0</v>
      </c>
      <c r="BH635" s="25">
        <f>G635*H635</f>
        <v>0</v>
      </c>
      <c r="BI635" s="27" t="s">
        <v>576</v>
      </c>
      <c r="BJ635" s="25">
        <v>725</v>
      </c>
      <c r="BU635" s="25" t="e">
        <f>#REF!</f>
        <v>#REF!</v>
      </c>
      <c r="BV635" s="4" t="s">
        <v>871</v>
      </c>
    </row>
    <row r="636" spans="1:74" ht="14.4" x14ac:dyDescent="0.3">
      <c r="A636" s="28"/>
      <c r="D636" s="29" t="s">
        <v>81</v>
      </c>
      <c r="E636" s="29" t="s">
        <v>872</v>
      </c>
      <c r="G636" s="30">
        <v>2</v>
      </c>
      <c r="H636" s="63"/>
      <c r="N636" s="31"/>
    </row>
    <row r="637" spans="1:74" ht="14.4" x14ac:dyDescent="0.3">
      <c r="A637" s="2" t="s">
        <v>873</v>
      </c>
      <c r="B637" s="3" t="s">
        <v>510</v>
      </c>
      <c r="C637" s="3" t="s">
        <v>874</v>
      </c>
      <c r="D637" s="112" t="s">
        <v>875</v>
      </c>
      <c r="E637" s="109"/>
      <c r="F637" s="3" t="s">
        <v>122</v>
      </c>
      <c r="G637" s="25">
        <v>2</v>
      </c>
      <c r="H637" s="62"/>
      <c r="I637" s="25">
        <f>ROUND(G637*AM637,2)</f>
        <v>0</v>
      </c>
      <c r="J637" s="25">
        <f>ROUND(G637*AN637,2)</f>
        <v>0</v>
      </c>
      <c r="K637" s="25">
        <f>ROUND(G637*H637,2)</f>
        <v>0</v>
      </c>
      <c r="L637" s="25">
        <v>2E-3</v>
      </c>
      <c r="M637" s="25">
        <f>G637*L637</f>
        <v>4.0000000000000001E-3</v>
      </c>
      <c r="N637" s="102"/>
      <c r="X637" s="25">
        <f>ROUND(IF(AO637="5",BH637,0),2)</f>
        <v>0</v>
      </c>
      <c r="Z637" s="25">
        <f>ROUND(IF(AO637="1",BF637,0),2)</f>
        <v>0</v>
      </c>
      <c r="AA637" s="25">
        <f>ROUND(IF(AO637="1",BG637,0),2)</f>
        <v>0</v>
      </c>
      <c r="AB637" s="25">
        <f>ROUND(IF(AO637="7",BF637,0),2)</f>
        <v>0</v>
      </c>
      <c r="AC637" s="25">
        <f>ROUND(IF(AO637="7",BG637,0),2)</f>
        <v>0</v>
      </c>
      <c r="AD637" s="25">
        <f>ROUND(IF(AO637="2",BF637,0),2)</f>
        <v>0</v>
      </c>
      <c r="AE637" s="25">
        <f>ROUND(IF(AO637="2",BG637,0),2)</f>
        <v>0</v>
      </c>
      <c r="AF637" s="25">
        <f>ROUND(IF(AO637="0",BH637,0),2)</f>
        <v>0</v>
      </c>
      <c r="AG637" s="10" t="s">
        <v>510</v>
      </c>
      <c r="AH637" s="25">
        <f>IF(AL637=0,K637,0)</f>
        <v>0</v>
      </c>
      <c r="AI637" s="25">
        <f>IF(AL637=12,K637,0)</f>
        <v>0</v>
      </c>
      <c r="AJ637" s="25">
        <f>IF(AL637=21,K637,0)</f>
        <v>0</v>
      </c>
      <c r="AL637" s="25">
        <v>21</v>
      </c>
      <c r="AM637" s="25">
        <f>H637*1</f>
        <v>0</v>
      </c>
      <c r="AN637" s="25">
        <f>H637*(1-1)</f>
        <v>0</v>
      </c>
      <c r="AO637" s="27" t="s">
        <v>61</v>
      </c>
      <c r="AT637" s="25">
        <f>ROUND(AU637+AV637,2)</f>
        <v>0</v>
      </c>
      <c r="AU637" s="25">
        <f>ROUND(G637*AM637,2)</f>
        <v>0</v>
      </c>
      <c r="AV637" s="25">
        <f>ROUND(G637*AN637,2)</f>
        <v>0</v>
      </c>
      <c r="AW637" s="27" t="s">
        <v>101</v>
      </c>
      <c r="AX637" s="27" t="s">
        <v>861</v>
      </c>
      <c r="AY637" s="10" t="s">
        <v>518</v>
      </c>
      <c r="BA637" s="25">
        <f>AU637+AV637</f>
        <v>0</v>
      </c>
      <c r="BB637" s="25">
        <f>H637/(100-BC637)*100</f>
        <v>0</v>
      </c>
      <c r="BC637" s="25">
        <v>0</v>
      </c>
      <c r="BD637" s="25">
        <f>M637</f>
        <v>4.0000000000000001E-3</v>
      </c>
      <c r="BF637" s="25">
        <f>G637*AM637</f>
        <v>0</v>
      </c>
      <c r="BG637" s="25">
        <f>G637*AN637</f>
        <v>0</v>
      </c>
      <c r="BH637" s="25">
        <f>G637*H637</f>
        <v>0</v>
      </c>
      <c r="BI637" s="27" t="s">
        <v>576</v>
      </c>
      <c r="BJ637" s="25">
        <v>725</v>
      </c>
      <c r="BU637" s="25" t="e">
        <f>#REF!</f>
        <v>#REF!</v>
      </c>
      <c r="BV637" s="4" t="s">
        <v>875</v>
      </c>
    </row>
    <row r="638" spans="1:74" ht="14.4" x14ac:dyDescent="0.3">
      <c r="A638" s="28"/>
      <c r="D638" s="29" t="s">
        <v>81</v>
      </c>
      <c r="E638" s="29" t="s">
        <v>876</v>
      </c>
      <c r="G638" s="30">
        <v>2</v>
      </c>
      <c r="H638" s="63"/>
      <c r="N638" s="31"/>
    </row>
    <row r="639" spans="1:74" ht="14.4" x14ac:dyDescent="0.3">
      <c r="A639" s="2" t="s">
        <v>877</v>
      </c>
      <c r="B639" s="3" t="s">
        <v>510</v>
      </c>
      <c r="C639" s="3" t="s">
        <v>878</v>
      </c>
      <c r="D639" s="112" t="s">
        <v>879</v>
      </c>
      <c r="E639" s="109"/>
      <c r="F639" s="3" t="s">
        <v>122</v>
      </c>
      <c r="G639" s="25">
        <v>2</v>
      </c>
      <c r="H639" s="62"/>
      <c r="I639" s="25">
        <f>ROUND(G639*AM639,2)</f>
        <v>0</v>
      </c>
      <c r="J639" s="25">
        <f>ROUND(G639*AN639,2)</f>
        <v>0</v>
      </c>
      <c r="K639" s="25">
        <f>ROUND(G639*H639,2)</f>
        <v>0</v>
      </c>
      <c r="L639" s="25">
        <v>5.0000000000000001E-4</v>
      </c>
      <c r="M639" s="25">
        <f>G639*L639</f>
        <v>1E-3</v>
      </c>
      <c r="N639" s="102"/>
      <c r="X639" s="25">
        <f>ROUND(IF(AO639="5",BH639,0),2)</f>
        <v>0</v>
      </c>
      <c r="Z639" s="25">
        <f>ROUND(IF(AO639="1",BF639,0),2)</f>
        <v>0</v>
      </c>
      <c r="AA639" s="25">
        <f>ROUND(IF(AO639="1",BG639,0),2)</f>
        <v>0</v>
      </c>
      <c r="AB639" s="25">
        <f>ROUND(IF(AO639="7",BF639,0),2)</f>
        <v>0</v>
      </c>
      <c r="AC639" s="25">
        <f>ROUND(IF(AO639="7",BG639,0),2)</f>
        <v>0</v>
      </c>
      <c r="AD639" s="25">
        <f>ROUND(IF(AO639="2",BF639,0),2)</f>
        <v>0</v>
      </c>
      <c r="AE639" s="25">
        <f>ROUND(IF(AO639="2",BG639,0),2)</f>
        <v>0</v>
      </c>
      <c r="AF639" s="25">
        <f>ROUND(IF(AO639="0",BH639,0),2)</f>
        <v>0</v>
      </c>
      <c r="AG639" s="10" t="s">
        <v>510</v>
      </c>
      <c r="AH639" s="25">
        <f>IF(AL639=0,K639,0)</f>
        <v>0</v>
      </c>
      <c r="AI639" s="25">
        <f>IF(AL639=12,K639,0)</f>
        <v>0</v>
      </c>
      <c r="AJ639" s="25">
        <f>IF(AL639=21,K639,0)</f>
        <v>0</v>
      </c>
      <c r="AL639" s="25">
        <v>21</v>
      </c>
      <c r="AM639" s="25">
        <f>H639*1</f>
        <v>0</v>
      </c>
      <c r="AN639" s="25">
        <f>H639*(1-1)</f>
        <v>0</v>
      </c>
      <c r="AO639" s="27" t="s">
        <v>61</v>
      </c>
      <c r="AT639" s="25">
        <f>ROUND(AU639+AV639,2)</f>
        <v>0</v>
      </c>
      <c r="AU639" s="25">
        <f>ROUND(G639*AM639,2)</f>
        <v>0</v>
      </c>
      <c r="AV639" s="25">
        <f>ROUND(G639*AN639,2)</f>
        <v>0</v>
      </c>
      <c r="AW639" s="27" t="s">
        <v>101</v>
      </c>
      <c r="AX639" s="27" t="s">
        <v>861</v>
      </c>
      <c r="AY639" s="10" t="s">
        <v>518</v>
      </c>
      <c r="BA639" s="25">
        <f>AU639+AV639</f>
        <v>0</v>
      </c>
      <c r="BB639" s="25">
        <f>H639/(100-BC639)*100</f>
        <v>0</v>
      </c>
      <c r="BC639" s="25">
        <v>0</v>
      </c>
      <c r="BD639" s="25">
        <f>M639</f>
        <v>1E-3</v>
      </c>
      <c r="BF639" s="25">
        <f>G639*AM639</f>
        <v>0</v>
      </c>
      <c r="BG639" s="25">
        <f>G639*AN639</f>
        <v>0</v>
      </c>
      <c r="BH639" s="25">
        <f>G639*H639</f>
        <v>0</v>
      </c>
      <c r="BI639" s="27" t="s">
        <v>576</v>
      </c>
      <c r="BJ639" s="25">
        <v>725</v>
      </c>
      <c r="BU639" s="25" t="e">
        <f>#REF!</f>
        <v>#REF!</v>
      </c>
      <c r="BV639" s="4" t="s">
        <v>879</v>
      </c>
    </row>
    <row r="640" spans="1:74" ht="14.4" x14ac:dyDescent="0.3">
      <c r="A640" s="28"/>
      <c r="D640" s="29" t="s">
        <v>81</v>
      </c>
      <c r="E640" s="29" t="s">
        <v>880</v>
      </c>
      <c r="G640" s="30">
        <v>2</v>
      </c>
      <c r="H640" s="63"/>
      <c r="N640" s="31"/>
    </row>
    <row r="641" spans="1:74" ht="14.4" x14ac:dyDescent="0.3">
      <c r="A641" s="2" t="s">
        <v>881</v>
      </c>
      <c r="B641" s="3" t="s">
        <v>510</v>
      </c>
      <c r="C641" s="3" t="s">
        <v>882</v>
      </c>
      <c r="D641" s="112" t="s">
        <v>883</v>
      </c>
      <c r="E641" s="109"/>
      <c r="F641" s="3" t="s">
        <v>278</v>
      </c>
      <c r="G641" s="25">
        <v>1.0540000000000001E-2</v>
      </c>
      <c r="H641" s="62"/>
      <c r="I641" s="25">
        <f>ROUND(G641*AM641,2)</f>
        <v>0</v>
      </c>
      <c r="J641" s="25">
        <f>ROUND(G641*AN641,2)</f>
        <v>0</v>
      </c>
      <c r="K641" s="25">
        <f>ROUND(G641*H641,2)</f>
        <v>0</v>
      </c>
      <c r="L641" s="25">
        <v>0</v>
      </c>
      <c r="M641" s="25">
        <f>G641*L641</f>
        <v>0</v>
      </c>
      <c r="N641" s="102"/>
      <c r="X641" s="25">
        <f>ROUND(IF(AO641="5",BH641,0),2)</f>
        <v>0</v>
      </c>
      <c r="Z641" s="25">
        <f>ROUND(IF(AO641="1",BF641,0),2)</f>
        <v>0</v>
      </c>
      <c r="AA641" s="25">
        <f>ROUND(IF(AO641="1",BG641,0),2)</f>
        <v>0</v>
      </c>
      <c r="AB641" s="25">
        <f>ROUND(IF(AO641="7",BF641,0),2)</f>
        <v>0</v>
      </c>
      <c r="AC641" s="25">
        <f>ROUND(IF(AO641="7",BG641,0),2)</f>
        <v>0</v>
      </c>
      <c r="AD641" s="25">
        <f>ROUND(IF(AO641="2",BF641,0),2)</f>
        <v>0</v>
      </c>
      <c r="AE641" s="25">
        <f>ROUND(IF(AO641="2",BG641,0),2)</f>
        <v>0</v>
      </c>
      <c r="AF641" s="25">
        <f>ROUND(IF(AO641="0",BH641,0),2)</f>
        <v>0</v>
      </c>
      <c r="AG641" s="10" t="s">
        <v>510</v>
      </c>
      <c r="AH641" s="25">
        <f>IF(AL641=0,K641,0)</f>
        <v>0</v>
      </c>
      <c r="AI641" s="25">
        <f>IF(AL641=12,K641,0)</f>
        <v>0</v>
      </c>
      <c r="AJ641" s="25">
        <f>IF(AL641=21,K641,0)</f>
        <v>0</v>
      </c>
      <c r="AL641" s="25">
        <v>21</v>
      </c>
      <c r="AM641" s="25">
        <f>H641*0</f>
        <v>0</v>
      </c>
      <c r="AN641" s="25">
        <f>H641*(1-0)</f>
        <v>0</v>
      </c>
      <c r="AO641" s="27" t="s">
        <v>97</v>
      </c>
      <c r="AT641" s="25">
        <f>ROUND(AU641+AV641,2)</f>
        <v>0</v>
      </c>
      <c r="AU641" s="25">
        <f>ROUND(G641*AM641,2)</f>
        <v>0</v>
      </c>
      <c r="AV641" s="25">
        <f>ROUND(G641*AN641,2)</f>
        <v>0</v>
      </c>
      <c r="AW641" s="27" t="s">
        <v>101</v>
      </c>
      <c r="AX641" s="27" t="s">
        <v>861</v>
      </c>
      <c r="AY641" s="10" t="s">
        <v>518</v>
      </c>
      <c r="BA641" s="25">
        <f>AU641+AV641</f>
        <v>0</v>
      </c>
      <c r="BB641" s="25">
        <f>H641/(100-BC641)*100</f>
        <v>0</v>
      </c>
      <c r="BC641" s="25">
        <v>0</v>
      </c>
      <c r="BD641" s="25">
        <f>M641</f>
        <v>0</v>
      </c>
      <c r="BF641" s="25">
        <f>G641*AM641</f>
        <v>0</v>
      </c>
      <c r="BG641" s="25">
        <f>G641*AN641</f>
        <v>0</v>
      </c>
      <c r="BH641" s="25">
        <f>G641*H641</f>
        <v>0</v>
      </c>
      <c r="BI641" s="27" t="s">
        <v>65</v>
      </c>
      <c r="BJ641" s="25">
        <v>725</v>
      </c>
      <c r="BU641" s="25" t="e">
        <f>#REF!</f>
        <v>#REF!</v>
      </c>
      <c r="BV641" s="4" t="s">
        <v>883</v>
      </c>
    </row>
    <row r="642" spans="1:74" ht="14.4" x14ac:dyDescent="0.3">
      <c r="A642" s="21" t="s">
        <v>52</v>
      </c>
      <c r="B642" s="22" t="s">
        <v>510</v>
      </c>
      <c r="C642" s="22" t="s">
        <v>324</v>
      </c>
      <c r="D642" s="170" t="s">
        <v>325</v>
      </c>
      <c r="E642" s="171"/>
      <c r="F642" s="23" t="s">
        <v>32</v>
      </c>
      <c r="G642" s="23" t="s">
        <v>32</v>
      </c>
      <c r="H642" s="64"/>
      <c r="I642" s="1">
        <f>SUM(I643:I665)</f>
        <v>0</v>
      </c>
      <c r="J642" s="1">
        <f>SUM(J643:J665)</f>
        <v>0</v>
      </c>
      <c r="K642" s="1">
        <f>SUM(K643:K665)</f>
        <v>0</v>
      </c>
      <c r="L642" s="10" t="s">
        <v>52</v>
      </c>
      <c r="M642" s="1">
        <f>SUM(M643:M665)</f>
        <v>0.25079999999999991</v>
      </c>
      <c r="N642" s="24"/>
      <c r="AG642" s="10" t="s">
        <v>510</v>
      </c>
      <c r="AQ642" s="1">
        <f>SUM(AH643:AH665)</f>
        <v>0</v>
      </c>
      <c r="AR642" s="1">
        <f>SUM(AI643:AI665)</f>
        <v>0</v>
      </c>
      <c r="AS642" s="1">
        <f>SUM(AJ643:AJ665)</f>
        <v>0</v>
      </c>
    </row>
    <row r="643" spans="1:74" ht="14.4" x14ac:dyDescent="0.3">
      <c r="A643" s="2" t="s">
        <v>884</v>
      </c>
      <c r="B643" s="3" t="s">
        <v>510</v>
      </c>
      <c r="C643" s="3" t="s">
        <v>885</v>
      </c>
      <c r="D643" s="112" t="s">
        <v>886</v>
      </c>
      <c r="E643" s="109"/>
      <c r="F643" s="3" t="s">
        <v>122</v>
      </c>
      <c r="G643" s="25">
        <v>6</v>
      </c>
      <c r="H643" s="62"/>
      <c r="I643" s="25">
        <f>ROUND(G643*AM643,2)</f>
        <v>0</v>
      </c>
      <c r="J643" s="25">
        <f>ROUND(G643*AN643,2)</f>
        <v>0</v>
      </c>
      <c r="K643" s="25">
        <f>ROUND(G643*H643,2)</f>
        <v>0</v>
      </c>
      <c r="L643" s="25">
        <v>0</v>
      </c>
      <c r="M643" s="25">
        <f>G643*L643</f>
        <v>0</v>
      </c>
      <c r="N643" s="26"/>
      <c r="X643" s="25">
        <f>ROUND(IF(AO643="5",BH643,0),2)</f>
        <v>0</v>
      </c>
      <c r="Z643" s="25">
        <f>ROUND(IF(AO643="1",BF643,0),2)</f>
        <v>0</v>
      </c>
      <c r="AA643" s="25">
        <f>ROUND(IF(AO643="1",BG643,0),2)</f>
        <v>0</v>
      </c>
      <c r="AB643" s="25">
        <f>ROUND(IF(AO643="7",BF643,0),2)</f>
        <v>0</v>
      </c>
      <c r="AC643" s="25">
        <f>ROUND(IF(AO643="7",BG643,0),2)</f>
        <v>0</v>
      </c>
      <c r="AD643" s="25">
        <f>ROUND(IF(AO643="2",BF643,0),2)</f>
        <v>0</v>
      </c>
      <c r="AE643" s="25">
        <f>ROUND(IF(AO643="2",BG643,0),2)</f>
        <v>0</v>
      </c>
      <c r="AF643" s="25">
        <f>ROUND(IF(AO643="0",BH643,0),2)</f>
        <v>0</v>
      </c>
      <c r="AG643" s="10" t="s">
        <v>510</v>
      </c>
      <c r="AH643" s="25">
        <f>IF(AL643=0,K643,0)</f>
        <v>0</v>
      </c>
      <c r="AI643" s="25">
        <f>IF(AL643=12,K643,0)</f>
        <v>0</v>
      </c>
      <c r="AJ643" s="25">
        <f>IF(AL643=21,K643,0)</f>
        <v>0</v>
      </c>
      <c r="AL643" s="25">
        <v>21</v>
      </c>
      <c r="AM643" s="25">
        <f>H643*0</f>
        <v>0</v>
      </c>
      <c r="AN643" s="25">
        <f>H643*(1-0)</f>
        <v>0</v>
      </c>
      <c r="AO643" s="27" t="s">
        <v>61</v>
      </c>
      <c r="AT643" s="25">
        <f>ROUND(AU643+AV643,2)</f>
        <v>0</v>
      </c>
      <c r="AU643" s="25">
        <f>ROUND(G643*AM643,2)</f>
        <v>0</v>
      </c>
      <c r="AV643" s="25">
        <f>ROUND(G643*AN643,2)</f>
        <v>0</v>
      </c>
      <c r="AW643" s="27" t="s">
        <v>329</v>
      </c>
      <c r="AX643" s="27" t="s">
        <v>887</v>
      </c>
      <c r="AY643" s="10" t="s">
        <v>518</v>
      </c>
      <c r="BA643" s="25">
        <f>AU643+AV643</f>
        <v>0</v>
      </c>
      <c r="BB643" s="25">
        <f>H643/(100-BC643)*100</f>
        <v>0</v>
      </c>
      <c r="BC643" s="25">
        <v>0</v>
      </c>
      <c r="BD643" s="25">
        <f>M643</f>
        <v>0</v>
      </c>
      <c r="BF643" s="25">
        <f>G643*AM643</f>
        <v>0</v>
      </c>
      <c r="BG643" s="25">
        <f>G643*AN643</f>
        <v>0</v>
      </c>
      <c r="BH643" s="25">
        <f>G643*H643</f>
        <v>0</v>
      </c>
      <c r="BI643" s="27" t="s">
        <v>65</v>
      </c>
      <c r="BJ643" s="25">
        <v>766</v>
      </c>
      <c r="BU643" s="25" t="e">
        <f>#REF!</f>
        <v>#REF!</v>
      </c>
      <c r="BV643" s="4" t="s">
        <v>886</v>
      </c>
    </row>
    <row r="644" spans="1:74" ht="14.4" x14ac:dyDescent="0.3">
      <c r="A644" s="28"/>
      <c r="D644" s="29" t="s">
        <v>106</v>
      </c>
      <c r="E644" s="29" t="s">
        <v>52</v>
      </c>
      <c r="G644" s="30">
        <v>6</v>
      </c>
      <c r="H644" s="63"/>
      <c r="N644" s="31"/>
    </row>
    <row r="645" spans="1:74" ht="26.4" x14ac:dyDescent="0.3">
      <c r="A645" s="2" t="s">
        <v>888</v>
      </c>
      <c r="B645" s="3" t="s">
        <v>510</v>
      </c>
      <c r="C645" s="3" t="s">
        <v>889</v>
      </c>
      <c r="D645" s="112" t="s">
        <v>890</v>
      </c>
      <c r="E645" s="109"/>
      <c r="F645" s="3" t="s">
        <v>122</v>
      </c>
      <c r="G645" s="25">
        <v>3</v>
      </c>
      <c r="H645" s="62"/>
      <c r="I645" s="25">
        <f>ROUND(G645*AM645,2)</f>
        <v>0</v>
      </c>
      <c r="J645" s="25">
        <f>ROUND(G645*AN645,2)</f>
        <v>0</v>
      </c>
      <c r="K645" s="25">
        <f>ROUND(G645*H645,2)</f>
        <v>0</v>
      </c>
      <c r="L645" s="25">
        <v>2.3E-2</v>
      </c>
      <c r="M645" s="25">
        <f>G645*L645</f>
        <v>6.9000000000000006E-2</v>
      </c>
      <c r="N645" s="102"/>
      <c r="X645" s="25">
        <f>ROUND(IF(AO645="5",BH645,0),2)</f>
        <v>0</v>
      </c>
      <c r="Z645" s="25">
        <f>ROUND(IF(AO645="1",BF645,0),2)</f>
        <v>0</v>
      </c>
      <c r="AA645" s="25">
        <f>ROUND(IF(AO645="1",BG645,0),2)</f>
        <v>0</v>
      </c>
      <c r="AB645" s="25">
        <f>ROUND(IF(AO645="7",BF645,0),2)</f>
        <v>0</v>
      </c>
      <c r="AC645" s="25">
        <f>ROUND(IF(AO645="7",BG645,0),2)</f>
        <v>0</v>
      </c>
      <c r="AD645" s="25">
        <f>ROUND(IF(AO645="2",BF645,0),2)</f>
        <v>0</v>
      </c>
      <c r="AE645" s="25">
        <f>ROUND(IF(AO645="2",BG645,0),2)</f>
        <v>0</v>
      </c>
      <c r="AF645" s="25">
        <f>ROUND(IF(AO645="0",BH645,0),2)</f>
        <v>0</v>
      </c>
      <c r="AG645" s="10" t="s">
        <v>510</v>
      </c>
      <c r="AH645" s="25">
        <f>IF(AL645=0,K645,0)</f>
        <v>0</v>
      </c>
      <c r="AI645" s="25">
        <f>IF(AL645=12,K645,0)</f>
        <v>0</v>
      </c>
      <c r="AJ645" s="25">
        <f>IF(AL645=21,K645,0)</f>
        <v>0</v>
      </c>
      <c r="AL645" s="25">
        <v>21</v>
      </c>
      <c r="AM645" s="25">
        <f>H645*1</f>
        <v>0</v>
      </c>
      <c r="AN645" s="25">
        <f>H645*(1-1)</f>
        <v>0</v>
      </c>
      <c r="AO645" s="27" t="s">
        <v>61</v>
      </c>
      <c r="AT645" s="25">
        <f>ROUND(AU645+AV645,2)</f>
        <v>0</v>
      </c>
      <c r="AU645" s="25">
        <f>ROUND(G645*AM645,2)</f>
        <v>0</v>
      </c>
      <c r="AV645" s="25">
        <f>ROUND(G645*AN645,2)</f>
        <v>0</v>
      </c>
      <c r="AW645" s="27" t="s">
        <v>329</v>
      </c>
      <c r="AX645" s="27" t="s">
        <v>887</v>
      </c>
      <c r="AY645" s="10" t="s">
        <v>518</v>
      </c>
      <c r="BA645" s="25">
        <f>AU645+AV645</f>
        <v>0</v>
      </c>
      <c r="BB645" s="25">
        <f>H645/(100-BC645)*100</f>
        <v>0</v>
      </c>
      <c r="BC645" s="25">
        <v>0</v>
      </c>
      <c r="BD645" s="25">
        <f>M645</f>
        <v>6.9000000000000006E-2</v>
      </c>
      <c r="BF645" s="25">
        <f>G645*AM645</f>
        <v>0</v>
      </c>
      <c r="BG645" s="25">
        <f>G645*AN645</f>
        <v>0</v>
      </c>
      <c r="BH645" s="25">
        <f>G645*H645</f>
        <v>0</v>
      </c>
      <c r="BI645" s="27" t="s">
        <v>576</v>
      </c>
      <c r="BJ645" s="25">
        <v>766</v>
      </c>
      <c r="BU645" s="25" t="e">
        <f>#REF!</f>
        <v>#REF!</v>
      </c>
      <c r="BV645" s="4" t="s">
        <v>890</v>
      </c>
    </row>
    <row r="646" spans="1:74" ht="14.4" x14ac:dyDescent="0.3">
      <c r="A646" s="28"/>
      <c r="D646" s="29" t="s">
        <v>87</v>
      </c>
      <c r="E646" s="29" t="s">
        <v>52</v>
      </c>
      <c r="G646" s="30">
        <v>3</v>
      </c>
      <c r="H646" s="63"/>
      <c r="N646" s="31"/>
    </row>
    <row r="647" spans="1:74" ht="26.4" x14ac:dyDescent="0.3">
      <c r="A647" s="2" t="s">
        <v>891</v>
      </c>
      <c r="B647" s="3" t="s">
        <v>510</v>
      </c>
      <c r="C647" s="3" t="s">
        <v>892</v>
      </c>
      <c r="D647" s="112" t="s">
        <v>893</v>
      </c>
      <c r="E647" s="109"/>
      <c r="F647" s="3" t="s">
        <v>122</v>
      </c>
      <c r="G647" s="25">
        <v>1</v>
      </c>
      <c r="H647" s="62"/>
      <c r="I647" s="25">
        <f>ROUND(G647*AM647,2)</f>
        <v>0</v>
      </c>
      <c r="J647" s="25">
        <f>ROUND(G647*AN647,2)</f>
        <v>0</v>
      </c>
      <c r="K647" s="25">
        <f>ROUND(G647*H647,2)</f>
        <v>0</v>
      </c>
      <c r="L647" s="25">
        <v>2.3E-2</v>
      </c>
      <c r="M647" s="25">
        <f>G647*L647</f>
        <v>2.3E-2</v>
      </c>
      <c r="N647" s="102"/>
      <c r="X647" s="25">
        <f>ROUND(IF(AO647="5",BH647,0),2)</f>
        <v>0</v>
      </c>
      <c r="Z647" s="25">
        <f>ROUND(IF(AO647="1",BF647,0),2)</f>
        <v>0</v>
      </c>
      <c r="AA647" s="25">
        <f>ROUND(IF(AO647="1",BG647,0),2)</f>
        <v>0</v>
      </c>
      <c r="AB647" s="25">
        <f>ROUND(IF(AO647="7",BF647,0),2)</f>
        <v>0</v>
      </c>
      <c r="AC647" s="25">
        <f>ROUND(IF(AO647="7",BG647,0),2)</f>
        <v>0</v>
      </c>
      <c r="AD647" s="25">
        <f>ROUND(IF(AO647="2",BF647,0),2)</f>
        <v>0</v>
      </c>
      <c r="AE647" s="25">
        <f>ROUND(IF(AO647="2",BG647,0),2)</f>
        <v>0</v>
      </c>
      <c r="AF647" s="25">
        <f>ROUND(IF(AO647="0",BH647,0),2)</f>
        <v>0</v>
      </c>
      <c r="AG647" s="10" t="s">
        <v>510</v>
      </c>
      <c r="AH647" s="25">
        <f>IF(AL647=0,K647,0)</f>
        <v>0</v>
      </c>
      <c r="AI647" s="25">
        <f>IF(AL647=12,K647,0)</f>
        <v>0</v>
      </c>
      <c r="AJ647" s="25">
        <f>IF(AL647=21,K647,0)</f>
        <v>0</v>
      </c>
      <c r="AL647" s="25">
        <v>21</v>
      </c>
      <c r="AM647" s="25">
        <f>H647*1</f>
        <v>0</v>
      </c>
      <c r="AN647" s="25">
        <f>H647*(1-1)</f>
        <v>0</v>
      </c>
      <c r="AO647" s="27" t="s">
        <v>61</v>
      </c>
      <c r="AT647" s="25">
        <f>ROUND(AU647+AV647,2)</f>
        <v>0</v>
      </c>
      <c r="AU647" s="25">
        <f>ROUND(G647*AM647,2)</f>
        <v>0</v>
      </c>
      <c r="AV647" s="25">
        <f>ROUND(G647*AN647,2)</f>
        <v>0</v>
      </c>
      <c r="AW647" s="27" t="s">
        <v>329</v>
      </c>
      <c r="AX647" s="27" t="s">
        <v>887</v>
      </c>
      <c r="AY647" s="10" t="s">
        <v>518</v>
      </c>
      <c r="BA647" s="25">
        <f>AU647+AV647</f>
        <v>0</v>
      </c>
      <c r="BB647" s="25">
        <f>H647/(100-BC647)*100</f>
        <v>0</v>
      </c>
      <c r="BC647" s="25">
        <v>0</v>
      </c>
      <c r="BD647" s="25">
        <f>M647</f>
        <v>2.3E-2</v>
      </c>
      <c r="BF647" s="25">
        <f>G647*AM647</f>
        <v>0</v>
      </c>
      <c r="BG647" s="25">
        <f>G647*AN647</f>
        <v>0</v>
      </c>
      <c r="BH647" s="25">
        <f>G647*H647</f>
        <v>0</v>
      </c>
      <c r="BI647" s="27" t="s">
        <v>576</v>
      </c>
      <c r="BJ647" s="25">
        <v>766</v>
      </c>
      <c r="BU647" s="25" t="e">
        <f>#REF!</f>
        <v>#REF!</v>
      </c>
      <c r="BV647" s="4" t="s">
        <v>893</v>
      </c>
    </row>
    <row r="648" spans="1:74" ht="14.4" x14ac:dyDescent="0.3">
      <c r="A648" s="28"/>
      <c r="D648" s="29" t="s">
        <v>57</v>
      </c>
      <c r="E648" s="29" t="s">
        <v>52</v>
      </c>
      <c r="G648" s="30">
        <v>1</v>
      </c>
      <c r="H648" s="63"/>
      <c r="N648" s="31"/>
    </row>
    <row r="649" spans="1:74" ht="26.4" x14ac:dyDescent="0.3">
      <c r="A649" s="2" t="s">
        <v>894</v>
      </c>
      <c r="B649" s="3" t="s">
        <v>510</v>
      </c>
      <c r="C649" s="3">
        <v>611650539</v>
      </c>
      <c r="D649" s="112" t="s">
        <v>893</v>
      </c>
      <c r="E649" s="109"/>
      <c r="F649" s="3" t="s">
        <v>122</v>
      </c>
      <c r="G649" s="25">
        <v>1</v>
      </c>
      <c r="H649" s="62"/>
      <c r="I649" s="25">
        <f>ROUND(G649*AM649,2)</f>
        <v>0</v>
      </c>
      <c r="J649" s="25">
        <f>ROUND(G649*AN649,2)</f>
        <v>0</v>
      </c>
      <c r="K649" s="25">
        <f>ROUND(G649*H649,2)</f>
        <v>0</v>
      </c>
      <c r="L649" s="25">
        <v>2.3E-2</v>
      </c>
      <c r="M649" s="25">
        <f>G649*L649</f>
        <v>2.3E-2</v>
      </c>
      <c r="N649" s="102"/>
      <c r="X649" s="25">
        <f>ROUND(IF(AO649="5",BH649,0),2)</f>
        <v>0</v>
      </c>
      <c r="Z649" s="25">
        <f>ROUND(IF(AO649="1",BF649,0),2)</f>
        <v>0</v>
      </c>
      <c r="AA649" s="25">
        <f>ROUND(IF(AO649="1",BG649,0),2)</f>
        <v>0</v>
      </c>
      <c r="AB649" s="25">
        <f>ROUND(IF(AO649="7",BF649,0),2)</f>
        <v>0</v>
      </c>
      <c r="AC649" s="25">
        <f>ROUND(IF(AO649="7",BG649,0),2)</f>
        <v>0</v>
      </c>
      <c r="AD649" s="25">
        <f>ROUND(IF(AO649="2",BF649,0),2)</f>
        <v>0</v>
      </c>
      <c r="AE649" s="25">
        <f>ROUND(IF(AO649="2",BG649,0),2)</f>
        <v>0</v>
      </c>
      <c r="AF649" s="25">
        <f>ROUND(IF(AO649="0",BH649,0),2)</f>
        <v>0</v>
      </c>
      <c r="AG649" s="10" t="s">
        <v>510</v>
      </c>
      <c r="AH649" s="25">
        <f>IF(AL649=0,K649,0)</f>
        <v>0</v>
      </c>
      <c r="AI649" s="25">
        <f>IF(AL649=12,K649,0)</f>
        <v>0</v>
      </c>
      <c r="AJ649" s="25">
        <f>IF(AL649=21,K649,0)</f>
        <v>0</v>
      </c>
      <c r="AL649" s="25">
        <v>21</v>
      </c>
      <c r="AM649" s="25">
        <f>H649*1</f>
        <v>0</v>
      </c>
      <c r="AN649" s="25">
        <f>H649*(1-1)</f>
        <v>0</v>
      </c>
      <c r="AO649" s="27" t="s">
        <v>61</v>
      </c>
      <c r="AT649" s="25">
        <f>ROUND(AU649+AV649,2)</f>
        <v>0</v>
      </c>
      <c r="AU649" s="25">
        <f>ROUND(G649*AM649,2)</f>
        <v>0</v>
      </c>
      <c r="AV649" s="25">
        <f>ROUND(G649*AN649,2)</f>
        <v>0</v>
      </c>
      <c r="AW649" s="27" t="s">
        <v>329</v>
      </c>
      <c r="AX649" s="27" t="s">
        <v>887</v>
      </c>
      <c r="AY649" s="10" t="s">
        <v>518</v>
      </c>
      <c r="BA649" s="25">
        <f>AU649+AV649</f>
        <v>0</v>
      </c>
      <c r="BB649" s="25">
        <f>H649/(100-BC649)*100</f>
        <v>0</v>
      </c>
      <c r="BC649" s="25">
        <v>0</v>
      </c>
      <c r="BD649" s="25">
        <f>M649</f>
        <v>2.3E-2</v>
      </c>
      <c r="BF649" s="25">
        <f>G649*AM649</f>
        <v>0</v>
      </c>
      <c r="BG649" s="25">
        <f>G649*AN649</f>
        <v>0</v>
      </c>
      <c r="BH649" s="25">
        <f>G649*H649</f>
        <v>0</v>
      </c>
      <c r="BI649" s="27" t="s">
        <v>576</v>
      </c>
      <c r="BJ649" s="25">
        <v>766</v>
      </c>
      <c r="BU649" s="25" t="e">
        <f>#REF!</f>
        <v>#REF!</v>
      </c>
      <c r="BV649" s="4" t="s">
        <v>893</v>
      </c>
    </row>
    <row r="650" spans="1:74" ht="14.4" x14ac:dyDescent="0.3">
      <c r="A650" s="28"/>
      <c r="D650" s="29" t="s">
        <v>57</v>
      </c>
      <c r="E650" s="29" t="s">
        <v>52</v>
      </c>
      <c r="G650" s="30">
        <v>1</v>
      </c>
      <c r="H650" s="63"/>
      <c r="N650" s="31"/>
    </row>
    <row r="651" spans="1:74" ht="26.4" x14ac:dyDescent="0.3">
      <c r="A651" s="2" t="s">
        <v>895</v>
      </c>
      <c r="B651" s="3" t="s">
        <v>510</v>
      </c>
      <c r="C651" s="3" t="s">
        <v>896</v>
      </c>
      <c r="D651" s="112" t="s">
        <v>897</v>
      </c>
      <c r="E651" s="109"/>
      <c r="F651" s="3" t="s">
        <v>122</v>
      </c>
      <c r="G651" s="25">
        <v>1</v>
      </c>
      <c r="H651" s="62"/>
      <c r="I651" s="25">
        <f>ROUND(G651*AM651,2)</f>
        <v>0</v>
      </c>
      <c r="J651" s="25">
        <f>ROUND(G651*AN651,2)</f>
        <v>0</v>
      </c>
      <c r="K651" s="25">
        <f>ROUND(G651*H651,2)</f>
        <v>0</v>
      </c>
      <c r="L651" s="25">
        <v>2.1000000000000001E-2</v>
      </c>
      <c r="M651" s="25">
        <f>G651*L651</f>
        <v>2.1000000000000001E-2</v>
      </c>
      <c r="N651" s="102"/>
      <c r="X651" s="25">
        <f>ROUND(IF(AO651="5",BH651,0),2)</f>
        <v>0</v>
      </c>
      <c r="Z651" s="25">
        <f>ROUND(IF(AO651="1",BF651,0),2)</f>
        <v>0</v>
      </c>
      <c r="AA651" s="25">
        <f>ROUND(IF(AO651="1",BG651,0),2)</f>
        <v>0</v>
      </c>
      <c r="AB651" s="25">
        <f>ROUND(IF(AO651="7",BF651,0),2)</f>
        <v>0</v>
      </c>
      <c r="AC651" s="25">
        <f>ROUND(IF(AO651="7",BG651,0),2)</f>
        <v>0</v>
      </c>
      <c r="AD651" s="25">
        <f>ROUND(IF(AO651="2",BF651,0),2)</f>
        <v>0</v>
      </c>
      <c r="AE651" s="25">
        <f>ROUND(IF(AO651="2",BG651,0),2)</f>
        <v>0</v>
      </c>
      <c r="AF651" s="25">
        <f>ROUND(IF(AO651="0",BH651,0),2)</f>
        <v>0</v>
      </c>
      <c r="AG651" s="10" t="s">
        <v>510</v>
      </c>
      <c r="AH651" s="25">
        <f>IF(AL651=0,K651,0)</f>
        <v>0</v>
      </c>
      <c r="AI651" s="25">
        <f>IF(AL651=12,K651,0)</f>
        <v>0</v>
      </c>
      <c r="AJ651" s="25">
        <f>IF(AL651=21,K651,0)</f>
        <v>0</v>
      </c>
      <c r="AL651" s="25">
        <v>21</v>
      </c>
      <c r="AM651" s="25">
        <f>H651*1</f>
        <v>0</v>
      </c>
      <c r="AN651" s="25">
        <f>H651*(1-1)</f>
        <v>0</v>
      </c>
      <c r="AO651" s="27" t="s">
        <v>61</v>
      </c>
      <c r="AT651" s="25">
        <f>ROUND(AU651+AV651,2)</f>
        <v>0</v>
      </c>
      <c r="AU651" s="25">
        <f>ROUND(G651*AM651,2)</f>
        <v>0</v>
      </c>
      <c r="AV651" s="25">
        <f>ROUND(G651*AN651,2)</f>
        <v>0</v>
      </c>
      <c r="AW651" s="27" t="s">
        <v>329</v>
      </c>
      <c r="AX651" s="27" t="s">
        <v>887</v>
      </c>
      <c r="AY651" s="10" t="s">
        <v>518</v>
      </c>
      <c r="BA651" s="25">
        <f>AU651+AV651</f>
        <v>0</v>
      </c>
      <c r="BB651" s="25">
        <f>H651/(100-BC651)*100</f>
        <v>0</v>
      </c>
      <c r="BC651" s="25">
        <v>0</v>
      </c>
      <c r="BD651" s="25">
        <f>M651</f>
        <v>2.1000000000000001E-2</v>
      </c>
      <c r="BF651" s="25">
        <f>G651*AM651</f>
        <v>0</v>
      </c>
      <c r="BG651" s="25">
        <f>G651*AN651</f>
        <v>0</v>
      </c>
      <c r="BH651" s="25">
        <f>G651*H651</f>
        <v>0</v>
      </c>
      <c r="BI651" s="27" t="s">
        <v>576</v>
      </c>
      <c r="BJ651" s="25">
        <v>766</v>
      </c>
      <c r="BU651" s="25" t="e">
        <f>#REF!</f>
        <v>#REF!</v>
      </c>
      <c r="BV651" s="4" t="s">
        <v>897</v>
      </c>
    </row>
    <row r="652" spans="1:74" ht="14.4" x14ac:dyDescent="0.3">
      <c r="A652" s="28"/>
      <c r="D652" s="29" t="s">
        <v>57</v>
      </c>
      <c r="E652" s="29" t="s">
        <v>52</v>
      </c>
      <c r="G652" s="30">
        <v>1</v>
      </c>
      <c r="H652" s="63"/>
      <c r="N652" s="31"/>
    </row>
    <row r="653" spans="1:74" ht="14.4" x14ac:dyDescent="0.3">
      <c r="A653" s="2" t="s">
        <v>898</v>
      </c>
      <c r="B653" s="3" t="s">
        <v>510</v>
      </c>
      <c r="C653" s="3" t="s">
        <v>899</v>
      </c>
      <c r="D653" s="112" t="s">
        <v>900</v>
      </c>
      <c r="E653" s="109"/>
      <c r="F653" s="3" t="s">
        <v>122</v>
      </c>
      <c r="G653" s="25">
        <v>6</v>
      </c>
      <c r="H653" s="62"/>
      <c r="I653" s="25">
        <f>ROUND(G653*AM653,2)</f>
        <v>0</v>
      </c>
      <c r="J653" s="25">
        <f>ROUND(G653*AN653,2)</f>
        <v>0</v>
      </c>
      <c r="K653" s="25">
        <f>ROUND(G653*H653,2)</f>
        <v>0</v>
      </c>
      <c r="L653" s="25">
        <v>0</v>
      </c>
      <c r="M653" s="25">
        <f>G653*L653</f>
        <v>0</v>
      </c>
      <c r="N653" s="26"/>
      <c r="X653" s="25">
        <f>ROUND(IF(AO653="5",BH653,0),2)</f>
        <v>0</v>
      </c>
      <c r="Z653" s="25">
        <f>ROUND(IF(AO653="1",BF653,0),2)</f>
        <v>0</v>
      </c>
      <c r="AA653" s="25">
        <f>ROUND(IF(AO653="1",BG653,0),2)</f>
        <v>0</v>
      </c>
      <c r="AB653" s="25">
        <f>ROUND(IF(AO653="7",BF653,0),2)</f>
        <v>0</v>
      </c>
      <c r="AC653" s="25">
        <f>ROUND(IF(AO653="7",BG653,0),2)</f>
        <v>0</v>
      </c>
      <c r="AD653" s="25">
        <f>ROUND(IF(AO653="2",BF653,0),2)</f>
        <v>0</v>
      </c>
      <c r="AE653" s="25">
        <f>ROUND(IF(AO653="2",BG653,0),2)</f>
        <v>0</v>
      </c>
      <c r="AF653" s="25">
        <f>ROUND(IF(AO653="0",BH653,0),2)</f>
        <v>0</v>
      </c>
      <c r="AG653" s="10" t="s">
        <v>510</v>
      </c>
      <c r="AH653" s="25">
        <f>IF(AL653=0,K653,0)</f>
        <v>0</v>
      </c>
      <c r="AI653" s="25">
        <f>IF(AL653=12,K653,0)</f>
        <v>0</v>
      </c>
      <c r="AJ653" s="25">
        <f>IF(AL653=21,K653,0)</f>
        <v>0</v>
      </c>
      <c r="AL653" s="25">
        <v>21</v>
      </c>
      <c r="AM653" s="25">
        <f>H653*0</f>
        <v>0</v>
      </c>
      <c r="AN653" s="25">
        <f>H653*(1-0)</f>
        <v>0</v>
      </c>
      <c r="AO653" s="27" t="s">
        <v>61</v>
      </c>
      <c r="AT653" s="25">
        <f>ROUND(AU653+AV653,2)</f>
        <v>0</v>
      </c>
      <c r="AU653" s="25">
        <f>ROUND(G653*AM653,2)</f>
        <v>0</v>
      </c>
      <c r="AV653" s="25">
        <f>ROUND(G653*AN653,2)</f>
        <v>0</v>
      </c>
      <c r="AW653" s="27" t="s">
        <v>329</v>
      </c>
      <c r="AX653" s="27" t="s">
        <v>887</v>
      </c>
      <c r="AY653" s="10" t="s">
        <v>518</v>
      </c>
      <c r="BA653" s="25">
        <f>AU653+AV653</f>
        <v>0</v>
      </c>
      <c r="BB653" s="25">
        <f>H653/(100-BC653)*100</f>
        <v>0</v>
      </c>
      <c r="BC653" s="25">
        <v>0</v>
      </c>
      <c r="BD653" s="25">
        <f>M653</f>
        <v>0</v>
      </c>
      <c r="BF653" s="25">
        <f>G653*AM653</f>
        <v>0</v>
      </c>
      <c r="BG653" s="25">
        <f>G653*AN653</f>
        <v>0</v>
      </c>
      <c r="BH653" s="25">
        <f>G653*H653</f>
        <v>0</v>
      </c>
      <c r="BI653" s="27" t="s">
        <v>65</v>
      </c>
      <c r="BJ653" s="25">
        <v>766</v>
      </c>
      <c r="BU653" s="25" t="e">
        <f>#REF!</f>
        <v>#REF!</v>
      </c>
      <c r="BV653" s="4" t="s">
        <v>900</v>
      </c>
    </row>
    <row r="654" spans="1:74" ht="14.4" x14ac:dyDescent="0.3">
      <c r="A654" s="28"/>
      <c r="D654" s="29" t="s">
        <v>106</v>
      </c>
      <c r="E654" s="29" t="s">
        <v>52</v>
      </c>
      <c r="G654" s="30">
        <v>6</v>
      </c>
      <c r="H654" s="63"/>
      <c r="N654" s="31"/>
    </row>
    <row r="655" spans="1:74" ht="26.4" x14ac:dyDescent="0.3">
      <c r="A655" s="2" t="s">
        <v>901</v>
      </c>
      <c r="B655" s="3" t="s">
        <v>510</v>
      </c>
      <c r="C655" s="3" t="s">
        <v>902</v>
      </c>
      <c r="D655" s="112" t="s">
        <v>903</v>
      </c>
      <c r="E655" s="109"/>
      <c r="F655" s="3" t="s">
        <v>122</v>
      </c>
      <c r="G655" s="25">
        <v>1</v>
      </c>
      <c r="H655" s="62"/>
      <c r="I655" s="25">
        <f>ROUND(G655*AM655,2)</f>
        <v>0</v>
      </c>
      <c r="J655" s="25">
        <f>ROUND(G655*AN655,2)</f>
        <v>0</v>
      </c>
      <c r="K655" s="25">
        <f>ROUND(G655*H655,2)</f>
        <v>0</v>
      </c>
      <c r="L655" s="25">
        <v>2.1000000000000001E-2</v>
      </c>
      <c r="M655" s="25">
        <f>G655*L655</f>
        <v>2.1000000000000001E-2</v>
      </c>
      <c r="N655" s="102"/>
      <c r="X655" s="25">
        <f>ROUND(IF(AO655="5",BH655,0),2)</f>
        <v>0</v>
      </c>
      <c r="Z655" s="25">
        <f>ROUND(IF(AO655="1",BF655,0),2)</f>
        <v>0</v>
      </c>
      <c r="AA655" s="25">
        <f>ROUND(IF(AO655="1",BG655,0),2)</f>
        <v>0</v>
      </c>
      <c r="AB655" s="25">
        <f>ROUND(IF(AO655="7",BF655,0),2)</f>
        <v>0</v>
      </c>
      <c r="AC655" s="25">
        <f>ROUND(IF(AO655="7",BG655,0),2)</f>
        <v>0</v>
      </c>
      <c r="AD655" s="25">
        <f>ROUND(IF(AO655="2",BF655,0),2)</f>
        <v>0</v>
      </c>
      <c r="AE655" s="25">
        <f>ROUND(IF(AO655="2",BG655,0),2)</f>
        <v>0</v>
      </c>
      <c r="AF655" s="25">
        <f>ROUND(IF(AO655="0",BH655,0),2)</f>
        <v>0</v>
      </c>
      <c r="AG655" s="10" t="s">
        <v>510</v>
      </c>
      <c r="AH655" s="25">
        <f>IF(AL655=0,K655,0)</f>
        <v>0</v>
      </c>
      <c r="AI655" s="25">
        <f>IF(AL655=12,K655,0)</f>
        <v>0</v>
      </c>
      <c r="AJ655" s="25">
        <f>IF(AL655=21,K655,0)</f>
        <v>0</v>
      </c>
      <c r="AL655" s="25">
        <v>21</v>
      </c>
      <c r="AM655" s="25">
        <f>H655*1</f>
        <v>0</v>
      </c>
      <c r="AN655" s="25">
        <f>H655*(1-1)</f>
        <v>0</v>
      </c>
      <c r="AO655" s="27" t="s">
        <v>61</v>
      </c>
      <c r="AT655" s="25">
        <f>ROUND(AU655+AV655,2)</f>
        <v>0</v>
      </c>
      <c r="AU655" s="25">
        <f>ROUND(G655*AM655,2)</f>
        <v>0</v>
      </c>
      <c r="AV655" s="25">
        <f>ROUND(G655*AN655,2)</f>
        <v>0</v>
      </c>
      <c r="AW655" s="27" t="s">
        <v>329</v>
      </c>
      <c r="AX655" s="27" t="s">
        <v>887</v>
      </c>
      <c r="AY655" s="10" t="s">
        <v>518</v>
      </c>
      <c r="BA655" s="25">
        <f>AU655+AV655</f>
        <v>0</v>
      </c>
      <c r="BB655" s="25">
        <f>H655/(100-BC655)*100</f>
        <v>0</v>
      </c>
      <c r="BC655" s="25">
        <v>0</v>
      </c>
      <c r="BD655" s="25">
        <f>M655</f>
        <v>2.1000000000000001E-2</v>
      </c>
      <c r="BF655" s="25">
        <f>G655*AM655</f>
        <v>0</v>
      </c>
      <c r="BG655" s="25">
        <f>G655*AN655</f>
        <v>0</v>
      </c>
      <c r="BH655" s="25">
        <f>G655*H655</f>
        <v>0</v>
      </c>
      <c r="BI655" s="27" t="s">
        <v>576</v>
      </c>
      <c r="BJ655" s="25">
        <v>766</v>
      </c>
      <c r="BU655" s="25" t="e">
        <f>#REF!</f>
        <v>#REF!</v>
      </c>
      <c r="BV655" s="4" t="s">
        <v>903</v>
      </c>
    </row>
    <row r="656" spans="1:74" ht="14.4" x14ac:dyDescent="0.3">
      <c r="A656" s="28"/>
      <c r="D656" s="29" t="s">
        <v>57</v>
      </c>
      <c r="E656" s="29" t="s">
        <v>52</v>
      </c>
      <c r="G656" s="30">
        <v>1</v>
      </c>
      <c r="H656" s="63"/>
      <c r="N656" s="31"/>
    </row>
    <row r="657" spans="1:74" ht="26.4" x14ac:dyDescent="0.3">
      <c r="A657" s="2" t="s">
        <v>904</v>
      </c>
      <c r="B657" s="3" t="s">
        <v>510</v>
      </c>
      <c r="C657" s="3" t="s">
        <v>905</v>
      </c>
      <c r="D657" s="112" t="s">
        <v>906</v>
      </c>
      <c r="E657" s="109"/>
      <c r="F657" s="3" t="s">
        <v>122</v>
      </c>
      <c r="G657" s="25">
        <v>1</v>
      </c>
      <c r="H657" s="62"/>
      <c r="I657" s="25">
        <f>ROUND(G657*AM657,2)</f>
        <v>0</v>
      </c>
      <c r="J657" s="25">
        <f>ROUND(G657*AN657,2)</f>
        <v>0</v>
      </c>
      <c r="K657" s="25">
        <f>ROUND(G657*H657,2)</f>
        <v>0</v>
      </c>
      <c r="L657" s="25">
        <v>1.9E-2</v>
      </c>
      <c r="M657" s="25">
        <f>G657*L657</f>
        <v>1.9E-2</v>
      </c>
      <c r="N657" s="102"/>
      <c r="X657" s="25">
        <f>ROUND(IF(AO657="5",BH657,0),2)</f>
        <v>0</v>
      </c>
      <c r="Z657" s="25">
        <f>ROUND(IF(AO657="1",BF657,0),2)</f>
        <v>0</v>
      </c>
      <c r="AA657" s="25">
        <f>ROUND(IF(AO657="1",BG657,0),2)</f>
        <v>0</v>
      </c>
      <c r="AB657" s="25">
        <f>ROUND(IF(AO657="7",BF657,0),2)</f>
        <v>0</v>
      </c>
      <c r="AC657" s="25">
        <f>ROUND(IF(AO657="7",BG657,0),2)</f>
        <v>0</v>
      </c>
      <c r="AD657" s="25">
        <f>ROUND(IF(AO657="2",BF657,0),2)</f>
        <v>0</v>
      </c>
      <c r="AE657" s="25">
        <f>ROUND(IF(AO657="2",BG657,0),2)</f>
        <v>0</v>
      </c>
      <c r="AF657" s="25">
        <f>ROUND(IF(AO657="0",BH657,0),2)</f>
        <v>0</v>
      </c>
      <c r="AG657" s="10" t="s">
        <v>510</v>
      </c>
      <c r="AH657" s="25">
        <f>IF(AL657=0,K657,0)</f>
        <v>0</v>
      </c>
      <c r="AI657" s="25">
        <f>IF(AL657=12,K657,0)</f>
        <v>0</v>
      </c>
      <c r="AJ657" s="25">
        <f>IF(AL657=21,K657,0)</f>
        <v>0</v>
      </c>
      <c r="AL657" s="25">
        <v>21</v>
      </c>
      <c r="AM657" s="25">
        <f>H657*1</f>
        <v>0</v>
      </c>
      <c r="AN657" s="25">
        <f>H657*(1-1)</f>
        <v>0</v>
      </c>
      <c r="AO657" s="27" t="s">
        <v>61</v>
      </c>
      <c r="AT657" s="25">
        <f>ROUND(AU657+AV657,2)</f>
        <v>0</v>
      </c>
      <c r="AU657" s="25">
        <f>ROUND(G657*AM657,2)</f>
        <v>0</v>
      </c>
      <c r="AV657" s="25">
        <f>ROUND(G657*AN657,2)</f>
        <v>0</v>
      </c>
      <c r="AW657" s="27" t="s">
        <v>329</v>
      </c>
      <c r="AX657" s="27" t="s">
        <v>887</v>
      </c>
      <c r="AY657" s="10" t="s">
        <v>518</v>
      </c>
      <c r="BA657" s="25">
        <f>AU657+AV657</f>
        <v>0</v>
      </c>
      <c r="BB657" s="25">
        <f>H657/(100-BC657)*100</f>
        <v>0</v>
      </c>
      <c r="BC657" s="25">
        <v>0</v>
      </c>
      <c r="BD657" s="25">
        <f>M657</f>
        <v>1.9E-2</v>
      </c>
      <c r="BF657" s="25">
        <f>G657*AM657</f>
        <v>0</v>
      </c>
      <c r="BG657" s="25">
        <f>G657*AN657</f>
        <v>0</v>
      </c>
      <c r="BH657" s="25">
        <f>G657*H657</f>
        <v>0</v>
      </c>
      <c r="BI657" s="27" t="s">
        <v>576</v>
      </c>
      <c r="BJ657" s="25">
        <v>766</v>
      </c>
      <c r="BU657" s="25" t="e">
        <f>#REF!</f>
        <v>#REF!</v>
      </c>
      <c r="BV657" s="4" t="s">
        <v>906</v>
      </c>
    </row>
    <row r="658" spans="1:74" ht="14.4" x14ac:dyDescent="0.3">
      <c r="A658" s="28"/>
      <c r="D658" s="29" t="s">
        <v>57</v>
      </c>
      <c r="E658" s="29" t="s">
        <v>52</v>
      </c>
      <c r="G658" s="30">
        <v>1</v>
      </c>
      <c r="H658" s="63"/>
      <c r="N658" s="31"/>
    </row>
    <row r="659" spans="1:74" ht="26.4" x14ac:dyDescent="0.3">
      <c r="A659" s="2" t="s">
        <v>907</v>
      </c>
      <c r="B659" s="3" t="s">
        <v>510</v>
      </c>
      <c r="C659" s="3" t="s">
        <v>908</v>
      </c>
      <c r="D659" s="112" t="s">
        <v>909</v>
      </c>
      <c r="E659" s="109"/>
      <c r="F659" s="3" t="s">
        <v>122</v>
      </c>
      <c r="G659" s="25">
        <v>1</v>
      </c>
      <c r="H659" s="62"/>
      <c r="I659" s="25">
        <f>ROUND(G659*AM659,2)</f>
        <v>0</v>
      </c>
      <c r="J659" s="25">
        <f>ROUND(G659*AN659,2)</f>
        <v>0</v>
      </c>
      <c r="K659" s="25">
        <f>ROUND(G659*H659,2)</f>
        <v>0</v>
      </c>
      <c r="L659" s="25">
        <v>1.9E-2</v>
      </c>
      <c r="M659" s="25">
        <f>G659*L659</f>
        <v>1.9E-2</v>
      </c>
      <c r="N659" s="102"/>
      <c r="X659" s="25">
        <f>ROUND(IF(AO659="5",BH659,0),2)</f>
        <v>0</v>
      </c>
      <c r="Z659" s="25">
        <f>ROUND(IF(AO659="1",BF659,0),2)</f>
        <v>0</v>
      </c>
      <c r="AA659" s="25">
        <f>ROUND(IF(AO659="1",BG659,0),2)</f>
        <v>0</v>
      </c>
      <c r="AB659" s="25">
        <f>ROUND(IF(AO659="7",BF659,0),2)</f>
        <v>0</v>
      </c>
      <c r="AC659" s="25">
        <f>ROUND(IF(AO659="7",BG659,0),2)</f>
        <v>0</v>
      </c>
      <c r="AD659" s="25">
        <f>ROUND(IF(AO659="2",BF659,0),2)</f>
        <v>0</v>
      </c>
      <c r="AE659" s="25">
        <f>ROUND(IF(AO659="2",BG659,0),2)</f>
        <v>0</v>
      </c>
      <c r="AF659" s="25">
        <f>ROUND(IF(AO659="0",BH659,0),2)</f>
        <v>0</v>
      </c>
      <c r="AG659" s="10" t="s">
        <v>510</v>
      </c>
      <c r="AH659" s="25">
        <f>IF(AL659=0,K659,0)</f>
        <v>0</v>
      </c>
      <c r="AI659" s="25">
        <f>IF(AL659=12,K659,0)</f>
        <v>0</v>
      </c>
      <c r="AJ659" s="25">
        <f>IF(AL659=21,K659,0)</f>
        <v>0</v>
      </c>
      <c r="AL659" s="25">
        <v>21</v>
      </c>
      <c r="AM659" s="25">
        <f>H659*1</f>
        <v>0</v>
      </c>
      <c r="AN659" s="25">
        <f>H659*(1-1)</f>
        <v>0</v>
      </c>
      <c r="AO659" s="27" t="s">
        <v>61</v>
      </c>
      <c r="AT659" s="25">
        <f>ROUND(AU659+AV659,2)</f>
        <v>0</v>
      </c>
      <c r="AU659" s="25">
        <f>ROUND(G659*AM659,2)</f>
        <v>0</v>
      </c>
      <c r="AV659" s="25">
        <f>ROUND(G659*AN659,2)</f>
        <v>0</v>
      </c>
      <c r="AW659" s="27" t="s">
        <v>329</v>
      </c>
      <c r="AX659" s="27" t="s">
        <v>887</v>
      </c>
      <c r="AY659" s="10" t="s">
        <v>518</v>
      </c>
      <c r="BA659" s="25">
        <f>AU659+AV659</f>
        <v>0</v>
      </c>
      <c r="BB659" s="25">
        <f>H659/(100-BC659)*100</f>
        <v>0</v>
      </c>
      <c r="BC659" s="25">
        <v>0</v>
      </c>
      <c r="BD659" s="25">
        <f>M659</f>
        <v>1.9E-2</v>
      </c>
      <c r="BF659" s="25">
        <f>G659*AM659</f>
        <v>0</v>
      </c>
      <c r="BG659" s="25">
        <f>G659*AN659</f>
        <v>0</v>
      </c>
      <c r="BH659" s="25">
        <f>G659*H659</f>
        <v>0</v>
      </c>
      <c r="BI659" s="27" t="s">
        <v>576</v>
      </c>
      <c r="BJ659" s="25">
        <v>766</v>
      </c>
      <c r="BU659" s="25" t="e">
        <f>#REF!</f>
        <v>#REF!</v>
      </c>
      <c r="BV659" s="4" t="s">
        <v>909</v>
      </c>
    </row>
    <row r="660" spans="1:74" ht="14.4" x14ac:dyDescent="0.3">
      <c r="A660" s="28"/>
      <c r="D660" s="29" t="s">
        <v>57</v>
      </c>
      <c r="E660" s="29" t="s">
        <v>52</v>
      </c>
      <c r="G660" s="30">
        <v>1</v>
      </c>
      <c r="H660" s="63"/>
      <c r="N660" s="31"/>
    </row>
    <row r="661" spans="1:74" ht="26.4" x14ac:dyDescent="0.3">
      <c r="A661" s="2" t="s">
        <v>910</v>
      </c>
      <c r="B661" s="3" t="s">
        <v>510</v>
      </c>
      <c r="C661" s="3" t="s">
        <v>911</v>
      </c>
      <c r="D661" s="112" t="s">
        <v>912</v>
      </c>
      <c r="E661" s="109"/>
      <c r="F661" s="3" t="s">
        <v>122</v>
      </c>
      <c r="G661" s="25">
        <v>1</v>
      </c>
      <c r="H661" s="62"/>
      <c r="I661" s="25">
        <f>ROUND(G661*AM661,2)</f>
        <v>0</v>
      </c>
      <c r="J661" s="25">
        <f>ROUND(G661*AN661,2)</f>
        <v>0</v>
      </c>
      <c r="K661" s="25">
        <f>ROUND(G661*H661,2)</f>
        <v>0</v>
      </c>
      <c r="L661" s="25">
        <v>1.9E-2</v>
      </c>
      <c r="M661" s="25">
        <f>G661*L661</f>
        <v>1.9E-2</v>
      </c>
      <c r="N661" s="102"/>
      <c r="X661" s="25">
        <f>ROUND(IF(AO661="5",BH661,0),2)</f>
        <v>0</v>
      </c>
      <c r="Z661" s="25">
        <f>ROUND(IF(AO661="1",BF661,0),2)</f>
        <v>0</v>
      </c>
      <c r="AA661" s="25">
        <f>ROUND(IF(AO661="1",BG661,0),2)</f>
        <v>0</v>
      </c>
      <c r="AB661" s="25">
        <f>ROUND(IF(AO661="7",BF661,0),2)</f>
        <v>0</v>
      </c>
      <c r="AC661" s="25">
        <f>ROUND(IF(AO661="7",BG661,0),2)</f>
        <v>0</v>
      </c>
      <c r="AD661" s="25">
        <f>ROUND(IF(AO661="2",BF661,0),2)</f>
        <v>0</v>
      </c>
      <c r="AE661" s="25">
        <f>ROUND(IF(AO661="2",BG661,0),2)</f>
        <v>0</v>
      </c>
      <c r="AF661" s="25">
        <f>ROUND(IF(AO661="0",BH661,0),2)</f>
        <v>0</v>
      </c>
      <c r="AG661" s="10" t="s">
        <v>510</v>
      </c>
      <c r="AH661" s="25">
        <f>IF(AL661=0,K661,0)</f>
        <v>0</v>
      </c>
      <c r="AI661" s="25">
        <f>IF(AL661=12,K661,0)</f>
        <v>0</v>
      </c>
      <c r="AJ661" s="25">
        <f>IF(AL661=21,K661,0)</f>
        <v>0</v>
      </c>
      <c r="AL661" s="25">
        <v>21</v>
      </c>
      <c r="AM661" s="25">
        <f>H661*1</f>
        <v>0</v>
      </c>
      <c r="AN661" s="25">
        <f>H661*(1-1)</f>
        <v>0</v>
      </c>
      <c r="AO661" s="27" t="s">
        <v>61</v>
      </c>
      <c r="AT661" s="25">
        <f>ROUND(AU661+AV661,2)</f>
        <v>0</v>
      </c>
      <c r="AU661" s="25">
        <f>ROUND(G661*AM661,2)</f>
        <v>0</v>
      </c>
      <c r="AV661" s="25">
        <f>ROUND(G661*AN661,2)</f>
        <v>0</v>
      </c>
      <c r="AW661" s="27" t="s">
        <v>329</v>
      </c>
      <c r="AX661" s="27" t="s">
        <v>887</v>
      </c>
      <c r="AY661" s="10" t="s">
        <v>518</v>
      </c>
      <c r="BA661" s="25">
        <f>AU661+AV661</f>
        <v>0</v>
      </c>
      <c r="BB661" s="25">
        <f>H661/(100-BC661)*100</f>
        <v>0</v>
      </c>
      <c r="BC661" s="25">
        <v>0</v>
      </c>
      <c r="BD661" s="25">
        <f>M661</f>
        <v>1.9E-2</v>
      </c>
      <c r="BF661" s="25">
        <f>G661*AM661</f>
        <v>0</v>
      </c>
      <c r="BG661" s="25">
        <f>G661*AN661</f>
        <v>0</v>
      </c>
      <c r="BH661" s="25">
        <f>G661*H661</f>
        <v>0</v>
      </c>
      <c r="BI661" s="27" t="s">
        <v>576</v>
      </c>
      <c r="BJ661" s="25">
        <v>766</v>
      </c>
      <c r="BU661" s="25" t="e">
        <f>#REF!</f>
        <v>#REF!</v>
      </c>
      <c r="BV661" s="4" t="s">
        <v>912</v>
      </c>
    </row>
    <row r="662" spans="1:74" ht="14.4" x14ac:dyDescent="0.3">
      <c r="A662" s="28"/>
      <c r="D662" s="29" t="s">
        <v>57</v>
      </c>
      <c r="E662" s="29" t="s">
        <v>52</v>
      </c>
      <c r="G662" s="30">
        <v>1</v>
      </c>
      <c r="H662" s="63"/>
      <c r="N662" s="31"/>
    </row>
    <row r="663" spans="1:74" ht="26.4" x14ac:dyDescent="0.3">
      <c r="A663" s="2" t="s">
        <v>913</v>
      </c>
      <c r="B663" s="3" t="s">
        <v>510</v>
      </c>
      <c r="C663" s="3" t="s">
        <v>914</v>
      </c>
      <c r="D663" s="112" t="s">
        <v>915</v>
      </c>
      <c r="E663" s="109"/>
      <c r="F663" s="3" t="s">
        <v>122</v>
      </c>
      <c r="G663" s="25">
        <v>2</v>
      </c>
      <c r="H663" s="62"/>
      <c r="I663" s="25">
        <f>ROUND(G663*AM663,2)</f>
        <v>0</v>
      </c>
      <c r="J663" s="25">
        <f>ROUND(G663*AN663,2)</f>
        <v>0</v>
      </c>
      <c r="K663" s="25">
        <f>ROUND(G663*H663,2)</f>
        <v>0</v>
      </c>
      <c r="L663" s="25">
        <v>1.84E-2</v>
      </c>
      <c r="M663" s="25">
        <f>G663*L663</f>
        <v>3.6799999999999999E-2</v>
      </c>
      <c r="N663" s="102"/>
      <c r="X663" s="25">
        <f>ROUND(IF(AO663="5",BH663,0),2)</f>
        <v>0</v>
      </c>
      <c r="Z663" s="25">
        <f>ROUND(IF(AO663="1",BF663,0),2)</f>
        <v>0</v>
      </c>
      <c r="AA663" s="25">
        <f>ROUND(IF(AO663="1",BG663,0),2)</f>
        <v>0</v>
      </c>
      <c r="AB663" s="25">
        <f>ROUND(IF(AO663="7",BF663,0),2)</f>
        <v>0</v>
      </c>
      <c r="AC663" s="25">
        <f>ROUND(IF(AO663="7",BG663,0),2)</f>
        <v>0</v>
      </c>
      <c r="AD663" s="25">
        <f>ROUND(IF(AO663="2",BF663,0),2)</f>
        <v>0</v>
      </c>
      <c r="AE663" s="25">
        <f>ROUND(IF(AO663="2",BG663,0),2)</f>
        <v>0</v>
      </c>
      <c r="AF663" s="25">
        <f>ROUND(IF(AO663="0",BH663,0),2)</f>
        <v>0</v>
      </c>
      <c r="AG663" s="10" t="s">
        <v>510</v>
      </c>
      <c r="AH663" s="25">
        <f>IF(AL663=0,K663,0)</f>
        <v>0</v>
      </c>
      <c r="AI663" s="25">
        <f>IF(AL663=12,K663,0)</f>
        <v>0</v>
      </c>
      <c r="AJ663" s="25">
        <f>IF(AL663=21,K663,0)</f>
        <v>0</v>
      </c>
      <c r="AL663" s="25">
        <v>21</v>
      </c>
      <c r="AM663" s="25">
        <f>H663*1</f>
        <v>0</v>
      </c>
      <c r="AN663" s="25">
        <f>H663*(1-1)</f>
        <v>0</v>
      </c>
      <c r="AO663" s="27" t="s">
        <v>61</v>
      </c>
      <c r="AT663" s="25">
        <f>ROUND(AU663+AV663,2)</f>
        <v>0</v>
      </c>
      <c r="AU663" s="25">
        <f>ROUND(G663*AM663,2)</f>
        <v>0</v>
      </c>
      <c r="AV663" s="25">
        <f>ROUND(G663*AN663,2)</f>
        <v>0</v>
      </c>
      <c r="AW663" s="27" t="s">
        <v>329</v>
      </c>
      <c r="AX663" s="27" t="s">
        <v>887</v>
      </c>
      <c r="AY663" s="10" t="s">
        <v>518</v>
      </c>
      <c r="BA663" s="25">
        <f>AU663+AV663</f>
        <v>0</v>
      </c>
      <c r="BB663" s="25">
        <f>H663/(100-BC663)*100</f>
        <v>0</v>
      </c>
      <c r="BC663" s="25">
        <v>0</v>
      </c>
      <c r="BD663" s="25">
        <f>M663</f>
        <v>3.6799999999999999E-2</v>
      </c>
      <c r="BF663" s="25">
        <f>G663*AM663</f>
        <v>0</v>
      </c>
      <c r="BG663" s="25">
        <f>G663*AN663</f>
        <v>0</v>
      </c>
      <c r="BH663" s="25">
        <f>G663*H663</f>
        <v>0</v>
      </c>
      <c r="BI663" s="27" t="s">
        <v>576</v>
      </c>
      <c r="BJ663" s="25">
        <v>766</v>
      </c>
      <c r="BU663" s="25" t="e">
        <f>#REF!</f>
        <v>#REF!</v>
      </c>
      <c r="BV663" s="4" t="s">
        <v>915</v>
      </c>
    </row>
    <row r="664" spans="1:74" ht="14.4" x14ac:dyDescent="0.3">
      <c r="A664" s="28"/>
      <c r="D664" s="29" t="s">
        <v>81</v>
      </c>
      <c r="E664" s="29" t="s">
        <v>916</v>
      </c>
      <c r="G664" s="30">
        <v>2</v>
      </c>
      <c r="H664" s="63"/>
      <c r="N664" s="31"/>
    </row>
    <row r="665" spans="1:74" ht="14.4" x14ac:dyDescent="0.3">
      <c r="A665" s="2" t="s">
        <v>917</v>
      </c>
      <c r="B665" s="3" t="s">
        <v>510</v>
      </c>
      <c r="C665" s="3" t="s">
        <v>918</v>
      </c>
      <c r="D665" s="112" t="s">
        <v>919</v>
      </c>
      <c r="E665" s="109"/>
      <c r="F665" s="3" t="s">
        <v>278</v>
      </c>
      <c r="G665" s="25">
        <v>0.25080000000000002</v>
      </c>
      <c r="H665" s="62"/>
      <c r="I665" s="25">
        <f>ROUND(G665*AM665,2)</f>
        <v>0</v>
      </c>
      <c r="J665" s="25">
        <f>ROUND(G665*AN665,2)</f>
        <v>0</v>
      </c>
      <c r="K665" s="25">
        <f>ROUND(G665*H665,2)</f>
        <v>0</v>
      </c>
      <c r="L665" s="25">
        <v>0</v>
      </c>
      <c r="M665" s="25">
        <f>G665*L665</f>
        <v>0</v>
      </c>
      <c r="N665" s="26"/>
      <c r="X665" s="25">
        <f>ROUND(IF(AO665="5",BH665,0),2)</f>
        <v>0</v>
      </c>
      <c r="Z665" s="25">
        <f>ROUND(IF(AO665="1",BF665,0),2)</f>
        <v>0</v>
      </c>
      <c r="AA665" s="25">
        <f>ROUND(IF(AO665="1",BG665,0),2)</f>
        <v>0</v>
      </c>
      <c r="AB665" s="25">
        <f>ROUND(IF(AO665="7",BF665,0),2)</f>
        <v>0</v>
      </c>
      <c r="AC665" s="25">
        <f>ROUND(IF(AO665="7",BG665,0),2)</f>
        <v>0</v>
      </c>
      <c r="AD665" s="25">
        <f>ROUND(IF(AO665="2",BF665,0),2)</f>
        <v>0</v>
      </c>
      <c r="AE665" s="25">
        <f>ROUND(IF(AO665="2",BG665,0),2)</f>
        <v>0</v>
      </c>
      <c r="AF665" s="25">
        <f>ROUND(IF(AO665="0",BH665,0),2)</f>
        <v>0</v>
      </c>
      <c r="AG665" s="10" t="s">
        <v>510</v>
      </c>
      <c r="AH665" s="25">
        <f>IF(AL665=0,K665,0)</f>
        <v>0</v>
      </c>
      <c r="AI665" s="25">
        <f>IF(AL665=12,K665,0)</f>
        <v>0</v>
      </c>
      <c r="AJ665" s="25">
        <f>IF(AL665=21,K665,0)</f>
        <v>0</v>
      </c>
      <c r="AL665" s="25">
        <v>21</v>
      </c>
      <c r="AM665" s="25">
        <f>H665*0</f>
        <v>0</v>
      </c>
      <c r="AN665" s="25">
        <f>H665*(1-0)</f>
        <v>0</v>
      </c>
      <c r="AO665" s="27" t="s">
        <v>97</v>
      </c>
      <c r="AT665" s="25">
        <f>ROUND(AU665+AV665,2)</f>
        <v>0</v>
      </c>
      <c r="AU665" s="25">
        <f>ROUND(G665*AM665,2)</f>
        <v>0</v>
      </c>
      <c r="AV665" s="25">
        <f>ROUND(G665*AN665,2)</f>
        <v>0</v>
      </c>
      <c r="AW665" s="27" t="s">
        <v>329</v>
      </c>
      <c r="AX665" s="27" t="s">
        <v>887</v>
      </c>
      <c r="AY665" s="10" t="s">
        <v>518</v>
      </c>
      <c r="BA665" s="25">
        <f>AU665+AV665</f>
        <v>0</v>
      </c>
      <c r="BB665" s="25">
        <f>H665/(100-BC665)*100</f>
        <v>0</v>
      </c>
      <c r="BC665" s="25">
        <v>0</v>
      </c>
      <c r="BD665" s="25">
        <f>M665</f>
        <v>0</v>
      </c>
      <c r="BF665" s="25">
        <f>G665*AM665</f>
        <v>0</v>
      </c>
      <c r="BG665" s="25">
        <f>G665*AN665</f>
        <v>0</v>
      </c>
      <c r="BH665" s="25">
        <f>G665*H665</f>
        <v>0</v>
      </c>
      <c r="BI665" s="27" t="s">
        <v>65</v>
      </c>
      <c r="BJ665" s="25">
        <v>766</v>
      </c>
      <c r="BU665" s="25" t="e">
        <f>#REF!</f>
        <v>#REF!</v>
      </c>
      <c r="BV665" s="4" t="s">
        <v>919</v>
      </c>
    </row>
    <row r="666" spans="1:74" ht="14.4" x14ac:dyDescent="0.3">
      <c r="A666" s="28"/>
      <c r="D666" s="29" t="s">
        <v>920</v>
      </c>
      <c r="E666" s="29" t="s">
        <v>52</v>
      </c>
      <c r="G666" s="30">
        <v>0.55300000000000005</v>
      </c>
      <c r="H666" s="63"/>
      <c r="N666" s="31"/>
    </row>
    <row r="667" spans="1:74" ht="14.4" x14ac:dyDescent="0.3">
      <c r="A667" s="21" t="s">
        <v>52</v>
      </c>
      <c r="B667" s="22" t="s">
        <v>510</v>
      </c>
      <c r="C667" s="22" t="s">
        <v>921</v>
      </c>
      <c r="D667" s="170" t="s">
        <v>922</v>
      </c>
      <c r="E667" s="171"/>
      <c r="F667" s="23" t="s">
        <v>32</v>
      </c>
      <c r="G667" s="23" t="s">
        <v>32</v>
      </c>
      <c r="H667" s="64"/>
      <c r="I667" s="1">
        <f>SUM(I668:I672)</f>
        <v>0</v>
      </c>
      <c r="J667" s="1">
        <f>SUM(J668:J672)</f>
        <v>0</v>
      </c>
      <c r="K667" s="1">
        <f>SUM(K668:K672)</f>
        <v>0</v>
      </c>
      <c r="L667" s="10" t="s">
        <v>52</v>
      </c>
      <c r="M667" s="1">
        <f>SUM(M668:M672)</f>
        <v>0.02</v>
      </c>
      <c r="N667" s="24"/>
      <c r="AG667" s="10" t="s">
        <v>510</v>
      </c>
      <c r="AQ667" s="1">
        <f>SUM(AH668:AH672)</f>
        <v>0</v>
      </c>
      <c r="AR667" s="1">
        <f>SUM(AI668:AI672)</f>
        <v>0</v>
      </c>
      <c r="AS667" s="1">
        <f>SUM(AJ668:AJ672)</f>
        <v>0</v>
      </c>
    </row>
    <row r="668" spans="1:74" ht="26.4" x14ac:dyDescent="0.3">
      <c r="A668" s="2" t="s">
        <v>923</v>
      </c>
      <c r="B668" s="3" t="s">
        <v>510</v>
      </c>
      <c r="C668" s="3" t="s">
        <v>924</v>
      </c>
      <c r="D668" s="112" t="s">
        <v>925</v>
      </c>
      <c r="E668" s="109"/>
      <c r="F668" s="3" t="s">
        <v>278</v>
      </c>
      <c r="G668" s="25">
        <v>1</v>
      </c>
      <c r="H668" s="62"/>
      <c r="I668" s="25">
        <f>ROUND(G668*AM668,2)</f>
        <v>0</v>
      </c>
      <c r="J668" s="25">
        <f>ROUND(G668*AN668,2)</f>
        <v>0</v>
      </c>
      <c r="K668" s="25">
        <f>ROUND(G668*H668,2)</f>
        <v>0</v>
      </c>
      <c r="L668" s="25">
        <v>0.01</v>
      </c>
      <c r="M668" s="25">
        <f>G668*L668</f>
        <v>0.01</v>
      </c>
      <c r="N668" s="102"/>
      <c r="X668" s="25">
        <f>ROUND(IF(AO668="5",BH668,0),2)</f>
        <v>0</v>
      </c>
      <c r="Z668" s="25">
        <f>ROUND(IF(AO668="1",BF668,0),2)</f>
        <v>0</v>
      </c>
      <c r="AA668" s="25">
        <f>ROUND(IF(AO668="1",BG668,0),2)</f>
        <v>0</v>
      </c>
      <c r="AB668" s="25">
        <f>ROUND(IF(AO668="7",BF668,0),2)</f>
        <v>0</v>
      </c>
      <c r="AC668" s="25">
        <f>ROUND(IF(AO668="7",BG668,0),2)</f>
        <v>0</v>
      </c>
      <c r="AD668" s="25">
        <f>ROUND(IF(AO668="2",BF668,0),2)</f>
        <v>0</v>
      </c>
      <c r="AE668" s="25">
        <f>ROUND(IF(AO668="2",BG668,0),2)</f>
        <v>0</v>
      </c>
      <c r="AF668" s="25">
        <f>ROUND(IF(AO668="0",BH668,0),2)</f>
        <v>0</v>
      </c>
      <c r="AG668" s="10" t="s">
        <v>510</v>
      </c>
      <c r="AH668" s="25">
        <f>IF(AL668=0,K668,0)</f>
        <v>0</v>
      </c>
      <c r="AI668" s="25">
        <f>IF(AL668=12,K668,0)</f>
        <v>0</v>
      </c>
      <c r="AJ668" s="25">
        <f>IF(AL668=21,K668,0)</f>
        <v>0</v>
      </c>
      <c r="AL668" s="25">
        <v>21</v>
      </c>
      <c r="AM668" s="25">
        <f>H668*1</f>
        <v>0</v>
      </c>
      <c r="AN668" s="25">
        <f>H668*(1-1)</f>
        <v>0</v>
      </c>
      <c r="AO668" s="27" t="s">
        <v>61</v>
      </c>
      <c r="AT668" s="25">
        <f>ROUND(AU668+AV668,2)</f>
        <v>0</v>
      </c>
      <c r="AU668" s="25">
        <f>ROUND(G668*AM668,2)</f>
        <v>0</v>
      </c>
      <c r="AV668" s="25">
        <f>ROUND(G668*AN668,2)</f>
        <v>0</v>
      </c>
      <c r="AW668" s="27" t="s">
        <v>926</v>
      </c>
      <c r="AX668" s="27" t="s">
        <v>887</v>
      </c>
      <c r="AY668" s="10" t="s">
        <v>518</v>
      </c>
      <c r="BA668" s="25">
        <f>AU668+AV668</f>
        <v>0</v>
      </c>
      <c r="BB668" s="25">
        <f>H668/(100-BC668)*100</f>
        <v>0</v>
      </c>
      <c r="BC668" s="25">
        <v>0</v>
      </c>
      <c r="BD668" s="25">
        <f>M668</f>
        <v>0.01</v>
      </c>
      <c r="BF668" s="25">
        <f>G668*AM668</f>
        <v>0</v>
      </c>
      <c r="BG668" s="25">
        <f>G668*AN668</f>
        <v>0</v>
      </c>
      <c r="BH668" s="25">
        <f>G668*H668</f>
        <v>0</v>
      </c>
      <c r="BI668" s="27" t="s">
        <v>576</v>
      </c>
      <c r="BJ668" s="25">
        <v>767</v>
      </c>
      <c r="BU668" s="25" t="e">
        <f>#REF!</f>
        <v>#REF!</v>
      </c>
      <c r="BV668" s="4" t="s">
        <v>925</v>
      </c>
    </row>
    <row r="669" spans="1:74" ht="14.4" x14ac:dyDescent="0.3">
      <c r="A669" s="28"/>
      <c r="D669" s="29" t="s">
        <v>57</v>
      </c>
      <c r="E669" s="29" t="s">
        <v>52</v>
      </c>
      <c r="G669" s="30">
        <v>1</v>
      </c>
      <c r="H669" s="63"/>
      <c r="N669" s="31"/>
    </row>
    <row r="670" spans="1:74" ht="26.4" x14ac:dyDescent="0.3">
      <c r="A670" s="2" t="s">
        <v>927</v>
      </c>
      <c r="B670" s="3" t="s">
        <v>510</v>
      </c>
      <c r="C670" s="3" t="s">
        <v>928</v>
      </c>
      <c r="D670" s="112" t="s">
        <v>925</v>
      </c>
      <c r="E670" s="109"/>
      <c r="F670" s="3" t="s">
        <v>278</v>
      </c>
      <c r="G670" s="25">
        <v>1</v>
      </c>
      <c r="H670" s="62"/>
      <c r="I670" s="25">
        <f>ROUND(G670*AM670,2)</f>
        <v>0</v>
      </c>
      <c r="J670" s="25">
        <f>ROUND(G670*AN670,2)</f>
        <v>0</v>
      </c>
      <c r="K670" s="25">
        <f>ROUND(G670*H670,2)</f>
        <v>0</v>
      </c>
      <c r="L670" s="25">
        <v>0.01</v>
      </c>
      <c r="M670" s="25">
        <f>G670*L670</f>
        <v>0.01</v>
      </c>
      <c r="N670" s="102"/>
      <c r="X670" s="25">
        <f>ROUND(IF(AO670="5",BH670,0),2)</f>
        <v>0</v>
      </c>
      <c r="Z670" s="25">
        <f>ROUND(IF(AO670="1",BF670,0),2)</f>
        <v>0</v>
      </c>
      <c r="AA670" s="25">
        <f>ROUND(IF(AO670="1",BG670,0),2)</f>
        <v>0</v>
      </c>
      <c r="AB670" s="25">
        <f>ROUND(IF(AO670="7",BF670,0),2)</f>
        <v>0</v>
      </c>
      <c r="AC670" s="25">
        <f>ROUND(IF(AO670="7",BG670,0),2)</f>
        <v>0</v>
      </c>
      <c r="AD670" s="25">
        <f>ROUND(IF(AO670="2",BF670,0),2)</f>
        <v>0</v>
      </c>
      <c r="AE670" s="25">
        <f>ROUND(IF(AO670="2",BG670,0),2)</f>
        <v>0</v>
      </c>
      <c r="AF670" s="25">
        <f>ROUND(IF(AO670="0",BH670,0),2)</f>
        <v>0</v>
      </c>
      <c r="AG670" s="10" t="s">
        <v>510</v>
      </c>
      <c r="AH670" s="25">
        <f>IF(AL670=0,K670,0)</f>
        <v>0</v>
      </c>
      <c r="AI670" s="25">
        <f>IF(AL670=12,K670,0)</f>
        <v>0</v>
      </c>
      <c r="AJ670" s="25">
        <f>IF(AL670=21,K670,0)</f>
        <v>0</v>
      </c>
      <c r="AL670" s="25">
        <v>21</v>
      </c>
      <c r="AM670" s="25">
        <f>H670*1</f>
        <v>0</v>
      </c>
      <c r="AN670" s="25">
        <f>H670*(1-1)</f>
        <v>0</v>
      </c>
      <c r="AO670" s="27" t="s">
        <v>61</v>
      </c>
      <c r="AT670" s="25">
        <f>ROUND(AU670+AV670,2)</f>
        <v>0</v>
      </c>
      <c r="AU670" s="25">
        <f>ROUND(G670*AM670,2)</f>
        <v>0</v>
      </c>
      <c r="AV670" s="25">
        <f>ROUND(G670*AN670,2)</f>
        <v>0</v>
      </c>
      <c r="AW670" s="27" t="s">
        <v>926</v>
      </c>
      <c r="AX670" s="27" t="s">
        <v>887</v>
      </c>
      <c r="AY670" s="10" t="s">
        <v>518</v>
      </c>
      <c r="BA670" s="25">
        <f>AU670+AV670</f>
        <v>0</v>
      </c>
      <c r="BB670" s="25">
        <f>H670/(100-BC670)*100</f>
        <v>0</v>
      </c>
      <c r="BC670" s="25">
        <v>0</v>
      </c>
      <c r="BD670" s="25">
        <f>M670</f>
        <v>0.01</v>
      </c>
      <c r="BF670" s="25">
        <f>G670*AM670</f>
        <v>0</v>
      </c>
      <c r="BG670" s="25">
        <f>G670*AN670</f>
        <v>0</v>
      </c>
      <c r="BH670" s="25">
        <f>G670*H670</f>
        <v>0</v>
      </c>
      <c r="BI670" s="27" t="s">
        <v>576</v>
      </c>
      <c r="BJ670" s="25">
        <v>767</v>
      </c>
      <c r="BU670" s="25" t="e">
        <f>#REF!</f>
        <v>#REF!</v>
      </c>
      <c r="BV670" s="4" t="s">
        <v>925</v>
      </c>
    </row>
    <row r="671" spans="1:74" ht="14.4" x14ac:dyDescent="0.3">
      <c r="A671" s="28"/>
      <c r="D671" s="29" t="s">
        <v>57</v>
      </c>
      <c r="E671" s="29" t="s">
        <v>52</v>
      </c>
      <c r="G671" s="30">
        <v>1</v>
      </c>
      <c r="H671" s="63"/>
      <c r="N671" s="31"/>
    </row>
    <row r="672" spans="1:74" ht="14.4" x14ac:dyDescent="0.3">
      <c r="A672" s="2" t="s">
        <v>929</v>
      </c>
      <c r="B672" s="3" t="s">
        <v>510</v>
      </c>
      <c r="C672" s="3" t="s">
        <v>930</v>
      </c>
      <c r="D672" s="112" t="s">
        <v>931</v>
      </c>
      <c r="E672" s="109"/>
      <c r="F672" s="3" t="s">
        <v>278</v>
      </c>
      <c r="G672" s="25">
        <v>0.02</v>
      </c>
      <c r="H672" s="62"/>
      <c r="I672" s="25">
        <f>ROUND(G672*AM672,2)</f>
        <v>0</v>
      </c>
      <c r="J672" s="25">
        <f>ROUND(G672*AN672,2)</f>
        <v>0</v>
      </c>
      <c r="K672" s="25">
        <f>ROUND(G672*H672,2)</f>
        <v>0</v>
      </c>
      <c r="L672" s="25">
        <v>0</v>
      </c>
      <c r="M672" s="25">
        <f>G672*L672</f>
        <v>0</v>
      </c>
      <c r="N672" s="26"/>
      <c r="X672" s="25">
        <f>ROUND(IF(AO672="5",BH672,0),2)</f>
        <v>0</v>
      </c>
      <c r="Z672" s="25">
        <f>ROUND(IF(AO672="1",BF672,0),2)</f>
        <v>0</v>
      </c>
      <c r="AA672" s="25">
        <f>ROUND(IF(AO672="1",BG672,0),2)</f>
        <v>0</v>
      </c>
      <c r="AB672" s="25">
        <f>ROUND(IF(AO672="7",BF672,0),2)</f>
        <v>0</v>
      </c>
      <c r="AC672" s="25">
        <f>ROUND(IF(AO672="7",BG672,0),2)</f>
        <v>0</v>
      </c>
      <c r="AD672" s="25">
        <f>ROUND(IF(AO672="2",BF672,0),2)</f>
        <v>0</v>
      </c>
      <c r="AE672" s="25">
        <f>ROUND(IF(AO672="2",BG672,0),2)</f>
        <v>0</v>
      </c>
      <c r="AF672" s="25">
        <f>ROUND(IF(AO672="0",BH672,0),2)</f>
        <v>0</v>
      </c>
      <c r="AG672" s="10" t="s">
        <v>510</v>
      </c>
      <c r="AH672" s="25">
        <f>IF(AL672=0,K672,0)</f>
        <v>0</v>
      </c>
      <c r="AI672" s="25">
        <f>IF(AL672=12,K672,0)</f>
        <v>0</v>
      </c>
      <c r="AJ672" s="25">
        <f>IF(AL672=21,K672,0)</f>
        <v>0</v>
      </c>
      <c r="AL672" s="25">
        <v>21</v>
      </c>
      <c r="AM672" s="25">
        <f>H672*0</f>
        <v>0</v>
      </c>
      <c r="AN672" s="25">
        <f>H672*(1-0)</f>
        <v>0</v>
      </c>
      <c r="AO672" s="27" t="s">
        <v>97</v>
      </c>
      <c r="AT672" s="25">
        <f>ROUND(AU672+AV672,2)</f>
        <v>0</v>
      </c>
      <c r="AU672" s="25">
        <f>ROUND(G672*AM672,2)</f>
        <v>0</v>
      </c>
      <c r="AV672" s="25">
        <f>ROUND(G672*AN672,2)</f>
        <v>0</v>
      </c>
      <c r="AW672" s="27" t="s">
        <v>926</v>
      </c>
      <c r="AX672" s="27" t="s">
        <v>887</v>
      </c>
      <c r="AY672" s="10" t="s">
        <v>518</v>
      </c>
      <c r="BA672" s="25">
        <f>AU672+AV672</f>
        <v>0</v>
      </c>
      <c r="BB672" s="25">
        <f>H672/(100-BC672)*100</f>
        <v>0</v>
      </c>
      <c r="BC672" s="25">
        <v>0</v>
      </c>
      <c r="BD672" s="25">
        <f>M672</f>
        <v>0</v>
      </c>
      <c r="BF672" s="25">
        <f>G672*AM672</f>
        <v>0</v>
      </c>
      <c r="BG672" s="25">
        <f>G672*AN672</f>
        <v>0</v>
      </c>
      <c r="BH672" s="25">
        <f>G672*H672</f>
        <v>0</v>
      </c>
      <c r="BI672" s="27" t="s">
        <v>65</v>
      </c>
      <c r="BJ672" s="25">
        <v>767</v>
      </c>
      <c r="BU672" s="25" t="e">
        <f>#REF!</f>
        <v>#REF!</v>
      </c>
      <c r="BV672" s="4" t="s">
        <v>931</v>
      </c>
    </row>
    <row r="673" spans="1:74" ht="14.4" x14ac:dyDescent="0.3">
      <c r="A673" s="21" t="s">
        <v>52</v>
      </c>
      <c r="B673" s="22" t="s">
        <v>510</v>
      </c>
      <c r="C673" s="22" t="s">
        <v>932</v>
      </c>
      <c r="D673" s="170" t="s">
        <v>933</v>
      </c>
      <c r="E673" s="171"/>
      <c r="F673" s="23" t="s">
        <v>32</v>
      </c>
      <c r="G673" s="23" t="s">
        <v>32</v>
      </c>
      <c r="H673" s="64"/>
      <c r="I673" s="1">
        <f>SUM(I674:I732)</f>
        <v>0</v>
      </c>
      <c r="J673" s="1">
        <f>SUM(J674:J732)</f>
        <v>0</v>
      </c>
      <c r="K673" s="1">
        <f>SUM(K674:K732)</f>
        <v>0</v>
      </c>
      <c r="L673" s="10" t="s">
        <v>52</v>
      </c>
      <c r="M673" s="1">
        <f>SUM(M674:M732)</f>
        <v>2.1981430400000002</v>
      </c>
      <c r="N673" s="24"/>
      <c r="AG673" s="10" t="s">
        <v>510</v>
      </c>
      <c r="AQ673" s="1">
        <f>SUM(AH674:AH732)</f>
        <v>0</v>
      </c>
      <c r="AR673" s="1">
        <f>SUM(AI674:AI732)</f>
        <v>0</v>
      </c>
      <c r="AS673" s="1">
        <f>SUM(AJ674:AJ732)</f>
        <v>0</v>
      </c>
    </row>
    <row r="674" spans="1:74" ht="14.4" x14ac:dyDescent="0.3">
      <c r="A674" s="2" t="s">
        <v>934</v>
      </c>
      <c r="B674" s="3" t="s">
        <v>510</v>
      </c>
      <c r="C674" s="3" t="s">
        <v>935</v>
      </c>
      <c r="D674" s="112" t="s">
        <v>936</v>
      </c>
      <c r="E674" s="109"/>
      <c r="F674" s="3" t="s">
        <v>60</v>
      </c>
      <c r="G674" s="25">
        <v>73.03</v>
      </c>
      <c r="H674" s="62"/>
      <c r="I674" s="25">
        <f>ROUND(G674*AM674,2)</f>
        <v>0</v>
      </c>
      <c r="J674" s="25">
        <f>ROUND(G674*AN674,2)</f>
        <v>0</v>
      </c>
      <c r="K674" s="25">
        <f>ROUND(G674*H674,2)</f>
        <v>0</v>
      </c>
      <c r="L674" s="25">
        <v>6.9300000000000004E-3</v>
      </c>
      <c r="M674" s="25">
        <f>G674*L674</f>
        <v>0.50609789999999999</v>
      </c>
      <c r="N674" s="26"/>
      <c r="X674" s="25">
        <f>ROUND(IF(AO674="5",BH674,0),2)</f>
        <v>0</v>
      </c>
      <c r="Z674" s="25">
        <f>ROUND(IF(AO674="1",BF674,0),2)</f>
        <v>0</v>
      </c>
      <c r="AA674" s="25">
        <f>ROUND(IF(AO674="1",BG674,0),2)</f>
        <v>0</v>
      </c>
      <c r="AB674" s="25">
        <f>ROUND(IF(AO674="7",BF674,0),2)</f>
        <v>0</v>
      </c>
      <c r="AC674" s="25">
        <f>ROUND(IF(AO674="7",BG674,0),2)</f>
        <v>0</v>
      </c>
      <c r="AD674" s="25">
        <f>ROUND(IF(AO674="2",BF674,0),2)</f>
        <v>0</v>
      </c>
      <c r="AE674" s="25">
        <f>ROUND(IF(AO674="2",BG674,0),2)</f>
        <v>0</v>
      </c>
      <c r="AF674" s="25">
        <f>ROUND(IF(AO674="0",BH674,0),2)</f>
        <v>0</v>
      </c>
      <c r="AG674" s="10" t="s">
        <v>510</v>
      </c>
      <c r="AH674" s="25">
        <f>IF(AL674=0,K674,0)</f>
        <v>0</v>
      </c>
      <c r="AI674" s="25">
        <f>IF(AL674=12,K674,0)</f>
        <v>0</v>
      </c>
      <c r="AJ674" s="25">
        <f>IF(AL674=21,K674,0)</f>
        <v>0</v>
      </c>
      <c r="AL674" s="25">
        <v>21</v>
      </c>
      <c r="AM674" s="25">
        <f>H674*0.180008643</f>
        <v>0</v>
      </c>
      <c r="AN674" s="25">
        <f>H674*(1-0.180008643)</f>
        <v>0</v>
      </c>
      <c r="AO674" s="27" t="s">
        <v>61</v>
      </c>
      <c r="AT674" s="25">
        <f>ROUND(AU674+AV674,2)</f>
        <v>0</v>
      </c>
      <c r="AU674" s="25">
        <f>ROUND(G674*AM674,2)</f>
        <v>0</v>
      </c>
      <c r="AV674" s="25">
        <f>ROUND(G674*AN674,2)</f>
        <v>0</v>
      </c>
      <c r="AW674" s="27" t="s">
        <v>937</v>
      </c>
      <c r="AX674" s="27" t="s">
        <v>938</v>
      </c>
      <c r="AY674" s="10" t="s">
        <v>518</v>
      </c>
      <c r="BA674" s="25">
        <f>AU674+AV674</f>
        <v>0</v>
      </c>
      <c r="BB674" s="25">
        <f>H674/(100-BC674)*100</f>
        <v>0</v>
      </c>
      <c r="BC674" s="25">
        <v>0</v>
      </c>
      <c r="BD674" s="25">
        <f>M674</f>
        <v>0.50609789999999999</v>
      </c>
      <c r="BF674" s="25">
        <f>G674*AM674</f>
        <v>0</v>
      </c>
      <c r="BG674" s="25">
        <f>G674*AN674</f>
        <v>0</v>
      </c>
      <c r="BH674" s="25">
        <f>G674*H674</f>
        <v>0</v>
      </c>
      <c r="BI674" s="27" t="s">
        <v>65</v>
      </c>
      <c r="BJ674" s="25">
        <v>771</v>
      </c>
      <c r="BU674" s="25" t="e">
        <f>#REF!</f>
        <v>#REF!</v>
      </c>
      <c r="BV674" s="4" t="s">
        <v>936</v>
      </c>
    </row>
    <row r="675" spans="1:74" ht="14.4" x14ac:dyDescent="0.3">
      <c r="A675" s="28"/>
      <c r="D675" s="29" t="s">
        <v>667</v>
      </c>
      <c r="E675" s="29" t="s">
        <v>170</v>
      </c>
      <c r="G675" s="30">
        <v>14.2</v>
      </c>
      <c r="H675" s="63"/>
      <c r="N675" s="31"/>
    </row>
    <row r="676" spans="1:74" ht="14.4" x14ac:dyDescent="0.3">
      <c r="A676" s="28"/>
      <c r="D676" s="29" t="s">
        <v>668</v>
      </c>
      <c r="E676" s="29" t="s">
        <v>163</v>
      </c>
      <c r="G676" s="30">
        <v>16.77</v>
      </c>
      <c r="H676" s="63"/>
      <c r="N676" s="31"/>
    </row>
    <row r="677" spans="1:74" ht="14.4" x14ac:dyDescent="0.3">
      <c r="A677" s="28"/>
      <c r="D677" s="29" t="s">
        <v>669</v>
      </c>
      <c r="E677" s="29" t="s">
        <v>69</v>
      </c>
      <c r="G677" s="30">
        <v>9.9</v>
      </c>
      <c r="H677" s="63"/>
      <c r="N677" s="31"/>
    </row>
    <row r="678" spans="1:74" ht="14.4" x14ac:dyDescent="0.3">
      <c r="A678" s="28"/>
      <c r="D678" s="29" t="s">
        <v>172</v>
      </c>
      <c r="E678" s="29" t="s">
        <v>70</v>
      </c>
      <c r="G678" s="30">
        <v>19.670000000000002</v>
      </c>
      <c r="H678" s="63"/>
      <c r="N678" s="31"/>
    </row>
    <row r="679" spans="1:74" ht="14.4" x14ac:dyDescent="0.3">
      <c r="A679" s="28"/>
      <c r="D679" s="29" t="s">
        <v>173</v>
      </c>
      <c r="E679" s="29" t="s">
        <v>174</v>
      </c>
      <c r="G679" s="30">
        <v>5.42</v>
      </c>
      <c r="H679" s="63"/>
      <c r="N679" s="31"/>
    </row>
    <row r="680" spans="1:74" ht="14.4" x14ac:dyDescent="0.3">
      <c r="A680" s="28"/>
      <c r="D680" s="29" t="s">
        <v>670</v>
      </c>
      <c r="E680" s="29" t="s">
        <v>180</v>
      </c>
      <c r="G680" s="30">
        <v>3</v>
      </c>
      <c r="H680" s="63"/>
      <c r="N680" s="31"/>
    </row>
    <row r="681" spans="1:74" ht="14.4" x14ac:dyDescent="0.3">
      <c r="A681" s="28"/>
      <c r="D681" s="29" t="s">
        <v>181</v>
      </c>
      <c r="E681" s="29" t="s">
        <v>182</v>
      </c>
      <c r="G681" s="30">
        <v>1.37</v>
      </c>
      <c r="H681" s="63"/>
      <c r="N681" s="31"/>
    </row>
    <row r="682" spans="1:74" ht="14.4" x14ac:dyDescent="0.3">
      <c r="A682" s="28"/>
      <c r="D682" s="29" t="s">
        <v>183</v>
      </c>
      <c r="E682" s="29" t="s">
        <v>72</v>
      </c>
      <c r="G682" s="30">
        <v>2.7</v>
      </c>
      <c r="H682" s="63"/>
      <c r="N682" s="31"/>
    </row>
    <row r="683" spans="1:74" ht="14.4" x14ac:dyDescent="0.3">
      <c r="A683" s="2" t="s">
        <v>939</v>
      </c>
      <c r="B683" s="3" t="s">
        <v>510</v>
      </c>
      <c r="C683" s="3" t="s">
        <v>940</v>
      </c>
      <c r="D683" s="112" t="s">
        <v>941</v>
      </c>
      <c r="E683" s="109"/>
      <c r="F683" s="3" t="s">
        <v>60</v>
      </c>
      <c r="G683" s="25">
        <v>86.929699999999997</v>
      </c>
      <c r="H683" s="62"/>
      <c r="I683" s="25">
        <f>ROUND(G683*AM683,2)</f>
        <v>0</v>
      </c>
      <c r="J683" s="25">
        <f>ROUND(G683*AN683,2)</f>
        <v>0</v>
      </c>
      <c r="K683" s="25">
        <f>ROUND(G683*H683,2)</f>
        <v>0</v>
      </c>
      <c r="L683" s="25">
        <v>1.8200000000000001E-2</v>
      </c>
      <c r="M683" s="25">
        <f>G683*L683</f>
        <v>1.58212054</v>
      </c>
      <c r="N683" s="26"/>
      <c r="X683" s="25">
        <f>ROUND(IF(AO683="5",BH683,0),2)</f>
        <v>0</v>
      </c>
      <c r="Z683" s="25">
        <f>ROUND(IF(AO683="1",BF683,0),2)</f>
        <v>0</v>
      </c>
      <c r="AA683" s="25">
        <f>ROUND(IF(AO683="1",BG683,0),2)</f>
        <v>0</v>
      </c>
      <c r="AB683" s="25">
        <f>ROUND(IF(AO683="7",BF683,0),2)</f>
        <v>0</v>
      </c>
      <c r="AC683" s="25">
        <f>ROUND(IF(AO683="7",BG683,0),2)</f>
        <v>0</v>
      </c>
      <c r="AD683" s="25">
        <f>ROUND(IF(AO683="2",BF683,0),2)</f>
        <v>0</v>
      </c>
      <c r="AE683" s="25">
        <f>ROUND(IF(AO683="2",BG683,0),2)</f>
        <v>0</v>
      </c>
      <c r="AF683" s="25">
        <f>ROUND(IF(AO683="0",BH683,0),2)</f>
        <v>0</v>
      </c>
      <c r="AG683" s="10" t="s">
        <v>510</v>
      </c>
      <c r="AH683" s="25">
        <f>IF(AL683=0,K683,0)</f>
        <v>0</v>
      </c>
      <c r="AI683" s="25">
        <f>IF(AL683=12,K683,0)</f>
        <v>0</v>
      </c>
      <c r="AJ683" s="25">
        <f>IF(AL683=21,K683,0)</f>
        <v>0</v>
      </c>
      <c r="AL683" s="25">
        <v>21</v>
      </c>
      <c r="AM683" s="25">
        <f>H683*1</f>
        <v>0</v>
      </c>
      <c r="AN683" s="25">
        <f>H683*(1-1)</f>
        <v>0</v>
      </c>
      <c r="AO683" s="27" t="s">
        <v>61</v>
      </c>
      <c r="AT683" s="25">
        <f>ROUND(AU683+AV683,2)</f>
        <v>0</v>
      </c>
      <c r="AU683" s="25">
        <f>ROUND(G683*AM683,2)</f>
        <v>0</v>
      </c>
      <c r="AV683" s="25">
        <f>ROUND(G683*AN683,2)</f>
        <v>0</v>
      </c>
      <c r="AW683" s="27" t="s">
        <v>937</v>
      </c>
      <c r="AX683" s="27" t="s">
        <v>938</v>
      </c>
      <c r="AY683" s="10" t="s">
        <v>518</v>
      </c>
      <c r="BA683" s="25">
        <f>AU683+AV683</f>
        <v>0</v>
      </c>
      <c r="BB683" s="25">
        <f>H683/(100-BC683)*100</f>
        <v>0</v>
      </c>
      <c r="BC683" s="25">
        <v>0</v>
      </c>
      <c r="BD683" s="25">
        <f>M683</f>
        <v>1.58212054</v>
      </c>
      <c r="BF683" s="25">
        <f>G683*AM683</f>
        <v>0</v>
      </c>
      <c r="BG683" s="25">
        <f>G683*AN683</f>
        <v>0</v>
      </c>
      <c r="BH683" s="25">
        <f>G683*H683</f>
        <v>0</v>
      </c>
      <c r="BI683" s="27" t="s">
        <v>576</v>
      </c>
      <c r="BJ683" s="25">
        <v>771</v>
      </c>
      <c r="BU683" s="25" t="e">
        <f>#REF!</f>
        <v>#REF!</v>
      </c>
      <c r="BV683" s="4" t="s">
        <v>941</v>
      </c>
    </row>
    <row r="684" spans="1:74" ht="14.4" x14ac:dyDescent="0.3">
      <c r="A684" s="28"/>
      <c r="D684" s="29" t="s">
        <v>667</v>
      </c>
      <c r="E684" s="29" t="s">
        <v>170</v>
      </c>
      <c r="G684" s="30">
        <v>14.2</v>
      </c>
      <c r="H684" s="63"/>
      <c r="N684" s="31"/>
    </row>
    <row r="685" spans="1:74" ht="14.4" x14ac:dyDescent="0.3">
      <c r="A685" s="28"/>
      <c r="D685" s="29" t="s">
        <v>668</v>
      </c>
      <c r="E685" s="29" t="s">
        <v>163</v>
      </c>
      <c r="G685" s="30">
        <v>16.77</v>
      </c>
      <c r="H685" s="63"/>
      <c r="N685" s="31"/>
    </row>
    <row r="686" spans="1:74" ht="14.4" x14ac:dyDescent="0.3">
      <c r="A686" s="28"/>
      <c r="D686" s="29" t="s">
        <v>669</v>
      </c>
      <c r="E686" s="29" t="s">
        <v>69</v>
      </c>
      <c r="G686" s="30">
        <v>9.9</v>
      </c>
      <c r="H686" s="63"/>
      <c r="N686" s="31"/>
    </row>
    <row r="687" spans="1:74" ht="14.4" x14ac:dyDescent="0.3">
      <c r="A687" s="28"/>
      <c r="D687" s="29" t="s">
        <v>172</v>
      </c>
      <c r="E687" s="29" t="s">
        <v>70</v>
      </c>
      <c r="G687" s="30">
        <v>19.670000000000002</v>
      </c>
      <c r="H687" s="63"/>
      <c r="N687" s="31"/>
    </row>
    <row r="688" spans="1:74" ht="14.4" x14ac:dyDescent="0.3">
      <c r="A688" s="28"/>
      <c r="D688" s="29" t="s">
        <v>173</v>
      </c>
      <c r="E688" s="29" t="s">
        <v>174</v>
      </c>
      <c r="G688" s="30">
        <v>5.42</v>
      </c>
      <c r="H688" s="63"/>
      <c r="N688" s="31"/>
    </row>
    <row r="689" spans="1:74" ht="14.4" x14ac:dyDescent="0.3">
      <c r="A689" s="28"/>
      <c r="D689" s="29" t="s">
        <v>670</v>
      </c>
      <c r="E689" s="29" t="s">
        <v>180</v>
      </c>
      <c r="G689" s="30">
        <v>3</v>
      </c>
      <c r="H689" s="63"/>
      <c r="N689" s="31"/>
    </row>
    <row r="690" spans="1:74" ht="14.4" x14ac:dyDescent="0.3">
      <c r="A690" s="28"/>
      <c r="D690" s="29" t="s">
        <v>181</v>
      </c>
      <c r="E690" s="29" t="s">
        <v>182</v>
      </c>
      <c r="G690" s="30">
        <v>1.37</v>
      </c>
      <c r="H690" s="63"/>
      <c r="N690" s="31"/>
    </row>
    <row r="691" spans="1:74" ht="14.4" x14ac:dyDescent="0.3">
      <c r="A691" s="28"/>
      <c r="D691" s="29" t="s">
        <v>183</v>
      </c>
      <c r="E691" s="29" t="s">
        <v>72</v>
      </c>
      <c r="G691" s="30">
        <v>2.7</v>
      </c>
      <c r="H691" s="63"/>
      <c r="N691" s="31"/>
    </row>
    <row r="692" spans="1:74" ht="14.4" x14ac:dyDescent="0.3">
      <c r="A692" s="28"/>
      <c r="D692" s="29" t="s">
        <v>942</v>
      </c>
      <c r="E692" s="29" t="s">
        <v>943</v>
      </c>
      <c r="G692" s="30">
        <v>5.9969999999999999</v>
      </c>
      <c r="H692" s="63"/>
      <c r="N692" s="31"/>
    </row>
    <row r="693" spans="1:74" ht="14.4" x14ac:dyDescent="0.3">
      <c r="A693" s="28"/>
      <c r="D693" s="29" t="s">
        <v>944</v>
      </c>
      <c r="E693" s="29" t="s">
        <v>52</v>
      </c>
      <c r="G693" s="30">
        <v>7.9027000000000003</v>
      </c>
      <c r="H693" s="63"/>
      <c r="N693" s="31"/>
    </row>
    <row r="694" spans="1:74" ht="14.4" x14ac:dyDescent="0.3">
      <c r="A694" s="2" t="s">
        <v>945</v>
      </c>
      <c r="B694" s="3" t="s">
        <v>510</v>
      </c>
      <c r="C694" s="3" t="s">
        <v>946</v>
      </c>
      <c r="D694" s="112" t="s">
        <v>947</v>
      </c>
      <c r="E694" s="109"/>
      <c r="F694" s="3" t="s">
        <v>60</v>
      </c>
      <c r="G694" s="25">
        <v>73.03</v>
      </c>
      <c r="H694" s="62"/>
      <c r="I694" s="25">
        <f>ROUND(G694*AM694,2)</f>
        <v>0</v>
      </c>
      <c r="J694" s="25">
        <f>ROUND(G694*AN694,2)</f>
        <v>0</v>
      </c>
      <c r="K694" s="25">
        <f>ROUND(G694*H694,2)</f>
        <v>0</v>
      </c>
      <c r="L694" s="25">
        <v>8.0000000000000004E-4</v>
      </c>
      <c r="M694" s="25">
        <f>G694*L694</f>
        <v>5.8424000000000004E-2</v>
      </c>
      <c r="N694" s="26"/>
      <c r="X694" s="25">
        <f>ROUND(IF(AO694="5",BH694,0),2)</f>
        <v>0</v>
      </c>
      <c r="Z694" s="25">
        <f>ROUND(IF(AO694="1",BF694,0),2)</f>
        <v>0</v>
      </c>
      <c r="AA694" s="25">
        <f>ROUND(IF(AO694="1",BG694,0),2)</f>
        <v>0</v>
      </c>
      <c r="AB694" s="25">
        <f>ROUND(IF(AO694="7",BF694,0),2)</f>
        <v>0</v>
      </c>
      <c r="AC694" s="25">
        <f>ROUND(IF(AO694="7",BG694,0),2)</f>
        <v>0</v>
      </c>
      <c r="AD694" s="25">
        <f>ROUND(IF(AO694="2",BF694,0),2)</f>
        <v>0</v>
      </c>
      <c r="AE694" s="25">
        <f>ROUND(IF(AO694="2",BG694,0),2)</f>
        <v>0</v>
      </c>
      <c r="AF694" s="25">
        <f>ROUND(IF(AO694="0",BH694,0),2)</f>
        <v>0</v>
      </c>
      <c r="AG694" s="10" t="s">
        <v>510</v>
      </c>
      <c r="AH694" s="25">
        <f>IF(AL694=0,K694,0)</f>
        <v>0</v>
      </c>
      <c r="AI694" s="25">
        <f>IF(AL694=12,K694,0)</f>
        <v>0</v>
      </c>
      <c r="AJ694" s="25">
        <f>IF(AL694=21,K694,0)</f>
        <v>0</v>
      </c>
      <c r="AL694" s="25">
        <v>21</v>
      </c>
      <c r="AM694" s="25">
        <f>H694*1</f>
        <v>0</v>
      </c>
      <c r="AN694" s="25">
        <f>H694*(1-1)</f>
        <v>0</v>
      </c>
      <c r="AO694" s="27" t="s">
        <v>61</v>
      </c>
      <c r="AT694" s="25">
        <f>ROUND(AU694+AV694,2)</f>
        <v>0</v>
      </c>
      <c r="AU694" s="25">
        <f>ROUND(G694*AM694,2)</f>
        <v>0</v>
      </c>
      <c r="AV694" s="25">
        <f>ROUND(G694*AN694,2)</f>
        <v>0</v>
      </c>
      <c r="AW694" s="27" t="s">
        <v>937</v>
      </c>
      <c r="AX694" s="27" t="s">
        <v>938</v>
      </c>
      <c r="AY694" s="10" t="s">
        <v>518</v>
      </c>
      <c r="BA694" s="25">
        <f>AU694+AV694</f>
        <v>0</v>
      </c>
      <c r="BB694" s="25">
        <f>H694/(100-BC694)*100</f>
        <v>0</v>
      </c>
      <c r="BC694" s="25">
        <v>0</v>
      </c>
      <c r="BD694" s="25">
        <f>M694</f>
        <v>5.8424000000000004E-2</v>
      </c>
      <c r="BF694" s="25">
        <f>G694*AM694</f>
        <v>0</v>
      </c>
      <c r="BG694" s="25">
        <f>G694*AN694</f>
        <v>0</v>
      </c>
      <c r="BH694" s="25">
        <f>G694*H694</f>
        <v>0</v>
      </c>
      <c r="BI694" s="27" t="s">
        <v>65</v>
      </c>
      <c r="BJ694" s="25">
        <v>771</v>
      </c>
      <c r="BU694" s="25" t="e">
        <f>#REF!</f>
        <v>#REF!</v>
      </c>
      <c r="BV694" s="4" t="s">
        <v>947</v>
      </c>
    </row>
    <row r="695" spans="1:74" ht="14.4" x14ac:dyDescent="0.3">
      <c r="A695" s="28"/>
      <c r="D695" s="29" t="s">
        <v>667</v>
      </c>
      <c r="E695" s="29" t="s">
        <v>170</v>
      </c>
      <c r="G695" s="30">
        <v>14.2</v>
      </c>
      <c r="H695" s="63"/>
      <c r="N695" s="31"/>
    </row>
    <row r="696" spans="1:74" ht="14.4" x14ac:dyDescent="0.3">
      <c r="A696" s="28"/>
      <c r="D696" s="29" t="s">
        <v>668</v>
      </c>
      <c r="E696" s="29" t="s">
        <v>163</v>
      </c>
      <c r="G696" s="30">
        <v>16.77</v>
      </c>
      <c r="H696" s="63"/>
      <c r="N696" s="31"/>
    </row>
    <row r="697" spans="1:74" ht="14.4" x14ac:dyDescent="0.3">
      <c r="A697" s="28"/>
      <c r="D697" s="29" t="s">
        <v>669</v>
      </c>
      <c r="E697" s="29" t="s">
        <v>69</v>
      </c>
      <c r="G697" s="30">
        <v>9.9</v>
      </c>
      <c r="H697" s="63"/>
      <c r="N697" s="31"/>
    </row>
    <row r="698" spans="1:74" ht="14.4" x14ac:dyDescent="0.3">
      <c r="A698" s="28"/>
      <c r="D698" s="29" t="s">
        <v>172</v>
      </c>
      <c r="E698" s="29" t="s">
        <v>70</v>
      </c>
      <c r="G698" s="30">
        <v>19.670000000000002</v>
      </c>
      <c r="H698" s="63"/>
      <c r="N698" s="31"/>
    </row>
    <row r="699" spans="1:74" ht="14.4" x14ac:dyDescent="0.3">
      <c r="A699" s="28"/>
      <c r="D699" s="29" t="s">
        <v>173</v>
      </c>
      <c r="E699" s="29" t="s">
        <v>174</v>
      </c>
      <c r="G699" s="30">
        <v>5.42</v>
      </c>
      <c r="H699" s="63"/>
      <c r="N699" s="31"/>
    </row>
    <row r="700" spans="1:74" ht="14.4" x14ac:dyDescent="0.3">
      <c r="A700" s="28"/>
      <c r="D700" s="29" t="s">
        <v>670</v>
      </c>
      <c r="E700" s="29" t="s">
        <v>180</v>
      </c>
      <c r="G700" s="30">
        <v>3</v>
      </c>
      <c r="H700" s="63"/>
      <c r="N700" s="31"/>
    </row>
    <row r="701" spans="1:74" ht="14.4" x14ac:dyDescent="0.3">
      <c r="A701" s="28"/>
      <c r="D701" s="29" t="s">
        <v>181</v>
      </c>
      <c r="E701" s="29" t="s">
        <v>182</v>
      </c>
      <c r="G701" s="30">
        <v>1.37</v>
      </c>
      <c r="H701" s="63"/>
      <c r="N701" s="31"/>
    </row>
    <row r="702" spans="1:74" ht="14.4" x14ac:dyDescent="0.3">
      <c r="A702" s="28"/>
      <c r="D702" s="29" t="s">
        <v>183</v>
      </c>
      <c r="E702" s="29" t="s">
        <v>72</v>
      </c>
      <c r="G702" s="30">
        <v>2.7</v>
      </c>
      <c r="H702" s="63"/>
      <c r="N702" s="31"/>
    </row>
    <row r="703" spans="1:74" ht="14.4" x14ac:dyDescent="0.3">
      <c r="A703" s="2" t="s">
        <v>948</v>
      </c>
      <c r="B703" s="3" t="s">
        <v>510</v>
      </c>
      <c r="C703" s="3" t="s">
        <v>949</v>
      </c>
      <c r="D703" s="112" t="s">
        <v>950</v>
      </c>
      <c r="E703" s="109"/>
      <c r="F703" s="3" t="s">
        <v>115</v>
      </c>
      <c r="G703" s="25">
        <v>95.87</v>
      </c>
      <c r="H703" s="62"/>
      <c r="I703" s="25">
        <f>ROUND(G703*AM703,2)</f>
        <v>0</v>
      </c>
      <c r="J703" s="25">
        <f>ROUND(G703*AN703,2)</f>
        <v>0</v>
      </c>
      <c r="K703" s="25">
        <f>ROUND(G703*H703,2)</f>
        <v>0</v>
      </c>
      <c r="L703" s="25">
        <v>4.0000000000000003E-5</v>
      </c>
      <c r="M703" s="25">
        <f>G703*L703</f>
        <v>3.8348000000000006E-3</v>
      </c>
      <c r="N703" s="26"/>
      <c r="X703" s="25">
        <f>ROUND(IF(AO703="5",BH703,0),2)</f>
        <v>0</v>
      </c>
      <c r="Z703" s="25">
        <f>ROUND(IF(AO703="1",BF703,0),2)</f>
        <v>0</v>
      </c>
      <c r="AA703" s="25">
        <f>ROUND(IF(AO703="1",BG703,0),2)</f>
        <v>0</v>
      </c>
      <c r="AB703" s="25">
        <f>ROUND(IF(AO703="7",BF703,0),2)</f>
        <v>0</v>
      </c>
      <c r="AC703" s="25">
        <f>ROUND(IF(AO703="7",BG703,0),2)</f>
        <v>0</v>
      </c>
      <c r="AD703" s="25">
        <f>ROUND(IF(AO703="2",BF703,0),2)</f>
        <v>0</v>
      </c>
      <c r="AE703" s="25">
        <f>ROUND(IF(AO703="2",BG703,0),2)</f>
        <v>0</v>
      </c>
      <c r="AF703" s="25">
        <f>ROUND(IF(AO703="0",BH703,0),2)</f>
        <v>0</v>
      </c>
      <c r="AG703" s="10" t="s">
        <v>510</v>
      </c>
      <c r="AH703" s="25">
        <f>IF(AL703=0,K703,0)</f>
        <v>0</v>
      </c>
      <c r="AI703" s="25">
        <f>IF(AL703=12,K703,0)</f>
        <v>0</v>
      </c>
      <c r="AJ703" s="25">
        <f>IF(AL703=21,K703,0)</f>
        <v>0</v>
      </c>
      <c r="AL703" s="25">
        <v>21</v>
      </c>
      <c r="AM703" s="25">
        <f>H703*0.500126915</f>
        <v>0</v>
      </c>
      <c r="AN703" s="25">
        <f>H703*(1-0.500126915)</f>
        <v>0</v>
      </c>
      <c r="AO703" s="27" t="s">
        <v>61</v>
      </c>
      <c r="AT703" s="25">
        <f>ROUND(AU703+AV703,2)</f>
        <v>0</v>
      </c>
      <c r="AU703" s="25">
        <f>ROUND(G703*AM703,2)</f>
        <v>0</v>
      </c>
      <c r="AV703" s="25">
        <f>ROUND(G703*AN703,2)</f>
        <v>0</v>
      </c>
      <c r="AW703" s="27" t="s">
        <v>937</v>
      </c>
      <c r="AX703" s="27" t="s">
        <v>938</v>
      </c>
      <c r="AY703" s="10" t="s">
        <v>518</v>
      </c>
      <c r="BA703" s="25">
        <f>AU703+AV703</f>
        <v>0</v>
      </c>
      <c r="BB703" s="25">
        <f>H703/(100-BC703)*100</f>
        <v>0</v>
      </c>
      <c r="BC703" s="25">
        <v>0</v>
      </c>
      <c r="BD703" s="25">
        <f>M703</f>
        <v>3.8348000000000006E-3</v>
      </c>
      <c r="BF703" s="25">
        <f>G703*AM703</f>
        <v>0</v>
      </c>
      <c r="BG703" s="25">
        <f>G703*AN703</f>
        <v>0</v>
      </c>
      <c r="BH703" s="25">
        <f>G703*H703</f>
        <v>0</v>
      </c>
      <c r="BI703" s="27" t="s">
        <v>65</v>
      </c>
      <c r="BJ703" s="25">
        <v>771</v>
      </c>
      <c r="BU703" s="25" t="e">
        <f>#REF!</f>
        <v>#REF!</v>
      </c>
      <c r="BV703" s="4" t="s">
        <v>950</v>
      </c>
    </row>
    <row r="704" spans="1:74" ht="14.4" x14ac:dyDescent="0.3">
      <c r="A704" s="28"/>
      <c r="D704" s="29" t="s">
        <v>951</v>
      </c>
      <c r="E704" s="29" t="s">
        <v>170</v>
      </c>
      <c r="G704" s="30">
        <v>15.18</v>
      </c>
      <c r="H704" s="63"/>
      <c r="N704" s="31"/>
    </row>
    <row r="705" spans="1:74" ht="14.4" x14ac:dyDescent="0.3">
      <c r="A705" s="28"/>
      <c r="D705" s="29" t="s">
        <v>952</v>
      </c>
      <c r="E705" s="29" t="s">
        <v>163</v>
      </c>
      <c r="G705" s="30">
        <v>16.420000000000002</v>
      </c>
      <c r="H705" s="63"/>
      <c r="N705" s="31"/>
    </row>
    <row r="706" spans="1:74" ht="14.4" x14ac:dyDescent="0.3">
      <c r="A706" s="28"/>
      <c r="D706" s="29" t="s">
        <v>703</v>
      </c>
      <c r="E706" s="29" t="s">
        <v>69</v>
      </c>
      <c r="G706" s="30">
        <v>11.75</v>
      </c>
      <c r="H706" s="63"/>
      <c r="N706" s="31"/>
    </row>
    <row r="707" spans="1:74" ht="14.4" x14ac:dyDescent="0.3">
      <c r="A707" s="28"/>
      <c r="D707" s="29" t="s">
        <v>953</v>
      </c>
      <c r="E707" s="29" t="s">
        <v>70</v>
      </c>
      <c r="G707" s="30">
        <v>15.2</v>
      </c>
      <c r="H707" s="63"/>
      <c r="N707" s="31"/>
    </row>
    <row r="708" spans="1:74" ht="14.4" x14ac:dyDescent="0.3">
      <c r="A708" s="28"/>
      <c r="D708" s="29" t="s">
        <v>954</v>
      </c>
      <c r="E708" s="29" t="s">
        <v>174</v>
      </c>
      <c r="G708" s="30">
        <v>8.76</v>
      </c>
      <c r="H708" s="63"/>
      <c r="N708" s="31"/>
    </row>
    <row r="709" spans="1:74" ht="14.4" x14ac:dyDescent="0.3">
      <c r="A709" s="28"/>
      <c r="D709" s="29" t="s">
        <v>955</v>
      </c>
      <c r="E709" s="29" t="s">
        <v>180</v>
      </c>
      <c r="G709" s="30">
        <v>6.31</v>
      </c>
      <c r="H709" s="63"/>
      <c r="N709" s="31"/>
    </row>
    <row r="710" spans="1:74" ht="14.4" x14ac:dyDescent="0.3">
      <c r="A710" s="28"/>
      <c r="D710" s="29" t="s">
        <v>840</v>
      </c>
      <c r="E710" s="29" t="s">
        <v>182</v>
      </c>
      <c r="G710" s="30">
        <v>4.3499999999999996</v>
      </c>
      <c r="H710" s="63"/>
      <c r="N710" s="31"/>
    </row>
    <row r="711" spans="1:74" ht="14.4" x14ac:dyDescent="0.3">
      <c r="A711" s="28"/>
      <c r="D711" s="29" t="s">
        <v>956</v>
      </c>
      <c r="E711" s="29" t="s">
        <v>72</v>
      </c>
      <c r="G711" s="30">
        <v>5.83</v>
      </c>
      <c r="H711" s="63"/>
      <c r="N711" s="31"/>
    </row>
    <row r="712" spans="1:74" ht="14.4" x14ac:dyDescent="0.3">
      <c r="A712" s="28"/>
      <c r="D712" s="29" t="s">
        <v>825</v>
      </c>
      <c r="E712" s="29" t="s">
        <v>826</v>
      </c>
      <c r="G712" s="30">
        <v>6.27</v>
      </c>
      <c r="H712" s="63"/>
      <c r="N712" s="31"/>
    </row>
    <row r="713" spans="1:74" ht="14.4" x14ac:dyDescent="0.3">
      <c r="A713" s="28"/>
      <c r="D713" s="29" t="s">
        <v>957</v>
      </c>
      <c r="E713" s="29" t="s">
        <v>729</v>
      </c>
      <c r="G713" s="30">
        <v>5.8</v>
      </c>
      <c r="H713" s="63"/>
      <c r="N713" s="31"/>
    </row>
    <row r="714" spans="1:74" ht="14.4" x14ac:dyDescent="0.3">
      <c r="A714" s="2" t="s">
        <v>958</v>
      </c>
      <c r="B714" s="3" t="s">
        <v>510</v>
      </c>
      <c r="C714" s="3" t="s">
        <v>959</v>
      </c>
      <c r="D714" s="112" t="s">
        <v>960</v>
      </c>
      <c r="E714" s="109"/>
      <c r="F714" s="3" t="s">
        <v>60</v>
      </c>
      <c r="G714" s="25">
        <v>7.07</v>
      </c>
      <c r="H714" s="62"/>
      <c r="I714" s="25">
        <f>ROUND(G714*AM714,2)</f>
        <v>0</v>
      </c>
      <c r="J714" s="25">
        <f>ROUND(G714*AN714,2)</f>
        <v>0</v>
      </c>
      <c r="K714" s="25">
        <f>ROUND(G714*H714,2)</f>
        <v>0</v>
      </c>
      <c r="L714" s="25">
        <v>0</v>
      </c>
      <c r="M714" s="25">
        <f>G714*L714</f>
        <v>0</v>
      </c>
      <c r="N714" s="26"/>
      <c r="X714" s="25">
        <f>ROUND(IF(AO714="5",BH714,0),2)</f>
        <v>0</v>
      </c>
      <c r="Z714" s="25">
        <f>ROUND(IF(AO714="1",BF714,0),2)</f>
        <v>0</v>
      </c>
      <c r="AA714" s="25">
        <f>ROUND(IF(AO714="1",BG714,0),2)</f>
        <v>0</v>
      </c>
      <c r="AB714" s="25">
        <f>ROUND(IF(AO714="7",BF714,0),2)</f>
        <v>0</v>
      </c>
      <c r="AC714" s="25">
        <f>ROUND(IF(AO714="7",BG714,0),2)</f>
        <v>0</v>
      </c>
      <c r="AD714" s="25">
        <f>ROUND(IF(AO714="2",BF714,0),2)</f>
        <v>0</v>
      </c>
      <c r="AE714" s="25">
        <f>ROUND(IF(AO714="2",BG714,0),2)</f>
        <v>0</v>
      </c>
      <c r="AF714" s="25">
        <f>ROUND(IF(AO714="0",BH714,0),2)</f>
        <v>0</v>
      </c>
      <c r="AG714" s="10" t="s">
        <v>510</v>
      </c>
      <c r="AH714" s="25">
        <f>IF(AL714=0,K714,0)</f>
        <v>0</v>
      </c>
      <c r="AI714" s="25">
        <f>IF(AL714=12,K714,0)</f>
        <v>0</v>
      </c>
      <c r="AJ714" s="25">
        <f>IF(AL714=21,K714,0)</f>
        <v>0</v>
      </c>
      <c r="AL714" s="25">
        <v>21</v>
      </c>
      <c r="AM714" s="25">
        <f>H714*0</f>
        <v>0</v>
      </c>
      <c r="AN714" s="25">
        <f>H714*(1-0)</f>
        <v>0</v>
      </c>
      <c r="AO714" s="27" t="s">
        <v>61</v>
      </c>
      <c r="AT714" s="25">
        <f>ROUND(AU714+AV714,2)</f>
        <v>0</v>
      </c>
      <c r="AU714" s="25">
        <f>ROUND(G714*AM714,2)</f>
        <v>0</v>
      </c>
      <c r="AV714" s="25">
        <f>ROUND(G714*AN714,2)</f>
        <v>0</v>
      </c>
      <c r="AW714" s="27" t="s">
        <v>937</v>
      </c>
      <c r="AX714" s="27" t="s">
        <v>938</v>
      </c>
      <c r="AY714" s="10" t="s">
        <v>518</v>
      </c>
      <c r="BA714" s="25">
        <f>AU714+AV714</f>
        <v>0</v>
      </c>
      <c r="BB714" s="25">
        <f>H714/(100-BC714)*100</f>
        <v>0</v>
      </c>
      <c r="BC714" s="25">
        <v>0</v>
      </c>
      <c r="BD714" s="25">
        <f>M714</f>
        <v>0</v>
      </c>
      <c r="BF714" s="25">
        <f>G714*AM714</f>
        <v>0</v>
      </c>
      <c r="BG714" s="25">
        <f>G714*AN714</f>
        <v>0</v>
      </c>
      <c r="BH714" s="25">
        <f>G714*H714</f>
        <v>0</v>
      </c>
      <c r="BI714" s="27" t="s">
        <v>65</v>
      </c>
      <c r="BJ714" s="25">
        <v>771</v>
      </c>
      <c r="BU714" s="25" t="e">
        <f>#REF!</f>
        <v>#REF!</v>
      </c>
      <c r="BV714" s="4" t="s">
        <v>960</v>
      </c>
    </row>
    <row r="715" spans="1:74" ht="14.4" x14ac:dyDescent="0.3">
      <c r="A715" s="28"/>
      <c r="D715" s="29" t="s">
        <v>670</v>
      </c>
      <c r="E715" s="29" t="s">
        <v>180</v>
      </c>
      <c r="G715" s="30">
        <v>3</v>
      </c>
      <c r="H715" s="63"/>
      <c r="N715" s="31"/>
    </row>
    <row r="716" spans="1:74" ht="14.4" x14ac:dyDescent="0.3">
      <c r="A716" s="28"/>
      <c r="D716" s="29" t="s">
        <v>181</v>
      </c>
      <c r="E716" s="29" t="s">
        <v>182</v>
      </c>
      <c r="G716" s="30">
        <v>1.37</v>
      </c>
      <c r="H716" s="63"/>
      <c r="N716" s="31"/>
    </row>
    <row r="717" spans="1:74" ht="14.4" x14ac:dyDescent="0.3">
      <c r="A717" s="28"/>
      <c r="D717" s="29" t="s">
        <v>183</v>
      </c>
      <c r="E717" s="29" t="s">
        <v>72</v>
      </c>
      <c r="G717" s="30">
        <v>2.7</v>
      </c>
      <c r="H717" s="63"/>
      <c r="N717" s="31"/>
    </row>
    <row r="718" spans="1:74" ht="14.4" x14ac:dyDescent="0.3">
      <c r="A718" s="2" t="s">
        <v>961</v>
      </c>
      <c r="B718" s="3" t="s">
        <v>510</v>
      </c>
      <c r="C718" s="3" t="s">
        <v>962</v>
      </c>
      <c r="D718" s="112" t="s">
        <v>963</v>
      </c>
      <c r="E718" s="109"/>
      <c r="F718" s="3" t="s">
        <v>115</v>
      </c>
      <c r="G718" s="25">
        <v>53.69</v>
      </c>
      <c r="H718" s="62"/>
      <c r="I718" s="25">
        <f>ROUND(G718*AM718,2)</f>
        <v>0</v>
      </c>
      <c r="J718" s="25">
        <f>ROUND(G718*AN718,2)</f>
        <v>0</v>
      </c>
      <c r="K718" s="25">
        <f>ROUND(G718*H718,2)</f>
        <v>0</v>
      </c>
      <c r="L718" s="25">
        <v>3.2000000000000003E-4</v>
      </c>
      <c r="M718" s="25">
        <f>G718*L718</f>
        <v>1.71808E-2</v>
      </c>
      <c r="N718" s="26"/>
      <c r="X718" s="25">
        <f>ROUND(IF(AO718="5",BH718,0),2)</f>
        <v>0</v>
      </c>
      <c r="Z718" s="25">
        <f>ROUND(IF(AO718="1",BF718,0),2)</f>
        <v>0</v>
      </c>
      <c r="AA718" s="25">
        <f>ROUND(IF(AO718="1",BG718,0),2)</f>
        <v>0</v>
      </c>
      <c r="AB718" s="25">
        <f>ROUND(IF(AO718="7",BF718,0),2)</f>
        <v>0</v>
      </c>
      <c r="AC718" s="25">
        <f>ROUND(IF(AO718="7",BG718,0),2)</f>
        <v>0</v>
      </c>
      <c r="AD718" s="25">
        <f>ROUND(IF(AO718="2",BF718,0),2)</f>
        <v>0</v>
      </c>
      <c r="AE718" s="25">
        <f>ROUND(IF(AO718="2",BG718,0),2)</f>
        <v>0</v>
      </c>
      <c r="AF718" s="25">
        <f>ROUND(IF(AO718="0",BH718,0),2)</f>
        <v>0</v>
      </c>
      <c r="AG718" s="10" t="s">
        <v>510</v>
      </c>
      <c r="AH718" s="25">
        <f>IF(AL718=0,K718,0)</f>
        <v>0</v>
      </c>
      <c r="AI718" s="25">
        <f>IF(AL718=12,K718,0)</f>
        <v>0</v>
      </c>
      <c r="AJ718" s="25">
        <f>IF(AL718=21,K718,0)</f>
        <v>0</v>
      </c>
      <c r="AL718" s="25">
        <v>21</v>
      </c>
      <c r="AM718" s="25">
        <f>H718*0.088406378</f>
        <v>0</v>
      </c>
      <c r="AN718" s="25">
        <f>H718*(1-0.088406378)</f>
        <v>0</v>
      </c>
      <c r="AO718" s="27" t="s">
        <v>61</v>
      </c>
      <c r="AT718" s="25">
        <f>ROUND(AU718+AV718,2)</f>
        <v>0</v>
      </c>
      <c r="AU718" s="25">
        <f>ROUND(G718*AM718,2)</f>
        <v>0</v>
      </c>
      <c r="AV718" s="25">
        <f>ROUND(G718*AN718,2)</f>
        <v>0</v>
      </c>
      <c r="AW718" s="27" t="s">
        <v>937</v>
      </c>
      <c r="AX718" s="27" t="s">
        <v>938</v>
      </c>
      <c r="AY718" s="10" t="s">
        <v>518</v>
      </c>
      <c r="BA718" s="25">
        <f>AU718+AV718</f>
        <v>0</v>
      </c>
      <c r="BB718" s="25">
        <f>H718/(100-BC718)*100</f>
        <v>0</v>
      </c>
      <c r="BC718" s="25">
        <v>0</v>
      </c>
      <c r="BD718" s="25">
        <f>M718</f>
        <v>1.71808E-2</v>
      </c>
      <c r="BF718" s="25">
        <f>G718*AM718</f>
        <v>0</v>
      </c>
      <c r="BG718" s="25">
        <f>G718*AN718</f>
        <v>0</v>
      </c>
      <c r="BH718" s="25">
        <f>G718*H718</f>
        <v>0</v>
      </c>
      <c r="BI718" s="27" t="s">
        <v>65</v>
      </c>
      <c r="BJ718" s="25">
        <v>771</v>
      </c>
      <c r="BU718" s="25" t="e">
        <f>#REF!</f>
        <v>#REF!</v>
      </c>
      <c r="BV718" s="4" t="s">
        <v>963</v>
      </c>
    </row>
    <row r="719" spans="1:74" ht="14.4" x14ac:dyDescent="0.3">
      <c r="A719" s="28"/>
      <c r="D719" s="29" t="s">
        <v>964</v>
      </c>
      <c r="E719" s="29" t="s">
        <v>965</v>
      </c>
      <c r="G719" s="30">
        <v>15.12</v>
      </c>
      <c r="H719" s="63"/>
      <c r="N719" s="31"/>
    </row>
    <row r="720" spans="1:74" ht="14.4" x14ac:dyDescent="0.3">
      <c r="A720" s="28"/>
      <c r="D720" s="29" t="s">
        <v>845</v>
      </c>
      <c r="E720" s="29" t="s">
        <v>966</v>
      </c>
      <c r="G720" s="30">
        <v>16.420000000000002</v>
      </c>
      <c r="H720" s="63"/>
      <c r="N720" s="31"/>
    </row>
    <row r="721" spans="1:74" ht="14.4" x14ac:dyDescent="0.3">
      <c r="A721" s="28"/>
      <c r="D721" s="29" t="s">
        <v>967</v>
      </c>
      <c r="E721" s="29" t="s">
        <v>826</v>
      </c>
      <c r="G721" s="30">
        <v>8.5</v>
      </c>
      <c r="H721" s="63"/>
      <c r="N721" s="31"/>
    </row>
    <row r="722" spans="1:74" ht="14.4" x14ac:dyDescent="0.3">
      <c r="A722" s="28"/>
      <c r="D722" s="29" t="s">
        <v>968</v>
      </c>
      <c r="E722" s="29" t="s">
        <v>969</v>
      </c>
      <c r="G722" s="30">
        <v>7.85</v>
      </c>
      <c r="H722" s="63"/>
      <c r="N722" s="31"/>
    </row>
    <row r="723" spans="1:74" ht="14.4" x14ac:dyDescent="0.3">
      <c r="A723" s="28"/>
      <c r="D723" s="29" t="s">
        <v>957</v>
      </c>
      <c r="E723" s="29" t="s">
        <v>970</v>
      </c>
      <c r="G723" s="30">
        <v>5.8</v>
      </c>
      <c r="H723" s="63"/>
      <c r="N723" s="31"/>
    </row>
    <row r="724" spans="1:74" ht="14.4" x14ac:dyDescent="0.3">
      <c r="A724" s="2" t="s">
        <v>971</v>
      </c>
      <c r="B724" s="3" t="s">
        <v>510</v>
      </c>
      <c r="C724" s="3" t="s">
        <v>972</v>
      </c>
      <c r="D724" s="112" t="s">
        <v>973</v>
      </c>
      <c r="E724" s="109"/>
      <c r="F724" s="3" t="s">
        <v>115</v>
      </c>
      <c r="G724" s="25">
        <v>54.16</v>
      </c>
      <c r="H724" s="62"/>
      <c r="I724" s="25">
        <f>ROUND(G724*AM724,2)</f>
        <v>0</v>
      </c>
      <c r="J724" s="25">
        <f>ROUND(G724*AN724,2)</f>
        <v>0</v>
      </c>
      <c r="K724" s="25">
        <f>ROUND(G724*H724,2)</f>
        <v>0</v>
      </c>
      <c r="L724" s="25">
        <v>0</v>
      </c>
      <c r="M724" s="25">
        <f>G724*L724</f>
        <v>0</v>
      </c>
      <c r="N724" s="26"/>
      <c r="X724" s="25">
        <f>ROUND(IF(AO724="5",BH724,0),2)</f>
        <v>0</v>
      </c>
      <c r="Z724" s="25">
        <f>ROUND(IF(AO724="1",BF724,0),2)</f>
        <v>0</v>
      </c>
      <c r="AA724" s="25">
        <f>ROUND(IF(AO724="1",BG724,0),2)</f>
        <v>0</v>
      </c>
      <c r="AB724" s="25">
        <f>ROUND(IF(AO724="7",BF724,0),2)</f>
        <v>0</v>
      </c>
      <c r="AC724" s="25">
        <f>ROUND(IF(AO724="7",BG724,0),2)</f>
        <v>0</v>
      </c>
      <c r="AD724" s="25">
        <f>ROUND(IF(AO724="2",BF724,0),2)</f>
        <v>0</v>
      </c>
      <c r="AE724" s="25">
        <f>ROUND(IF(AO724="2",BG724,0),2)</f>
        <v>0</v>
      </c>
      <c r="AF724" s="25">
        <f>ROUND(IF(AO724="0",BH724,0),2)</f>
        <v>0</v>
      </c>
      <c r="AG724" s="10" t="s">
        <v>510</v>
      </c>
      <c r="AH724" s="25">
        <f>IF(AL724=0,K724,0)</f>
        <v>0</v>
      </c>
      <c r="AI724" s="25">
        <f>IF(AL724=12,K724,0)</f>
        <v>0</v>
      </c>
      <c r="AJ724" s="25">
        <f>IF(AL724=21,K724,0)</f>
        <v>0</v>
      </c>
      <c r="AL724" s="25">
        <v>21</v>
      </c>
      <c r="AM724" s="25">
        <f>H724*0.044222829</f>
        <v>0</v>
      </c>
      <c r="AN724" s="25">
        <f>H724*(1-0.044222829)</f>
        <v>0</v>
      </c>
      <c r="AO724" s="27" t="s">
        <v>61</v>
      </c>
      <c r="AT724" s="25">
        <f>ROUND(AU724+AV724,2)</f>
        <v>0</v>
      </c>
      <c r="AU724" s="25">
        <f>ROUND(G724*AM724,2)</f>
        <v>0</v>
      </c>
      <c r="AV724" s="25">
        <f>ROUND(G724*AN724,2)</f>
        <v>0</v>
      </c>
      <c r="AW724" s="27" t="s">
        <v>937</v>
      </c>
      <c r="AX724" s="27" t="s">
        <v>938</v>
      </c>
      <c r="AY724" s="10" t="s">
        <v>518</v>
      </c>
      <c r="BA724" s="25">
        <f>AU724+AV724</f>
        <v>0</v>
      </c>
      <c r="BB724" s="25">
        <f>H724/(100-BC724)*100</f>
        <v>0</v>
      </c>
      <c r="BC724" s="25">
        <v>0</v>
      </c>
      <c r="BD724" s="25">
        <f>M724</f>
        <v>0</v>
      </c>
      <c r="BF724" s="25">
        <f>G724*AM724</f>
        <v>0</v>
      </c>
      <c r="BG724" s="25">
        <f>G724*AN724</f>
        <v>0</v>
      </c>
      <c r="BH724" s="25">
        <f>G724*H724</f>
        <v>0</v>
      </c>
      <c r="BI724" s="27" t="s">
        <v>65</v>
      </c>
      <c r="BJ724" s="25">
        <v>771</v>
      </c>
      <c r="BU724" s="25" t="e">
        <f>#REF!</f>
        <v>#REF!</v>
      </c>
      <c r="BV724" s="4" t="s">
        <v>973</v>
      </c>
    </row>
    <row r="725" spans="1:74" ht="14.4" x14ac:dyDescent="0.3">
      <c r="A725" s="28"/>
      <c r="D725" s="29" t="s">
        <v>964</v>
      </c>
      <c r="E725" s="29" t="s">
        <v>965</v>
      </c>
      <c r="G725" s="30">
        <v>15.12</v>
      </c>
      <c r="H725" s="63"/>
      <c r="N725" s="31"/>
    </row>
    <row r="726" spans="1:74" ht="14.4" x14ac:dyDescent="0.3">
      <c r="A726" s="28"/>
      <c r="D726" s="29" t="s">
        <v>845</v>
      </c>
      <c r="E726" s="29" t="s">
        <v>966</v>
      </c>
      <c r="G726" s="30">
        <v>16.420000000000002</v>
      </c>
      <c r="H726" s="63"/>
      <c r="N726" s="31"/>
    </row>
    <row r="727" spans="1:74" ht="14.4" x14ac:dyDescent="0.3">
      <c r="A727" s="28"/>
      <c r="D727" s="29" t="s">
        <v>967</v>
      </c>
      <c r="E727" s="29" t="s">
        <v>826</v>
      </c>
      <c r="G727" s="30">
        <v>8.5</v>
      </c>
      <c r="H727" s="63"/>
      <c r="N727" s="31"/>
    </row>
    <row r="728" spans="1:74" ht="14.4" x14ac:dyDescent="0.3">
      <c r="A728" s="28"/>
      <c r="D728" s="29" t="s">
        <v>968</v>
      </c>
      <c r="E728" s="29" t="s">
        <v>969</v>
      </c>
      <c r="G728" s="30">
        <v>7.85</v>
      </c>
      <c r="H728" s="63"/>
      <c r="N728" s="31"/>
    </row>
    <row r="729" spans="1:74" ht="14.4" x14ac:dyDescent="0.3">
      <c r="A729" s="28"/>
      <c r="D729" s="29" t="s">
        <v>825</v>
      </c>
      <c r="E729" s="29" t="s">
        <v>974</v>
      </c>
      <c r="G729" s="30">
        <v>6.27</v>
      </c>
      <c r="H729" s="63"/>
      <c r="N729" s="31"/>
    </row>
    <row r="730" spans="1:74" ht="14.4" x14ac:dyDescent="0.3">
      <c r="A730" s="2" t="s">
        <v>975</v>
      </c>
      <c r="B730" s="3" t="s">
        <v>510</v>
      </c>
      <c r="C730" s="3" t="s">
        <v>976</v>
      </c>
      <c r="D730" s="112" t="s">
        <v>977</v>
      </c>
      <c r="E730" s="109"/>
      <c r="F730" s="3" t="s">
        <v>115</v>
      </c>
      <c r="G730" s="25">
        <v>3.35</v>
      </c>
      <c r="H730" s="62"/>
      <c r="I730" s="25">
        <f>ROUND(G730*AM730,2)</f>
        <v>0</v>
      </c>
      <c r="J730" s="25">
        <f>ROUND(G730*AN730,2)</f>
        <v>0</v>
      </c>
      <c r="K730" s="25">
        <f>ROUND(G730*H730,2)</f>
        <v>0</v>
      </c>
      <c r="L730" s="25">
        <v>9.1000000000000004E-3</v>
      </c>
      <c r="M730" s="25">
        <f>G730*L730</f>
        <v>3.0485000000000002E-2</v>
      </c>
      <c r="N730" s="26"/>
      <c r="X730" s="25">
        <f>ROUND(IF(AO730="5",BH730,0),2)</f>
        <v>0</v>
      </c>
      <c r="Z730" s="25">
        <f>ROUND(IF(AO730="1",BF730,0),2)</f>
        <v>0</v>
      </c>
      <c r="AA730" s="25">
        <f>ROUND(IF(AO730="1",BG730,0),2)</f>
        <v>0</v>
      </c>
      <c r="AB730" s="25">
        <f>ROUND(IF(AO730="7",BF730,0),2)</f>
        <v>0</v>
      </c>
      <c r="AC730" s="25">
        <f>ROUND(IF(AO730="7",BG730,0),2)</f>
        <v>0</v>
      </c>
      <c r="AD730" s="25">
        <f>ROUND(IF(AO730="2",BF730,0),2)</f>
        <v>0</v>
      </c>
      <c r="AE730" s="25">
        <f>ROUND(IF(AO730="2",BG730,0),2)</f>
        <v>0</v>
      </c>
      <c r="AF730" s="25">
        <f>ROUND(IF(AO730="0",BH730,0),2)</f>
        <v>0</v>
      </c>
      <c r="AG730" s="10" t="s">
        <v>510</v>
      </c>
      <c r="AH730" s="25">
        <f>IF(AL730=0,K730,0)</f>
        <v>0</v>
      </c>
      <c r="AI730" s="25">
        <f>IF(AL730=12,K730,0)</f>
        <v>0</v>
      </c>
      <c r="AJ730" s="25">
        <f>IF(AL730=21,K730,0)</f>
        <v>0</v>
      </c>
      <c r="AL730" s="25">
        <v>21</v>
      </c>
      <c r="AM730" s="25">
        <f>H730*0.074026692</f>
        <v>0</v>
      </c>
      <c r="AN730" s="25">
        <f>H730*(1-0.074026692)</f>
        <v>0</v>
      </c>
      <c r="AO730" s="27" t="s">
        <v>61</v>
      </c>
      <c r="AT730" s="25">
        <f>ROUND(AU730+AV730,2)</f>
        <v>0</v>
      </c>
      <c r="AU730" s="25">
        <f>ROUND(G730*AM730,2)</f>
        <v>0</v>
      </c>
      <c r="AV730" s="25">
        <f>ROUND(G730*AN730,2)</f>
        <v>0</v>
      </c>
      <c r="AW730" s="27" t="s">
        <v>937</v>
      </c>
      <c r="AX730" s="27" t="s">
        <v>938</v>
      </c>
      <c r="AY730" s="10" t="s">
        <v>518</v>
      </c>
      <c r="BA730" s="25">
        <f>AU730+AV730</f>
        <v>0</v>
      </c>
      <c r="BB730" s="25">
        <f>H730/(100-BC730)*100</f>
        <v>0</v>
      </c>
      <c r="BC730" s="25">
        <v>0</v>
      </c>
      <c r="BD730" s="25">
        <f>M730</f>
        <v>3.0485000000000002E-2</v>
      </c>
      <c r="BF730" s="25">
        <f>G730*AM730</f>
        <v>0</v>
      </c>
      <c r="BG730" s="25">
        <f>G730*AN730</f>
        <v>0</v>
      </c>
      <c r="BH730" s="25">
        <f>G730*H730</f>
        <v>0</v>
      </c>
      <c r="BI730" s="27" t="s">
        <v>65</v>
      </c>
      <c r="BJ730" s="25">
        <v>771</v>
      </c>
      <c r="BU730" s="25" t="e">
        <f>#REF!</f>
        <v>#REF!</v>
      </c>
      <c r="BV730" s="4" t="s">
        <v>977</v>
      </c>
    </row>
    <row r="731" spans="1:74" ht="14.4" x14ac:dyDescent="0.3">
      <c r="A731" s="28"/>
      <c r="D731" s="29" t="s">
        <v>978</v>
      </c>
      <c r="E731" s="29" t="s">
        <v>979</v>
      </c>
      <c r="G731" s="30">
        <v>3.35</v>
      </c>
      <c r="H731" s="63"/>
      <c r="N731" s="31"/>
    </row>
    <row r="732" spans="1:74" ht="14.4" x14ac:dyDescent="0.3">
      <c r="A732" s="2" t="s">
        <v>980</v>
      </c>
      <c r="B732" s="3" t="s">
        <v>510</v>
      </c>
      <c r="C732" s="3" t="s">
        <v>981</v>
      </c>
      <c r="D732" s="112" t="s">
        <v>982</v>
      </c>
      <c r="E732" s="109"/>
      <c r="F732" s="3" t="s">
        <v>278</v>
      </c>
      <c r="G732" s="25">
        <v>2.19814</v>
      </c>
      <c r="H732" s="62"/>
      <c r="I732" s="25">
        <f>ROUND(G732*AM732,2)</f>
        <v>0</v>
      </c>
      <c r="J732" s="25">
        <f>ROUND(G732*AN732,2)</f>
        <v>0</v>
      </c>
      <c r="K732" s="25">
        <f>ROUND(G732*H732,2)</f>
        <v>0</v>
      </c>
      <c r="L732" s="25">
        <v>0</v>
      </c>
      <c r="M732" s="25">
        <f>G732*L732</f>
        <v>0</v>
      </c>
      <c r="N732" s="26"/>
      <c r="X732" s="25">
        <f>ROUND(IF(AO732="5",BH732,0),2)</f>
        <v>0</v>
      </c>
      <c r="Z732" s="25">
        <f>ROUND(IF(AO732="1",BF732,0),2)</f>
        <v>0</v>
      </c>
      <c r="AA732" s="25">
        <f>ROUND(IF(AO732="1",BG732,0),2)</f>
        <v>0</v>
      </c>
      <c r="AB732" s="25">
        <f>ROUND(IF(AO732="7",BF732,0),2)</f>
        <v>0</v>
      </c>
      <c r="AC732" s="25">
        <f>ROUND(IF(AO732="7",BG732,0),2)</f>
        <v>0</v>
      </c>
      <c r="AD732" s="25">
        <f>ROUND(IF(AO732="2",BF732,0),2)</f>
        <v>0</v>
      </c>
      <c r="AE732" s="25">
        <f>ROUND(IF(AO732="2",BG732,0),2)</f>
        <v>0</v>
      </c>
      <c r="AF732" s="25">
        <f>ROUND(IF(AO732="0",BH732,0),2)</f>
        <v>0</v>
      </c>
      <c r="AG732" s="10" t="s">
        <v>510</v>
      </c>
      <c r="AH732" s="25">
        <f>IF(AL732=0,K732,0)</f>
        <v>0</v>
      </c>
      <c r="AI732" s="25">
        <f>IF(AL732=12,K732,0)</f>
        <v>0</v>
      </c>
      <c r="AJ732" s="25">
        <f>IF(AL732=21,K732,0)</f>
        <v>0</v>
      </c>
      <c r="AL732" s="25">
        <v>21</v>
      </c>
      <c r="AM732" s="25">
        <f>H732*0</f>
        <v>0</v>
      </c>
      <c r="AN732" s="25">
        <f>H732*(1-0)</f>
        <v>0</v>
      </c>
      <c r="AO732" s="27" t="s">
        <v>97</v>
      </c>
      <c r="AT732" s="25">
        <f>ROUND(AU732+AV732,2)</f>
        <v>0</v>
      </c>
      <c r="AU732" s="25">
        <f>ROUND(G732*AM732,2)</f>
        <v>0</v>
      </c>
      <c r="AV732" s="25">
        <f>ROUND(G732*AN732,2)</f>
        <v>0</v>
      </c>
      <c r="AW732" s="27" t="s">
        <v>937</v>
      </c>
      <c r="AX732" s="27" t="s">
        <v>938</v>
      </c>
      <c r="AY732" s="10" t="s">
        <v>518</v>
      </c>
      <c r="BA732" s="25">
        <f>AU732+AV732</f>
        <v>0</v>
      </c>
      <c r="BB732" s="25">
        <f>H732/(100-BC732)*100</f>
        <v>0</v>
      </c>
      <c r="BC732" s="25">
        <v>0</v>
      </c>
      <c r="BD732" s="25">
        <f>M732</f>
        <v>0</v>
      </c>
      <c r="BF732" s="25">
        <f>G732*AM732</f>
        <v>0</v>
      </c>
      <c r="BG732" s="25">
        <f>G732*AN732</f>
        <v>0</v>
      </c>
      <c r="BH732" s="25">
        <f>G732*H732</f>
        <v>0</v>
      </c>
      <c r="BI732" s="27" t="s">
        <v>65</v>
      </c>
      <c r="BJ732" s="25">
        <v>771</v>
      </c>
      <c r="BU732" s="25" t="e">
        <f>#REF!</f>
        <v>#REF!</v>
      </c>
      <c r="BV732" s="4" t="s">
        <v>982</v>
      </c>
    </row>
    <row r="733" spans="1:74" ht="14.4" x14ac:dyDescent="0.3">
      <c r="A733" s="21" t="s">
        <v>52</v>
      </c>
      <c r="B733" s="22" t="s">
        <v>510</v>
      </c>
      <c r="C733" s="22" t="s">
        <v>104</v>
      </c>
      <c r="D733" s="170" t="s">
        <v>105</v>
      </c>
      <c r="E733" s="171"/>
      <c r="F733" s="23" t="s">
        <v>32</v>
      </c>
      <c r="G733" s="23" t="s">
        <v>32</v>
      </c>
      <c r="H733" s="64"/>
      <c r="I733" s="1">
        <f>SUM(I734:I741)</f>
        <v>0</v>
      </c>
      <c r="J733" s="1">
        <f>SUM(J734:J741)</f>
        <v>0</v>
      </c>
      <c r="K733" s="1">
        <f>SUM(K734:K741)</f>
        <v>0</v>
      </c>
      <c r="L733" s="10" t="s">
        <v>52</v>
      </c>
      <c r="M733" s="1">
        <f>SUM(M734:M741)</f>
        <v>3.49772E-2</v>
      </c>
      <c r="N733" s="24"/>
      <c r="AG733" s="10" t="s">
        <v>510</v>
      </c>
      <c r="AQ733" s="1">
        <f>SUM(AH734:AH741)</f>
        <v>0</v>
      </c>
      <c r="AR733" s="1">
        <f>SUM(AI734:AI741)</f>
        <v>0</v>
      </c>
      <c r="AS733" s="1">
        <f>SUM(AJ734:AJ741)</f>
        <v>0</v>
      </c>
    </row>
    <row r="734" spans="1:74" ht="14.4" x14ac:dyDescent="0.3">
      <c r="A734" s="2" t="s">
        <v>983</v>
      </c>
      <c r="B734" s="3" t="s">
        <v>510</v>
      </c>
      <c r="C734" s="3" t="s">
        <v>984</v>
      </c>
      <c r="D734" s="112" t="s">
        <v>985</v>
      </c>
      <c r="E734" s="109"/>
      <c r="F734" s="3" t="s">
        <v>60</v>
      </c>
      <c r="G734" s="25">
        <v>8.9700000000000006</v>
      </c>
      <c r="H734" s="62"/>
      <c r="I734" s="25">
        <f>ROUND(G734*AM734,2)</f>
        <v>0</v>
      </c>
      <c r="J734" s="25">
        <f>ROUND(G734*AN734,2)</f>
        <v>0</v>
      </c>
      <c r="K734" s="25">
        <f>ROUND(G734*H734,2)</f>
        <v>0</v>
      </c>
      <c r="L734" s="25">
        <v>2.4000000000000001E-4</v>
      </c>
      <c r="M734" s="25">
        <f>G734*L734</f>
        <v>2.1528000000000003E-3</v>
      </c>
      <c r="N734" s="26"/>
      <c r="X734" s="25">
        <f>ROUND(IF(AO734="5",BH734,0),2)</f>
        <v>0</v>
      </c>
      <c r="Z734" s="25">
        <f>ROUND(IF(AO734="1",BF734,0),2)</f>
        <v>0</v>
      </c>
      <c r="AA734" s="25">
        <f>ROUND(IF(AO734="1",BG734,0),2)</f>
        <v>0</v>
      </c>
      <c r="AB734" s="25">
        <f>ROUND(IF(AO734="7",BF734,0),2)</f>
        <v>0</v>
      </c>
      <c r="AC734" s="25">
        <f>ROUND(IF(AO734="7",BG734,0),2)</f>
        <v>0</v>
      </c>
      <c r="AD734" s="25">
        <f>ROUND(IF(AO734="2",BF734,0),2)</f>
        <v>0</v>
      </c>
      <c r="AE734" s="25">
        <f>ROUND(IF(AO734="2",BG734,0),2)</f>
        <v>0</v>
      </c>
      <c r="AF734" s="25">
        <f>ROUND(IF(AO734="0",BH734,0),2)</f>
        <v>0</v>
      </c>
      <c r="AG734" s="10" t="s">
        <v>510</v>
      </c>
      <c r="AH734" s="25">
        <f>IF(AL734=0,K734,0)</f>
        <v>0</v>
      </c>
      <c r="AI734" s="25">
        <f>IF(AL734=12,K734,0)</f>
        <v>0</v>
      </c>
      <c r="AJ734" s="25">
        <f>IF(AL734=21,K734,0)</f>
        <v>0</v>
      </c>
      <c r="AL734" s="25">
        <v>21</v>
      </c>
      <c r="AM734" s="25">
        <f>H734*0.159143266</f>
        <v>0</v>
      </c>
      <c r="AN734" s="25">
        <f>H734*(1-0.159143266)</f>
        <v>0</v>
      </c>
      <c r="AO734" s="27" t="s">
        <v>61</v>
      </c>
      <c r="AT734" s="25">
        <f>ROUND(AU734+AV734,2)</f>
        <v>0</v>
      </c>
      <c r="AU734" s="25">
        <f>ROUND(G734*AM734,2)</f>
        <v>0</v>
      </c>
      <c r="AV734" s="25">
        <f>ROUND(G734*AN734,2)</f>
        <v>0</v>
      </c>
      <c r="AW734" s="27" t="s">
        <v>109</v>
      </c>
      <c r="AX734" s="27" t="s">
        <v>938</v>
      </c>
      <c r="AY734" s="10" t="s">
        <v>518</v>
      </c>
      <c r="BA734" s="25">
        <f>AU734+AV734</f>
        <v>0</v>
      </c>
      <c r="BB734" s="25">
        <f>H734/(100-BC734)*100</f>
        <v>0</v>
      </c>
      <c r="BC734" s="25">
        <v>0</v>
      </c>
      <c r="BD734" s="25">
        <f>M734</f>
        <v>2.1528000000000003E-3</v>
      </c>
      <c r="BF734" s="25">
        <f>G734*AM734</f>
        <v>0</v>
      </c>
      <c r="BG734" s="25">
        <f>G734*AN734</f>
        <v>0</v>
      </c>
      <c r="BH734" s="25">
        <f>G734*H734</f>
        <v>0</v>
      </c>
      <c r="BI734" s="27" t="s">
        <v>65</v>
      </c>
      <c r="BJ734" s="25">
        <v>776</v>
      </c>
      <c r="BU734" s="25" t="e">
        <f>#REF!</f>
        <v>#REF!</v>
      </c>
      <c r="BV734" s="4" t="s">
        <v>985</v>
      </c>
    </row>
    <row r="735" spans="1:74" ht="14.4" x14ac:dyDescent="0.3">
      <c r="A735" s="28"/>
      <c r="D735" s="29" t="s">
        <v>111</v>
      </c>
      <c r="E735" s="29" t="s">
        <v>112</v>
      </c>
      <c r="G735" s="30">
        <v>8.9700000000000006</v>
      </c>
      <c r="H735" s="63"/>
      <c r="N735" s="31"/>
    </row>
    <row r="736" spans="1:74" ht="14.4" x14ac:dyDescent="0.3">
      <c r="A736" s="2" t="s">
        <v>986</v>
      </c>
      <c r="B736" s="3" t="s">
        <v>510</v>
      </c>
      <c r="C736" s="3" t="s">
        <v>987</v>
      </c>
      <c r="D736" s="112" t="s">
        <v>988</v>
      </c>
      <c r="E736" s="109"/>
      <c r="F736" s="3" t="s">
        <v>115</v>
      </c>
      <c r="G736" s="25">
        <v>11.06</v>
      </c>
      <c r="H736" s="62"/>
      <c r="I736" s="25">
        <f>ROUND(G736*AM736,2)</f>
        <v>0</v>
      </c>
      <c r="J736" s="25">
        <f>ROUND(G736*AN736,2)</f>
        <v>0</v>
      </c>
      <c r="K736" s="25">
        <f>ROUND(G736*H736,2)</f>
        <v>0</v>
      </c>
      <c r="L736" s="25">
        <v>3.4000000000000002E-4</v>
      </c>
      <c r="M736" s="25">
        <f>G736*L736</f>
        <v>3.7604000000000005E-3</v>
      </c>
      <c r="N736" s="26"/>
      <c r="X736" s="25">
        <f>ROUND(IF(AO736="5",BH736,0),2)</f>
        <v>0</v>
      </c>
      <c r="Z736" s="25">
        <f>ROUND(IF(AO736="1",BF736,0),2)</f>
        <v>0</v>
      </c>
      <c r="AA736" s="25">
        <f>ROUND(IF(AO736="1",BG736,0),2)</f>
        <v>0</v>
      </c>
      <c r="AB736" s="25">
        <f>ROUND(IF(AO736="7",BF736,0),2)</f>
        <v>0</v>
      </c>
      <c r="AC736" s="25">
        <f>ROUND(IF(AO736="7",BG736,0),2)</f>
        <v>0</v>
      </c>
      <c r="AD736" s="25">
        <f>ROUND(IF(AO736="2",BF736,0),2)</f>
        <v>0</v>
      </c>
      <c r="AE736" s="25">
        <f>ROUND(IF(AO736="2",BG736,0),2)</f>
        <v>0</v>
      </c>
      <c r="AF736" s="25">
        <f>ROUND(IF(AO736="0",BH736,0),2)</f>
        <v>0</v>
      </c>
      <c r="AG736" s="10" t="s">
        <v>510</v>
      </c>
      <c r="AH736" s="25">
        <f>IF(AL736=0,K736,0)</f>
        <v>0</v>
      </c>
      <c r="AI736" s="25">
        <f>IF(AL736=12,K736,0)</f>
        <v>0</v>
      </c>
      <c r="AJ736" s="25">
        <f>IF(AL736=21,K736,0)</f>
        <v>0</v>
      </c>
      <c r="AL736" s="25">
        <v>21</v>
      </c>
      <c r="AM736" s="25">
        <f>H736*0.715353511</f>
        <v>0</v>
      </c>
      <c r="AN736" s="25">
        <f>H736*(1-0.715353511)</f>
        <v>0</v>
      </c>
      <c r="AO736" s="27" t="s">
        <v>61</v>
      </c>
      <c r="AT736" s="25">
        <f>ROUND(AU736+AV736,2)</f>
        <v>0</v>
      </c>
      <c r="AU736" s="25">
        <f>ROUND(G736*AM736,2)</f>
        <v>0</v>
      </c>
      <c r="AV736" s="25">
        <f>ROUND(G736*AN736,2)</f>
        <v>0</v>
      </c>
      <c r="AW736" s="27" t="s">
        <v>109</v>
      </c>
      <c r="AX736" s="27" t="s">
        <v>938</v>
      </c>
      <c r="AY736" s="10" t="s">
        <v>518</v>
      </c>
      <c r="BA736" s="25">
        <f>AU736+AV736</f>
        <v>0</v>
      </c>
      <c r="BB736" s="25">
        <f>H736/(100-BC736)*100</f>
        <v>0</v>
      </c>
      <c r="BC736" s="25">
        <v>0</v>
      </c>
      <c r="BD736" s="25">
        <f>M736</f>
        <v>3.7604000000000005E-3</v>
      </c>
      <c r="BF736" s="25">
        <f>G736*AM736</f>
        <v>0</v>
      </c>
      <c r="BG736" s="25">
        <f>G736*AN736</f>
        <v>0</v>
      </c>
      <c r="BH736" s="25">
        <f>G736*H736</f>
        <v>0</v>
      </c>
      <c r="BI736" s="27" t="s">
        <v>65</v>
      </c>
      <c r="BJ736" s="25">
        <v>776</v>
      </c>
      <c r="BU736" s="25" t="e">
        <f>#REF!</f>
        <v>#REF!</v>
      </c>
      <c r="BV736" s="4" t="s">
        <v>988</v>
      </c>
    </row>
    <row r="737" spans="1:74" ht="14.4" x14ac:dyDescent="0.3">
      <c r="A737" s="28"/>
      <c r="D737" s="29" t="s">
        <v>989</v>
      </c>
      <c r="E737" s="29" t="s">
        <v>112</v>
      </c>
      <c r="G737" s="30">
        <v>11.06</v>
      </c>
      <c r="H737" s="63"/>
      <c r="N737" s="31"/>
    </row>
    <row r="738" spans="1:74" ht="14.4" x14ac:dyDescent="0.3">
      <c r="A738" s="2" t="s">
        <v>990</v>
      </c>
      <c r="B738" s="3" t="s">
        <v>510</v>
      </c>
      <c r="C738" s="3" t="s">
        <v>991</v>
      </c>
      <c r="D738" s="112" t="s">
        <v>992</v>
      </c>
      <c r="E738" s="109"/>
      <c r="F738" s="3" t="s">
        <v>60</v>
      </c>
      <c r="G738" s="25">
        <v>9.6880000000000006</v>
      </c>
      <c r="H738" s="62"/>
      <c r="I738" s="25">
        <f>ROUND(G738*AM738,2)</f>
        <v>0</v>
      </c>
      <c r="J738" s="25">
        <f>ROUND(G738*AN738,2)</f>
        <v>0</v>
      </c>
      <c r="K738" s="25">
        <f>ROUND(G738*H738,2)</f>
        <v>0</v>
      </c>
      <c r="L738" s="25">
        <v>3.0000000000000001E-3</v>
      </c>
      <c r="M738" s="25">
        <f>G738*L738</f>
        <v>2.9064000000000003E-2</v>
      </c>
      <c r="N738" s="26"/>
      <c r="X738" s="25">
        <f>ROUND(IF(AO738="5",BH738,0),2)</f>
        <v>0</v>
      </c>
      <c r="Z738" s="25">
        <f>ROUND(IF(AO738="1",BF738,0),2)</f>
        <v>0</v>
      </c>
      <c r="AA738" s="25">
        <f>ROUND(IF(AO738="1",BG738,0),2)</f>
        <v>0</v>
      </c>
      <c r="AB738" s="25">
        <f>ROUND(IF(AO738="7",BF738,0),2)</f>
        <v>0</v>
      </c>
      <c r="AC738" s="25">
        <f>ROUND(IF(AO738="7",BG738,0),2)</f>
        <v>0</v>
      </c>
      <c r="AD738" s="25">
        <f>ROUND(IF(AO738="2",BF738,0),2)</f>
        <v>0</v>
      </c>
      <c r="AE738" s="25">
        <f>ROUND(IF(AO738="2",BG738,0),2)</f>
        <v>0</v>
      </c>
      <c r="AF738" s="25">
        <f>ROUND(IF(AO738="0",BH738,0),2)</f>
        <v>0</v>
      </c>
      <c r="AG738" s="10" t="s">
        <v>510</v>
      </c>
      <c r="AH738" s="25">
        <f>IF(AL738=0,K738,0)</f>
        <v>0</v>
      </c>
      <c r="AI738" s="25">
        <f>IF(AL738=12,K738,0)</f>
        <v>0</v>
      </c>
      <c r="AJ738" s="25">
        <f>IF(AL738=21,K738,0)</f>
        <v>0</v>
      </c>
      <c r="AL738" s="25">
        <v>21</v>
      </c>
      <c r="AM738" s="25">
        <f>H738*1</f>
        <v>0</v>
      </c>
      <c r="AN738" s="25">
        <f>H738*(1-1)</f>
        <v>0</v>
      </c>
      <c r="AO738" s="27" t="s">
        <v>61</v>
      </c>
      <c r="AT738" s="25">
        <f>ROUND(AU738+AV738,2)</f>
        <v>0</v>
      </c>
      <c r="AU738" s="25">
        <f>ROUND(G738*AM738,2)</f>
        <v>0</v>
      </c>
      <c r="AV738" s="25">
        <f>ROUND(G738*AN738,2)</f>
        <v>0</v>
      </c>
      <c r="AW738" s="27" t="s">
        <v>109</v>
      </c>
      <c r="AX738" s="27" t="s">
        <v>938</v>
      </c>
      <c r="AY738" s="10" t="s">
        <v>518</v>
      </c>
      <c r="BA738" s="25">
        <f>AU738+AV738</f>
        <v>0</v>
      </c>
      <c r="BB738" s="25">
        <f>H738/(100-BC738)*100</f>
        <v>0</v>
      </c>
      <c r="BC738" s="25">
        <v>0</v>
      </c>
      <c r="BD738" s="25">
        <f>M738</f>
        <v>2.9064000000000003E-2</v>
      </c>
      <c r="BF738" s="25">
        <f>G738*AM738</f>
        <v>0</v>
      </c>
      <c r="BG738" s="25">
        <f>G738*AN738</f>
        <v>0</v>
      </c>
      <c r="BH738" s="25">
        <f>G738*H738</f>
        <v>0</v>
      </c>
      <c r="BI738" s="27" t="s">
        <v>576</v>
      </c>
      <c r="BJ738" s="25">
        <v>776</v>
      </c>
      <c r="BU738" s="25" t="e">
        <f>#REF!</f>
        <v>#REF!</v>
      </c>
      <c r="BV738" s="4" t="s">
        <v>992</v>
      </c>
    </row>
    <row r="739" spans="1:74" ht="14.4" x14ac:dyDescent="0.3">
      <c r="A739" s="28"/>
      <c r="D739" s="29" t="s">
        <v>111</v>
      </c>
      <c r="E739" s="29" t="s">
        <v>112</v>
      </c>
      <c r="G739" s="30">
        <v>8.9700000000000006</v>
      </c>
      <c r="H739" s="63"/>
      <c r="N739" s="31"/>
    </row>
    <row r="740" spans="1:74" ht="14.4" x14ac:dyDescent="0.3">
      <c r="A740" s="28"/>
      <c r="D740" s="29" t="s">
        <v>993</v>
      </c>
      <c r="E740" s="29" t="s">
        <v>52</v>
      </c>
      <c r="G740" s="30">
        <v>0.71799999999999997</v>
      </c>
      <c r="H740" s="63"/>
      <c r="N740" s="31"/>
    </row>
    <row r="741" spans="1:74" ht="14.4" x14ac:dyDescent="0.3">
      <c r="A741" s="2" t="s">
        <v>994</v>
      </c>
      <c r="B741" s="3" t="s">
        <v>510</v>
      </c>
      <c r="C741" s="3" t="s">
        <v>995</v>
      </c>
      <c r="D741" s="112" t="s">
        <v>996</v>
      </c>
      <c r="E741" s="109"/>
      <c r="F741" s="3" t="s">
        <v>278</v>
      </c>
      <c r="G741" s="25">
        <v>3.4979999999999997E-2</v>
      </c>
      <c r="H741" s="62"/>
      <c r="I741" s="25">
        <f>ROUND(G741*AM741,2)</f>
        <v>0</v>
      </c>
      <c r="J741" s="25">
        <f>ROUND(G741*AN741,2)</f>
        <v>0</v>
      </c>
      <c r="K741" s="25">
        <f>ROUND(G741*H741,2)</f>
        <v>0</v>
      </c>
      <c r="L741" s="25">
        <v>0</v>
      </c>
      <c r="M741" s="25">
        <f>G741*L741</f>
        <v>0</v>
      </c>
      <c r="N741" s="26"/>
      <c r="X741" s="25">
        <f>ROUND(IF(AO741="5",BH741,0),2)</f>
        <v>0</v>
      </c>
      <c r="Z741" s="25">
        <f>ROUND(IF(AO741="1",BF741,0),2)</f>
        <v>0</v>
      </c>
      <c r="AA741" s="25">
        <f>ROUND(IF(AO741="1",BG741,0),2)</f>
        <v>0</v>
      </c>
      <c r="AB741" s="25">
        <f>ROUND(IF(AO741="7",BF741,0),2)</f>
        <v>0</v>
      </c>
      <c r="AC741" s="25">
        <f>ROUND(IF(AO741="7",BG741,0),2)</f>
        <v>0</v>
      </c>
      <c r="AD741" s="25">
        <f>ROUND(IF(AO741="2",BF741,0),2)</f>
        <v>0</v>
      </c>
      <c r="AE741" s="25">
        <f>ROUND(IF(AO741="2",BG741,0),2)</f>
        <v>0</v>
      </c>
      <c r="AF741" s="25">
        <f>ROUND(IF(AO741="0",BH741,0),2)</f>
        <v>0</v>
      </c>
      <c r="AG741" s="10" t="s">
        <v>510</v>
      </c>
      <c r="AH741" s="25">
        <f>IF(AL741=0,K741,0)</f>
        <v>0</v>
      </c>
      <c r="AI741" s="25">
        <f>IF(AL741=12,K741,0)</f>
        <v>0</v>
      </c>
      <c r="AJ741" s="25">
        <f>IF(AL741=21,K741,0)</f>
        <v>0</v>
      </c>
      <c r="AL741" s="25">
        <v>21</v>
      </c>
      <c r="AM741" s="25">
        <f>H741*0</f>
        <v>0</v>
      </c>
      <c r="AN741" s="25">
        <f>H741*(1-0)</f>
        <v>0</v>
      </c>
      <c r="AO741" s="27" t="s">
        <v>97</v>
      </c>
      <c r="AT741" s="25">
        <f>ROUND(AU741+AV741,2)</f>
        <v>0</v>
      </c>
      <c r="AU741" s="25">
        <f>ROUND(G741*AM741,2)</f>
        <v>0</v>
      </c>
      <c r="AV741" s="25">
        <f>ROUND(G741*AN741,2)</f>
        <v>0</v>
      </c>
      <c r="AW741" s="27" t="s">
        <v>109</v>
      </c>
      <c r="AX741" s="27" t="s">
        <v>938</v>
      </c>
      <c r="AY741" s="10" t="s">
        <v>518</v>
      </c>
      <c r="BA741" s="25">
        <f>AU741+AV741</f>
        <v>0</v>
      </c>
      <c r="BB741" s="25">
        <f>H741/(100-BC741)*100</f>
        <v>0</v>
      </c>
      <c r="BC741" s="25">
        <v>0</v>
      </c>
      <c r="BD741" s="25">
        <f>M741</f>
        <v>0</v>
      </c>
      <c r="BF741" s="25">
        <f>G741*AM741</f>
        <v>0</v>
      </c>
      <c r="BG741" s="25">
        <f>G741*AN741</f>
        <v>0</v>
      </c>
      <c r="BH741" s="25">
        <f>G741*H741</f>
        <v>0</v>
      </c>
      <c r="BI741" s="27" t="s">
        <v>65</v>
      </c>
      <c r="BJ741" s="25">
        <v>776</v>
      </c>
      <c r="BU741" s="25" t="e">
        <f>#REF!</f>
        <v>#REF!</v>
      </c>
      <c r="BV741" s="4" t="s">
        <v>996</v>
      </c>
    </row>
    <row r="742" spans="1:74" ht="14.4" x14ac:dyDescent="0.3">
      <c r="A742" s="21" t="s">
        <v>52</v>
      </c>
      <c r="B742" s="22" t="s">
        <v>510</v>
      </c>
      <c r="C742" s="22" t="s">
        <v>997</v>
      </c>
      <c r="D742" s="170" t="s">
        <v>998</v>
      </c>
      <c r="E742" s="171"/>
      <c r="F742" s="23" t="s">
        <v>32</v>
      </c>
      <c r="G742" s="23" t="s">
        <v>32</v>
      </c>
      <c r="H742" s="64"/>
      <c r="I742" s="1">
        <f>SUM(I743:I747)</f>
        <v>0</v>
      </c>
      <c r="J742" s="1">
        <f>SUM(J743:J747)</f>
        <v>0</v>
      </c>
      <c r="K742" s="1">
        <f>SUM(K743:K747)</f>
        <v>0</v>
      </c>
      <c r="L742" s="10" t="s">
        <v>52</v>
      </c>
      <c r="M742" s="1">
        <f>SUM(M743:M747)</f>
        <v>8.7547200000000006E-2</v>
      </c>
      <c r="N742" s="24"/>
      <c r="AG742" s="10" t="s">
        <v>510</v>
      </c>
      <c r="AQ742" s="1">
        <f>SUM(AH743:AH747)</f>
        <v>0</v>
      </c>
      <c r="AR742" s="1">
        <f>SUM(AI743:AI747)</f>
        <v>0</v>
      </c>
      <c r="AS742" s="1">
        <f>SUM(AJ743:AJ747)</f>
        <v>0</v>
      </c>
    </row>
    <row r="743" spans="1:74" ht="14.4" x14ac:dyDescent="0.3">
      <c r="A743" s="2" t="s">
        <v>999</v>
      </c>
      <c r="B743" s="3" t="s">
        <v>510</v>
      </c>
      <c r="C743" s="3" t="s">
        <v>1000</v>
      </c>
      <c r="D743" s="112" t="s">
        <v>1001</v>
      </c>
      <c r="E743" s="109"/>
      <c r="F743" s="3" t="s">
        <v>60</v>
      </c>
      <c r="G743" s="25">
        <v>8.9700000000000006</v>
      </c>
      <c r="H743" s="62"/>
      <c r="I743" s="25">
        <f>ROUND(G743*AM743,2)</f>
        <v>0</v>
      </c>
      <c r="J743" s="25">
        <f>ROUND(G743*AN743,2)</f>
        <v>0</v>
      </c>
      <c r="K743" s="25">
        <f>ROUND(G743*H743,2)</f>
        <v>0</v>
      </c>
      <c r="L743" s="25">
        <v>5.0000000000000002E-5</v>
      </c>
      <c r="M743" s="25">
        <f>G743*L743</f>
        <v>4.4850000000000006E-4</v>
      </c>
      <c r="N743" s="26"/>
      <c r="X743" s="25">
        <f>ROUND(IF(AO743="5",BH743,0),2)</f>
        <v>0</v>
      </c>
      <c r="Z743" s="25">
        <f>ROUND(IF(AO743="1",BF743,0),2)</f>
        <v>0</v>
      </c>
      <c r="AA743" s="25">
        <f>ROUND(IF(AO743="1",BG743,0),2)</f>
        <v>0</v>
      </c>
      <c r="AB743" s="25">
        <f>ROUND(IF(AO743="7",BF743,0),2)</f>
        <v>0</v>
      </c>
      <c r="AC743" s="25">
        <f>ROUND(IF(AO743="7",BG743,0),2)</f>
        <v>0</v>
      </c>
      <c r="AD743" s="25">
        <f>ROUND(IF(AO743="2",BF743,0),2)</f>
        <v>0</v>
      </c>
      <c r="AE743" s="25">
        <f>ROUND(IF(AO743="2",BG743,0),2)</f>
        <v>0</v>
      </c>
      <c r="AF743" s="25">
        <f>ROUND(IF(AO743="0",BH743,0),2)</f>
        <v>0</v>
      </c>
      <c r="AG743" s="10" t="s">
        <v>510</v>
      </c>
      <c r="AH743" s="25">
        <f>IF(AL743=0,K743,0)</f>
        <v>0</v>
      </c>
      <c r="AI743" s="25">
        <f>IF(AL743=12,K743,0)</f>
        <v>0</v>
      </c>
      <c r="AJ743" s="25">
        <f>IF(AL743=21,K743,0)</f>
        <v>0</v>
      </c>
      <c r="AL743" s="25">
        <v>21</v>
      </c>
      <c r="AM743" s="25">
        <f>H743*0.177067415</f>
        <v>0</v>
      </c>
      <c r="AN743" s="25">
        <f>H743*(1-0.177067415)</f>
        <v>0</v>
      </c>
      <c r="AO743" s="27" t="s">
        <v>61</v>
      </c>
      <c r="AT743" s="25">
        <f>ROUND(AU743+AV743,2)</f>
        <v>0</v>
      </c>
      <c r="AU743" s="25">
        <f>ROUND(G743*AM743,2)</f>
        <v>0</v>
      </c>
      <c r="AV743" s="25">
        <f>ROUND(G743*AN743,2)</f>
        <v>0</v>
      </c>
      <c r="AW743" s="27" t="s">
        <v>1002</v>
      </c>
      <c r="AX743" s="27" t="s">
        <v>938</v>
      </c>
      <c r="AY743" s="10" t="s">
        <v>518</v>
      </c>
      <c r="BA743" s="25">
        <f>AU743+AV743</f>
        <v>0</v>
      </c>
      <c r="BB743" s="25">
        <f>H743/(100-BC743)*100</f>
        <v>0</v>
      </c>
      <c r="BC743" s="25">
        <v>0</v>
      </c>
      <c r="BD743" s="25">
        <f>M743</f>
        <v>4.4850000000000006E-4</v>
      </c>
      <c r="BF743" s="25">
        <f>G743*AM743</f>
        <v>0</v>
      </c>
      <c r="BG743" s="25">
        <f>G743*AN743</f>
        <v>0</v>
      </c>
      <c r="BH743" s="25">
        <f>G743*H743</f>
        <v>0</v>
      </c>
      <c r="BI743" s="27" t="s">
        <v>65</v>
      </c>
      <c r="BJ743" s="25">
        <v>777</v>
      </c>
      <c r="BU743" s="25" t="e">
        <f>#REF!</f>
        <v>#REF!</v>
      </c>
      <c r="BV743" s="4" t="s">
        <v>1001</v>
      </c>
    </row>
    <row r="744" spans="1:74" ht="14.4" x14ac:dyDescent="0.3">
      <c r="A744" s="28"/>
      <c r="D744" s="29" t="s">
        <v>111</v>
      </c>
      <c r="E744" s="29" t="s">
        <v>112</v>
      </c>
      <c r="G744" s="30">
        <v>8.9700000000000006</v>
      </c>
      <c r="H744" s="63"/>
      <c r="N744" s="31"/>
    </row>
    <row r="745" spans="1:74" ht="14.4" x14ac:dyDescent="0.3">
      <c r="A745" s="2" t="s">
        <v>1003</v>
      </c>
      <c r="B745" s="3" t="s">
        <v>510</v>
      </c>
      <c r="C745" s="3" t="s">
        <v>1004</v>
      </c>
      <c r="D745" s="112" t="s">
        <v>1005</v>
      </c>
      <c r="E745" s="109"/>
      <c r="F745" s="3" t="s">
        <v>60</v>
      </c>
      <c r="G745" s="25">
        <v>8.9700000000000006</v>
      </c>
      <c r="H745" s="62"/>
      <c r="I745" s="25">
        <f>ROUND(G745*AM745,2)</f>
        <v>0</v>
      </c>
      <c r="J745" s="25">
        <f>ROUND(G745*AN745,2)</f>
        <v>0</v>
      </c>
      <c r="K745" s="25">
        <f>ROUND(G745*H745,2)</f>
        <v>0</v>
      </c>
      <c r="L745" s="25">
        <v>9.7099999999999999E-3</v>
      </c>
      <c r="M745" s="25">
        <f>G745*L745</f>
        <v>8.7098700000000001E-2</v>
      </c>
      <c r="N745" s="26"/>
      <c r="X745" s="25">
        <f>ROUND(IF(AO745="5",BH745,0),2)</f>
        <v>0</v>
      </c>
      <c r="Z745" s="25">
        <f>ROUND(IF(AO745="1",BF745,0),2)</f>
        <v>0</v>
      </c>
      <c r="AA745" s="25">
        <f>ROUND(IF(AO745="1",BG745,0),2)</f>
        <v>0</v>
      </c>
      <c r="AB745" s="25">
        <f>ROUND(IF(AO745="7",BF745,0),2)</f>
        <v>0</v>
      </c>
      <c r="AC745" s="25">
        <f>ROUND(IF(AO745="7",BG745,0),2)</f>
        <v>0</v>
      </c>
      <c r="AD745" s="25">
        <f>ROUND(IF(AO745="2",BF745,0),2)</f>
        <v>0</v>
      </c>
      <c r="AE745" s="25">
        <f>ROUND(IF(AO745="2",BG745,0),2)</f>
        <v>0</v>
      </c>
      <c r="AF745" s="25">
        <f>ROUND(IF(AO745="0",BH745,0),2)</f>
        <v>0</v>
      </c>
      <c r="AG745" s="10" t="s">
        <v>510</v>
      </c>
      <c r="AH745" s="25">
        <f>IF(AL745=0,K745,0)</f>
        <v>0</v>
      </c>
      <c r="AI745" s="25">
        <f>IF(AL745=12,K745,0)</f>
        <v>0</v>
      </c>
      <c r="AJ745" s="25">
        <f>IF(AL745=21,K745,0)</f>
        <v>0</v>
      </c>
      <c r="AL745" s="25">
        <v>21</v>
      </c>
      <c r="AM745" s="25">
        <f>H745*0.341894183</f>
        <v>0</v>
      </c>
      <c r="AN745" s="25">
        <f>H745*(1-0.341894183)</f>
        <v>0</v>
      </c>
      <c r="AO745" s="27" t="s">
        <v>61</v>
      </c>
      <c r="AT745" s="25">
        <f>ROUND(AU745+AV745,2)</f>
        <v>0</v>
      </c>
      <c r="AU745" s="25">
        <f>ROUND(G745*AM745,2)</f>
        <v>0</v>
      </c>
      <c r="AV745" s="25">
        <f>ROUND(G745*AN745,2)</f>
        <v>0</v>
      </c>
      <c r="AW745" s="27" t="s">
        <v>1002</v>
      </c>
      <c r="AX745" s="27" t="s">
        <v>938</v>
      </c>
      <c r="AY745" s="10" t="s">
        <v>518</v>
      </c>
      <c r="BA745" s="25">
        <f>AU745+AV745</f>
        <v>0</v>
      </c>
      <c r="BB745" s="25">
        <f>H745/(100-BC745)*100</f>
        <v>0</v>
      </c>
      <c r="BC745" s="25">
        <v>0</v>
      </c>
      <c r="BD745" s="25">
        <f>M745</f>
        <v>8.7098700000000001E-2</v>
      </c>
      <c r="BF745" s="25">
        <f>G745*AM745</f>
        <v>0</v>
      </c>
      <c r="BG745" s="25">
        <f>G745*AN745</f>
        <v>0</v>
      </c>
      <c r="BH745" s="25">
        <f>G745*H745</f>
        <v>0</v>
      </c>
      <c r="BI745" s="27" t="s">
        <v>65</v>
      </c>
      <c r="BJ745" s="25">
        <v>777</v>
      </c>
      <c r="BU745" s="25" t="e">
        <f>#REF!</f>
        <v>#REF!</v>
      </c>
      <c r="BV745" s="4" t="s">
        <v>1005</v>
      </c>
    </row>
    <row r="746" spans="1:74" ht="14.4" x14ac:dyDescent="0.3">
      <c r="A746" s="28"/>
      <c r="D746" s="29" t="s">
        <v>111</v>
      </c>
      <c r="E746" s="29" t="s">
        <v>112</v>
      </c>
      <c r="G746" s="30">
        <v>8.9700000000000006</v>
      </c>
      <c r="H746" s="63"/>
      <c r="N746" s="31"/>
    </row>
    <row r="747" spans="1:74" ht="14.4" x14ac:dyDescent="0.3">
      <c r="A747" s="2" t="s">
        <v>1006</v>
      </c>
      <c r="B747" s="3" t="s">
        <v>510</v>
      </c>
      <c r="C747" s="3" t="s">
        <v>1007</v>
      </c>
      <c r="D747" s="112" t="s">
        <v>1008</v>
      </c>
      <c r="E747" s="109"/>
      <c r="F747" s="3" t="s">
        <v>278</v>
      </c>
      <c r="G747" s="25">
        <v>8.7550000000000003E-2</v>
      </c>
      <c r="H747" s="62"/>
      <c r="I747" s="25">
        <f>ROUND(G747*AM747,2)</f>
        <v>0</v>
      </c>
      <c r="J747" s="25">
        <f>ROUND(G747*AN747,2)</f>
        <v>0</v>
      </c>
      <c r="K747" s="25">
        <f>ROUND(G747*H747,2)</f>
        <v>0</v>
      </c>
      <c r="L747" s="25">
        <v>0</v>
      </c>
      <c r="M747" s="25">
        <f>G747*L747</f>
        <v>0</v>
      </c>
      <c r="N747" s="26"/>
      <c r="X747" s="25">
        <f>ROUND(IF(AO747="5",BH747,0),2)</f>
        <v>0</v>
      </c>
      <c r="Z747" s="25">
        <f>ROUND(IF(AO747="1",BF747,0),2)</f>
        <v>0</v>
      </c>
      <c r="AA747" s="25">
        <f>ROUND(IF(AO747="1",BG747,0),2)</f>
        <v>0</v>
      </c>
      <c r="AB747" s="25">
        <f>ROUND(IF(AO747="7",BF747,0),2)</f>
        <v>0</v>
      </c>
      <c r="AC747" s="25">
        <f>ROUND(IF(AO747="7",BG747,0),2)</f>
        <v>0</v>
      </c>
      <c r="AD747" s="25">
        <f>ROUND(IF(AO747="2",BF747,0),2)</f>
        <v>0</v>
      </c>
      <c r="AE747" s="25">
        <f>ROUND(IF(AO747="2",BG747,0),2)</f>
        <v>0</v>
      </c>
      <c r="AF747" s="25">
        <f>ROUND(IF(AO747="0",BH747,0),2)</f>
        <v>0</v>
      </c>
      <c r="AG747" s="10" t="s">
        <v>510</v>
      </c>
      <c r="AH747" s="25">
        <f>IF(AL747=0,K747,0)</f>
        <v>0</v>
      </c>
      <c r="AI747" s="25">
        <f>IF(AL747=12,K747,0)</f>
        <v>0</v>
      </c>
      <c r="AJ747" s="25">
        <f>IF(AL747=21,K747,0)</f>
        <v>0</v>
      </c>
      <c r="AL747" s="25">
        <v>21</v>
      </c>
      <c r="AM747" s="25">
        <f>H747*0</f>
        <v>0</v>
      </c>
      <c r="AN747" s="25">
        <f>H747*(1-0)</f>
        <v>0</v>
      </c>
      <c r="AO747" s="27" t="s">
        <v>97</v>
      </c>
      <c r="AT747" s="25">
        <f>ROUND(AU747+AV747,2)</f>
        <v>0</v>
      </c>
      <c r="AU747" s="25">
        <f>ROUND(G747*AM747,2)</f>
        <v>0</v>
      </c>
      <c r="AV747" s="25">
        <f>ROUND(G747*AN747,2)</f>
        <v>0</v>
      </c>
      <c r="AW747" s="27" t="s">
        <v>1002</v>
      </c>
      <c r="AX747" s="27" t="s">
        <v>938</v>
      </c>
      <c r="AY747" s="10" t="s">
        <v>518</v>
      </c>
      <c r="BA747" s="25">
        <f>AU747+AV747</f>
        <v>0</v>
      </c>
      <c r="BB747" s="25">
        <f>H747/(100-BC747)*100</f>
        <v>0</v>
      </c>
      <c r="BC747" s="25">
        <v>0</v>
      </c>
      <c r="BD747" s="25">
        <f>M747</f>
        <v>0</v>
      </c>
      <c r="BF747" s="25">
        <f>G747*AM747</f>
        <v>0</v>
      </c>
      <c r="BG747" s="25">
        <f>G747*AN747</f>
        <v>0</v>
      </c>
      <c r="BH747" s="25">
        <f>G747*H747</f>
        <v>0</v>
      </c>
      <c r="BI747" s="27" t="s">
        <v>65</v>
      </c>
      <c r="BJ747" s="25">
        <v>777</v>
      </c>
      <c r="BU747" s="25" t="e">
        <f>#REF!</f>
        <v>#REF!</v>
      </c>
      <c r="BV747" s="4" t="s">
        <v>1008</v>
      </c>
    </row>
    <row r="748" spans="1:74" ht="14.4" x14ac:dyDescent="0.3">
      <c r="A748" s="21" t="s">
        <v>52</v>
      </c>
      <c r="B748" s="22" t="s">
        <v>510</v>
      </c>
      <c r="C748" s="22" t="s">
        <v>1009</v>
      </c>
      <c r="D748" s="170" t="s">
        <v>1010</v>
      </c>
      <c r="E748" s="171"/>
      <c r="F748" s="23" t="s">
        <v>32</v>
      </c>
      <c r="G748" s="23" t="s">
        <v>32</v>
      </c>
      <c r="H748" s="64"/>
      <c r="I748" s="1">
        <f>SUM(I749:I787)</f>
        <v>0</v>
      </c>
      <c r="J748" s="1">
        <f>SUM(J749:J787)</f>
        <v>0</v>
      </c>
      <c r="K748" s="1">
        <f>SUM(K749:K787)</f>
        <v>0</v>
      </c>
      <c r="L748" s="10" t="s">
        <v>52</v>
      </c>
      <c r="M748" s="1">
        <f>SUM(M749:M787)</f>
        <v>2.0162270547999999</v>
      </c>
      <c r="N748" s="24"/>
      <c r="AG748" s="10" t="s">
        <v>510</v>
      </c>
      <c r="AQ748" s="1">
        <f>SUM(AH749:AH787)</f>
        <v>0</v>
      </c>
      <c r="AR748" s="1">
        <f>SUM(AI749:AI787)</f>
        <v>0</v>
      </c>
      <c r="AS748" s="1">
        <f>SUM(AJ749:AJ787)</f>
        <v>0</v>
      </c>
    </row>
    <row r="749" spans="1:74" ht="14.4" x14ac:dyDescent="0.3">
      <c r="A749" s="2" t="s">
        <v>1011</v>
      </c>
      <c r="B749" s="3" t="s">
        <v>510</v>
      </c>
      <c r="C749" s="3" t="s">
        <v>1012</v>
      </c>
      <c r="D749" s="112" t="s">
        <v>1013</v>
      </c>
      <c r="E749" s="109"/>
      <c r="F749" s="3" t="s">
        <v>60</v>
      </c>
      <c r="G749" s="25">
        <v>74.177999999999997</v>
      </c>
      <c r="H749" s="62"/>
      <c r="I749" s="25">
        <f>ROUND(G749*AM749,2)</f>
        <v>0</v>
      </c>
      <c r="J749" s="25">
        <f>ROUND(G749*AN749,2)</f>
        <v>0</v>
      </c>
      <c r="K749" s="25">
        <f>ROUND(G749*H749,2)</f>
        <v>0</v>
      </c>
      <c r="L749" s="25">
        <v>5.3499999999999997E-3</v>
      </c>
      <c r="M749" s="25">
        <f>G749*L749</f>
        <v>0.39685229999999999</v>
      </c>
      <c r="N749" s="26"/>
      <c r="X749" s="25">
        <f>ROUND(IF(AO749="5",BH749,0),2)</f>
        <v>0</v>
      </c>
      <c r="Z749" s="25">
        <f>ROUND(IF(AO749="1",BF749,0),2)</f>
        <v>0</v>
      </c>
      <c r="AA749" s="25">
        <f>ROUND(IF(AO749="1",BG749,0),2)</f>
        <v>0</v>
      </c>
      <c r="AB749" s="25">
        <f>ROUND(IF(AO749="7",BF749,0),2)</f>
        <v>0</v>
      </c>
      <c r="AC749" s="25">
        <f>ROUND(IF(AO749="7",BG749,0),2)</f>
        <v>0</v>
      </c>
      <c r="AD749" s="25">
        <f>ROUND(IF(AO749="2",BF749,0),2)</f>
        <v>0</v>
      </c>
      <c r="AE749" s="25">
        <f>ROUND(IF(AO749="2",BG749,0),2)</f>
        <v>0</v>
      </c>
      <c r="AF749" s="25">
        <f>ROUND(IF(AO749="0",BH749,0),2)</f>
        <v>0</v>
      </c>
      <c r="AG749" s="10" t="s">
        <v>510</v>
      </c>
      <c r="AH749" s="25">
        <f>IF(AL749=0,K749,0)</f>
        <v>0</v>
      </c>
      <c r="AI749" s="25">
        <f>IF(AL749=12,K749,0)</f>
        <v>0</v>
      </c>
      <c r="AJ749" s="25">
        <f>IF(AL749=21,K749,0)</f>
        <v>0</v>
      </c>
      <c r="AL749" s="25">
        <v>21</v>
      </c>
      <c r="AM749" s="25">
        <f>H749*0.175312794</f>
        <v>0</v>
      </c>
      <c r="AN749" s="25">
        <f>H749*(1-0.175312794)</f>
        <v>0</v>
      </c>
      <c r="AO749" s="27" t="s">
        <v>61</v>
      </c>
      <c r="AT749" s="25">
        <f>ROUND(AU749+AV749,2)</f>
        <v>0</v>
      </c>
      <c r="AU749" s="25">
        <f>ROUND(G749*AM749,2)</f>
        <v>0</v>
      </c>
      <c r="AV749" s="25">
        <f>ROUND(G749*AN749,2)</f>
        <v>0</v>
      </c>
      <c r="AW749" s="27" t="s">
        <v>1014</v>
      </c>
      <c r="AX749" s="27" t="s">
        <v>1015</v>
      </c>
      <c r="AY749" s="10" t="s">
        <v>518</v>
      </c>
      <c r="BA749" s="25">
        <f>AU749+AV749</f>
        <v>0</v>
      </c>
      <c r="BB749" s="25">
        <f>H749/(100-BC749)*100</f>
        <v>0</v>
      </c>
      <c r="BC749" s="25">
        <v>0</v>
      </c>
      <c r="BD749" s="25">
        <f>M749</f>
        <v>0.39685229999999999</v>
      </c>
      <c r="BF749" s="25">
        <f>G749*AM749</f>
        <v>0</v>
      </c>
      <c r="BG749" s="25">
        <f>G749*AN749</f>
        <v>0</v>
      </c>
      <c r="BH749" s="25">
        <f>G749*H749</f>
        <v>0</v>
      </c>
      <c r="BI749" s="27" t="s">
        <v>65</v>
      </c>
      <c r="BJ749" s="25">
        <v>781</v>
      </c>
      <c r="BU749" s="25" t="e">
        <f>#REF!</f>
        <v>#REF!</v>
      </c>
      <c r="BV749" s="4" t="s">
        <v>1013</v>
      </c>
    </row>
    <row r="750" spans="1:74" ht="14.4" x14ac:dyDescent="0.3">
      <c r="A750" s="28"/>
      <c r="D750" s="29" t="s">
        <v>722</v>
      </c>
      <c r="E750" s="29" t="s">
        <v>69</v>
      </c>
      <c r="G750" s="30">
        <v>24.754999999999999</v>
      </c>
      <c r="H750" s="63"/>
      <c r="N750" s="31"/>
    </row>
    <row r="751" spans="1:74" ht="14.4" x14ac:dyDescent="0.3">
      <c r="A751" s="28"/>
      <c r="D751" s="29" t="s">
        <v>723</v>
      </c>
      <c r="E751" s="29" t="s">
        <v>70</v>
      </c>
      <c r="G751" s="30">
        <v>13.951000000000001</v>
      </c>
      <c r="H751" s="63"/>
      <c r="N751" s="31"/>
    </row>
    <row r="752" spans="1:74" ht="14.4" x14ac:dyDescent="0.3">
      <c r="A752" s="28"/>
      <c r="D752" s="29" t="s">
        <v>724</v>
      </c>
      <c r="E752" s="29" t="s">
        <v>180</v>
      </c>
      <c r="G752" s="30">
        <v>13.756</v>
      </c>
      <c r="H752" s="63"/>
      <c r="N752" s="31"/>
    </row>
    <row r="753" spans="1:74" ht="14.4" x14ac:dyDescent="0.3">
      <c r="A753" s="28"/>
      <c r="D753" s="29" t="s">
        <v>725</v>
      </c>
      <c r="E753" s="29" t="s">
        <v>182</v>
      </c>
      <c r="G753" s="30">
        <v>9.1989999999999998</v>
      </c>
      <c r="H753" s="63"/>
      <c r="N753" s="31"/>
    </row>
    <row r="754" spans="1:74" ht="14.4" x14ac:dyDescent="0.3">
      <c r="A754" s="28"/>
      <c r="D754" s="29" t="s">
        <v>726</v>
      </c>
      <c r="E754" s="29" t="s">
        <v>72</v>
      </c>
      <c r="G754" s="30">
        <v>12.516999999999999</v>
      </c>
      <c r="H754" s="63"/>
      <c r="N754" s="31"/>
    </row>
    <row r="755" spans="1:74" ht="14.4" x14ac:dyDescent="0.3">
      <c r="A755" s="2" t="s">
        <v>1016</v>
      </c>
      <c r="B755" s="3" t="s">
        <v>510</v>
      </c>
      <c r="C755" s="3" t="s">
        <v>1017</v>
      </c>
      <c r="D755" s="112" t="s">
        <v>1018</v>
      </c>
      <c r="E755" s="109"/>
      <c r="F755" s="3" t="s">
        <v>60</v>
      </c>
      <c r="G755" s="25">
        <v>81.595359999999999</v>
      </c>
      <c r="H755" s="62"/>
      <c r="I755" s="25">
        <f>ROUND(G755*AM755,2)</f>
        <v>0</v>
      </c>
      <c r="J755" s="25">
        <f>ROUND(G755*AN755,2)</f>
        <v>0</v>
      </c>
      <c r="K755" s="25">
        <f>ROUND(G755*H755,2)</f>
        <v>0</v>
      </c>
      <c r="L755" s="25">
        <v>1.9429999999999999E-2</v>
      </c>
      <c r="M755" s="25">
        <f>G755*L755</f>
        <v>1.5853978447999999</v>
      </c>
      <c r="N755" s="26"/>
      <c r="X755" s="25">
        <f>ROUND(IF(AO755="5",BH755,0),2)</f>
        <v>0</v>
      </c>
      <c r="Z755" s="25">
        <f>ROUND(IF(AO755="1",BF755,0),2)</f>
        <v>0</v>
      </c>
      <c r="AA755" s="25">
        <f>ROUND(IF(AO755="1",BG755,0),2)</f>
        <v>0</v>
      </c>
      <c r="AB755" s="25">
        <f>ROUND(IF(AO755="7",BF755,0),2)</f>
        <v>0</v>
      </c>
      <c r="AC755" s="25">
        <f>ROUND(IF(AO755="7",BG755,0),2)</f>
        <v>0</v>
      </c>
      <c r="AD755" s="25">
        <f>ROUND(IF(AO755="2",BF755,0),2)</f>
        <v>0</v>
      </c>
      <c r="AE755" s="25">
        <f>ROUND(IF(AO755="2",BG755,0),2)</f>
        <v>0</v>
      </c>
      <c r="AF755" s="25">
        <f>ROUND(IF(AO755="0",BH755,0),2)</f>
        <v>0</v>
      </c>
      <c r="AG755" s="10" t="s">
        <v>510</v>
      </c>
      <c r="AH755" s="25">
        <f>IF(AL755=0,K755,0)</f>
        <v>0</v>
      </c>
      <c r="AI755" s="25">
        <f>IF(AL755=12,K755,0)</f>
        <v>0</v>
      </c>
      <c r="AJ755" s="25">
        <f>IF(AL755=21,K755,0)</f>
        <v>0</v>
      </c>
      <c r="AL755" s="25">
        <v>21</v>
      </c>
      <c r="AM755" s="25">
        <f>H755*1</f>
        <v>0</v>
      </c>
      <c r="AN755" s="25">
        <f>H755*(1-1)</f>
        <v>0</v>
      </c>
      <c r="AO755" s="27" t="s">
        <v>61</v>
      </c>
      <c r="AT755" s="25">
        <f>ROUND(AU755+AV755,2)</f>
        <v>0</v>
      </c>
      <c r="AU755" s="25">
        <f>ROUND(G755*AM755,2)</f>
        <v>0</v>
      </c>
      <c r="AV755" s="25">
        <f>ROUND(G755*AN755,2)</f>
        <v>0</v>
      </c>
      <c r="AW755" s="27" t="s">
        <v>1014</v>
      </c>
      <c r="AX755" s="27" t="s">
        <v>1015</v>
      </c>
      <c r="AY755" s="10" t="s">
        <v>518</v>
      </c>
      <c r="BA755" s="25">
        <f>AU755+AV755</f>
        <v>0</v>
      </c>
      <c r="BB755" s="25">
        <f>H755/(100-BC755)*100</f>
        <v>0</v>
      </c>
      <c r="BC755" s="25">
        <v>0</v>
      </c>
      <c r="BD755" s="25">
        <f>M755</f>
        <v>1.5853978447999999</v>
      </c>
      <c r="BF755" s="25">
        <f>G755*AM755</f>
        <v>0</v>
      </c>
      <c r="BG755" s="25">
        <f>G755*AN755</f>
        <v>0</v>
      </c>
      <c r="BH755" s="25">
        <f>G755*H755</f>
        <v>0</v>
      </c>
      <c r="BI755" s="27" t="s">
        <v>576</v>
      </c>
      <c r="BJ755" s="25">
        <v>781</v>
      </c>
      <c r="BU755" s="25" t="e">
        <f>#REF!</f>
        <v>#REF!</v>
      </c>
      <c r="BV755" s="4" t="s">
        <v>1018</v>
      </c>
    </row>
    <row r="756" spans="1:74" ht="14.4" x14ac:dyDescent="0.3">
      <c r="A756" s="28"/>
      <c r="D756" s="29" t="s">
        <v>722</v>
      </c>
      <c r="E756" s="29" t="s">
        <v>69</v>
      </c>
      <c r="G756" s="30">
        <v>24.754999999999999</v>
      </c>
      <c r="H756" s="63"/>
      <c r="N756" s="31"/>
    </row>
    <row r="757" spans="1:74" ht="14.4" x14ac:dyDescent="0.3">
      <c r="A757" s="28"/>
      <c r="D757" s="29" t="s">
        <v>723</v>
      </c>
      <c r="E757" s="29" t="s">
        <v>70</v>
      </c>
      <c r="G757" s="30">
        <v>13.9506</v>
      </c>
      <c r="H757" s="63"/>
      <c r="N757" s="31"/>
    </row>
    <row r="758" spans="1:74" ht="14.4" x14ac:dyDescent="0.3">
      <c r="A758" s="28"/>
      <c r="D758" s="29" t="s">
        <v>724</v>
      </c>
      <c r="E758" s="29" t="s">
        <v>180</v>
      </c>
      <c r="G758" s="30">
        <v>13.756</v>
      </c>
      <c r="H758" s="63"/>
      <c r="N758" s="31"/>
    </row>
    <row r="759" spans="1:74" ht="14.4" x14ac:dyDescent="0.3">
      <c r="A759" s="28"/>
      <c r="D759" s="29" t="s">
        <v>725</v>
      </c>
      <c r="E759" s="29" t="s">
        <v>182</v>
      </c>
      <c r="G759" s="30">
        <v>9.1989999999999998</v>
      </c>
      <c r="H759" s="63"/>
      <c r="N759" s="31"/>
    </row>
    <row r="760" spans="1:74" ht="14.4" x14ac:dyDescent="0.3">
      <c r="A760" s="28"/>
      <c r="D760" s="29" t="s">
        <v>726</v>
      </c>
      <c r="E760" s="29" t="s">
        <v>72</v>
      </c>
      <c r="G760" s="30">
        <v>12.516999999999999</v>
      </c>
      <c r="H760" s="63"/>
      <c r="N760" s="31"/>
    </row>
    <row r="761" spans="1:74" ht="14.4" x14ac:dyDescent="0.3">
      <c r="A761" s="28"/>
      <c r="D761" s="29" t="s">
        <v>1019</v>
      </c>
      <c r="E761" s="29" t="s">
        <v>52</v>
      </c>
      <c r="G761" s="30">
        <v>7.4177600000000004</v>
      </c>
      <c r="H761" s="63"/>
      <c r="N761" s="31"/>
    </row>
    <row r="762" spans="1:74" ht="14.4" x14ac:dyDescent="0.3">
      <c r="A762" s="2" t="s">
        <v>1020</v>
      </c>
      <c r="B762" s="3" t="s">
        <v>510</v>
      </c>
      <c r="C762" s="3" t="s">
        <v>1021</v>
      </c>
      <c r="D762" s="112" t="s">
        <v>1022</v>
      </c>
      <c r="E762" s="109"/>
      <c r="F762" s="3" t="s">
        <v>60</v>
      </c>
      <c r="G762" s="25">
        <v>74.177999999999997</v>
      </c>
      <c r="H762" s="62"/>
      <c r="I762" s="25">
        <f>ROUND(G762*AM762,2)</f>
        <v>0</v>
      </c>
      <c r="J762" s="25">
        <f>ROUND(G762*AN762,2)</f>
        <v>0</v>
      </c>
      <c r="K762" s="25">
        <f>ROUND(G762*H762,2)</f>
        <v>0</v>
      </c>
      <c r="L762" s="25">
        <v>2.1000000000000001E-4</v>
      </c>
      <c r="M762" s="25">
        <f>G762*L762</f>
        <v>1.557738E-2</v>
      </c>
      <c r="N762" s="26"/>
      <c r="X762" s="25">
        <f>ROUND(IF(AO762="5",BH762,0),2)</f>
        <v>0</v>
      </c>
      <c r="Z762" s="25">
        <f>ROUND(IF(AO762="1",BF762,0),2)</f>
        <v>0</v>
      </c>
      <c r="AA762" s="25">
        <f>ROUND(IF(AO762="1",BG762,0),2)</f>
        <v>0</v>
      </c>
      <c r="AB762" s="25">
        <f>ROUND(IF(AO762="7",BF762,0),2)</f>
        <v>0</v>
      </c>
      <c r="AC762" s="25">
        <f>ROUND(IF(AO762="7",BG762,0),2)</f>
        <v>0</v>
      </c>
      <c r="AD762" s="25">
        <f>ROUND(IF(AO762="2",BF762,0),2)</f>
        <v>0</v>
      </c>
      <c r="AE762" s="25">
        <f>ROUND(IF(AO762="2",BG762,0),2)</f>
        <v>0</v>
      </c>
      <c r="AF762" s="25">
        <f>ROUND(IF(AO762="0",BH762,0),2)</f>
        <v>0</v>
      </c>
      <c r="AG762" s="10" t="s">
        <v>510</v>
      </c>
      <c r="AH762" s="25">
        <f>IF(AL762=0,K762,0)</f>
        <v>0</v>
      </c>
      <c r="AI762" s="25">
        <f>IF(AL762=12,K762,0)</f>
        <v>0</v>
      </c>
      <c r="AJ762" s="25">
        <f>IF(AL762=21,K762,0)</f>
        <v>0</v>
      </c>
      <c r="AL762" s="25">
        <v>21</v>
      </c>
      <c r="AM762" s="25">
        <f>H762*0.477366008</f>
        <v>0</v>
      </c>
      <c r="AN762" s="25">
        <f>H762*(1-0.477366008)</f>
        <v>0</v>
      </c>
      <c r="AO762" s="27" t="s">
        <v>61</v>
      </c>
      <c r="AT762" s="25">
        <f>ROUND(AU762+AV762,2)</f>
        <v>0</v>
      </c>
      <c r="AU762" s="25">
        <f>ROUND(G762*AM762,2)</f>
        <v>0</v>
      </c>
      <c r="AV762" s="25">
        <f>ROUND(G762*AN762,2)</f>
        <v>0</v>
      </c>
      <c r="AW762" s="27" t="s">
        <v>1014</v>
      </c>
      <c r="AX762" s="27" t="s">
        <v>1015</v>
      </c>
      <c r="AY762" s="10" t="s">
        <v>518</v>
      </c>
      <c r="BA762" s="25">
        <f>AU762+AV762</f>
        <v>0</v>
      </c>
      <c r="BB762" s="25">
        <f>H762/(100-BC762)*100</f>
        <v>0</v>
      </c>
      <c r="BC762" s="25">
        <v>0</v>
      </c>
      <c r="BD762" s="25">
        <f>M762</f>
        <v>1.557738E-2</v>
      </c>
      <c r="BF762" s="25">
        <f>G762*AM762</f>
        <v>0</v>
      </c>
      <c r="BG762" s="25">
        <f>G762*AN762</f>
        <v>0</v>
      </c>
      <c r="BH762" s="25">
        <f>G762*H762</f>
        <v>0</v>
      </c>
      <c r="BI762" s="27" t="s">
        <v>65</v>
      </c>
      <c r="BJ762" s="25">
        <v>781</v>
      </c>
      <c r="BU762" s="25" t="e">
        <f>#REF!</f>
        <v>#REF!</v>
      </c>
      <c r="BV762" s="4" t="s">
        <v>1022</v>
      </c>
    </row>
    <row r="763" spans="1:74" ht="14.4" x14ac:dyDescent="0.3">
      <c r="A763" s="28"/>
      <c r="D763" s="29" t="s">
        <v>722</v>
      </c>
      <c r="E763" s="29" t="s">
        <v>69</v>
      </c>
      <c r="G763" s="30">
        <v>24.754999999999999</v>
      </c>
      <c r="H763" s="63"/>
      <c r="N763" s="31"/>
    </row>
    <row r="764" spans="1:74" ht="14.4" x14ac:dyDescent="0.3">
      <c r="A764" s="28"/>
      <c r="D764" s="29" t="s">
        <v>723</v>
      </c>
      <c r="E764" s="29" t="s">
        <v>70</v>
      </c>
      <c r="G764" s="30">
        <v>13.951000000000001</v>
      </c>
      <c r="H764" s="63"/>
      <c r="N764" s="31"/>
    </row>
    <row r="765" spans="1:74" ht="14.4" x14ac:dyDescent="0.3">
      <c r="A765" s="28"/>
      <c r="D765" s="29" t="s">
        <v>724</v>
      </c>
      <c r="E765" s="29" t="s">
        <v>180</v>
      </c>
      <c r="G765" s="30">
        <v>13.756</v>
      </c>
      <c r="H765" s="63"/>
      <c r="N765" s="31"/>
    </row>
    <row r="766" spans="1:74" ht="14.4" x14ac:dyDescent="0.3">
      <c r="A766" s="28"/>
      <c r="D766" s="29" t="s">
        <v>725</v>
      </c>
      <c r="E766" s="29" t="s">
        <v>182</v>
      </c>
      <c r="G766" s="30">
        <v>9.1989999999999998</v>
      </c>
      <c r="H766" s="63"/>
      <c r="N766" s="31"/>
    </row>
    <row r="767" spans="1:74" ht="14.4" x14ac:dyDescent="0.3">
      <c r="A767" s="28"/>
      <c r="D767" s="29" t="s">
        <v>726</v>
      </c>
      <c r="E767" s="29" t="s">
        <v>72</v>
      </c>
      <c r="G767" s="30">
        <v>12.516999999999999</v>
      </c>
      <c r="H767" s="63"/>
      <c r="N767" s="31"/>
    </row>
    <row r="768" spans="1:74" ht="14.4" x14ac:dyDescent="0.3">
      <c r="A768" s="2" t="s">
        <v>1023</v>
      </c>
      <c r="B768" s="3" t="s">
        <v>510</v>
      </c>
      <c r="C768" s="3" t="s">
        <v>1024</v>
      </c>
      <c r="D768" s="112" t="s">
        <v>1025</v>
      </c>
      <c r="E768" s="109"/>
      <c r="F768" s="3" t="s">
        <v>60</v>
      </c>
      <c r="G768" s="25">
        <v>74.177999999999997</v>
      </c>
      <c r="H768" s="62"/>
      <c r="I768" s="25">
        <f>ROUND(G768*AM768,2)</f>
        <v>0</v>
      </c>
      <c r="J768" s="25">
        <f>ROUND(G768*AN768,2)</f>
        <v>0</v>
      </c>
      <c r="K768" s="25">
        <f>ROUND(G768*H768,2)</f>
        <v>0</v>
      </c>
      <c r="L768" s="25">
        <v>1.1E-4</v>
      </c>
      <c r="M768" s="25">
        <f>G768*L768</f>
        <v>8.1595799999999996E-3</v>
      </c>
      <c r="N768" s="26"/>
      <c r="X768" s="25">
        <f>ROUND(IF(AO768="5",BH768,0),2)</f>
        <v>0</v>
      </c>
      <c r="Z768" s="25">
        <f>ROUND(IF(AO768="1",BF768,0),2)</f>
        <v>0</v>
      </c>
      <c r="AA768" s="25">
        <f>ROUND(IF(AO768="1",BG768,0),2)</f>
        <v>0</v>
      </c>
      <c r="AB768" s="25">
        <f>ROUND(IF(AO768="7",BF768,0),2)</f>
        <v>0</v>
      </c>
      <c r="AC768" s="25">
        <f>ROUND(IF(AO768="7",BG768,0),2)</f>
        <v>0</v>
      </c>
      <c r="AD768" s="25">
        <f>ROUND(IF(AO768="2",BF768,0),2)</f>
        <v>0</v>
      </c>
      <c r="AE768" s="25">
        <f>ROUND(IF(AO768="2",BG768,0),2)</f>
        <v>0</v>
      </c>
      <c r="AF768" s="25">
        <f>ROUND(IF(AO768="0",BH768,0),2)</f>
        <v>0</v>
      </c>
      <c r="AG768" s="10" t="s">
        <v>510</v>
      </c>
      <c r="AH768" s="25">
        <f>IF(AL768=0,K768,0)</f>
        <v>0</v>
      </c>
      <c r="AI768" s="25">
        <f>IF(AL768=12,K768,0)</f>
        <v>0</v>
      </c>
      <c r="AJ768" s="25">
        <f>IF(AL768=21,K768,0)</f>
        <v>0</v>
      </c>
      <c r="AL768" s="25">
        <v>21</v>
      </c>
      <c r="AM768" s="25">
        <f>H768*1</f>
        <v>0</v>
      </c>
      <c r="AN768" s="25">
        <f>H768*(1-1)</f>
        <v>0</v>
      </c>
      <c r="AO768" s="27" t="s">
        <v>61</v>
      </c>
      <c r="AT768" s="25">
        <f>ROUND(AU768+AV768,2)</f>
        <v>0</v>
      </c>
      <c r="AU768" s="25">
        <f>ROUND(G768*AM768,2)</f>
        <v>0</v>
      </c>
      <c r="AV768" s="25">
        <f>ROUND(G768*AN768,2)</f>
        <v>0</v>
      </c>
      <c r="AW768" s="27" t="s">
        <v>1014</v>
      </c>
      <c r="AX768" s="27" t="s">
        <v>1015</v>
      </c>
      <c r="AY768" s="10" t="s">
        <v>518</v>
      </c>
      <c r="BA768" s="25">
        <f>AU768+AV768</f>
        <v>0</v>
      </c>
      <c r="BB768" s="25">
        <f>H768/(100-BC768)*100</f>
        <v>0</v>
      </c>
      <c r="BC768" s="25">
        <v>0</v>
      </c>
      <c r="BD768" s="25">
        <f>M768</f>
        <v>8.1595799999999996E-3</v>
      </c>
      <c r="BF768" s="25">
        <f>G768*AM768</f>
        <v>0</v>
      </c>
      <c r="BG768" s="25">
        <f>G768*AN768</f>
        <v>0</v>
      </c>
      <c r="BH768" s="25">
        <f>G768*H768</f>
        <v>0</v>
      </c>
      <c r="BI768" s="27" t="s">
        <v>65</v>
      </c>
      <c r="BJ768" s="25">
        <v>781</v>
      </c>
      <c r="BU768" s="25" t="e">
        <f>#REF!</f>
        <v>#REF!</v>
      </c>
      <c r="BV768" s="4" t="s">
        <v>1025</v>
      </c>
    </row>
    <row r="769" spans="1:74" ht="14.4" x14ac:dyDescent="0.3">
      <c r="A769" s="28"/>
      <c r="D769" s="29" t="s">
        <v>722</v>
      </c>
      <c r="E769" s="29" t="s">
        <v>69</v>
      </c>
      <c r="G769" s="30">
        <v>24.754999999999999</v>
      </c>
      <c r="H769" s="63"/>
      <c r="N769" s="31"/>
    </row>
    <row r="770" spans="1:74" ht="14.4" x14ac:dyDescent="0.3">
      <c r="A770" s="28"/>
      <c r="D770" s="29" t="s">
        <v>723</v>
      </c>
      <c r="E770" s="29" t="s">
        <v>70</v>
      </c>
      <c r="G770" s="30">
        <v>13.951000000000001</v>
      </c>
      <c r="H770" s="63"/>
      <c r="N770" s="31"/>
    </row>
    <row r="771" spans="1:74" ht="14.4" x14ac:dyDescent="0.3">
      <c r="A771" s="28"/>
      <c r="D771" s="29" t="s">
        <v>724</v>
      </c>
      <c r="E771" s="29" t="s">
        <v>180</v>
      </c>
      <c r="G771" s="30">
        <v>13.756</v>
      </c>
      <c r="H771" s="63"/>
      <c r="N771" s="31"/>
    </row>
    <row r="772" spans="1:74" ht="14.4" x14ac:dyDescent="0.3">
      <c r="A772" s="28"/>
      <c r="D772" s="29" t="s">
        <v>725</v>
      </c>
      <c r="E772" s="29" t="s">
        <v>182</v>
      </c>
      <c r="G772" s="30">
        <v>9.1989999999999998</v>
      </c>
      <c r="H772" s="63"/>
      <c r="N772" s="31"/>
    </row>
    <row r="773" spans="1:74" ht="14.4" x14ac:dyDescent="0.3">
      <c r="A773" s="28"/>
      <c r="D773" s="29" t="s">
        <v>726</v>
      </c>
      <c r="E773" s="29" t="s">
        <v>72</v>
      </c>
      <c r="G773" s="30">
        <v>12.516999999999999</v>
      </c>
      <c r="H773" s="63"/>
      <c r="N773" s="31"/>
    </row>
    <row r="774" spans="1:74" ht="14.4" x14ac:dyDescent="0.3">
      <c r="A774" s="2" t="s">
        <v>1026</v>
      </c>
      <c r="B774" s="3" t="s">
        <v>510</v>
      </c>
      <c r="C774" s="3" t="s">
        <v>1027</v>
      </c>
      <c r="D774" s="112" t="s">
        <v>1028</v>
      </c>
      <c r="E774" s="109"/>
      <c r="F774" s="3" t="s">
        <v>115</v>
      </c>
      <c r="G774" s="25">
        <v>60.234999999999999</v>
      </c>
      <c r="H774" s="62"/>
      <c r="I774" s="25">
        <f>ROUND(G774*AM774,2)</f>
        <v>0</v>
      </c>
      <c r="J774" s="25">
        <f>ROUND(G774*AN774,2)</f>
        <v>0</v>
      </c>
      <c r="K774" s="25">
        <f>ROUND(G774*H774,2)</f>
        <v>0</v>
      </c>
      <c r="L774" s="25">
        <v>1.7000000000000001E-4</v>
      </c>
      <c r="M774" s="25">
        <f>G774*L774</f>
        <v>1.0239950000000001E-2</v>
      </c>
      <c r="N774" s="26"/>
      <c r="X774" s="25">
        <f>ROUND(IF(AO774="5",BH774,0),2)</f>
        <v>0</v>
      </c>
      <c r="Z774" s="25">
        <f>ROUND(IF(AO774="1",BF774,0),2)</f>
        <v>0</v>
      </c>
      <c r="AA774" s="25">
        <f>ROUND(IF(AO774="1",BG774,0),2)</f>
        <v>0</v>
      </c>
      <c r="AB774" s="25">
        <f>ROUND(IF(AO774="7",BF774,0),2)</f>
        <v>0</v>
      </c>
      <c r="AC774" s="25">
        <f>ROUND(IF(AO774="7",BG774,0),2)</f>
        <v>0</v>
      </c>
      <c r="AD774" s="25">
        <f>ROUND(IF(AO774="2",BF774,0),2)</f>
        <v>0</v>
      </c>
      <c r="AE774" s="25">
        <f>ROUND(IF(AO774="2",BG774,0),2)</f>
        <v>0</v>
      </c>
      <c r="AF774" s="25">
        <f>ROUND(IF(AO774="0",BH774,0),2)</f>
        <v>0</v>
      </c>
      <c r="AG774" s="10" t="s">
        <v>510</v>
      </c>
      <c r="AH774" s="25">
        <f>IF(AL774=0,K774,0)</f>
        <v>0</v>
      </c>
      <c r="AI774" s="25">
        <f>IF(AL774=12,K774,0)</f>
        <v>0</v>
      </c>
      <c r="AJ774" s="25">
        <f>IF(AL774=21,K774,0)</f>
        <v>0</v>
      </c>
      <c r="AL774" s="25">
        <v>21</v>
      </c>
      <c r="AM774" s="25">
        <f>H774*0.788056396</f>
        <v>0</v>
      </c>
      <c r="AN774" s="25">
        <f>H774*(1-0.788056396)</f>
        <v>0</v>
      </c>
      <c r="AO774" s="27" t="s">
        <v>61</v>
      </c>
      <c r="AT774" s="25">
        <f>ROUND(AU774+AV774,2)</f>
        <v>0</v>
      </c>
      <c r="AU774" s="25">
        <f>ROUND(G774*AM774,2)</f>
        <v>0</v>
      </c>
      <c r="AV774" s="25">
        <f>ROUND(G774*AN774,2)</f>
        <v>0</v>
      </c>
      <c r="AW774" s="27" t="s">
        <v>1014</v>
      </c>
      <c r="AX774" s="27" t="s">
        <v>1015</v>
      </c>
      <c r="AY774" s="10" t="s">
        <v>518</v>
      </c>
      <c r="BA774" s="25">
        <f>AU774+AV774</f>
        <v>0</v>
      </c>
      <c r="BB774" s="25">
        <f>H774/(100-BC774)*100</f>
        <v>0</v>
      </c>
      <c r="BC774" s="25">
        <v>0</v>
      </c>
      <c r="BD774" s="25">
        <f>M774</f>
        <v>1.0239950000000001E-2</v>
      </c>
      <c r="BF774" s="25">
        <f>G774*AM774</f>
        <v>0</v>
      </c>
      <c r="BG774" s="25">
        <f>G774*AN774</f>
        <v>0</v>
      </c>
      <c r="BH774" s="25">
        <f>G774*H774</f>
        <v>0</v>
      </c>
      <c r="BI774" s="27" t="s">
        <v>65</v>
      </c>
      <c r="BJ774" s="25">
        <v>781</v>
      </c>
      <c r="BU774" s="25" t="e">
        <f>#REF!</f>
        <v>#REF!</v>
      </c>
      <c r="BV774" s="4" t="s">
        <v>1028</v>
      </c>
    </row>
    <row r="775" spans="1:74" ht="14.4" x14ac:dyDescent="0.3">
      <c r="A775" s="28"/>
      <c r="D775" s="29" t="s">
        <v>1029</v>
      </c>
      <c r="E775" s="29" t="s">
        <v>69</v>
      </c>
      <c r="G775" s="30">
        <v>15.95</v>
      </c>
      <c r="H775" s="63"/>
      <c r="N775" s="31"/>
    </row>
    <row r="776" spans="1:74" ht="14.4" x14ac:dyDescent="0.3">
      <c r="A776" s="28"/>
      <c r="D776" s="29" t="s">
        <v>1030</v>
      </c>
      <c r="E776" s="29" t="s">
        <v>70</v>
      </c>
      <c r="G776" s="30">
        <v>9.625</v>
      </c>
      <c r="H776" s="63"/>
      <c r="N776" s="31"/>
    </row>
    <row r="777" spans="1:74" ht="14.4" x14ac:dyDescent="0.3">
      <c r="A777" s="28"/>
      <c r="D777" s="29" t="s">
        <v>978</v>
      </c>
      <c r="E777" s="29" t="s">
        <v>1031</v>
      </c>
      <c r="G777" s="30">
        <v>3.35</v>
      </c>
      <c r="H777" s="63"/>
      <c r="N777" s="31"/>
    </row>
    <row r="778" spans="1:74" ht="14.4" x14ac:dyDescent="0.3">
      <c r="A778" s="28"/>
      <c r="D778" s="29" t="s">
        <v>1032</v>
      </c>
      <c r="E778" s="29" t="s">
        <v>72</v>
      </c>
      <c r="G778" s="30">
        <v>10.77</v>
      </c>
      <c r="H778" s="63"/>
      <c r="N778" s="31"/>
    </row>
    <row r="779" spans="1:74" ht="14.4" x14ac:dyDescent="0.3">
      <c r="A779" s="28"/>
      <c r="D779" s="29" t="s">
        <v>1033</v>
      </c>
      <c r="E779" s="29" t="s">
        <v>180</v>
      </c>
      <c r="G779" s="30">
        <v>11.36</v>
      </c>
      <c r="H779" s="63"/>
      <c r="N779" s="31"/>
    </row>
    <row r="780" spans="1:74" ht="14.4" x14ac:dyDescent="0.3">
      <c r="A780" s="28"/>
      <c r="D780" s="29" t="s">
        <v>1034</v>
      </c>
      <c r="E780" s="29" t="s">
        <v>182</v>
      </c>
      <c r="G780" s="30">
        <v>9.18</v>
      </c>
      <c r="H780" s="63"/>
      <c r="N780" s="31"/>
    </row>
    <row r="781" spans="1:74" ht="14.4" x14ac:dyDescent="0.3">
      <c r="A781" s="2" t="s">
        <v>1035</v>
      </c>
      <c r="B781" s="3" t="s">
        <v>510</v>
      </c>
      <c r="C781" s="3" t="s">
        <v>1036</v>
      </c>
      <c r="D781" s="112" t="s">
        <v>1037</v>
      </c>
      <c r="E781" s="109"/>
      <c r="F781" s="3" t="s">
        <v>115</v>
      </c>
      <c r="G781" s="25">
        <v>102.69499999999999</v>
      </c>
      <c r="H781" s="62"/>
      <c r="I781" s="25">
        <f>ROUND(G781*AM781,2)</f>
        <v>0</v>
      </c>
      <c r="J781" s="25">
        <f>ROUND(G781*AN781,2)</f>
        <v>0</v>
      </c>
      <c r="K781" s="25">
        <f>ROUND(G781*H781,2)</f>
        <v>0</v>
      </c>
      <c r="L781" s="25">
        <v>0</v>
      </c>
      <c r="M781" s="25">
        <f>G781*L781</f>
        <v>0</v>
      </c>
      <c r="N781" s="26"/>
      <c r="X781" s="25">
        <f>ROUND(IF(AO781="5",BH781,0),2)</f>
        <v>0</v>
      </c>
      <c r="Z781" s="25">
        <f>ROUND(IF(AO781="1",BF781,0),2)</f>
        <v>0</v>
      </c>
      <c r="AA781" s="25">
        <f>ROUND(IF(AO781="1",BG781,0),2)</f>
        <v>0</v>
      </c>
      <c r="AB781" s="25">
        <f>ROUND(IF(AO781="7",BF781,0),2)</f>
        <v>0</v>
      </c>
      <c r="AC781" s="25">
        <f>ROUND(IF(AO781="7",BG781,0),2)</f>
        <v>0</v>
      </c>
      <c r="AD781" s="25">
        <f>ROUND(IF(AO781="2",BF781,0),2)</f>
        <v>0</v>
      </c>
      <c r="AE781" s="25">
        <f>ROUND(IF(AO781="2",BG781,0),2)</f>
        <v>0</v>
      </c>
      <c r="AF781" s="25">
        <f>ROUND(IF(AO781="0",BH781,0),2)</f>
        <v>0</v>
      </c>
      <c r="AG781" s="10" t="s">
        <v>510</v>
      </c>
      <c r="AH781" s="25">
        <f>IF(AL781=0,K781,0)</f>
        <v>0</v>
      </c>
      <c r="AI781" s="25">
        <f>IF(AL781=12,K781,0)</f>
        <v>0</v>
      </c>
      <c r="AJ781" s="25">
        <f>IF(AL781=21,K781,0)</f>
        <v>0</v>
      </c>
      <c r="AL781" s="25">
        <v>21</v>
      </c>
      <c r="AM781" s="25">
        <f>H781*0.053904394</f>
        <v>0</v>
      </c>
      <c r="AN781" s="25">
        <f>H781*(1-0.053904394)</f>
        <v>0</v>
      </c>
      <c r="AO781" s="27" t="s">
        <v>61</v>
      </c>
      <c r="AT781" s="25">
        <f>ROUND(AU781+AV781,2)</f>
        <v>0</v>
      </c>
      <c r="AU781" s="25">
        <f>ROUND(G781*AM781,2)</f>
        <v>0</v>
      </c>
      <c r="AV781" s="25">
        <f>ROUND(G781*AN781,2)</f>
        <v>0</v>
      </c>
      <c r="AW781" s="27" t="s">
        <v>1014</v>
      </c>
      <c r="AX781" s="27" t="s">
        <v>1015</v>
      </c>
      <c r="AY781" s="10" t="s">
        <v>518</v>
      </c>
      <c r="BA781" s="25">
        <f>AU781+AV781</f>
        <v>0</v>
      </c>
      <c r="BB781" s="25">
        <f>H781/(100-BC781)*100</f>
        <v>0</v>
      </c>
      <c r="BC781" s="25">
        <v>0</v>
      </c>
      <c r="BD781" s="25">
        <f>M781</f>
        <v>0</v>
      </c>
      <c r="BF781" s="25">
        <f>G781*AM781</f>
        <v>0</v>
      </c>
      <c r="BG781" s="25">
        <f>G781*AN781</f>
        <v>0</v>
      </c>
      <c r="BH781" s="25">
        <f>G781*H781</f>
        <v>0</v>
      </c>
      <c r="BI781" s="27" t="s">
        <v>65</v>
      </c>
      <c r="BJ781" s="25">
        <v>781</v>
      </c>
      <c r="BU781" s="25" t="e">
        <f>#REF!</f>
        <v>#REF!</v>
      </c>
      <c r="BV781" s="4" t="s">
        <v>1037</v>
      </c>
    </row>
    <row r="782" spans="1:74" ht="14.4" x14ac:dyDescent="0.3">
      <c r="A782" s="28"/>
      <c r="D782" s="29" t="s">
        <v>1038</v>
      </c>
      <c r="E782" s="29" t="s">
        <v>69</v>
      </c>
      <c r="G782" s="30">
        <v>29.6</v>
      </c>
      <c r="H782" s="63"/>
      <c r="N782" s="31"/>
    </row>
    <row r="783" spans="1:74" ht="14.4" x14ac:dyDescent="0.3">
      <c r="A783" s="28"/>
      <c r="D783" s="29" t="s">
        <v>1039</v>
      </c>
      <c r="E783" s="29" t="s">
        <v>70</v>
      </c>
      <c r="G783" s="30">
        <v>16.315000000000001</v>
      </c>
      <c r="H783" s="63"/>
      <c r="N783" s="31"/>
    </row>
    <row r="784" spans="1:74" ht="14.4" x14ac:dyDescent="0.3">
      <c r="A784" s="28"/>
      <c r="D784" s="29" t="s">
        <v>1040</v>
      </c>
      <c r="E784" s="29" t="s">
        <v>72</v>
      </c>
      <c r="G784" s="30">
        <v>17.239999999999998</v>
      </c>
      <c r="H784" s="63"/>
      <c r="N784" s="31"/>
    </row>
    <row r="785" spans="1:74" ht="14.4" x14ac:dyDescent="0.3">
      <c r="A785" s="28"/>
      <c r="D785" s="29" t="s">
        <v>1041</v>
      </c>
      <c r="E785" s="29" t="s">
        <v>180</v>
      </c>
      <c r="G785" s="30">
        <v>25.4</v>
      </c>
      <c r="H785" s="63"/>
      <c r="N785" s="31"/>
    </row>
    <row r="786" spans="1:74" ht="14.4" x14ac:dyDescent="0.3">
      <c r="A786" s="28"/>
      <c r="D786" s="29" t="s">
        <v>1042</v>
      </c>
      <c r="E786" s="29" t="s">
        <v>182</v>
      </c>
      <c r="G786" s="30">
        <v>14.14</v>
      </c>
      <c r="H786" s="63"/>
      <c r="N786" s="31"/>
    </row>
    <row r="787" spans="1:74" ht="14.4" x14ac:dyDescent="0.3">
      <c r="A787" s="2" t="s">
        <v>1043</v>
      </c>
      <c r="B787" s="3" t="s">
        <v>510</v>
      </c>
      <c r="C787" s="3" t="s">
        <v>1044</v>
      </c>
      <c r="D787" s="112" t="s">
        <v>1045</v>
      </c>
      <c r="E787" s="109"/>
      <c r="F787" s="3" t="s">
        <v>278</v>
      </c>
      <c r="G787" s="25">
        <v>2.0162300000000002</v>
      </c>
      <c r="H787" s="62"/>
      <c r="I787" s="25">
        <f>ROUND(G787*AM787,2)</f>
        <v>0</v>
      </c>
      <c r="J787" s="25">
        <f>ROUND(G787*AN787,2)</f>
        <v>0</v>
      </c>
      <c r="K787" s="25">
        <f>ROUND(G787*H787,2)</f>
        <v>0</v>
      </c>
      <c r="L787" s="25">
        <v>0</v>
      </c>
      <c r="M787" s="25">
        <f>G787*L787</f>
        <v>0</v>
      </c>
      <c r="N787" s="26"/>
      <c r="X787" s="25">
        <f>ROUND(IF(AO787="5",BH787,0),2)</f>
        <v>0</v>
      </c>
      <c r="Z787" s="25">
        <f>ROUND(IF(AO787="1",BF787,0),2)</f>
        <v>0</v>
      </c>
      <c r="AA787" s="25">
        <f>ROUND(IF(AO787="1",BG787,0),2)</f>
        <v>0</v>
      </c>
      <c r="AB787" s="25">
        <f>ROUND(IF(AO787="7",BF787,0),2)</f>
        <v>0</v>
      </c>
      <c r="AC787" s="25">
        <f>ROUND(IF(AO787="7",BG787,0),2)</f>
        <v>0</v>
      </c>
      <c r="AD787" s="25">
        <f>ROUND(IF(AO787="2",BF787,0),2)</f>
        <v>0</v>
      </c>
      <c r="AE787" s="25">
        <f>ROUND(IF(AO787="2",BG787,0),2)</f>
        <v>0</v>
      </c>
      <c r="AF787" s="25">
        <f>ROUND(IF(AO787="0",BH787,0),2)</f>
        <v>0</v>
      </c>
      <c r="AG787" s="10" t="s">
        <v>510</v>
      </c>
      <c r="AH787" s="25">
        <f>IF(AL787=0,K787,0)</f>
        <v>0</v>
      </c>
      <c r="AI787" s="25">
        <f>IF(AL787=12,K787,0)</f>
        <v>0</v>
      </c>
      <c r="AJ787" s="25">
        <f>IF(AL787=21,K787,0)</f>
        <v>0</v>
      </c>
      <c r="AL787" s="25">
        <v>21</v>
      </c>
      <c r="AM787" s="25">
        <f>H787*0</f>
        <v>0</v>
      </c>
      <c r="AN787" s="25">
        <f>H787*(1-0)</f>
        <v>0</v>
      </c>
      <c r="AO787" s="27" t="s">
        <v>97</v>
      </c>
      <c r="AT787" s="25">
        <f>ROUND(AU787+AV787,2)</f>
        <v>0</v>
      </c>
      <c r="AU787" s="25">
        <f>ROUND(G787*AM787,2)</f>
        <v>0</v>
      </c>
      <c r="AV787" s="25">
        <f>ROUND(G787*AN787,2)</f>
        <v>0</v>
      </c>
      <c r="AW787" s="27" t="s">
        <v>1014</v>
      </c>
      <c r="AX787" s="27" t="s">
        <v>1015</v>
      </c>
      <c r="AY787" s="10" t="s">
        <v>518</v>
      </c>
      <c r="BA787" s="25">
        <f>AU787+AV787</f>
        <v>0</v>
      </c>
      <c r="BB787" s="25">
        <f>H787/(100-BC787)*100</f>
        <v>0</v>
      </c>
      <c r="BC787" s="25">
        <v>0</v>
      </c>
      <c r="BD787" s="25">
        <f>M787</f>
        <v>0</v>
      </c>
      <c r="BF787" s="25">
        <f>G787*AM787</f>
        <v>0</v>
      </c>
      <c r="BG787" s="25">
        <f>G787*AN787</f>
        <v>0</v>
      </c>
      <c r="BH787" s="25">
        <f>G787*H787</f>
        <v>0</v>
      </c>
      <c r="BI787" s="27" t="s">
        <v>65</v>
      </c>
      <c r="BJ787" s="25">
        <v>781</v>
      </c>
      <c r="BU787" s="25" t="e">
        <f>#REF!</f>
        <v>#REF!</v>
      </c>
      <c r="BV787" s="4" t="s">
        <v>1045</v>
      </c>
    </row>
    <row r="788" spans="1:74" ht="14.4" x14ac:dyDescent="0.3">
      <c r="A788" s="28"/>
      <c r="D788" s="29" t="s">
        <v>1046</v>
      </c>
      <c r="E788" s="29" t="s">
        <v>52</v>
      </c>
      <c r="G788" s="30">
        <v>6.0970000000000004</v>
      </c>
      <c r="H788" s="63"/>
      <c r="N788" s="31"/>
    </row>
    <row r="789" spans="1:74" ht="14.4" x14ac:dyDescent="0.3">
      <c r="A789" s="21" t="s">
        <v>52</v>
      </c>
      <c r="B789" s="22" t="s">
        <v>510</v>
      </c>
      <c r="C789" s="22" t="s">
        <v>349</v>
      </c>
      <c r="D789" s="170" t="s">
        <v>350</v>
      </c>
      <c r="E789" s="171"/>
      <c r="F789" s="23" t="s">
        <v>32</v>
      </c>
      <c r="G789" s="23" t="s">
        <v>32</v>
      </c>
      <c r="H789" s="64"/>
      <c r="I789" s="1">
        <f>SUM(I790:I810)</f>
        <v>0</v>
      </c>
      <c r="J789" s="1">
        <f>SUM(J790:J810)</f>
        <v>0</v>
      </c>
      <c r="K789" s="1">
        <f>SUM(K790:K810)</f>
        <v>0</v>
      </c>
      <c r="L789" s="10" t="s">
        <v>52</v>
      </c>
      <c r="M789" s="1">
        <f>SUM(M790:M810)</f>
        <v>0.20103236999999999</v>
      </c>
      <c r="N789" s="24"/>
      <c r="AG789" s="10" t="s">
        <v>510</v>
      </c>
      <c r="AQ789" s="1">
        <f>SUM(AH790:AH810)</f>
        <v>0</v>
      </c>
      <c r="AR789" s="1">
        <f>SUM(AI790:AI810)</f>
        <v>0</v>
      </c>
      <c r="AS789" s="1">
        <f>SUM(AJ790:AJ810)</f>
        <v>0</v>
      </c>
    </row>
    <row r="790" spans="1:74" ht="14.4" x14ac:dyDescent="0.3">
      <c r="A790" s="2" t="s">
        <v>1047</v>
      </c>
      <c r="B790" s="3" t="s">
        <v>510</v>
      </c>
      <c r="C790" s="3" t="s">
        <v>1048</v>
      </c>
      <c r="D790" s="112" t="s">
        <v>1049</v>
      </c>
      <c r="E790" s="109"/>
      <c r="F790" s="3" t="s">
        <v>60</v>
      </c>
      <c r="G790" s="25">
        <v>319.09899999999999</v>
      </c>
      <c r="H790" s="62"/>
      <c r="I790" s="25">
        <f>ROUND(G790*AM790,2)</f>
        <v>0</v>
      </c>
      <c r="J790" s="25">
        <f>ROUND(G790*AN790,2)</f>
        <v>0</v>
      </c>
      <c r="K790" s="25">
        <f>ROUND(G790*H790,2)</f>
        <v>0</v>
      </c>
      <c r="L790" s="25">
        <v>1.7000000000000001E-4</v>
      </c>
      <c r="M790" s="25">
        <f>G790*L790</f>
        <v>5.4246830000000003E-2</v>
      </c>
      <c r="N790" s="26"/>
      <c r="X790" s="25">
        <f>ROUND(IF(AO790="5",BH790,0),2)</f>
        <v>0</v>
      </c>
      <c r="Z790" s="25">
        <f>ROUND(IF(AO790="1",BF790,0),2)</f>
        <v>0</v>
      </c>
      <c r="AA790" s="25">
        <f>ROUND(IF(AO790="1",BG790,0),2)</f>
        <v>0</v>
      </c>
      <c r="AB790" s="25">
        <f>ROUND(IF(AO790="7",BF790,0),2)</f>
        <v>0</v>
      </c>
      <c r="AC790" s="25">
        <f>ROUND(IF(AO790="7",BG790,0),2)</f>
        <v>0</v>
      </c>
      <c r="AD790" s="25">
        <f>ROUND(IF(AO790="2",BF790,0),2)</f>
        <v>0</v>
      </c>
      <c r="AE790" s="25">
        <f>ROUND(IF(AO790="2",BG790,0),2)</f>
        <v>0</v>
      </c>
      <c r="AF790" s="25">
        <f>ROUND(IF(AO790="0",BH790,0),2)</f>
        <v>0</v>
      </c>
      <c r="AG790" s="10" t="s">
        <v>510</v>
      </c>
      <c r="AH790" s="25">
        <f>IF(AL790=0,K790,0)</f>
        <v>0</v>
      </c>
      <c r="AI790" s="25">
        <f>IF(AL790=12,K790,0)</f>
        <v>0</v>
      </c>
      <c r="AJ790" s="25">
        <f>IF(AL790=21,K790,0)</f>
        <v>0</v>
      </c>
      <c r="AL790" s="25">
        <v>21</v>
      </c>
      <c r="AM790" s="25">
        <f>H790*0.283203553</f>
        <v>0</v>
      </c>
      <c r="AN790" s="25">
        <f>H790*(1-0.283203553)</f>
        <v>0</v>
      </c>
      <c r="AO790" s="27" t="s">
        <v>61</v>
      </c>
      <c r="AT790" s="25">
        <f>ROUND(AU790+AV790,2)</f>
        <v>0</v>
      </c>
      <c r="AU790" s="25">
        <f>ROUND(G790*AM790,2)</f>
        <v>0</v>
      </c>
      <c r="AV790" s="25">
        <f>ROUND(G790*AN790,2)</f>
        <v>0</v>
      </c>
      <c r="AW790" s="27" t="s">
        <v>354</v>
      </c>
      <c r="AX790" s="27" t="s">
        <v>1015</v>
      </c>
      <c r="AY790" s="10" t="s">
        <v>518</v>
      </c>
      <c r="BA790" s="25">
        <f>AU790+AV790</f>
        <v>0</v>
      </c>
      <c r="BB790" s="25">
        <f>H790/(100-BC790)*100</f>
        <v>0</v>
      </c>
      <c r="BC790" s="25">
        <v>0</v>
      </c>
      <c r="BD790" s="25">
        <f>M790</f>
        <v>5.4246830000000003E-2</v>
      </c>
      <c r="BF790" s="25">
        <f>G790*AM790</f>
        <v>0</v>
      </c>
      <c r="BG790" s="25">
        <f>G790*AN790</f>
        <v>0</v>
      </c>
      <c r="BH790" s="25">
        <f>G790*H790</f>
        <v>0</v>
      </c>
      <c r="BI790" s="27" t="s">
        <v>65</v>
      </c>
      <c r="BJ790" s="25">
        <v>784</v>
      </c>
      <c r="BU790" s="25" t="e">
        <f>#REF!</f>
        <v>#REF!</v>
      </c>
      <c r="BV790" s="4" t="s">
        <v>1049</v>
      </c>
    </row>
    <row r="791" spans="1:74" ht="14.4" x14ac:dyDescent="0.3">
      <c r="A791" s="28"/>
      <c r="D791" s="29" t="s">
        <v>1050</v>
      </c>
      <c r="E791" s="29" t="s">
        <v>1051</v>
      </c>
      <c r="G791" s="30">
        <v>0</v>
      </c>
      <c r="H791" s="63"/>
      <c r="N791" s="31"/>
    </row>
    <row r="792" spans="1:74" ht="14.4" x14ac:dyDescent="0.3">
      <c r="A792" s="28"/>
      <c r="D792" s="29" t="s">
        <v>667</v>
      </c>
      <c r="E792" s="29" t="s">
        <v>170</v>
      </c>
      <c r="G792" s="30">
        <v>14.2</v>
      </c>
      <c r="H792" s="63"/>
      <c r="N792" s="31"/>
    </row>
    <row r="793" spans="1:74" ht="14.4" x14ac:dyDescent="0.3">
      <c r="A793" s="28"/>
      <c r="D793" s="29" t="s">
        <v>668</v>
      </c>
      <c r="E793" s="29" t="s">
        <v>163</v>
      </c>
      <c r="G793" s="30">
        <v>16.77</v>
      </c>
      <c r="H793" s="63"/>
      <c r="N793" s="31"/>
    </row>
    <row r="794" spans="1:74" ht="14.4" x14ac:dyDescent="0.3">
      <c r="A794" s="28"/>
      <c r="D794" s="29" t="s">
        <v>669</v>
      </c>
      <c r="E794" s="29" t="s">
        <v>69</v>
      </c>
      <c r="G794" s="30">
        <v>9.9</v>
      </c>
      <c r="H794" s="63"/>
      <c r="N794" s="31"/>
    </row>
    <row r="795" spans="1:74" ht="14.4" x14ac:dyDescent="0.3">
      <c r="A795" s="28"/>
      <c r="D795" s="29" t="s">
        <v>172</v>
      </c>
      <c r="E795" s="29" t="s">
        <v>70</v>
      </c>
      <c r="G795" s="30">
        <v>19.670000000000002</v>
      </c>
      <c r="H795" s="63"/>
      <c r="N795" s="31"/>
    </row>
    <row r="796" spans="1:74" ht="14.4" x14ac:dyDescent="0.3">
      <c r="A796" s="28"/>
      <c r="D796" s="29" t="s">
        <v>173</v>
      </c>
      <c r="E796" s="29" t="s">
        <v>174</v>
      </c>
      <c r="G796" s="30">
        <v>5.42</v>
      </c>
      <c r="H796" s="63"/>
      <c r="N796" s="31"/>
    </row>
    <row r="797" spans="1:74" ht="14.4" x14ac:dyDescent="0.3">
      <c r="A797" s="28"/>
      <c r="D797" s="29" t="s">
        <v>670</v>
      </c>
      <c r="E797" s="29" t="s">
        <v>180</v>
      </c>
      <c r="G797" s="30">
        <v>3</v>
      </c>
      <c r="H797" s="63"/>
      <c r="N797" s="31"/>
    </row>
    <row r="798" spans="1:74" ht="14.4" x14ac:dyDescent="0.3">
      <c r="A798" s="28"/>
      <c r="D798" s="29" t="s">
        <v>181</v>
      </c>
      <c r="E798" s="29" t="s">
        <v>182</v>
      </c>
      <c r="G798" s="30">
        <v>1.37</v>
      </c>
      <c r="H798" s="63"/>
      <c r="N798" s="31"/>
    </row>
    <row r="799" spans="1:74" ht="14.4" x14ac:dyDescent="0.3">
      <c r="A799" s="28"/>
      <c r="D799" s="29" t="s">
        <v>183</v>
      </c>
      <c r="E799" s="29" t="s">
        <v>72</v>
      </c>
      <c r="G799" s="30">
        <v>2.7</v>
      </c>
      <c r="H799" s="63"/>
      <c r="N799" s="31"/>
    </row>
    <row r="800" spans="1:74" ht="14.4" x14ac:dyDescent="0.3">
      <c r="A800" s="28"/>
      <c r="D800" s="29" t="s">
        <v>1050</v>
      </c>
      <c r="E800" s="29" t="s">
        <v>1052</v>
      </c>
      <c r="G800" s="30">
        <v>0</v>
      </c>
      <c r="H800" s="63"/>
      <c r="N800" s="31"/>
    </row>
    <row r="801" spans="1:74" ht="14.4" x14ac:dyDescent="0.3">
      <c r="A801" s="28"/>
      <c r="D801" s="29" t="s">
        <v>685</v>
      </c>
      <c r="E801" s="29" t="s">
        <v>170</v>
      </c>
      <c r="G801" s="30">
        <v>48.140999999999998</v>
      </c>
      <c r="H801" s="63"/>
      <c r="N801" s="31"/>
    </row>
    <row r="802" spans="1:74" ht="14.4" x14ac:dyDescent="0.3">
      <c r="A802" s="28"/>
      <c r="D802" s="29" t="s">
        <v>686</v>
      </c>
      <c r="E802" s="29" t="s">
        <v>163</v>
      </c>
      <c r="G802" s="30">
        <v>53.42</v>
      </c>
      <c r="H802" s="63"/>
      <c r="N802" s="31"/>
    </row>
    <row r="803" spans="1:74" ht="14.4" x14ac:dyDescent="0.3">
      <c r="A803" s="28"/>
      <c r="D803" s="29" t="s">
        <v>687</v>
      </c>
      <c r="E803" s="29" t="s">
        <v>69</v>
      </c>
      <c r="G803" s="30">
        <v>14.662000000000001</v>
      </c>
      <c r="H803" s="63"/>
      <c r="N803" s="31"/>
    </row>
    <row r="804" spans="1:74" ht="14.4" x14ac:dyDescent="0.3">
      <c r="A804" s="28"/>
      <c r="D804" s="29" t="s">
        <v>688</v>
      </c>
      <c r="E804" s="29" t="s">
        <v>70</v>
      </c>
      <c r="G804" s="30">
        <v>33.651000000000003</v>
      </c>
      <c r="H804" s="63"/>
      <c r="N804" s="31"/>
    </row>
    <row r="805" spans="1:74" ht="14.4" x14ac:dyDescent="0.3">
      <c r="A805" s="28"/>
      <c r="D805" s="29" t="s">
        <v>689</v>
      </c>
      <c r="E805" s="29" t="s">
        <v>174</v>
      </c>
      <c r="G805" s="30">
        <v>31.827999999999999</v>
      </c>
      <c r="H805" s="63"/>
      <c r="N805" s="31"/>
    </row>
    <row r="806" spans="1:74" ht="14.4" x14ac:dyDescent="0.3">
      <c r="A806" s="28"/>
      <c r="D806" s="29" t="s">
        <v>690</v>
      </c>
      <c r="E806" s="29" t="s">
        <v>180</v>
      </c>
      <c r="G806" s="30">
        <v>7.8879999999999999</v>
      </c>
      <c r="H806" s="63"/>
      <c r="N806" s="31"/>
    </row>
    <row r="807" spans="1:74" ht="14.4" x14ac:dyDescent="0.3">
      <c r="A807" s="28"/>
      <c r="D807" s="29" t="s">
        <v>691</v>
      </c>
      <c r="E807" s="29" t="s">
        <v>182</v>
      </c>
      <c r="G807" s="30">
        <v>8.0660000000000007</v>
      </c>
      <c r="H807" s="63"/>
      <c r="N807" s="31"/>
    </row>
    <row r="808" spans="1:74" ht="14.4" x14ac:dyDescent="0.3">
      <c r="A808" s="28"/>
      <c r="D808" s="29" t="s">
        <v>692</v>
      </c>
      <c r="E808" s="29" t="s">
        <v>72</v>
      </c>
      <c r="G808" s="30">
        <v>11.361000000000001</v>
      </c>
      <c r="H808" s="63"/>
      <c r="N808" s="31"/>
    </row>
    <row r="809" spans="1:74" ht="14.4" x14ac:dyDescent="0.3">
      <c r="A809" s="28"/>
      <c r="D809" s="29" t="s">
        <v>693</v>
      </c>
      <c r="E809" s="29" t="s">
        <v>112</v>
      </c>
      <c r="G809" s="30">
        <v>37.052</v>
      </c>
      <c r="H809" s="63"/>
      <c r="N809" s="31"/>
    </row>
    <row r="810" spans="1:74" ht="14.4" x14ac:dyDescent="0.3">
      <c r="A810" s="2" t="s">
        <v>1053</v>
      </c>
      <c r="B810" s="3" t="s">
        <v>510</v>
      </c>
      <c r="C810" s="3" t="s">
        <v>1054</v>
      </c>
      <c r="D810" s="112" t="s">
        <v>1055</v>
      </c>
      <c r="E810" s="109"/>
      <c r="F810" s="3" t="s">
        <v>60</v>
      </c>
      <c r="G810" s="25">
        <v>319.09899999999999</v>
      </c>
      <c r="H810" s="62"/>
      <c r="I810" s="25">
        <f>ROUND(G810*AM810,2)</f>
        <v>0</v>
      </c>
      <c r="J810" s="25">
        <f>ROUND(G810*AN810,2)</f>
        <v>0</v>
      </c>
      <c r="K810" s="25">
        <f>ROUND(G810*H810,2)</f>
        <v>0</v>
      </c>
      <c r="L810" s="25">
        <v>4.6000000000000001E-4</v>
      </c>
      <c r="M810" s="25">
        <f>G810*L810</f>
        <v>0.14678553999999999</v>
      </c>
      <c r="N810" s="26"/>
      <c r="X810" s="25">
        <f>ROUND(IF(AO810="5",BH810,0),2)</f>
        <v>0</v>
      </c>
      <c r="Z810" s="25">
        <f>ROUND(IF(AO810="1",BF810,0),2)</f>
        <v>0</v>
      </c>
      <c r="AA810" s="25">
        <f>ROUND(IF(AO810="1",BG810,0),2)</f>
        <v>0</v>
      </c>
      <c r="AB810" s="25">
        <f>ROUND(IF(AO810="7",BF810,0),2)</f>
        <v>0</v>
      </c>
      <c r="AC810" s="25">
        <f>ROUND(IF(AO810="7",BG810,0),2)</f>
        <v>0</v>
      </c>
      <c r="AD810" s="25">
        <f>ROUND(IF(AO810="2",BF810,0),2)</f>
        <v>0</v>
      </c>
      <c r="AE810" s="25">
        <f>ROUND(IF(AO810="2",BG810,0),2)</f>
        <v>0</v>
      </c>
      <c r="AF810" s="25">
        <f>ROUND(IF(AO810="0",BH810,0),2)</f>
        <v>0</v>
      </c>
      <c r="AG810" s="10" t="s">
        <v>510</v>
      </c>
      <c r="AH810" s="25">
        <f>IF(AL810=0,K810,0)</f>
        <v>0</v>
      </c>
      <c r="AI810" s="25">
        <f>IF(AL810=12,K810,0)</f>
        <v>0</v>
      </c>
      <c r="AJ810" s="25">
        <f>IF(AL810=21,K810,0)</f>
        <v>0</v>
      </c>
      <c r="AL810" s="25">
        <v>21</v>
      </c>
      <c r="AM810" s="25">
        <f>H810*0.253316087</f>
        <v>0</v>
      </c>
      <c r="AN810" s="25">
        <f>H810*(1-0.253316087)</f>
        <v>0</v>
      </c>
      <c r="AO810" s="27" t="s">
        <v>61</v>
      </c>
      <c r="AT810" s="25">
        <f>ROUND(AU810+AV810,2)</f>
        <v>0</v>
      </c>
      <c r="AU810" s="25">
        <f>ROUND(G810*AM810,2)</f>
        <v>0</v>
      </c>
      <c r="AV810" s="25">
        <f>ROUND(G810*AN810,2)</f>
        <v>0</v>
      </c>
      <c r="AW810" s="27" t="s">
        <v>354</v>
      </c>
      <c r="AX810" s="27" t="s">
        <v>1015</v>
      </c>
      <c r="AY810" s="10" t="s">
        <v>518</v>
      </c>
      <c r="BA810" s="25">
        <f>AU810+AV810</f>
        <v>0</v>
      </c>
      <c r="BB810" s="25">
        <f>H810/(100-BC810)*100</f>
        <v>0</v>
      </c>
      <c r="BC810" s="25">
        <v>0</v>
      </c>
      <c r="BD810" s="25">
        <f>M810</f>
        <v>0.14678553999999999</v>
      </c>
      <c r="BF810" s="25">
        <f>G810*AM810</f>
        <v>0</v>
      </c>
      <c r="BG810" s="25">
        <f>G810*AN810</f>
        <v>0</v>
      </c>
      <c r="BH810" s="25">
        <f>G810*H810</f>
        <v>0</v>
      </c>
      <c r="BI810" s="27" t="s">
        <v>65</v>
      </c>
      <c r="BJ810" s="25">
        <v>784</v>
      </c>
      <c r="BU810" s="25" t="e">
        <f>#REF!</f>
        <v>#REF!</v>
      </c>
      <c r="BV810" s="4" t="s">
        <v>1055</v>
      </c>
    </row>
    <row r="811" spans="1:74" ht="14.4" x14ac:dyDescent="0.3">
      <c r="A811" s="28"/>
      <c r="D811" s="29" t="s">
        <v>1050</v>
      </c>
      <c r="E811" s="29" t="s">
        <v>1051</v>
      </c>
      <c r="G811" s="30">
        <v>0</v>
      </c>
      <c r="H811" s="63"/>
      <c r="N811" s="31"/>
    </row>
    <row r="812" spans="1:74" ht="14.4" x14ac:dyDescent="0.3">
      <c r="A812" s="28"/>
      <c r="D812" s="29" t="s">
        <v>667</v>
      </c>
      <c r="E812" s="29" t="s">
        <v>170</v>
      </c>
      <c r="G812" s="30">
        <v>14.2</v>
      </c>
      <c r="H812" s="63"/>
      <c r="N812" s="31"/>
    </row>
    <row r="813" spans="1:74" ht="14.4" x14ac:dyDescent="0.3">
      <c r="A813" s="28"/>
      <c r="D813" s="29" t="s">
        <v>668</v>
      </c>
      <c r="E813" s="29" t="s">
        <v>163</v>
      </c>
      <c r="G813" s="30">
        <v>16.77</v>
      </c>
      <c r="H813" s="63"/>
      <c r="N813" s="31"/>
    </row>
    <row r="814" spans="1:74" ht="14.4" x14ac:dyDescent="0.3">
      <c r="A814" s="28"/>
      <c r="D814" s="29" t="s">
        <v>669</v>
      </c>
      <c r="E814" s="29" t="s">
        <v>69</v>
      </c>
      <c r="G814" s="30">
        <v>9.9</v>
      </c>
      <c r="H814" s="63"/>
      <c r="N814" s="31"/>
    </row>
    <row r="815" spans="1:74" ht="14.4" x14ac:dyDescent="0.3">
      <c r="A815" s="28"/>
      <c r="D815" s="29" t="s">
        <v>172</v>
      </c>
      <c r="E815" s="29" t="s">
        <v>70</v>
      </c>
      <c r="G815" s="30">
        <v>19.670000000000002</v>
      </c>
      <c r="H815" s="63"/>
      <c r="N815" s="31"/>
    </row>
    <row r="816" spans="1:74" ht="14.4" x14ac:dyDescent="0.3">
      <c r="A816" s="28"/>
      <c r="D816" s="29" t="s">
        <v>173</v>
      </c>
      <c r="E816" s="29" t="s">
        <v>174</v>
      </c>
      <c r="G816" s="30">
        <v>5.42</v>
      </c>
      <c r="H816" s="63"/>
      <c r="N816" s="31"/>
    </row>
    <row r="817" spans="1:74" ht="14.4" x14ac:dyDescent="0.3">
      <c r="A817" s="28"/>
      <c r="D817" s="29" t="s">
        <v>670</v>
      </c>
      <c r="E817" s="29" t="s">
        <v>180</v>
      </c>
      <c r="G817" s="30">
        <v>3</v>
      </c>
      <c r="H817" s="63"/>
      <c r="N817" s="31"/>
    </row>
    <row r="818" spans="1:74" ht="14.4" x14ac:dyDescent="0.3">
      <c r="A818" s="28"/>
      <c r="D818" s="29" t="s">
        <v>181</v>
      </c>
      <c r="E818" s="29" t="s">
        <v>182</v>
      </c>
      <c r="G818" s="30">
        <v>1.37</v>
      </c>
      <c r="H818" s="63"/>
      <c r="N818" s="31"/>
    </row>
    <row r="819" spans="1:74" ht="14.4" x14ac:dyDescent="0.3">
      <c r="A819" s="28"/>
      <c r="D819" s="29" t="s">
        <v>183</v>
      </c>
      <c r="E819" s="29" t="s">
        <v>72</v>
      </c>
      <c r="G819" s="30">
        <v>2.7</v>
      </c>
      <c r="H819" s="63"/>
      <c r="N819" s="31"/>
    </row>
    <row r="820" spans="1:74" ht="14.4" x14ac:dyDescent="0.3">
      <c r="A820" s="28"/>
      <c r="D820" s="29" t="s">
        <v>1050</v>
      </c>
      <c r="E820" s="29" t="s">
        <v>1052</v>
      </c>
      <c r="G820" s="30">
        <v>0</v>
      </c>
      <c r="H820" s="63"/>
      <c r="N820" s="31"/>
    </row>
    <row r="821" spans="1:74" ht="14.4" x14ac:dyDescent="0.3">
      <c r="A821" s="28"/>
      <c r="D821" s="29" t="s">
        <v>685</v>
      </c>
      <c r="E821" s="29" t="s">
        <v>170</v>
      </c>
      <c r="G821" s="30">
        <v>48.140999999999998</v>
      </c>
      <c r="H821" s="63"/>
      <c r="N821" s="31"/>
    </row>
    <row r="822" spans="1:74" ht="14.4" x14ac:dyDescent="0.3">
      <c r="A822" s="28"/>
      <c r="D822" s="29" t="s">
        <v>686</v>
      </c>
      <c r="E822" s="29" t="s">
        <v>163</v>
      </c>
      <c r="G822" s="30">
        <v>53.42</v>
      </c>
      <c r="H822" s="63"/>
      <c r="N822" s="31"/>
    </row>
    <row r="823" spans="1:74" ht="14.4" x14ac:dyDescent="0.3">
      <c r="A823" s="28"/>
      <c r="D823" s="29" t="s">
        <v>687</v>
      </c>
      <c r="E823" s="29" t="s">
        <v>69</v>
      </c>
      <c r="G823" s="30">
        <v>14.662000000000001</v>
      </c>
      <c r="H823" s="63"/>
      <c r="N823" s="31"/>
    </row>
    <row r="824" spans="1:74" ht="14.4" x14ac:dyDescent="0.3">
      <c r="A824" s="28"/>
      <c r="D824" s="29" t="s">
        <v>688</v>
      </c>
      <c r="E824" s="29" t="s">
        <v>70</v>
      </c>
      <c r="G824" s="30">
        <v>33.651000000000003</v>
      </c>
      <c r="H824" s="63"/>
      <c r="N824" s="31"/>
    </row>
    <row r="825" spans="1:74" ht="14.4" x14ac:dyDescent="0.3">
      <c r="A825" s="28"/>
      <c r="D825" s="29" t="s">
        <v>689</v>
      </c>
      <c r="E825" s="29" t="s">
        <v>174</v>
      </c>
      <c r="G825" s="30">
        <v>31.827999999999999</v>
      </c>
      <c r="H825" s="63"/>
      <c r="N825" s="31"/>
    </row>
    <row r="826" spans="1:74" ht="14.4" x14ac:dyDescent="0.3">
      <c r="A826" s="28"/>
      <c r="D826" s="29" t="s">
        <v>690</v>
      </c>
      <c r="E826" s="29" t="s">
        <v>180</v>
      </c>
      <c r="G826" s="30">
        <v>7.8879999999999999</v>
      </c>
      <c r="H826" s="63"/>
      <c r="N826" s="31"/>
    </row>
    <row r="827" spans="1:74" ht="14.4" x14ac:dyDescent="0.3">
      <c r="A827" s="28"/>
      <c r="D827" s="29" t="s">
        <v>691</v>
      </c>
      <c r="E827" s="29" t="s">
        <v>182</v>
      </c>
      <c r="G827" s="30">
        <v>8.0660000000000007</v>
      </c>
      <c r="H827" s="63"/>
      <c r="N827" s="31"/>
    </row>
    <row r="828" spans="1:74" ht="14.4" x14ac:dyDescent="0.3">
      <c r="A828" s="28"/>
      <c r="D828" s="29" t="s">
        <v>692</v>
      </c>
      <c r="E828" s="29" t="s">
        <v>72</v>
      </c>
      <c r="G828" s="30">
        <v>11.361000000000001</v>
      </c>
      <c r="H828" s="63"/>
      <c r="N828" s="31"/>
    </row>
    <row r="829" spans="1:74" ht="14.4" x14ac:dyDescent="0.3">
      <c r="A829" s="28"/>
      <c r="D829" s="29" t="s">
        <v>693</v>
      </c>
      <c r="E829" s="29" t="s">
        <v>112</v>
      </c>
      <c r="G829" s="30">
        <v>37.052</v>
      </c>
      <c r="H829" s="63"/>
      <c r="N829" s="31"/>
    </row>
    <row r="830" spans="1:74" ht="14.4" x14ac:dyDescent="0.3">
      <c r="A830" s="21" t="s">
        <v>52</v>
      </c>
      <c r="B830" s="22" t="s">
        <v>510</v>
      </c>
      <c r="C830" s="22" t="s">
        <v>561</v>
      </c>
      <c r="D830" s="170" t="s">
        <v>1056</v>
      </c>
      <c r="E830" s="171"/>
      <c r="F830" s="23" t="s">
        <v>32</v>
      </c>
      <c r="G830" s="23" t="s">
        <v>32</v>
      </c>
      <c r="H830" s="64"/>
      <c r="I830" s="1">
        <f>SUM(I831:I831)</f>
        <v>0</v>
      </c>
      <c r="J830" s="1">
        <f>SUM(J831:J831)</f>
        <v>0</v>
      </c>
      <c r="K830" s="1">
        <f>SUM(K831:K831)</f>
        <v>0</v>
      </c>
      <c r="L830" s="10" t="s">
        <v>52</v>
      </c>
      <c r="M830" s="1">
        <f>SUM(M831:M831)</f>
        <v>0</v>
      </c>
      <c r="N830" s="24"/>
      <c r="AG830" s="10" t="s">
        <v>510</v>
      </c>
      <c r="AQ830" s="1">
        <f>SUM(AH831:AH831)</f>
        <v>0</v>
      </c>
      <c r="AR830" s="1">
        <f>SUM(AI831:AI831)</f>
        <v>0</v>
      </c>
      <c r="AS830" s="1">
        <f>SUM(AJ831:AJ831)</f>
        <v>0</v>
      </c>
    </row>
    <row r="831" spans="1:74" ht="14.4" x14ac:dyDescent="0.3">
      <c r="A831" s="2" t="s">
        <v>1057</v>
      </c>
      <c r="B831" s="3" t="s">
        <v>510</v>
      </c>
      <c r="C831" s="3" t="s">
        <v>1058</v>
      </c>
      <c r="D831" s="112" t="s">
        <v>1059</v>
      </c>
      <c r="E831" s="109"/>
      <c r="F831" s="3" t="s">
        <v>115</v>
      </c>
      <c r="G831" s="25">
        <v>70</v>
      </c>
      <c r="H831" s="62"/>
      <c r="I831" s="25">
        <f>ROUND(G831*AM831,2)</f>
        <v>0</v>
      </c>
      <c r="J831" s="25">
        <f>ROUND(G831*AN831,2)</f>
        <v>0</v>
      </c>
      <c r="K831" s="25">
        <f>ROUND(G831*H831,2)</f>
        <v>0</v>
      </c>
      <c r="L831" s="25">
        <v>0</v>
      </c>
      <c r="M831" s="25">
        <f>G831*L831</f>
        <v>0</v>
      </c>
      <c r="N831" s="26"/>
      <c r="X831" s="25">
        <f>ROUND(IF(AO831="5",BH831,0),2)</f>
        <v>0</v>
      </c>
      <c r="Z831" s="25">
        <f>ROUND(IF(AO831="1",BF831,0),2)</f>
        <v>0</v>
      </c>
      <c r="AA831" s="25">
        <f>ROUND(IF(AO831="1",BG831,0),2)</f>
        <v>0</v>
      </c>
      <c r="AB831" s="25">
        <f>ROUND(IF(AO831="7",BF831,0),2)</f>
        <v>0</v>
      </c>
      <c r="AC831" s="25">
        <f>ROUND(IF(AO831="7",BG831,0),2)</f>
        <v>0</v>
      </c>
      <c r="AD831" s="25">
        <f>ROUND(IF(AO831="2",BF831,0),2)</f>
        <v>0</v>
      </c>
      <c r="AE831" s="25">
        <f>ROUND(IF(AO831="2",BG831,0),2)</f>
        <v>0</v>
      </c>
      <c r="AF831" s="25">
        <f>ROUND(IF(AO831="0",BH831,0),2)</f>
        <v>0</v>
      </c>
      <c r="AG831" s="10" t="s">
        <v>510</v>
      </c>
      <c r="AH831" s="25">
        <f>IF(AL831=0,K831,0)</f>
        <v>0</v>
      </c>
      <c r="AI831" s="25">
        <f>IF(AL831=12,K831,0)</f>
        <v>0</v>
      </c>
      <c r="AJ831" s="25">
        <f>IF(AL831=21,K831,0)</f>
        <v>0</v>
      </c>
      <c r="AL831" s="25">
        <v>21</v>
      </c>
      <c r="AM831" s="25">
        <f>H831*0.535440181</f>
        <v>0</v>
      </c>
      <c r="AN831" s="25">
        <f>H831*(1-0.535440181)</f>
        <v>0</v>
      </c>
      <c r="AO831" s="27" t="s">
        <v>57</v>
      </c>
      <c r="AT831" s="25">
        <f>ROUND(AU831+AV831,2)</f>
        <v>0</v>
      </c>
      <c r="AU831" s="25">
        <f>ROUND(G831*AM831,2)</f>
        <v>0</v>
      </c>
      <c r="AV831" s="25">
        <f>ROUND(G831*AN831,2)</f>
        <v>0</v>
      </c>
      <c r="AW831" s="27" t="s">
        <v>1060</v>
      </c>
      <c r="AX831" s="27" t="s">
        <v>565</v>
      </c>
      <c r="AY831" s="10" t="s">
        <v>518</v>
      </c>
      <c r="BA831" s="25">
        <f>AU831+AV831</f>
        <v>0</v>
      </c>
      <c r="BB831" s="25">
        <f>H831/(100-BC831)*100</f>
        <v>0</v>
      </c>
      <c r="BC831" s="25">
        <v>0</v>
      </c>
      <c r="BD831" s="25">
        <f>M831</f>
        <v>0</v>
      </c>
      <c r="BF831" s="25">
        <f>G831*AM831</f>
        <v>0</v>
      </c>
      <c r="BG831" s="25">
        <f>G831*AN831</f>
        <v>0</v>
      </c>
      <c r="BH831" s="25">
        <f>G831*H831</f>
        <v>0</v>
      </c>
      <c r="BI831" s="27" t="s">
        <v>65</v>
      </c>
      <c r="BJ831" s="25">
        <v>91</v>
      </c>
      <c r="BU831" s="25" t="e">
        <f>#REF!</f>
        <v>#REF!</v>
      </c>
      <c r="BV831" s="4" t="s">
        <v>1059</v>
      </c>
    </row>
    <row r="832" spans="1:74" ht="14.4" x14ac:dyDescent="0.3">
      <c r="A832" s="28"/>
      <c r="D832" s="29" t="s">
        <v>1061</v>
      </c>
      <c r="E832" s="29" t="s">
        <v>52</v>
      </c>
      <c r="G832" s="30">
        <v>70</v>
      </c>
      <c r="H832" s="63"/>
      <c r="N832" s="31"/>
    </row>
    <row r="833" spans="1:74" ht="14.4" x14ac:dyDescent="0.3">
      <c r="A833" s="21" t="s">
        <v>52</v>
      </c>
      <c r="B833" s="22" t="s">
        <v>510</v>
      </c>
      <c r="C833" s="22" t="s">
        <v>583</v>
      </c>
      <c r="D833" s="170" t="s">
        <v>1062</v>
      </c>
      <c r="E833" s="171"/>
      <c r="F833" s="23" t="s">
        <v>32</v>
      </c>
      <c r="G833" s="23" t="s">
        <v>32</v>
      </c>
      <c r="H833" s="64"/>
      <c r="I833" s="1">
        <f>SUM(I834:I834)</f>
        <v>0</v>
      </c>
      <c r="J833" s="1">
        <f>SUM(J834:J834)</f>
        <v>0</v>
      </c>
      <c r="K833" s="1">
        <f>SUM(K834:K834)</f>
        <v>0</v>
      </c>
      <c r="L833" s="10" t="s">
        <v>52</v>
      </c>
      <c r="M833" s="1">
        <f>SUM(M834:M834)</f>
        <v>0.12956000000000001</v>
      </c>
      <c r="N833" s="24"/>
      <c r="AG833" s="10" t="s">
        <v>510</v>
      </c>
      <c r="AQ833" s="1">
        <f>SUM(AH834:AH834)</f>
        <v>0</v>
      </c>
      <c r="AR833" s="1">
        <f>SUM(AI834:AI834)</f>
        <v>0</v>
      </c>
      <c r="AS833" s="1">
        <f>SUM(AJ834:AJ834)</f>
        <v>0</v>
      </c>
    </row>
    <row r="834" spans="1:74" ht="14.4" x14ac:dyDescent="0.3">
      <c r="A834" s="2" t="s">
        <v>1063</v>
      </c>
      <c r="B834" s="3" t="s">
        <v>510</v>
      </c>
      <c r="C834" s="3" t="s">
        <v>1064</v>
      </c>
      <c r="D834" s="112" t="s">
        <v>1065</v>
      </c>
      <c r="E834" s="109"/>
      <c r="F834" s="3" t="s">
        <v>60</v>
      </c>
      <c r="G834" s="25">
        <v>82</v>
      </c>
      <c r="H834" s="62"/>
      <c r="I834" s="25">
        <f>ROUND(G834*AM834,2)</f>
        <v>0</v>
      </c>
      <c r="J834" s="25">
        <f>ROUND(G834*AN834,2)</f>
        <v>0</v>
      </c>
      <c r="K834" s="25">
        <f>ROUND(G834*H834,2)</f>
        <v>0</v>
      </c>
      <c r="L834" s="25">
        <v>1.58E-3</v>
      </c>
      <c r="M834" s="25">
        <f>G834*L834</f>
        <v>0.12956000000000001</v>
      </c>
      <c r="N834" s="26"/>
      <c r="X834" s="25">
        <f>ROUND(IF(AO834="5",BH834,0),2)</f>
        <v>0</v>
      </c>
      <c r="Z834" s="25">
        <f>ROUND(IF(AO834="1",BF834,0),2)</f>
        <v>0</v>
      </c>
      <c r="AA834" s="25">
        <f>ROUND(IF(AO834="1",BG834,0),2)</f>
        <v>0</v>
      </c>
      <c r="AB834" s="25">
        <f>ROUND(IF(AO834="7",BF834,0),2)</f>
        <v>0</v>
      </c>
      <c r="AC834" s="25">
        <f>ROUND(IF(AO834="7",BG834,0),2)</f>
        <v>0</v>
      </c>
      <c r="AD834" s="25">
        <f>ROUND(IF(AO834="2",BF834,0),2)</f>
        <v>0</v>
      </c>
      <c r="AE834" s="25">
        <f>ROUND(IF(AO834="2",BG834,0),2)</f>
        <v>0</v>
      </c>
      <c r="AF834" s="25">
        <f>ROUND(IF(AO834="0",BH834,0),2)</f>
        <v>0</v>
      </c>
      <c r="AG834" s="10" t="s">
        <v>510</v>
      </c>
      <c r="AH834" s="25">
        <f>IF(AL834=0,K834,0)</f>
        <v>0</v>
      </c>
      <c r="AI834" s="25">
        <f>IF(AL834=12,K834,0)</f>
        <v>0</v>
      </c>
      <c r="AJ834" s="25">
        <f>IF(AL834=21,K834,0)</f>
        <v>0</v>
      </c>
      <c r="AL834" s="25">
        <v>21</v>
      </c>
      <c r="AM834" s="25">
        <f>H834*0.407753936</f>
        <v>0</v>
      </c>
      <c r="AN834" s="25">
        <f>H834*(1-0.407753936)</f>
        <v>0</v>
      </c>
      <c r="AO834" s="27" t="s">
        <v>57</v>
      </c>
      <c r="AT834" s="25">
        <f>ROUND(AU834+AV834,2)</f>
        <v>0</v>
      </c>
      <c r="AU834" s="25">
        <f>ROUND(G834*AM834,2)</f>
        <v>0</v>
      </c>
      <c r="AV834" s="25">
        <f>ROUND(G834*AN834,2)</f>
        <v>0</v>
      </c>
      <c r="AW834" s="27" t="s">
        <v>1066</v>
      </c>
      <c r="AX834" s="27" t="s">
        <v>565</v>
      </c>
      <c r="AY834" s="10" t="s">
        <v>518</v>
      </c>
      <c r="BA834" s="25">
        <f>AU834+AV834</f>
        <v>0</v>
      </c>
      <c r="BB834" s="25">
        <f>H834/(100-BC834)*100</f>
        <v>0</v>
      </c>
      <c r="BC834" s="25">
        <v>0</v>
      </c>
      <c r="BD834" s="25">
        <f>M834</f>
        <v>0.12956000000000001</v>
      </c>
      <c r="BF834" s="25">
        <f>G834*AM834</f>
        <v>0</v>
      </c>
      <c r="BG834" s="25">
        <f>G834*AN834</f>
        <v>0</v>
      </c>
      <c r="BH834" s="25">
        <f>G834*H834</f>
        <v>0</v>
      </c>
      <c r="BI834" s="27" t="s">
        <v>65</v>
      </c>
      <c r="BJ834" s="25">
        <v>94</v>
      </c>
      <c r="BU834" s="25" t="e">
        <f>#REF!</f>
        <v>#REF!</v>
      </c>
      <c r="BV834" s="4" t="s">
        <v>1065</v>
      </c>
    </row>
    <row r="835" spans="1:74" ht="14.4" x14ac:dyDescent="0.3">
      <c r="A835" s="28"/>
      <c r="D835" s="29" t="s">
        <v>667</v>
      </c>
      <c r="E835" s="29" t="s">
        <v>170</v>
      </c>
      <c r="G835" s="30">
        <v>14.2</v>
      </c>
      <c r="H835" s="63"/>
      <c r="N835" s="31"/>
    </row>
    <row r="836" spans="1:74" ht="14.4" x14ac:dyDescent="0.3">
      <c r="A836" s="28"/>
      <c r="D836" s="29" t="s">
        <v>668</v>
      </c>
      <c r="E836" s="29" t="s">
        <v>163</v>
      </c>
      <c r="G836" s="30">
        <v>16.77</v>
      </c>
      <c r="H836" s="63"/>
      <c r="N836" s="31"/>
    </row>
    <row r="837" spans="1:74" ht="14.4" x14ac:dyDescent="0.3">
      <c r="A837" s="28"/>
      <c r="D837" s="29" t="s">
        <v>669</v>
      </c>
      <c r="E837" s="29" t="s">
        <v>69</v>
      </c>
      <c r="G837" s="30">
        <v>9.9</v>
      </c>
      <c r="H837" s="63"/>
      <c r="N837" s="31"/>
    </row>
    <row r="838" spans="1:74" ht="14.4" x14ac:dyDescent="0.3">
      <c r="A838" s="28"/>
      <c r="D838" s="29" t="s">
        <v>172</v>
      </c>
      <c r="E838" s="29" t="s">
        <v>70</v>
      </c>
      <c r="G838" s="30">
        <v>19.670000000000002</v>
      </c>
      <c r="H838" s="63"/>
      <c r="N838" s="31"/>
    </row>
    <row r="839" spans="1:74" ht="14.4" x14ac:dyDescent="0.3">
      <c r="A839" s="28"/>
      <c r="D839" s="29" t="s">
        <v>173</v>
      </c>
      <c r="E839" s="29" t="s">
        <v>174</v>
      </c>
      <c r="G839" s="30">
        <v>5.42</v>
      </c>
      <c r="H839" s="63"/>
      <c r="N839" s="31"/>
    </row>
    <row r="840" spans="1:74" ht="14.4" x14ac:dyDescent="0.3">
      <c r="A840" s="28"/>
      <c r="D840" s="29" t="s">
        <v>670</v>
      </c>
      <c r="E840" s="29" t="s">
        <v>180</v>
      </c>
      <c r="G840" s="30">
        <v>3</v>
      </c>
      <c r="H840" s="63"/>
      <c r="N840" s="31"/>
    </row>
    <row r="841" spans="1:74" ht="14.4" x14ac:dyDescent="0.3">
      <c r="A841" s="28"/>
      <c r="D841" s="29" t="s">
        <v>181</v>
      </c>
      <c r="E841" s="29" t="s">
        <v>182</v>
      </c>
      <c r="G841" s="30">
        <v>1.37</v>
      </c>
      <c r="H841" s="63"/>
      <c r="N841" s="31"/>
    </row>
    <row r="842" spans="1:74" ht="14.4" x14ac:dyDescent="0.3">
      <c r="A842" s="28"/>
      <c r="D842" s="29" t="s">
        <v>183</v>
      </c>
      <c r="E842" s="29" t="s">
        <v>72</v>
      </c>
      <c r="G842" s="30">
        <v>2.7</v>
      </c>
      <c r="H842" s="63"/>
      <c r="N842" s="31"/>
    </row>
    <row r="843" spans="1:74" ht="14.4" x14ac:dyDescent="0.3">
      <c r="A843" s="28"/>
      <c r="D843" s="29" t="s">
        <v>111</v>
      </c>
      <c r="E843" s="29" t="s">
        <v>112</v>
      </c>
      <c r="G843" s="30">
        <v>8.9700000000000006</v>
      </c>
      <c r="H843" s="63"/>
      <c r="N843" s="31"/>
    </row>
    <row r="844" spans="1:74" ht="14.4" x14ac:dyDescent="0.3">
      <c r="A844" s="21" t="s">
        <v>52</v>
      </c>
      <c r="B844" s="22" t="s">
        <v>510</v>
      </c>
      <c r="C844" s="22" t="s">
        <v>588</v>
      </c>
      <c r="D844" s="170" t="s">
        <v>1067</v>
      </c>
      <c r="E844" s="171"/>
      <c r="F844" s="23" t="s">
        <v>32</v>
      </c>
      <c r="G844" s="23" t="s">
        <v>32</v>
      </c>
      <c r="H844" s="64"/>
      <c r="I844" s="1">
        <f>SUM(I845:I857)</f>
        <v>0</v>
      </c>
      <c r="J844" s="1">
        <f>SUM(J845:J857)</f>
        <v>0</v>
      </c>
      <c r="K844" s="1">
        <f>SUM(K845:K857)</f>
        <v>0</v>
      </c>
      <c r="L844" s="10" t="s">
        <v>52</v>
      </c>
      <c r="M844" s="1">
        <f>SUM(M845:M857)</f>
        <v>7.7000000000000002E-3</v>
      </c>
      <c r="N844" s="24"/>
      <c r="AG844" s="10" t="s">
        <v>510</v>
      </c>
      <c r="AQ844" s="1">
        <f>SUM(AH845:AH857)</f>
        <v>0</v>
      </c>
      <c r="AR844" s="1">
        <f>SUM(AI845:AI857)</f>
        <v>0</v>
      </c>
      <c r="AS844" s="1">
        <f>SUM(AJ845:AJ857)</f>
        <v>0</v>
      </c>
    </row>
    <row r="845" spans="1:74" ht="14.4" x14ac:dyDescent="0.3">
      <c r="A845" s="2" t="s">
        <v>1068</v>
      </c>
      <c r="B845" s="3" t="s">
        <v>510</v>
      </c>
      <c r="C845" s="3" t="s">
        <v>1069</v>
      </c>
      <c r="D845" s="112" t="s">
        <v>1070</v>
      </c>
      <c r="E845" s="109"/>
      <c r="F845" s="3" t="s">
        <v>60</v>
      </c>
      <c r="G845" s="25">
        <v>82</v>
      </c>
      <c r="H845" s="62"/>
      <c r="I845" s="25">
        <f>ROUND(G845*AM845,2)</f>
        <v>0</v>
      </c>
      <c r="J845" s="25">
        <f>ROUND(G845*AN845,2)</f>
        <v>0</v>
      </c>
      <c r="K845" s="25">
        <f>ROUND(G845*H845,2)</f>
        <v>0</v>
      </c>
      <c r="L845" s="25">
        <v>4.0000000000000003E-5</v>
      </c>
      <c r="M845" s="25">
        <f>G845*L845</f>
        <v>3.2800000000000004E-3</v>
      </c>
      <c r="N845" s="26"/>
      <c r="X845" s="25">
        <f>ROUND(IF(AO845="5",BH845,0),2)</f>
        <v>0</v>
      </c>
      <c r="Z845" s="25">
        <f>ROUND(IF(AO845="1",BF845,0),2)</f>
        <v>0</v>
      </c>
      <c r="AA845" s="25">
        <f>ROUND(IF(AO845="1",BG845,0),2)</f>
        <v>0</v>
      </c>
      <c r="AB845" s="25">
        <f>ROUND(IF(AO845="7",BF845,0),2)</f>
        <v>0</v>
      </c>
      <c r="AC845" s="25">
        <f>ROUND(IF(AO845="7",BG845,0),2)</f>
        <v>0</v>
      </c>
      <c r="AD845" s="25">
        <f>ROUND(IF(AO845="2",BF845,0),2)</f>
        <v>0</v>
      </c>
      <c r="AE845" s="25">
        <f>ROUND(IF(AO845="2",BG845,0),2)</f>
        <v>0</v>
      </c>
      <c r="AF845" s="25">
        <f>ROUND(IF(AO845="0",BH845,0),2)</f>
        <v>0</v>
      </c>
      <c r="AG845" s="10" t="s">
        <v>510</v>
      </c>
      <c r="AH845" s="25">
        <f>IF(AL845=0,K845,0)</f>
        <v>0</v>
      </c>
      <c r="AI845" s="25">
        <f>IF(AL845=12,K845,0)</f>
        <v>0</v>
      </c>
      <c r="AJ845" s="25">
        <f>IF(AL845=21,K845,0)</f>
        <v>0</v>
      </c>
      <c r="AL845" s="25">
        <v>21</v>
      </c>
      <c r="AM845" s="25">
        <f>H845*0.013885891</f>
        <v>0</v>
      </c>
      <c r="AN845" s="25">
        <f>H845*(1-0.013885891)</f>
        <v>0</v>
      </c>
      <c r="AO845" s="27" t="s">
        <v>57</v>
      </c>
      <c r="AT845" s="25">
        <f>ROUND(AU845+AV845,2)</f>
        <v>0</v>
      </c>
      <c r="AU845" s="25">
        <f>ROUND(G845*AM845,2)</f>
        <v>0</v>
      </c>
      <c r="AV845" s="25">
        <f>ROUND(G845*AN845,2)</f>
        <v>0</v>
      </c>
      <c r="AW845" s="27" t="s">
        <v>1071</v>
      </c>
      <c r="AX845" s="27" t="s">
        <v>565</v>
      </c>
      <c r="AY845" s="10" t="s">
        <v>518</v>
      </c>
      <c r="BA845" s="25">
        <f>AU845+AV845</f>
        <v>0</v>
      </c>
      <c r="BB845" s="25">
        <f>H845/(100-BC845)*100</f>
        <v>0</v>
      </c>
      <c r="BC845" s="25">
        <v>0</v>
      </c>
      <c r="BD845" s="25">
        <f>M845</f>
        <v>3.2800000000000004E-3</v>
      </c>
      <c r="BF845" s="25">
        <f>G845*AM845</f>
        <v>0</v>
      </c>
      <c r="BG845" s="25">
        <f>G845*AN845</f>
        <v>0</v>
      </c>
      <c r="BH845" s="25">
        <f>G845*H845</f>
        <v>0</v>
      </c>
      <c r="BI845" s="27" t="s">
        <v>65</v>
      </c>
      <c r="BJ845" s="25">
        <v>95</v>
      </c>
      <c r="BU845" s="25" t="e">
        <f>#REF!</f>
        <v>#REF!</v>
      </c>
      <c r="BV845" s="4" t="s">
        <v>1070</v>
      </c>
    </row>
    <row r="846" spans="1:74" ht="14.4" x14ac:dyDescent="0.3">
      <c r="A846" s="28"/>
      <c r="D846" s="29" t="s">
        <v>667</v>
      </c>
      <c r="E846" s="29" t="s">
        <v>170</v>
      </c>
      <c r="G846" s="30">
        <v>14.2</v>
      </c>
      <c r="H846" s="63"/>
      <c r="N846" s="31"/>
    </row>
    <row r="847" spans="1:74" ht="14.4" x14ac:dyDescent="0.3">
      <c r="A847" s="28"/>
      <c r="D847" s="29" t="s">
        <v>668</v>
      </c>
      <c r="E847" s="29" t="s">
        <v>163</v>
      </c>
      <c r="G847" s="30">
        <v>16.77</v>
      </c>
      <c r="H847" s="63"/>
      <c r="N847" s="31"/>
    </row>
    <row r="848" spans="1:74" ht="14.4" x14ac:dyDescent="0.3">
      <c r="A848" s="28"/>
      <c r="D848" s="29" t="s">
        <v>669</v>
      </c>
      <c r="E848" s="29" t="s">
        <v>69</v>
      </c>
      <c r="G848" s="30">
        <v>9.9</v>
      </c>
      <c r="H848" s="63"/>
      <c r="N848" s="31"/>
    </row>
    <row r="849" spans="1:74" ht="14.4" x14ac:dyDescent="0.3">
      <c r="A849" s="28"/>
      <c r="D849" s="29" t="s">
        <v>172</v>
      </c>
      <c r="E849" s="29" t="s">
        <v>70</v>
      </c>
      <c r="G849" s="30">
        <v>19.670000000000002</v>
      </c>
      <c r="H849" s="63"/>
      <c r="N849" s="31"/>
    </row>
    <row r="850" spans="1:74" ht="14.4" x14ac:dyDescent="0.3">
      <c r="A850" s="28"/>
      <c r="D850" s="29" t="s">
        <v>173</v>
      </c>
      <c r="E850" s="29" t="s">
        <v>174</v>
      </c>
      <c r="G850" s="30">
        <v>5.42</v>
      </c>
      <c r="H850" s="63"/>
      <c r="N850" s="31"/>
    </row>
    <row r="851" spans="1:74" ht="14.4" x14ac:dyDescent="0.3">
      <c r="A851" s="28"/>
      <c r="D851" s="29" t="s">
        <v>670</v>
      </c>
      <c r="E851" s="29" t="s">
        <v>180</v>
      </c>
      <c r="G851" s="30">
        <v>3</v>
      </c>
      <c r="H851" s="63"/>
      <c r="N851" s="31"/>
    </row>
    <row r="852" spans="1:74" ht="14.4" x14ac:dyDescent="0.3">
      <c r="A852" s="28"/>
      <c r="D852" s="29" t="s">
        <v>181</v>
      </c>
      <c r="E852" s="29" t="s">
        <v>182</v>
      </c>
      <c r="G852" s="30">
        <v>1.37</v>
      </c>
      <c r="H852" s="63"/>
      <c r="N852" s="31"/>
    </row>
    <row r="853" spans="1:74" ht="14.4" x14ac:dyDescent="0.3">
      <c r="A853" s="28"/>
      <c r="D853" s="29" t="s">
        <v>183</v>
      </c>
      <c r="E853" s="29" t="s">
        <v>72</v>
      </c>
      <c r="G853" s="30">
        <v>2.7</v>
      </c>
      <c r="H853" s="63"/>
      <c r="N853" s="31"/>
    </row>
    <row r="854" spans="1:74" ht="14.4" x14ac:dyDescent="0.3">
      <c r="A854" s="28"/>
      <c r="D854" s="29" t="s">
        <v>111</v>
      </c>
      <c r="E854" s="29" t="s">
        <v>112</v>
      </c>
      <c r="G854" s="30">
        <v>8.9700000000000006</v>
      </c>
      <c r="H854" s="63"/>
      <c r="N854" s="31"/>
    </row>
    <row r="855" spans="1:74" ht="14.4" x14ac:dyDescent="0.3">
      <c r="A855" s="2" t="s">
        <v>1072</v>
      </c>
      <c r="B855" s="3" t="s">
        <v>510</v>
      </c>
      <c r="C855" s="3" t="s">
        <v>1073</v>
      </c>
      <c r="D855" s="112" t="s">
        <v>1074</v>
      </c>
      <c r="E855" s="109"/>
      <c r="F855" s="3" t="s">
        <v>122</v>
      </c>
      <c r="G855" s="25">
        <v>2</v>
      </c>
      <c r="H855" s="62"/>
      <c r="I855" s="25">
        <f>ROUND(G855*AM855,2)</f>
        <v>0</v>
      </c>
      <c r="J855" s="25">
        <f>ROUND(G855*AN855,2)</f>
        <v>0</v>
      </c>
      <c r="K855" s="25">
        <f>ROUND(G855*H855,2)</f>
        <v>0</v>
      </c>
      <c r="L855" s="25">
        <v>1.0000000000000001E-5</v>
      </c>
      <c r="M855" s="25">
        <f>G855*L855</f>
        <v>2.0000000000000002E-5</v>
      </c>
      <c r="N855" s="26"/>
      <c r="X855" s="25">
        <f>ROUND(IF(AO855="5",BH855,0),2)</f>
        <v>0</v>
      </c>
      <c r="Z855" s="25">
        <f>ROUND(IF(AO855="1",BF855,0),2)</f>
        <v>0</v>
      </c>
      <c r="AA855" s="25">
        <f>ROUND(IF(AO855="1",BG855,0),2)</f>
        <v>0</v>
      </c>
      <c r="AB855" s="25">
        <f>ROUND(IF(AO855="7",BF855,0),2)</f>
        <v>0</v>
      </c>
      <c r="AC855" s="25">
        <f>ROUND(IF(AO855="7",BG855,0),2)</f>
        <v>0</v>
      </c>
      <c r="AD855" s="25">
        <f>ROUND(IF(AO855="2",BF855,0),2)</f>
        <v>0</v>
      </c>
      <c r="AE855" s="25">
        <f>ROUND(IF(AO855="2",BG855,0),2)</f>
        <v>0</v>
      </c>
      <c r="AF855" s="25">
        <f>ROUND(IF(AO855="0",BH855,0),2)</f>
        <v>0</v>
      </c>
      <c r="AG855" s="10" t="s">
        <v>510</v>
      </c>
      <c r="AH855" s="25">
        <f>IF(AL855=0,K855,0)</f>
        <v>0</v>
      </c>
      <c r="AI855" s="25">
        <f>IF(AL855=12,K855,0)</f>
        <v>0</v>
      </c>
      <c r="AJ855" s="25">
        <f>IF(AL855=21,K855,0)</f>
        <v>0</v>
      </c>
      <c r="AL855" s="25">
        <v>21</v>
      </c>
      <c r="AM855" s="25">
        <f>H855*0.141145374</f>
        <v>0</v>
      </c>
      <c r="AN855" s="25">
        <f>H855*(1-0.141145374)</f>
        <v>0</v>
      </c>
      <c r="AO855" s="27" t="s">
        <v>57</v>
      </c>
      <c r="AT855" s="25">
        <f>ROUND(AU855+AV855,2)</f>
        <v>0</v>
      </c>
      <c r="AU855" s="25">
        <f>ROUND(G855*AM855,2)</f>
        <v>0</v>
      </c>
      <c r="AV855" s="25">
        <f>ROUND(G855*AN855,2)</f>
        <v>0</v>
      </c>
      <c r="AW855" s="27" t="s">
        <v>1071</v>
      </c>
      <c r="AX855" s="27" t="s">
        <v>565</v>
      </c>
      <c r="AY855" s="10" t="s">
        <v>518</v>
      </c>
      <c r="BA855" s="25">
        <f>AU855+AV855</f>
        <v>0</v>
      </c>
      <c r="BB855" s="25">
        <f>H855/(100-BC855)*100</f>
        <v>0</v>
      </c>
      <c r="BC855" s="25">
        <v>0</v>
      </c>
      <c r="BD855" s="25">
        <f>M855</f>
        <v>2.0000000000000002E-5</v>
      </c>
      <c r="BF855" s="25">
        <f>G855*AM855</f>
        <v>0</v>
      </c>
      <c r="BG855" s="25">
        <f>G855*AN855</f>
        <v>0</v>
      </c>
      <c r="BH855" s="25">
        <f>G855*H855</f>
        <v>0</v>
      </c>
      <c r="BI855" s="27" t="s">
        <v>65</v>
      </c>
      <c r="BJ855" s="25">
        <v>95</v>
      </c>
      <c r="BU855" s="25" t="e">
        <f>#REF!</f>
        <v>#REF!</v>
      </c>
      <c r="BV855" s="4" t="s">
        <v>1074</v>
      </c>
    </row>
    <row r="856" spans="1:74" ht="14.4" x14ac:dyDescent="0.3">
      <c r="A856" s="28"/>
      <c r="D856" s="29" t="s">
        <v>81</v>
      </c>
      <c r="E856" s="29" t="s">
        <v>52</v>
      </c>
      <c r="G856" s="30">
        <v>2</v>
      </c>
      <c r="H856" s="63"/>
      <c r="N856" s="31"/>
    </row>
    <row r="857" spans="1:74" ht="14.4" x14ac:dyDescent="0.3">
      <c r="A857" s="2" t="s">
        <v>1075</v>
      </c>
      <c r="B857" s="3" t="s">
        <v>510</v>
      </c>
      <c r="C857" s="3" t="s">
        <v>1076</v>
      </c>
      <c r="D857" s="112" t="s">
        <v>1077</v>
      </c>
      <c r="E857" s="109"/>
      <c r="F857" s="3" t="s">
        <v>122</v>
      </c>
      <c r="G857" s="25">
        <v>2</v>
      </c>
      <c r="H857" s="62"/>
      <c r="I857" s="25">
        <f>ROUND(G857*AM857,2)</f>
        <v>0</v>
      </c>
      <c r="J857" s="25">
        <f>ROUND(G857*AN857,2)</f>
        <v>0</v>
      </c>
      <c r="K857" s="25">
        <f>ROUND(G857*H857,2)</f>
        <v>0</v>
      </c>
      <c r="L857" s="25">
        <v>2.2000000000000001E-3</v>
      </c>
      <c r="M857" s="25">
        <f>G857*L857</f>
        <v>4.4000000000000003E-3</v>
      </c>
      <c r="N857" s="26"/>
      <c r="X857" s="25">
        <f>ROUND(IF(AO857="5",BH857,0),2)</f>
        <v>0</v>
      </c>
      <c r="Z857" s="25">
        <f>ROUND(IF(AO857="1",BF857,0),2)</f>
        <v>0</v>
      </c>
      <c r="AA857" s="25">
        <f>ROUND(IF(AO857="1",BG857,0),2)</f>
        <v>0</v>
      </c>
      <c r="AB857" s="25">
        <f>ROUND(IF(AO857="7",BF857,0),2)</f>
        <v>0</v>
      </c>
      <c r="AC857" s="25">
        <f>ROUND(IF(AO857="7",BG857,0),2)</f>
        <v>0</v>
      </c>
      <c r="AD857" s="25">
        <f>ROUND(IF(AO857="2",BF857,0),2)</f>
        <v>0</v>
      </c>
      <c r="AE857" s="25">
        <f>ROUND(IF(AO857="2",BG857,0),2)</f>
        <v>0</v>
      </c>
      <c r="AF857" s="25">
        <f>ROUND(IF(AO857="0",BH857,0),2)</f>
        <v>0</v>
      </c>
      <c r="AG857" s="10" t="s">
        <v>510</v>
      </c>
      <c r="AH857" s="25">
        <f>IF(AL857=0,K857,0)</f>
        <v>0</v>
      </c>
      <c r="AI857" s="25">
        <f>IF(AL857=12,K857,0)</f>
        <v>0</v>
      </c>
      <c r="AJ857" s="25">
        <f>IF(AL857=21,K857,0)</f>
        <v>0</v>
      </c>
      <c r="AL857" s="25">
        <v>21</v>
      </c>
      <c r="AM857" s="25">
        <f>H857*1</f>
        <v>0</v>
      </c>
      <c r="AN857" s="25">
        <f>H857*(1-1)</f>
        <v>0</v>
      </c>
      <c r="AO857" s="27" t="s">
        <v>57</v>
      </c>
      <c r="AT857" s="25">
        <f>ROUND(AU857+AV857,2)</f>
        <v>0</v>
      </c>
      <c r="AU857" s="25">
        <f>ROUND(G857*AM857,2)</f>
        <v>0</v>
      </c>
      <c r="AV857" s="25">
        <f>ROUND(G857*AN857,2)</f>
        <v>0</v>
      </c>
      <c r="AW857" s="27" t="s">
        <v>1071</v>
      </c>
      <c r="AX857" s="27" t="s">
        <v>565</v>
      </c>
      <c r="AY857" s="10" t="s">
        <v>518</v>
      </c>
      <c r="BA857" s="25">
        <f>AU857+AV857</f>
        <v>0</v>
      </c>
      <c r="BB857" s="25">
        <f>H857/(100-BC857)*100</f>
        <v>0</v>
      </c>
      <c r="BC857" s="25">
        <v>0</v>
      </c>
      <c r="BD857" s="25">
        <f>M857</f>
        <v>4.4000000000000003E-3</v>
      </c>
      <c r="BF857" s="25">
        <f>G857*AM857</f>
        <v>0</v>
      </c>
      <c r="BG857" s="25">
        <f>G857*AN857</f>
        <v>0</v>
      </c>
      <c r="BH857" s="25">
        <f>G857*H857</f>
        <v>0</v>
      </c>
      <c r="BI857" s="27" t="s">
        <v>576</v>
      </c>
      <c r="BJ857" s="25">
        <v>95</v>
      </c>
      <c r="BU857" s="25" t="e">
        <f>#REF!</f>
        <v>#REF!</v>
      </c>
      <c r="BV857" s="4" t="s">
        <v>1077</v>
      </c>
    </row>
    <row r="858" spans="1:74" ht="14.4" x14ac:dyDescent="0.3">
      <c r="A858" s="28"/>
      <c r="D858" s="29" t="s">
        <v>81</v>
      </c>
      <c r="E858" s="29" t="s">
        <v>52</v>
      </c>
      <c r="G858" s="30">
        <v>2</v>
      </c>
      <c r="H858" s="63"/>
      <c r="N858" s="31"/>
    </row>
    <row r="859" spans="1:74" ht="14.4" x14ac:dyDescent="0.3">
      <c r="A859" s="21" t="s">
        <v>52</v>
      </c>
      <c r="B859" s="22" t="s">
        <v>510</v>
      </c>
      <c r="C859" s="22" t="s">
        <v>1078</v>
      </c>
      <c r="D859" s="170" t="s">
        <v>1079</v>
      </c>
      <c r="E859" s="171"/>
      <c r="F859" s="23" t="s">
        <v>32</v>
      </c>
      <c r="G859" s="23" t="s">
        <v>32</v>
      </c>
      <c r="H859" s="64"/>
      <c r="I859" s="1">
        <f>SUM(I860:I860)</f>
        <v>0</v>
      </c>
      <c r="J859" s="1">
        <f>SUM(J860:J860)</f>
        <v>0</v>
      </c>
      <c r="K859" s="1">
        <f>SUM(K860:K860)</f>
        <v>0</v>
      </c>
      <c r="L859" s="10" t="s">
        <v>52</v>
      </c>
      <c r="M859" s="1">
        <f>SUM(M860:M860)</f>
        <v>0</v>
      </c>
      <c r="N859" s="24"/>
      <c r="AG859" s="10" t="s">
        <v>510</v>
      </c>
      <c r="AQ859" s="1">
        <f>SUM(AH860:AH860)</f>
        <v>0</v>
      </c>
      <c r="AR859" s="1">
        <f>SUM(AI860:AI860)</f>
        <v>0</v>
      </c>
      <c r="AS859" s="1">
        <f>SUM(AJ860:AJ860)</f>
        <v>0</v>
      </c>
    </row>
    <row r="860" spans="1:74" ht="14.4" x14ac:dyDescent="0.3">
      <c r="A860" s="2" t="s">
        <v>1080</v>
      </c>
      <c r="B860" s="3" t="s">
        <v>510</v>
      </c>
      <c r="C860" s="3" t="s">
        <v>1081</v>
      </c>
      <c r="D860" s="112" t="s">
        <v>1082</v>
      </c>
      <c r="E860" s="109"/>
      <c r="F860" s="3" t="s">
        <v>278</v>
      </c>
      <c r="G860" s="25">
        <v>36.582389999999997</v>
      </c>
      <c r="H860" s="62"/>
      <c r="I860" s="25">
        <f>ROUND(G860*AM860,2)</f>
        <v>0</v>
      </c>
      <c r="J860" s="25">
        <f>ROUND(G860*AN860,2)</f>
        <v>0</v>
      </c>
      <c r="K860" s="25">
        <f>ROUND(G860*H860,2)</f>
        <v>0</v>
      </c>
      <c r="L860" s="25">
        <v>0</v>
      </c>
      <c r="M860" s="25">
        <f>G860*L860</f>
        <v>0</v>
      </c>
      <c r="N860" s="26"/>
      <c r="X860" s="25">
        <f>ROUND(IF(AO860="5",BH860,0),2)</f>
        <v>0</v>
      </c>
      <c r="Z860" s="25">
        <f>ROUND(IF(AO860="1",BF860,0),2)</f>
        <v>0</v>
      </c>
      <c r="AA860" s="25">
        <f>ROUND(IF(AO860="1",BG860,0),2)</f>
        <v>0</v>
      </c>
      <c r="AB860" s="25">
        <f>ROUND(IF(AO860="7",BF860,0),2)</f>
        <v>0</v>
      </c>
      <c r="AC860" s="25">
        <f>ROUND(IF(AO860="7",BG860,0),2)</f>
        <v>0</v>
      </c>
      <c r="AD860" s="25">
        <f>ROUND(IF(AO860="2",BF860,0),2)</f>
        <v>0</v>
      </c>
      <c r="AE860" s="25">
        <f>ROUND(IF(AO860="2",BG860,0),2)</f>
        <v>0</v>
      </c>
      <c r="AF860" s="25">
        <f>ROUND(IF(AO860="0",BH860,0),2)</f>
        <v>0</v>
      </c>
      <c r="AG860" s="10" t="s">
        <v>510</v>
      </c>
      <c r="AH860" s="25">
        <f>IF(AL860=0,K860,0)</f>
        <v>0</v>
      </c>
      <c r="AI860" s="25">
        <f>IF(AL860=12,K860,0)</f>
        <v>0</v>
      </c>
      <c r="AJ860" s="25">
        <f>IF(AL860=21,K860,0)</f>
        <v>0</v>
      </c>
      <c r="AL860" s="25">
        <v>21</v>
      </c>
      <c r="AM860" s="25">
        <f>H860*0</f>
        <v>0</v>
      </c>
      <c r="AN860" s="25">
        <f>H860*(1-0)</f>
        <v>0</v>
      </c>
      <c r="AO860" s="27" t="s">
        <v>97</v>
      </c>
      <c r="AT860" s="25">
        <f>ROUND(AU860+AV860,2)</f>
        <v>0</v>
      </c>
      <c r="AU860" s="25">
        <f>ROUND(G860*AM860,2)</f>
        <v>0</v>
      </c>
      <c r="AV860" s="25">
        <f>ROUND(G860*AN860,2)</f>
        <v>0</v>
      </c>
      <c r="AW860" s="27" t="s">
        <v>1083</v>
      </c>
      <c r="AX860" s="27" t="s">
        <v>565</v>
      </c>
      <c r="AY860" s="10" t="s">
        <v>518</v>
      </c>
      <c r="BA860" s="25">
        <f>AU860+AV860</f>
        <v>0</v>
      </c>
      <c r="BB860" s="25">
        <f>H860/(100-BC860)*100</f>
        <v>0</v>
      </c>
      <c r="BC860" s="25">
        <v>0</v>
      </c>
      <c r="BD860" s="25">
        <f>M860</f>
        <v>0</v>
      </c>
      <c r="BF860" s="25">
        <f>G860*AM860</f>
        <v>0</v>
      </c>
      <c r="BG860" s="25">
        <f>G860*AN860</f>
        <v>0</v>
      </c>
      <c r="BH860" s="25">
        <f>G860*H860</f>
        <v>0</v>
      </c>
      <c r="BI860" s="27" t="s">
        <v>65</v>
      </c>
      <c r="BJ860" s="25"/>
      <c r="BU860" s="25" t="e">
        <f>#REF!</f>
        <v>#REF!</v>
      </c>
      <c r="BV860" s="4" t="s">
        <v>1082</v>
      </c>
    </row>
    <row r="861" spans="1:74" ht="14.4" x14ac:dyDescent="0.3">
      <c r="A861" s="28"/>
      <c r="D861" s="29" t="s">
        <v>1084</v>
      </c>
      <c r="E861" s="29" t="s">
        <v>52</v>
      </c>
      <c r="G861" s="30">
        <v>36.582389999999997</v>
      </c>
      <c r="H861" s="63"/>
      <c r="N861" s="31"/>
    </row>
    <row r="862" spans="1:74" ht="14.4" x14ac:dyDescent="0.3">
      <c r="A862" s="21" t="s">
        <v>52</v>
      </c>
      <c r="B862" s="22" t="s">
        <v>510</v>
      </c>
      <c r="C862" s="22" t="s">
        <v>1085</v>
      </c>
      <c r="D862" s="170" t="s">
        <v>1086</v>
      </c>
      <c r="E862" s="171"/>
      <c r="F862" s="23" t="s">
        <v>32</v>
      </c>
      <c r="G862" s="23" t="s">
        <v>32</v>
      </c>
      <c r="H862" s="64"/>
      <c r="I862" s="1">
        <f>SUM(I863:I869)</f>
        <v>0</v>
      </c>
      <c r="J862" s="1">
        <f>SUM(J863:J869)</f>
        <v>0</v>
      </c>
      <c r="K862" s="1">
        <f>SUM(K863:K869)</f>
        <v>0</v>
      </c>
      <c r="L862" s="10" t="s">
        <v>52</v>
      </c>
      <c r="M862" s="1">
        <f>SUM(M863:M869)</f>
        <v>4.5469999999999997E-2</v>
      </c>
      <c r="N862" s="24"/>
      <c r="AG862" s="10" t="s">
        <v>510</v>
      </c>
      <c r="AQ862" s="1">
        <f>SUM(AH863:AH869)</f>
        <v>0</v>
      </c>
      <c r="AR862" s="1">
        <f>SUM(AI863:AI869)</f>
        <v>0</v>
      </c>
      <c r="AS862" s="1">
        <f>SUM(AJ863:AJ869)</f>
        <v>0</v>
      </c>
    </row>
    <row r="863" spans="1:74" ht="14.4" x14ac:dyDescent="0.3">
      <c r="A863" s="2" t="s">
        <v>1087</v>
      </c>
      <c r="B863" s="3" t="s">
        <v>510</v>
      </c>
      <c r="C863" s="3" t="s">
        <v>1088</v>
      </c>
      <c r="D863" s="112" t="s">
        <v>1089</v>
      </c>
      <c r="E863" s="109"/>
      <c r="F863" s="3" t="s">
        <v>115</v>
      </c>
      <c r="G863" s="25">
        <v>35</v>
      </c>
      <c r="H863" s="62"/>
      <c r="I863" s="25">
        <f>ROUND(G863*AM863,2)</f>
        <v>0</v>
      </c>
      <c r="J863" s="25">
        <f>ROUND(G863*AN863,2)</f>
        <v>0</v>
      </c>
      <c r="K863" s="25">
        <f>ROUND(G863*H863,2)</f>
        <v>0</v>
      </c>
      <c r="L863" s="25">
        <v>0</v>
      </c>
      <c r="M863" s="25">
        <f>G863*L863</f>
        <v>0</v>
      </c>
      <c r="N863" s="26"/>
      <c r="X863" s="25">
        <f>ROUND(IF(AO863="5",BH863,0),2)</f>
        <v>0</v>
      </c>
      <c r="Z863" s="25">
        <f>ROUND(IF(AO863="1",BF863,0),2)</f>
        <v>0</v>
      </c>
      <c r="AA863" s="25">
        <f>ROUND(IF(AO863="1",BG863,0),2)</f>
        <v>0</v>
      </c>
      <c r="AB863" s="25">
        <f>ROUND(IF(AO863="7",BF863,0),2)</f>
        <v>0</v>
      </c>
      <c r="AC863" s="25">
        <f>ROUND(IF(AO863="7",BG863,0),2)</f>
        <v>0</v>
      </c>
      <c r="AD863" s="25">
        <f>ROUND(IF(AO863="2",BF863,0),2)</f>
        <v>0</v>
      </c>
      <c r="AE863" s="25">
        <f>ROUND(IF(AO863="2",BG863,0),2)</f>
        <v>0</v>
      </c>
      <c r="AF863" s="25">
        <f>ROUND(IF(AO863="0",BH863,0),2)</f>
        <v>0</v>
      </c>
      <c r="AG863" s="10" t="s">
        <v>510</v>
      </c>
      <c r="AH863" s="25">
        <f>IF(AL863=0,K863,0)</f>
        <v>0</v>
      </c>
      <c r="AI863" s="25">
        <f>IF(AL863=12,K863,0)</f>
        <v>0</v>
      </c>
      <c r="AJ863" s="25">
        <f>IF(AL863=21,K863,0)</f>
        <v>0</v>
      </c>
      <c r="AL863" s="25">
        <v>21</v>
      </c>
      <c r="AM863" s="25">
        <f>H863*0</f>
        <v>0</v>
      </c>
      <c r="AN863" s="25">
        <f>H863*(1-0)</f>
        <v>0</v>
      </c>
      <c r="AO863" s="27" t="s">
        <v>81</v>
      </c>
      <c r="AT863" s="25">
        <f>ROUND(AU863+AV863,2)</f>
        <v>0</v>
      </c>
      <c r="AU863" s="25">
        <f>ROUND(G863*AM863,2)</f>
        <v>0</v>
      </c>
      <c r="AV863" s="25">
        <f>ROUND(G863*AN863,2)</f>
        <v>0</v>
      </c>
      <c r="AW863" s="27" t="s">
        <v>1090</v>
      </c>
      <c r="AX863" s="27" t="s">
        <v>565</v>
      </c>
      <c r="AY863" s="10" t="s">
        <v>518</v>
      </c>
      <c r="BA863" s="25">
        <f>AU863+AV863</f>
        <v>0</v>
      </c>
      <c r="BB863" s="25">
        <f>H863/(100-BC863)*100</f>
        <v>0</v>
      </c>
      <c r="BC863" s="25">
        <v>0</v>
      </c>
      <c r="BD863" s="25">
        <f>M863</f>
        <v>0</v>
      </c>
      <c r="BF863" s="25">
        <f>G863*AM863</f>
        <v>0</v>
      </c>
      <c r="BG863" s="25">
        <f>G863*AN863</f>
        <v>0</v>
      </c>
      <c r="BH863" s="25">
        <f>G863*H863</f>
        <v>0</v>
      </c>
      <c r="BI863" s="27" t="s">
        <v>65</v>
      </c>
      <c r="BJ863" s="25"/>
      <c r="BU863" s="25" t="e">
        <f>#REF!</f>
        <v>#REF!</v>
      </c>
      <c r="BV863" s="4" t="s">
        <v>1089</v>
      </c>
    </row>
    <row r="864" spans="1:74" ht="14.4" x14ac:dyDescent="0.3">
      <c r="A864" s="28"/>
      <c r="D864" s="29" t="s">
        <v>291</v>
      </c>
      <c r="E864" s="29" t="s">
        <v>52</v>
      </c>
      <c r="G864" s="30">
        <v>35</v>
      </c>
      <c r="H864" s="63"/>
      <c r="N864" s="31"/>
    </row>
    <row r="865" spans="1:74" ht="14.4" x14ac:dyDescent="0.3">
      <c r="A865" s="2" t="s">
        <v>1091</v>
      </c>
      <c r="B865" s="3" t="s">
        <v>510</v>
      </c>
      <c r="C865" s="3" t="s">
        <v>1092</v>
      </c>
      <c r="D865" s="112" t="s">
        <v>1093</v>
      </c>
      <c r="E865" s="109"/>
      <c r="F865" s="3" t="s">
        <v>148</v>
      </c>
      <c r="G865" s="25">
        <v>16.8</v>
      </c>
      <c r="H865" s="62"/>
      <c r="I865" s="25">
        <f>ROUND(G865*AM865,2)</f>
        <v>0</v>
      </c>
      <c r="J865" s="25">
        <f>ROUND(G865*AN865,2)</f>
        <v>0</v>
      </c>
      <c r="K865" s="25">
        <f>ROUND(G865*H865,2)</f>
        <v>0</v>
      </c>
      <c r="L865" s="25">
        <v>0</v>
      </c>
      <c r="M865" s="25">
        <f>G865*L865</f>
        <v>0</v>
      </c>
      <c r="N865" s="26"/>
      <c r="X865" s="25">
        <f>ROUND(IF(AO865="5",BH865,0),2)</f>
        <v>0</v>
      </c>
      <c r="Z865" s="25">
        <f>ROUND(IF(AO865="1",BF865,0),2)</f>
        <v>0</v>
      </c>
      <c r="AA865" s="25">
        <f>ROUND(IF(AO865="1",BG865,0),2)</f>
        <v>0</v>
      </c>
      <c r="AB865" s="25">
        <f>ROUND(IF(AO865="7",BF865,0),2)</f>
        <v>0</v>
      </c>
      <c r="AC865" s="25">
        <f>ROUND(IF(AO865="7",BG865,0),2)</f>
        <v>0</v>
      </c>
      <c r="AD865" s="25">
        <f>ROUND(IF(AO865="2",BF865,0),2)</f>
        <v>0</v>
      </c>
      <c r="AE865" s="25">
        <f>ROUND(IF(AO865="2",BG865,0),2)</f>
        <v>0</v>
      </c>
      <c r="AF865" s="25">
        <f>ROUND(IF(AO865="0",BH865,0),2)</f>
        <v>0</v>
      </c>
      <c r="AG865" s="10" t="s">
        <v>510</v>
      </c>
      <c r="AH865" s="25">
        <f>IF(AL865=0,K865,0)</f>
        <v>0</v>
      </c>
      <c r="AI865" s="25">
        <f>IF(AL865=12,K865,0)</f>
        <v>0</v>
      </c>
      <c r="AJ865" s="25">
        <f>IF(AL865=21,K865,0)</f>
        <v>0</v>
      </c>
      <c r="AL865" s="25">
        <v>21</v>
      </c>
      <c r="AM865" s="25">
        <f>H865*0</f>
        <v>0</v>
      </c>
      <c r="AN865" s="25">
        <f>H865*(1-0)</f>
        <v>0</v>
      </c>
      <c r="AO865" s="27" t="s">
        <v>81</v>
      </c>
      <c r="AT865" s="25">
        <f>ROUND(AU865+AV865,2)</f>
        <v>0</v>
      </c>
      <c r="AU865" s="25">
        <f>ROUND(G865*AM865,2)</f>
        <v>0</v>
      </c>
      <c r="AV865" s="25">
        <f>ROUND(G865*AN865,2)</f>
        <v>0</v>
      </c>
      <c r="AW865" s="27" t="s">
        <v>1090</v>
      </c>
      <c r="AX865" s="27" t="s">
        <v>565</v>
      </c>
      <c r="AY865" s="10" t="s">
        <v>518</v>
      </c>
      <c r="BA865" s="25">
        <f>AU865+AV865</f>
        <v>0</v>
      </c>
      <c r="BB865" s="25">
        <f>H865/(100-BC865)*100</f>
        <v>0</v>
      </c>
      <c r="BC865" s="25">
        <v>0</v>
      </c>
      <c r="BD865" s="25">
        <f>M865</f>
        <v>0</v>
      </c>
      <c r="BF865" s="25">
        <f>G865*AM865</f>
        <v>0</v>
      </c>
      <c r="BG865" s="25">
        <f>G865*AN865</f>
        <v>0</v>
      </c>
      <c r="BH865" s="25">
        <f>G865*H865</f>
        <v>0</v>
      </c>
      <c r="BI865" s="27" t="s">
        <v>65</v>
      </c>
      <c r="BJ865" s="25"/>
      <c r="BU865" s="25" t="e">
        <f>#REF!</f>
        <v>#REF!</v>
      </c>
      <c r="BV865" s="4" t="s">
        <v>1093</v>
      </c>
    </row>
    <row r="866" spans="1:74" ht="14.4" x14ac:dyDescent="0.3">
      <c r="A866" s="28"/>
      <c r="D866" s="29" t="s">
        <v>1094</v>
      </c>
      <c r="E866" s="29" t="s">
        <v>52</v>
      </c>
      <c r="G866" s="30">
        <v>16.8</v>
      </c>
      <c r="H866" s="63"/>
      <c r="N866" s="31"/>
    </row>
    <row r="867" spans="1:74" ht="14.4" x14ac:dyDescent="0.3">
      <c r="A867" s="2" t="s">
        <v>1095</v>
      </c>
      <c r="B867" s="3" t="s">
        <v>510</v>
      </c>
      <c r="C867" s="3" t="s">
        <v>1096</v>
      </c>
      <c r="D867" s="112" t="s">
        <v>1097</v>
      </c>
      <c r="E867" s="109"/>
      <c r="F867" s="3" t="s">
        <v>122</v>
      </c>
      <c r="G867" s="25">
        <v>1</v>
      </c>
      <c r="H867" s="62"/>
      <c r="I867" s="25">
        <f>ROUND(G867*AM867,2)</f>
        <v>0</v>
      </c>
      <c r="J867" s="25">
        <f>ROUND(G867*AN867,2)</f>
        <v>0</v>
      </c>
      <c r="K867" s="25">
        <f>ROUND(G867*H867,2)</f>
        <v>0</v>
      </c>
      <c r="L867" s="25">
        <v>4.5469999999999997E-2</v>
      </c>
      <c r="M867" s="25">
        <f>G867*L867</f>
        <v>4.5469999999999997E-2</v>
      </c>
      <c r="N867" s="26"/>
      <c r="X867" s="25">
        <f>ROUND(IF(AO867="5",BH867,0),2)</f>
        <v>0</v>
      </c>
      <c r="Z867" s="25">
        <f>ROUND(IF(AO867="1",BF867,0),2)</f>
        <v>0</v>
      </c>
      <c r="AA867" s="25">
        <f>ROUND(IF(AO867="1",BG867,0),2)</f>
        <v>0</v>
      </c>
      <c r="AB867" s="25">
        <f>ROUND(IF(AO867="7",BF867,0),2)</f>
        <v>0</v>
      </c>
      <c r="AC867" s="25">
        <f>ROUND(IF(AO867="7",BG867,0),2)</f>
        <v>0</v>
      </c>
      <c r="AD867" s="25">
        <f>ROUND(IF(AO867="2",BF867,0),2)</f>
        <v>0</v>
      </c>
      <c r="AE867" s="25">
        <f>ROUND(IF(AO867="2",BG867,0),2)</f>
        <v>0</v>
      </c>
      <c r="AF867" s="25">
        <f>ROUND(IF(AO867="0",BH867,0),2)</f>
        <v>0</v>
      </c>
      <c r="AG867" s="10" t="s">
        <v>510</v>
      </c>
      <c r="AH867" s="25">
        <f>IF(AL867=0,K867,0)</f>
        <v>0</v>
      </c>
      <c r="AI867" s="25">
        <f>IF(AL867=12,K867,0)</f>
        <v>0</v>
      </c>
      <c r="AJ867" s="25">
        <f>IF(AL867=21,K867,0)</f>
        <v>0</v>
      </c>
      <c r="AL867" s="25">
        <v>21</v>
      </c>
      <c r="AM867" s="25">
        <f>H867*0.277354686</f>
        <v>0</v>
      </c>
      <c r="AN867" s="25">
        <f>H867*(1-0.277354686)</f>
        <v>0</v>
      </c>
      <c r="AO867" s="27" t="s">
        <v>81</v>
      </c>
      <c r="AT867" s="25">
        <f>ROUND(AU867+AV867,2)</f>
        <v>0</v>
      </c>
      <c r="AU867" s="25">
        <f>ROUND(G867*AM867,2)</f>
        <v>0</v>
      </c>
      <c r="AV867" s="25">
        <f>ROUND(G867*AN867,2)</f>
        <v>0</v>
      </c>
      <c r="AW867" s="27" t="s">
        <v>1090</v>
      </c>
      <c r="AX867" s="27" t="s">
        <v>565</v>
      </c>
      <c r="AY867" s="10" t="s">
        <v>518</v>
      </c>
      <c r="BA867" s="25">
        <f>AU867+AV867</f>
        <v>0</v>
      </c>
      <c r="BB867" s="25">
        <f>H867/(100-BC867)*100</f>
        <v>0</v>
      </c>
      <c r="BC867" s="25">
        <v>0</v>
      </c>
      <c r="BD867" s="25">
        <f>M867</f>
        <v>4.5469999999999997E-2</v>
      </c>
      <c r="BF867" s="25">
        <f>G867*AM867</f>
        <v>0</v>
      </c>
      <c r="BG867" s="25">
        <f>G867*AN867</f>
        <v>0</v>
      </c>
      <c r="BH867" s="25">
        <f>G867*H867</f>
        <v>0</v>
      </c>
      <c r="BI867" s="27" t="s">
        <v>65</v>
      </c>
      <c r="BJ867" s="25"/>
      <c r="BU867" s="25" t="e">
        <f>#REF!</f>
        <v>#REF!</v>
      </c>
      <c r="BV867" s="4" t="s">
        <v>1097</v>
      </c>
    </row>
    <row r="868" spans="1:74" ht="14.4" x14ac:dyDescent="0.3">
      <c r="A868" s="28"/>
      <c r="D868" s="29" t="s">
        <v>57</v>
      </c>
      <c r="E868" s="29" t="s">
        <v>52</v>
      </c>
      <c r="G868" s="30">
        <v>1</v>
      </c>
      <c r="H868" s="63"/>
      <c r="N868" s="31"/>
    </row>
    <row r="869" spans="1:74" ht="14.4" x14ac:dyDescent="0.3">
      <c r="A869" s="2" t="s">
        <v>1098</v>
      </c>
      <c r="B869" s="3" t="s">
        <v>510</v>
      </c>
      <c r="C869" s="3" t="s">
        <v>1099</v>
      </c>
      <c r="D869" s="112" t="s">
        <v>1100</v>
      </c>
      <c r="E869" s="109"/>
      <c r="F869" s="3" t="s">
        <v>115</v>
      </c>
      <c r="G869" s="25">
        <v>35</v>
      </c>
      <c r="H869" s="62"/>
      <c r="I869" s="25">
        <f>ROUND(G869*AM869,2)</f>
        <v>0</v>
      </c>
      <c r="J869" s="25">
        <f>ROUND(G869*AN869,2)</f>
        <v>0</v>
      </c>
      <c r="K869" s="25">
        <f>ROUND(G869*H869,2)</f>
        <v>0</v>
      </c>
      <c r="L869" s="25">
        <v>0</v>
      </c>
      <c r="M869" s="25">
        <f>G869*L869</f>
        <v>0</v>
      </c>
      <c r="N869" s="26"/>
      <c r="X869" s="25">
        <f>ROUND(IF(AO869="5",BH869,0),2)</f>
        <v>0</v>
      </c>
      <c r="Z869" s="25">
        <f>ROUND(IF(AO869="1",BF869,0),2)</f>
        <v>0</v>
      </c>
      <c r="AA869" s="25">
        <f>ROUND(IF(AO869="1",BG869,0),2)</f>
        <v>0</v>
      </c>
      <c r="AB869" s="25">
        <f>ROUND(IF(AO869="7",BF869,0),2)</f>
        <v>0</v>
      </c>
      <c r="AC869" s="25">
        <f>ROUND(IF(AO869="7",BG869,0),2)</f>
        <v>0</v>
      </c>
      <c r="AD869" s="25">
        <f>ROUND(IF(AO869="2",BF869,0),2)</f>
        <v>0</v>
      </c>
      <c r="AE869" s="25">
        <f>ROUND(IF(AO869="2",BG869,0),2)</f>
        <v>0</v>
      </c>
      <c r="AF869" s="25">
        <f>ROUND(IF(AO869="0",BH869,0),2)</f>
        <v>0</v>
      </c>
      <c r="AG869" s="10" t="s">
        <v>510</v>
      </c>
      <c r="AH869" s="25">
        <f>IF(AL869=0,K869,0)</f>
        <v>0</v>
      </c>
      <c r="AI869" s="25">
        <f>IF(AL869=12,K869,0)</f>
        <v>0</v>
      </c>
      <c r="AJ869" s="25">
        <f>IF(AL869=21,K869,0)</f>
        <v>0</v>
      </c>
      <c r="AL869" s="25">
        <v>21</v>
      </c>
      <c r="AM869" s="25">
        <f>H869*0</f>
        <v>0</v>
      </c>
      <c r="AN869" s="25">
        <f>H869*(1-0)</f>
        <v>0</v>
      </c>
      <c r="AO869" s="27" t="s">
        <v>81</v>
      </c>
      <c r="AT869" s="25">
        <f>ROUND(AU869+AV869,2)</f>
        <v>0</v>
      </c>
      <c r="AU869" s="25">
        <f>ROUND(G869*AM869,2)</f>
        <v>0</v>
      </c>
      <c r="AV869" s="25">
        <f>ROUND(G869*AN869,2)</f>
        <v>0</v>
      </c>
      <c r="AW869" s="27" t="s">
        <v>1090</v>
      </c>
      <c r="AX869" s="27" t="s">
        <v>565</v>
      </c>
      <c r="AY869" s="10" t="s">
        <v>518</v>
      </c>
      <c r="BA869" s="25">
        <f>AU869+AV869</f>
        <v>0</v>
      </c>
      <c r="BB869" s="25">
        <f>H869/(100-BC869)*100</f>
        <v>0</v>
      </c>
      <c r="BC869" s="25">
        <v>0</v>
      </c>
      <c r="BD869" s="25">
        <f>M869</f>
        <v>0</v>
      </c>
      <c r="BF869" s="25">
        <f>G869*AM869</f>
        <v>0</v>
      </c>
      <c r="BG869" s="25">
        <f>G869*AN869</f>
        <v>0</v>
      </c>
      <c r="BH869" s="25">
        <f>G869*H869</f>
        <v>0</v>
      </c>
      <c r="BI869" s="27" t="s">
        <v>65</v>
      </c>
      <c r="BJ869" s="25"/>
      <c r="BU869" s="25" t="e">
        <f>#REF!</f>
        <v>#REF!</v>
      </c>
      <c r="BV869" s="4" t="s">
        <v>1100</v>
      </c>
    </row>
    <row r="870" spans="1:74" ht="14.4" x14ac:dyDescent="0.3">
      <c r="A870" s="28"/>
      <c r="D870" s="29" t="s">
        <v>291</v>
      </c>
      <c r="E870" s="29" t="s">
        <v>52</v>
      </c>
      <c r="G870" s="30">
        <v>35</v>
      </c>
      <c r="H870" s="63"/>
      <c r="N870" s="31"/>
    </row>
    <row r="871" spans="1:74" ht="14.4" x14ac:dyDescent="0.3">
      <c r="A871" s="95" t="s">
        <v>52</v>
      </c>
      <c r="B871" s="96" t="s">
        <v>1101</v>
      </c>
      <c r="C871" s="96" t="s">
        <v>52</v>
      </c>
      <c r="D871" s="179" t="s">
        <v>1102</v>
      </c>
      <c r="E871" s="180"/>
      <c r="F871" s="97" t="s">
        <v>32</v>
      </c>
      <c r="G871" s="97" t="s">
        <v>32</v>
      </c>
      <c r="H871" s="98"/>
      <c r="I871" s="99">
        <f>I872+I896+I916+I962+I1079+I1099+I1120+I1158+I1193+I1235+I1249+I1253+I1262+I1297+I1326+I1394+I1408+I1417+I1512+I1515+I1568+I1573+I1584+I1605</f>
        <v>0</v>
      </c>
      <c r="J871" s="99">
        <f>J872+J896+J916+J962+J1079+J1099+J1120+J1158+J1193+J1235+J1249+J1253+J1262+J1297+J1326+J1394+J1408+J1417+J1512+J1515+J1568+J1573+J1584+J1605</f>
        <v>0</v>
      </c>
      <c r="K871" s="99">
        <f>K872+K896+K916+K962+K1079+K1099+K1120+K1158+K1193+K1235+K1249+K1253+K1262+K1297+K1326+K1394+K1408+K1417+K1512+K1515+K1568+K1573+K1584+K1605</f>
        <v>0</v>
      </c>
      <c r="L871" s="100" t="s">
        <v>52</v>
      </c>
      <c r="M871" s="99">
        <f>M872+M896+M916+M962+M1079+M1099+M1120+M1158+M1193+M1235+M1249+M1253+M1262+M1297+M1326+M1394+M1408+M1417+M1512+M1515+M1568+M1573+M1584+M1605</f>
        <v>86.406413119699991</v>
      </c>
      <c r="N871" s="101"/>
    </row>
    <row r="872" spans="1:74" ht="14.4" x14ac:dyDescent="0.3">
      <c r="A872" s="21" t="s">
        <v>52</v>
      </c>
      <c r="B872" s="22" t="s">
        <v>1101</v>
      </c>
      <c r="C872" s="22">
        <v>31</v>
      </c>
      <c r="D872" s="181" t="s">
        <v>3557</v>
      </c>
      <c r="E872" s="171"/>
      <c r="F872" s="23" t="s">
        <v>32</v>
      </c>
      <c r="G872" s="23" t="s">
        <v>32</v>
      </c>
      <c r="H872" s="64"/>
      <c r="I872" s="1">
        <f>SUM(I873:I892)</f>
        <v>0</v>
      </c>
      <c r="J872" s="1">
        <f>SUM(J873:J892)</f>
        <v>0</v>
      </c>
      <c r="K872" s="1">
        <f>SUM(K873:K892)</f>
        <v>0</v>
      </c>
      <c r="L872" s="10" t="s">
        <v>52</v>
      </c>
      <c r="M872" s="1">
        <f>SUM(M873:M892)</f>
        <v>0.83943722999999992</v>
      </c>
      <c r="N872" s="24"/>
      <c r="AG872" s="10" t="s">
        <v>1101</v>
      </c>
      <c r="AQ872" s="1">
        <f>SUM(AH873:AH892)</f>
        <v>0</v>
      </c>
      <c r="AR872" s="1">
        <f>SUM(AI873:AI892)</f>
        <v>0</v>
      </c>
      <c r="AS872" s="1">
        <f>SUM(AJ873:AJ892)</f>
        <v>0</v>
      </c>
    </row>
    <row r="873" spans="1:74" ht="14.4" x14ac:dyDescent="0.3">
      <c r="A873" s="2" t="s">
        <v>1103</v>
      </c>
      <c r="B873" s="3" t="s">
        <v>1101</v>
      </c>
      <c r="C873" s="3" t="s">
        <v>562</v>
      </c>
      <c r="D873" s="112" t="s">
        <v>563</v>
      </c>
      <c r="E873" s="109"/>
      <c r="F873" s="3" t="s">
        <v>122</v>
      </c>
      <c r="G873" s="25">
        <v>1</v>
      </c>
      <c r="H873" s="62"/>
      <c r="I873" s="25">
        <f>ROUND(G873*AM873,2)</f>
        <v>0</v>
      </c>
      <c r="J873" s="25">
        <f>ROUND(G873*AN873,2)</f>
        <v>0</v>
      </c>
      <c r="K873" s="25">
        <f>ROUND(G873*H873,2)</f>
        <v>0</v>
      </c>
      <c r="L873" s="25">
        <v>2.6509999999999999E-2</v>
      </c>
      <c r="M873" s="25">
        <f>G873*L873</f>
        <v>2.6509999999999999E-2</v>
      </c>
      <c r="N873" s="26"/>
      <c r="X873" s="25">
        <f>ROUND(IF(AO873="5",BH873,0),2)</f>
        <v>0</v>
      </c>
      <c r="Z873" s="25">
        <f>ROUND(IF(AO873="1",BF873,0),2)</f>
        <v>0</v>
      </c>
      <c r="AA873" s="25">
        <f>ROUND(IF(AO873="1",BG873,0),2)</f>
        <v>0</v>
      </c>
      <c r="AB873" s="25">
        <f>ROUND(IF(AO873="7",BF873,0),2)</f>
        <v>0</v>
      </c>
      <c r="AC873" s="25">
        <f>ROUND(IF(AO873="7",BG873,0),2)</f>
        <v>0</v>
      </c>
      <c r="AD873" s="25">
        <f>ROUND(IF(AO873="2",BF873,0),2)</f>
        <v>0</v>
      </c>
      <c r="AE873" s="25">
        <f>ROUND(IF(AO873="2",BG873,0),2)</f>
        <v>0</v>
      </c>
      <c r="AF873" s="25">
        <f>ROUND(IF(AO873="0",BH873,0),2)</f>
        <v>0</v>
      </c>
      <c r="AG873" s="10" t="s">
        <v>1101</v>
      </c>
      <c r="AH873" s="25">
        <f>IF(AL873=0,K873,0)</f>
        <v>0</v>
      </c>
      <c r="AI873" s="25">
        <f>IF(AL873=12,K873,0)</f>
        <v>0</v>
      </c>
      <c r="AJ873" s="25">
        <f>IF(AL873=21,K873,0)</f>
        <v>0</v>
      </c>
      <c r="AL873" s="25">
        <v>21</v>
      </c>
      <c r="AM873" s="25">
        <f>H873*0.8382846</f>
        <v>0</v>
      </c>
      <c r="AN873" s="25">
        <f>H873*(1-0.8382846)</f>
        <v>0</v>
      </c>
      <c r="AO873" s="27" t="s">
        <v>57</v>
      </c>
      <c r="AT873" s="25">
        <f>ROUND(AU873+AV873,2)</f>
        <v>0</v>
      </c>
      <c r="AU873" s="25">
        <f>ROUND(G873*AM873,2)</f>
        <v>0</v>
      </c>
      <c r="AV873" s="25">
        <f>ROUND(G873*AN873,2)</f>
        <v>0</v>
      </c>
      <c r="AW873" s="27" t="s">
        <v>564</v>
      </c>
      <c r="AX873" s="27" t="s">
        <v>1104</v>
      </c>
      <c r="AY873" s="10" t="s">
        <v>1105</v>
      </c>
      <c r="BA873" s="25">
        <f>AU873+AV873</f>
        <v>0</v>
      </c>
      <c r="BB873" s="25">
        <f>H873/(100-BC873)*100</f>
        <v>0</v>
      </c>
      <c r="BC873" s="25">
        <v>0</v>
      </c>
      <c r="BD873" s="25">
        <f>M873</f>
        <v>2.6509999999999999E-2</v>
      </c>
      <c r="BF873" s="25">
        <f>G873*AM873</f>
        <v>0</v>
      </c>
      <c r="BG873" s="25">
        <f>G873*AN873</f>
        <v>0</v>
      </c>
      <c r="BH873" s="25">
        <f>G873*H873</f>
        <v>0</v>
      </c>
      <c r="BI873" s="27" t="s">
        <v>65</v>
      </c>
      <c r="BJ873" s="25"/>
      <c r="BU873" s="25" t="e">
        <f>#REF!</f>
        <v>#REF!</v>
      </c>
      <c r="BV873" s="4" t="s">
        <v>563</v>
      </c>
    </row>
    <row r="874" spans="1:74" ht="14.4" x14ac:dyDescent="0.3">
      <c r="A874" s="28"/>
      <c r="D874" s="29" t="s">
        <v>57</v>
      </c>
      <c r="E874" s="29" t="s">
        <v>52</v>
      </c>
      <c r="G874" s="30">
        <v>1</v>
      </c>
      <c r="H874" s="63"/>
      <c r="N874" s="31"/>
    </row>
    <row r="875" spans="1:74" ht="14.4" x14ac:dyDescent="0.3">
      <c r="A875" s="2" t="s">
        <v>1106</v>
      </c>
      <c r="B875" s="3" t="s">
        <v>1101</v>
      </c>
      <c r="C875" s="3" t="s">
        <v>1107</v>
      </c>
      <c r="D875" s="112" t="s">
        <v>1108</v>
      </c>
      <c r="E875" s="109"/>
      <c r="F875" s="3" t="s">
        <v>122</v>
      </c>
      <c r="G875" s="25">
        <v>1</v>
      </c>
      <c r="H875" s="62"/>
      <c r="I875" s="25">
        <f>ROUND(G875*AM875,2)</f>
        <v>0</v>
      </c>
      <c r="J875" s="25">
        <f>ROUND(G875*AN875,2)</f>
        <v>0</v>
      </c>
      <c r="K875" s="25">
        <f>ROUND(G875*H875,2)</f>
        <v>0</v>
      </c>
      <c r="L875" s="25">
        <v>5.2720000000000003E-2</v>
      </c>
      <c r="M875" s="25">
        <f>G875*L875</f>
        <v>5.2720000000000003E-2</v>
      </c>
      <c r="N875" s="26"/>
      <c r="X875" s="25">
        <f>ROUND(IF(AO875="5",BH875,0),2)</f>
        <v>0</v>
      </c>
      <c r="Z875" s="25">
        <f>ROUND(IF(AO875="1",BF875,0),2)</f>
        <v>0</v>
      </c>
      <c r="AA875" s="25">
        <f>ROUND(IF(AO875="1",BG875,0),2)</f>
        <v>0</v>
      </c>
      <c r="AB875" s="25">
        <f>ROUND(IF(AO875="7",BF875,0),2)</f>
        <v>0</v>
      </c>
      <c r="AC875" s="25">
        <f>ROUND(IF(AO875="7",BG875,0),2)</f>
        <v>0</v>
      </c>
      <c r="AD875" s="25">
        <f>ROUND(IF(AO875="2",BF875,0),2)</f>
        <v>0</v>
      </c>
      <c r="AE875" s="25">
        <f>ROUND(IF(AO875="2",BG875,0),2)</f>
        <v>0</v>
      </c>
      <c r="AF875" s="25">
        <f>ROUND(IF(AO875="0",BH875,0),2)</f>
        <v>0</v>
      </c>
      <c r="AG875" s="10" t="s">
        <v>1101</v>
      </c>
      <c r="AH875" s="25">
        <f>IF(AL875=0,K875,0)</f>
        <v>0</v>
      </c>
      <c r="AI875" s="25">
        <f>IF(AL875=12,K875,0)</f>
        <v>0</v>
      </c>
      <c r="AJ875" s="25">
        <f>IF(AL875=21,K875,0)</f>
        <v>0</v>
      </c>
      <c r="AL875" s="25">
        <v>21</v>
      </c>
      <c r="AM875" s="25">
        <f>H875*0.814460808</f>
        <v>0</v>
      </c>
      <c r="AN875" s="25">
        <f>H875*(1-0.814460808)</f>
        <v>0</v>
      </c>
      <c r="AO875" s="27" t="s">
        <v>57</v>
      </c>
      <c r="AT875" s="25">
        <f>ROUND(AU875+AV875,2)</f>
        <v>0</v>
      </c>
      <c r="AU875" s="25">
        <f>ROUND(G875*AM875,2)</f>
        <v>0</v>
      </c>
      <c r="AV875" s="25">
        <f>ROUND(G875*AN875,2)</f>
        <v>0</v>
      </c>
      <c r="AW875" s="27" t="s">
        <v>564</v>
      </c>
      <c r="AX875" s="27" t="s">
        <v>1104</v>
      </c>
      <c r="AY875" s="10" t="s">
        <v>1105</v>
      </c>
      <c r="BA875" s="25">
        <f>AU875+AV875</f>
        <v>0</v>
      </c>
      <c r="BB875" s="25">
        <f>H875/(100-BC875)*100</f>
        <v>0</v>
      </c>
      <c r="BC875" s="25">
        <v>0</v>
      </c>
      <c r="BD875" s="25">
        <f>M875</f>
        <v>5.2720000000000003E-2</v>
      </c>
      <c r="BF875" s="25">
        <f>G875*AM875</f>
        <v>0</v>
      </c>
      <c r="BG875" s="25">
        <f>G875*AN875</f>
        <v>0</v>
      </c>
      <c r="BH875" s="25">
        <f>G875*H875</f>
        <v>0</v>
      </c>
      <c r="BI875" s="27" t="s">
        <v>65</v>
      </c>
      <c r="BJ875" s="25"/>
      <c r="BU875" s="25" t="e">
        <f>#REF!</f>
        <v>#REF!</v>
      </c>
      <c r="BV875" s="4" t="s">
        <v>1108</v>
      </c>
    </row>
    <row r="876" spans="1:74" ht="14.4" x14ac:dyDescent="0.3">
      <c r="A876" s="28"/>
      <c r="D876" s="29" t="s">
        <v>57</v>
      </c>
      <c r="E876" s="29" t="s">
        <v>52</v>
      </c>
      <c r="G876" s="30">
        <v>1</v>
      </c>
      <c r="H876" s="63"/>
      <c r="N876" s="31"/>
    </row>
    <row r="877" spans="1:74" ht="14.4" x14ac:dyDescent="0.3">
      <c r="A877" s="2" t="s">
        <v>1109</v>
      </c>
      <c r="B877" s="3" t="s">
        <v>1101</v>
      </c>
      <c r="C877" s="3" t="s">
        <v>1110</v>
      </c>
      <c r="D877" s="112" t="s">
        <v>1111</v>
      </c>
      <c r="E877" s="109"/>
      <c r="F877" s="3" t="s">
        <v>278</v>
      </c>
      <c r="G877" s="25">
        <v>0.56699999999999995</v>
      </c>
      <c r="H877" s="62"/>
      <c r="I877" s="25">
        <f>ROUND(G877*AM877,2)</f>
        <v>0</v>
      </c>
      <c r="J877" s="25">
        <f>ROUND(G877*AN877,2)</f>
        <v>0</v>
      </c>
      <c r="K877" s="25">
        <f>ROUND(G877*H877,2)</f>
        <v>0</v>
      </c>
      <c r="L877" s="25">
        <v>1.7090000000000001E-2</v>
      </c>
      <c r="M877" s="25">
        <f>G877*L877</f>
        <v>9.6900300000000005E-3</v>
      </c>
      <c r="N877" s="26"/>
      <c r="X877" s="25">
        <f>ROUND(IF(AO877="5",BH877,0),2)</f>
        <v>0</v>
      </c>
      <c r="Z877" s="25">
        <f>ROUND(IF(AO877="1",BF877,0),2)</f>
        <v>0</v>
      </c>
      <c r="AA877" s="25">
        <f>ROUND(IF(AO877="1",BG877,0),2)</f>
        <v>0</v>
      </c>
      <c r="AB877" s="25">
        <f>ROUND(IF(AO877="7",BF877,0),2)</f>
        <v>0</v>
      </c>
      <c r="AC877" s="25">
        <f>ROUND(IF(AO877="7",BG877,0),2)</f>
        <v>0</v>
      </c>
      <c r="AD877" s="25">
        <f>ROUND(IF(AO877="2",BF877,0),2)</f>
        <v>0</v>
      </c>
      <c r="AE877" s="25">
        <f>ROUND(IF(AO877="2",BG877,0),2)</f>
        <v>0</v>
      </c>
      <c r="AF877" s="25">
        <f>ROUND(IF(AO877="0",BH877,0),2)</f>
        <v>0</v>
      </c>
      <c r="AG877" s="10" t="s">
        <v>1101</v>
      </c>
      <c r="AH877" s="25">
        <f>IF(AL877=0,K877,0)</f>
        <v>0</v>
      </c>
      <c r="AI877" s="25">
        <f>IF(AL877=12,K877,0)</f>
        <v>0</v>
      </c>
      <c r="AJ877" s="25">
        <f>IF(AL877=21,K877,0)</f>
        <v>0</v>
      </c>
      <c r="AL877" s="25">
        <v>21</v>
      </c>
      <c r="AM877" s="25">
        <f>H877*0.001521834</f>
        <v>0</v>
      </c>
      <c r="AN877" s="25">
        <f>H877*(1-0.001521834)</f>
        <v>0</v>
      </c>
      <c r="AO877" s="27" t="s">
        <v>57</v>
      </c>
      <c r="AT877" s="25">
        <f>ROUND(AU877+AV877,2)</f>
        <v>0</v>
      </c>
      <c r="AU877" s="25">
        <f>ROUND(G877*AM877,2)</f>
        <v>0</v>
      </c>
      <c r="AV877" s="25">
        <f>ROUND(G877*AN877,2)</f>
        <v>0</v>
      </c>
      <c r="AW877" s="27" t="s">
        <v>564</v>
      </c>
      <c r="AX877" s="27" t="s">
        <v>1104</v>
      </c>
      <c r="AY877" s="10" t="s">
        <v>1105</v>
      </c>
      <c r="BA877" s="25">
        <f>AU877+AV877</f>
        <v>0</v>
      </c>
      <c r="BB877" s="25">
        <f>H877/(100-BC877)*100</f>
        <v>0</v>
      </c>
      <c r="BC877" s="25">
        <v>0</v>
      </c>
      <c r="BD877" s="25">
        <f>M877</f>
        <v>9.6900300000000005E-3</v>
      </c>
      <c r="BF877" s="25">
        <f>G877*AM877</f>
        <v>0</v>
      </c>
      <c r="BG877" s="25">
        <f>G877*AN877</f>
        <v>0</v>
      </c>
      <c r="BH877" s="25">
        <f>G877*H877</f>
        <v>0</v>
      </c>
      <c r="BI877" s="27" t="s">
        <v>65</v>
      </c>
      <c r="BJ877" s="25"/>
      <c r="BU877" s="25" t="e">
        <f>#REF!</f>
        <v>#REF!</v>
      </c>
      <c r="BV877" s="4" t="s">
        <v>1111</v>
      </c>
    </row>
    <row r="878" spans="1:74" ht="14.4" x14ac:dyDescent="0.3">
      <c r="A878" s="28"/>
      <c r="D878" s="29" t="s">
        <v>1112</v>
      </c>
      <c r="E878" s="29" t="s">
        <v>52</v>
      </c>
      <c r="G878" s="30">
        <v>0.56699999999999995</v>
      </c>
      <c r="H878" s="63"/>
      <c r="N878" s="31"/>
    </row>
    <row r="879" spans="1:74" ht="14.4" x14ac:dyDescent="0.3">
      <c r="A879" s="2" t="s">
        <v>1113</v>
      </c>
      <c r="B879" s="3" t="s">
        <v>1101</v>
      </c>
      <c r="C879" s="3" t="s">
        <v>567</v>
      </c>
      <c r="D879" s="112" t="s">
        <v>568</v>
      </c>
      <c r="E879" s="109"/>
      <c r="F879" s="3" t="s">
        <v>278</v>
      </c>
      <c r="G879" s="25">
        <v>0.18</v>
      </c>
      <c r="H879" s="62"/>
      <c r="I879" s="25">
        <f>ROUND(G879*AM879,2)</f>
        <v>0</v>
      </c>
      <c r="J879" s="25">
        <f>ROUND(G879*AN879,2)</f>
        <v>0</v>
      </c>
      <c r="K879" s="25">
        <f>ROUND(G879*H879,2)</f>
        <v>0</v>
      </c>
      <c r="L879" s="25">
        <v>1.9539999999999998E-2</v>
      </c>
      <c r="M879" s="25">
        <f>G879*L879</f>
        <v>3.5171999999999994E-3</v>
      </c>
      <c r="N879" s="26"/>
      <c r="X879" s="25">
        <f>ROUND(IF(AO879="5",BH879,0),2)</f>
        <v>0</v>
      </c>
      <c r="Z879" s="25">
        <f>ROUND(IF(AO879="1",BF879,0),2)</f>
        <v>0</v>
      </c>
      <c r="AA879" s="25">
        <f>ROUND(IF(AO879="1",BG879,0),2)</f>
        <v>0</v>
      </c>
      <c r="AB879" s="25">
        <f>ROUND(IF(AO879="7",BF879,0),2)</f>
        <v>0</v>
      </c>
      <c r="AC879" s="25">
        <f>ROUND(IF(AO879="7",BG879,0),2)</f>
        <v>0</v>
      </c>
      <c r="AD879" s="25">
        <f>ROUND(IF(AO879="2",BF879,0),2)</f>
        <v>0</v>
      </c>
      <c r="AE879" s="25">
        <f>ROUND(IF(AO879="2",BG879,0),2)</f>
        <v>0</v>
      </c>
      <c r="AF879" s="25">
        <f>ROUND(IF(AO879="0",BH879,0),2)</f>
        <v>0</v>
      </c>
      <c r="AG879" s="10" t="s">
        <v>1101</v>
      </c>
      <c r="AH879" s="25">
        <f>IF(AL879=0,K879,0)</f>
        <v>0</v>
      </c>
      <c r="AI879" s="25">
        <f>IF(AL879=12,K879,0)</f>
        <v>0</v>
      </c>
      <c r="AJ879" s="25">
        <f>IF(AL879=21,K879,0)</f>
        <v>0</v>
      </c>
      <c r="AL879" s="25">
        <v>21</v>
      </c>
      <c r="AM879" s="25">
        <f>H879*0.001592334</f>
        <v>0</v>
      </c>
      <c r="AN879" s="25">
        <f>H879*(1-0.001592334)</f>
        <v>0</v>
      </c>
      <c r="AO879" s="27" t="s">
        <v>57</v>
      </c>
      <c r="AT879" s="25">
        <f>ROUND(AU879+AV879,2)</f>
        <v>0</v>
      </c>
      <c r="AU879" s="25">
        <f>ROUND(G879*AM879,2)</f>
        <v>0</v>
      </c>
      <c r="AV879" s="25">
        <f>ROUND(G879*AN879,2)</f>
        <v>0</v>
      </c>
      <c r="AW879" s="27" t="s">
        <v>564</v>
      </c>
      <c r="AX879" s="27" t="s">
        <v>1104</v>
      </c>
      <c r="AY879" s="10" t="s">
        <v>1105</v>
      </c>
      <c r="BA879" s="25">
        <f>AU879+AV879</f>
        <v>0</v>
      </c>
      <c r="BB879" s="25">
        <f>H879/(100-BC879)*100</f>
        <v>0</v>
      </c>
      <c r="BC879" s="25">
        <v>0</v>
      </c>
      <c r="BD879" s="25">
        <f>M879</f>
        <v>3.5171999999999994E-3</v>
      </c>
      <c r="BF879" s="25">
        <f>G879*AM879</f>
        <v>0</v>
      </c>
      <c r="BG879" s="25">
        <f>G879*AN879</f>
        <v>0</v>
      </c>
      <c r="BH879" s="25">
        <f>G879*H879</f>
        <v>0</v>
      </c>
      <c r="BI879" s="27" t="s">
        <v>65</v>
      </c>
      <c r="BJ879" s="25"/>
      <c r="BU879" s="25" t="e">
        <f>#REF!</f>
        <v>#REF!</v>
      </c>
      <c r="BV879" s="4" t="s">
        <v>568</v>
      </c>
    </row>
    <row r="880" spans="1:74" ht="14.4" x14ac:dyDescent="0.3">
      <c r="A880" s="28"/>
      <c r="D880" s="29" t="s">
        <v>1114</v>
      </c>
      <c r="E880" s="29" t="s">
        <v>1115</v>
      </c>
      <c r="G880" s="30">
        <v>4.2999999999999997E-2</v>
      </c>
      <c r="H880" s="63"/>
      <c r="N880" s="31"/>
    </row>
    <row r="881" spans="1:74" ht="14.4" x14ac:dyDescent="0.3">
      <c r="A881" s="28"/>
      <c r="D881" s="29" t="s">
        <v>1116</v>
      </c>
      <c r="E881" s="29" t="s">
        <v>1117</v>
      </c>
      <c r="G881" s="30">
        <v>1.2E-2</v>
      </c>
      <c r="H881" s="63"/>
      <c r="N881" s="31"/>
    </row>
    <row r="882" spans="1:74" ht="14.4" x14ac:dyDescent="0.3">
      <c r="A882" s="28"/>
      <c r="D882" s="29" t="s">
        <v>1118</v>
      </c>
      <c r="E882" s="29" t="s">
        <v>1119</v>
      </c>
      <c r="G882" s="30">
        <v>2.8000000000000001E-2</v>
      </c>
      <c r="H882" s="63"/>
      <c r="N882" s="31"/>
    </row>
    <row r="883" spans="1:74" ht="14.4" x14ac:dyDescent="0.3">
      <c r="A883" s="28"/>
      <c r="D883" s="29" t="s">
        <v>1120</v>
      </c>
      <c r="E883" s="29" t="s">
        <v>1121</v>
      </c>
      <c r="G883" s="30">
        <v>2.1999999999999999E-2</v>
      </c>
      <c r="H883" s="63"/>
      <c r="N883" s="31"/>
    </row>
    <row r="884" spans="1:74" ht="14.4" x14ac:dyDescent="0.3">
      <c r="A884" s="28"/>
      <c r="D884" s="29" t="s">
        <v>1122</v>
      </c>
      <c r="E884" s="29" t="s">
        <v>1123</v>
      </c>
      <c r="G884" s="30">
        <v>1.2E-2</v>
      </c>
      <c r="H884" s="63"/>
      <c r="N884" s="31"/>
    </row>
    <row r="885" spans="1:74" ht="14.4" x14ac:dyDescent="0.3">
      <c r="A885" s="28"/>
      <c r="D885" s="29" t="s">
        <v>1124</v>
      </c>
      <c r="E885" s="29" t="s">
        <v>1125</v>
      </c>
      <c r="G885" s="30">
        <v>6.3E-2</v>
      </c>
      <c r="H885" s="63"/>
      <c r="N885" s="31"/>
    </row>
    <row r="886" spans="1:74" ht="14.4" x14ac:dyDescent="0.3">
      <c r="A886" s="2" t="s">
        <v>1126</v>
      </c>
      <c r="B886" s="3" t="s">
        <v>1101</v>
      </c>
      <c r="C886" s="3" t="s">
        <v>574</v>
      </c>
      <c r="D886" s="112" t="s">
        <v>575</v>
      </c>
      <c r="E886" s="109"/>
      <c r="F886" s="3" t="s">
        <v>278</v>
      </c>
      <c r="G886" s="25">
        <v>9.7000000000000003E-2</v>
      </c>
      <c r="H886" s="62"/>
      <c r="I886" s="25">
        <f>ROUND(G886*AM886,2)</f>
        <v>0</v>
      </c>
      <c r="J886" s="25">
        <f>ROUND(G886*AN886,2)</f>
        <v>0</v>
      </c>
      <c r="K886" s="25">
        <f>ROUND(G886*H886,2)</f>
        <v>0</v>
      </c>
      <c r="L886" s="25">
        <v>1</v>
      </c>
      <c r="M886" s="25">
        <f>G886*L886</f>
        <v>9.7000000000000003E-2</v>
      </c>
      <c r="N886" s="26"/>
      <c r="X886" s="25">
        <f>ROUND(IF(AO886="5",BH886,0),2)</f>
        <v>0</v>
      </c>
      <c r="Z886" s="25">
        <f>ROUND(IF(AO886="1",BF886,0),2)</f>
        <v>0</v>
      </c>
      <c r="AA886" s="25">
        <f>ROUND(IF(AO886="1",BG886,0),2)</f>
        <v>0</v>
      </c>
      <c r="AB886" s="25">
        <f>ROUND(IF(AO886="7",BF886,0),2)</f>
        <v>0</v>
      </c>
      <c r="AC886" s="25">
        <f>ROUND(IF(AO886="7",BG886,0),2)</f>
        <v>0</v>
      </c>
      <c r="AD886" s="25">
        <f>ROUND(IF(AO886="2",BF886,0),2)</f>
        <v>0</v>
      </c>
      <c r="AE886" s="25">
        <f>ROUND(IF(AO886="2",BG886,0),2)</f>
        <v>0</v>
      </c>
      <c r="AF886" s="25">
        <f>ROUND(IF(AO886="0",BH886,0),2)</f>
        <v>0</v>
      </c>
      <c r="AG886" s="10" t="s">
        <v>1101</v>
      </c>
      <c r="AH886" s="25">
        <f>IF(AL886=0,K886,0)</f>
        <v>0</v>
      </c>
      <c r="AI886" s="25">
        <f>IF(AL886=12,K886,0)</f>
        <v>0</v>
      </c>
      <c r="AJ886" s="25">
        <f>IF(AL886=21,K886,0)</f>
        <v>0</v>
      </c>
      <c r="AL886" s="25">
        <v>21</v>
      </c>
      <c r="AM886" s="25">
        <f>H886*1</f>
        <v>0</v>
      </c>
      <c r="AN886" s="25">
        <f>H886*(1-1)</f>
        <v>0</v>
      </c>
      <c r="AO886" s="27" t="s">
        <v>57</v>
      </c>
      <c r="AT886" s="25">
        <f>ROUND(AU886+AV886,2)</f>
        <v>0</v>
      </c>
      <c r="AU886" s="25">
        <f>ROUND(G886*AM886,2)</f>
        <v>0</v>
      </c>
      <c r="AV886" s="25">
        <f>ROUND(G886*AN886,2)</f>
        <v>0</v>
      </c>
      <c r="AW886" s="27" t="s">
        <v>564</v>
      </c>
      <c r="AX886" s="27" t="s">
        <v>1104</v>
      </c>
      <c r="AY886" s="10" t="s">
        <v>1105</v>
      </c>
      <c r="BA886" s="25">
        <f>AU886+AV886</f>
        <v>0</v>
      </c>
      <c r="BB886" s="25">
        <f>H886/(100-BC886)*100</f>
        <v>0</v>
      </c>
      <c r="BC886" s="25">
        <v>0</v>
      </c>
      <c r="BD886" s="25">
        <f>M886</f>
        <v>9.7000000000000003E-2</v>
      </c>
      <c r="BF886" s="25">
        <f>G886*AM886</f>
        <v>0</v>
      </c>
      <c r="BG886" s="25">
        <f>G886*AN886</f>
        <v>0</v>
      </c>
      <c r="BH886" s="25">
        <f>G886*H886</f>
        <v>0</v>
      </c>
      <c r="BI886" s="27" t="s">
        <v>576</v>
      </c>
      <c r="BJ886" s="25"/>
      <c r="BU886" s="25" t="e">
        <f>#REF!</f>
        <v>#REF!</v>
      </c>
      <c r="BV886" s="4" t="s">
        <v>575</v>
      </c>
    </row>
    <row r="887" spans="1:74" ht="14.4" x14ac:dyDescent="0.3">
      <c r="A887" s="28"/>
      <c r="D887" s="29" t="s">
        <v>1120</v>
      </c>
      <c r="E887" s="29" t="s">
        <v>1121</v>
      </c>
      <c r="G887" s="30">
        <v>2.1999999999999999E-2</v>
      </c>
      <c r="H887" s="63"/>
      <c r="N887" s="31"/>
    </row>
    <row r="888" spans="1:74" ht="14.4" x14ac:dyDescent="0.3">
      <c r="A888" s="28"/>
      <c r="D888" s="29" t="s">
        <v>1122</v>
      </c>
      <c r="E888" s="29" t="s">
        <v>1123</v>
      </c>
      <c r="G888" s="30">
        <v>1.2E-2</v>
      </c>
      <c r="H888" s="63"/>
      <c r="N888" s="31"/>
    </row>
    <row r="889" spans="1:74" ht="14.4" x14ac:dyDescent="0.3">
      <c r="A889" s="28"/>
      <c r="D889" s="29" t="s">
        <v>1124</v>
      </c>
      <c r="E889" s="29" t="s">
        <v>1125</v>
      </c>
      <c r="G889" s="30">
        <v>6.3E-2</v>
      </c>
      <c r="H889" s="63"/>
      <c r="N889" s="31"/>
    </row>
    <row r="890" spans="1:74" ht="14.4" x14ac:dyDescent="0.3">
      <c r="A890" s="2" t="s">
        <v>1127</v>
      </c>
      <c r="B890" s="3" t="s">
        <v>1101</v>
      </c>
      <c r="C890" s="3" t="s">
        <v>1128</v>
      </c>
      <c r="D890" s="112" t="s">
        <v>1129</v>
      </c>
      <c r="E890" s="109"/>
      <c r="F890" s="3" t="s">
        <v>278</v>
      </c>
      <c r="G890" s="25">
        <v>0.56699999999999995</v>
      </c>
      <c r="H890" s="62"/>
      <c r="I890" s="25">
        <f>ROUND(G890*AM890,2)</f>
        <v>0</v>
      </c>
      <c r="J890" s="25">
        <f>ROUND(G890*AN890,2)</f>
        <v>0</v>
      </c>
      <c r="K890" s="25">
        <f>ROUND(G890*H890,2)</f>
        <v>0</v>
      </c>
      <c r="L890" s="25">
        <v>1</v>
      </c>
      <c r="M890" s="25">
        <f>G890*L890</f>
        <v>0.56699999999999995</v>
      </c>
      <c r="N890" s="26"/>
      <c r="X890" s="25">
        <f>ROUND(IF(AO890="5",BH890,0),2)</f>
        <v>0</v>
      </c>
      <c r="Z890" s="25">
        <f>ROUND(IF(AO890="1",BF890,0),2)</f>
        <v>0</v>
      </c>
      <c r="AA890" s="25">
        <f>ROUND(IF(AO890="1",BG890,0),2)</f>
        <v>0</v>
      </c>
      <c r="AB890" s="25">
        <f>ROUND(IF(AO890="7",BF890,0),2)</f>
        <v>0</v>
      </c>
      <c r="AC890" s="25">
        <f>ROUND(IF(AO890="7",BG890,0),2)</f>
        <v>0</v>
      </c>
      <c r="AD890" s="25">
        <f>ROUND(IF(AO890="2",BF890,0),2)</f>
        <v>0</v>
      </c>
      <c r="AE890" s="25">
        <f>ROUND(IF(AO890="2",BG890,0),2)</f>
        <v>0</v>
      </c>
      <c r="AF890" s="25">
        <f>ROUND(IF(AO890="0",BH890,0),2)</f>
        <v>0</v>
      </c>
      <c r="AG890" s="10" t="s">
        <v>1101</v>
      </c>
      <c r="AH890" s="25">
        <f>IF(AL890=0,K890,0)</f>
        <v>0</v>
      </c>
      <c r="AI890" s="25">
        <f>IF(AL890=12,K890,0)</f>
        <v>0</v>
      </c>
      <c r="AJ890" s="25">
        <f>IF(AL890=21,K890,0)</f>
        <v>0</v>
      </c>
      <c r="AL890" s="25">
        <v>21</v>
      </c>
      <c r="AM890" s="25">
        <f>H890*1</f>
        <v>0</v>
      </c>
      <c r="AN890" s="25">
        <f>H890*(1-1)</f>
        <v>0</v>
      </c>
      <c r="AO890" s="27" t="s">
        <v>57</v>
      </c>
      <c r="AT890" s="25">
        <f>ROUND(AU890+AV890,2)</f>
        <v>0</v>
      </c>
      <c r="AU890" s="25">
        <f>ROUND(G890*AM890,2)</f>
        <v>0</v>
      </c>
      <c r="AV890" s="25">
        <f>ROUND(G890*AN890,2)</f>
        <v>0</v>
      </c>
      <c r="AW890" s="27" t="s">
        <v>564</v>
      </c>
      <c r="AX890" s="27" t="s">
        <v>1104</v>
      </c>
      <c r="AY890" s="10" t="s">
        <v>1105</v>
      </c>
      <c r="BA890" s="25">
        <f>AU890+AV890</f>
        <v>0</v>
      </c>
      <c r="BB890" s="25">
        <f>H890/(100-BC890)*100</f>
        <v>0</v>
      </c>
      <c r="BC890" s="25">
        <v>0</v>
      </c>
      <c r="BD890" s="25">
        <f>M890</f>
        <v>0.56699999999999995</v>
      </c>
      <c r="BF890" s="25">
        <f>G890*AM890</f>
        <v>0</v>
      </c>
      <c r="BG890" s="25">
        <f>G890*AN890</f>
        <v>0</v>
      </c>
      <c r="BH890" s="25">
        <f>G890*H890</f>
        <v>0</v>
      </c>
      <c r="BI890" s="27" t="s">
        <v>576</v>
      </c>
      <c r="BJ890" s="25"/>
      <c r="BU890" s="25" t="e">
        <f>#REF!</f>
        <v>#REF!</v>
      </c>
      <c r="BV890" s="4" t="s">
        <v>1129</v>
      </c>
    </row>
    <row r="891" spans="1:74" ht="14.4" x14ac:dyDescent="0.3">
      <c r="A891" s="28"/>
      <c r="D891" s="29" t="s">
        <v>1130</v>
      </c>
      <c r="E891" s="29" t="s">
        <v>52</v>
      </c>
      <c r="G891" s="30">
        <v>0.56699999999999995</v>
      </c>
      <c r="H891" s="63"/>
      <c r="N891" s="31"/>
    </row>
    <row r="892" spans="1:74" ht="14.4" x14ac:dyDescent="0.3">
      <c r="A892" s="2" t="s">
        <v>1131</v>
      </c>
      <c r="B892" s="3" t="s">
        <v>1101</v>
      </c>
      <c r="C892" s="3" t="s">
        <v>1132</v>
      </c>
      <c r="D892" s="112" t="s">
        <v>1133</v>
      </c>
      <c r="E892" s="109"/>
      <c r="F892" s="3" t="s">
        <v>278</v>
      </c>
      <c r="G892" s="25">
        <v>8.3000000000000004E-2</v>
      </c>
      <c r="H892" s="62"/>
      <c r="I892" s="25">
        <f>ROUND(G892*AM892,2)</f>
        <v>0</v>
      </c>
      <c r="J892" s="25">
        <f>ROUND(G892*AN892,2)</f>
        <v>0</v>
      </c>
      <c r="K892" s="25">
        <f>ROUND(G892*H892,2)</f>
        <v>0</v>
      </c>
      <c r="L892" s="25">
        <v>1</v>
      </c>
      <c r="M892" s="25">
        <f>G892*L892</f>
        <v>8.3000000000000004E-2</v>
      </c>
      <c r="N892" s="26"/>
      <c r="X892" s="25">
        <f>ROUND(IF(AO892="5",BH892,0),2)</f>
        <v>0</v>
      </c>
      <c r="Z892" s="25">
        <f>ROUND(IF(AO892="1",BF892,0),2)</f>
        <v>0</v>
      </c>
      <c r="AA892" s="25">
        <f>ROUND(IF(AO892="1",BG892,0),2)</f>
        <v>0</v>
      </c>
      <c r="AB892" s="25">
        <f>ROUND(IF(AO892="7",BF892,0),2)</f>
        <v>0</v>
      </c>
      <c r="AC892" s="25">
        <f>ROUND(IF(AO892="7",BG892,0),2)</f>
        <v>0</v>
      </c>
      <c r="AD892" s="25">
        <f>ROUND(IF(AO892="2",BF892,0),2)</f>
        <v>0</v>
      </c>
      <c r="AE892" s="25">
        <f>ROUND(IF(AO892="2",BG892,0),2)</f>
        <v>0</v>
      </c>
      <c r="AF892" s="25">
        <f>ROUND(IF(AO892="0",BH892,0),2)</f>
        <v>0</v>
      </c>
      <c r="AG892" s="10" t="s">
        <v>1101</v>
      </c>
      <c r="AH892" s="25">
        <f>IF(AL892=0,K892,0)</f>
        <v>0</v>
      </c>
      <c r="AI892" s="25">
        <f>IF(AL892=12,K892,0)</f>
        <v>0</v>
      </c>
      <c r="AJ892" s="25">
        <f>IF(AL892=21,K892,0)</f>
        <v>0</v>
      </c>
      <c r="AL892" s="25">
        <v>21</v>
      </c>
      <c r="AM892" s="25">
        <f>H892*1</f>
        <v>0</v>
      </c>
      <c r="AN892" s="25">
        <f>H892*(1-1)</f>
        <v>0</v>
      </c>
      <c r="AO892" s="27" t="s">
        <v>57</v>
      </c>
      <c r="AT892" s="25">
        <f>ROUND(AU892+AV892,2)</f>
        <v>0</v>
      </c>
      <c r="AU892" s="25">
        <f>ROUND(G892*AM892,2)</f>
        <v>0</v>
      </c>
      <c r="AV892" s="25">
        <f>ROUND(G892*AN892,2)</f>
        <v>0</v>
      </c>
      <c r="AW892" s="27" t="s">
        <v>564</v>
      </c>
      <c r="AX892" s="27" t="s">
        <v>1104</v>
      </c>
      <c r="AY892" s="10" t="s">
        <v>1105</v>
      </c>
      <c r="BA892" s="25">
        <f>AU892+AV892</f>
        <v>0</v>
      </c>
      <c r="BB892" s="25">
        <f>H892/(100-BC892)*100</f>
        <v>0</v>
      </c>
      <c r="BC892" s="25">
        <v>0</v>
      </c>
      <c r="BD892" s="25">
        <f>M892</f>
        <v>8.3000000000000004E-2</v>
      </c>
      <c r="BF892" s="25">
        <f>G892*AM892</f>
        <v>0</v>
      </c>
      <c r="BG892" s="25">
        <f>G892*AN892</f>
        <v>0</v>
      </c>
      <c r="BH892" s="25">
        <f>G892*H892</f>
        <v>0</v>
      </c>
      <c r="BI892" s="27" t="s">
        <v>576</v>
      </c>
      <c r="BJ892" s="25"/>
      <c r="BU892" s="25" t="e">
        <f>#REF!</f>
        <v>#REF!</v>
      </c>
      <c r="BV892" s="4" t="s">
        <v>1133</v>
      </c>
    </row>
    <row r="893" spans="1:74" ht="14.4" x14ac:dyDescent="0.3">
      <c r="A893" s="28"/>
      <c r="D893" s="29" t="s">
        <v>1114</v>
      </c>
      <c r="E893" s="29" t="s">
        <v>1115</v>
      </c>
      <c r="G893" s="30">
        <v>4.2999999999999997E-2</v>
      </c>
      <c r="H893" s="63"/>
      <c r="N893" s="31"/>
    </row>
    <row r="894" spans="1:74" ht="14.4" x14ac:dyDescent="0.3">
      <c r="A894" s="28"/>
      <c r="D894" s="29" t="s">
        <v>1116</v>
      </c>
      <c r="E894" s="29" t="s">
        <v>1117</v>
      </c>
      <c r="G894" s="30">
        <v>1.2E-2</v>
      </c>
      <c r="H894" s="63"/>
      <c r="N894" s="31"/>
    </row>
    <row r="895" spans="1:74" ht="14.4" x14ac:dyDescent="0.3">
      <c r="A895" s="28"/>
      <c r="D895" s="29" t="s">
        <v>1118</v>
      </c>
      <c r="E895" s="29" t="s">
        <v>1119</v>
      </c>
      <c r="G895" s="30">
        <v>2.8000000000000001E-2</v>
      </c>
      <c r="H895" s="63"/>
      <c r="N895" s="31"/>
    </row>
    <row r="896" spans="1:74" ht="14.4" x14ac:dyDescent="0.3">
      <c r="A896" s="21" t="s">
        <v>52</v>
      </c>
      <c r="B896" s="22" t="s">
        <v>1101</v>
      </c>
      <c r="C896" s="22" t="s">
        <v>288</v>
      </c>
      <c r="D896" s="170" t="s">
        <v>587</v>
      </c>
      <c r="E896" s="171"/>
      <c r="F896" s="23" t="s">
        <v>32</v>
      </c>
      <c r="G896" s="23" t="s">
        <v>32</v>
      </c>
      <c r="H896" s="64"/>
      <c r="I896" s="1">
        <f>SUM(I897:I914)</f>
        <v>0</v>
      </c>
      <c r="J896" s="1">
        <f>SUM(J897:J914)</f>
        <v>0</v>
      </c>
      <c r="K896" s="1">
        <f>SUM(K897:K914)</f>
        <v>0</v>
      </c>
      <c r="L896" s="10" t="s">
        <v>52</v>
      </c>
      <c r="M896" s="1">
        <f>SUM(M897:M914)</f>
        <v>5.7820283699999999</v>
      </c>
      <c r="N896" s="24"/>
      <c r="AG896" s="10" t="s">
        <v>1101</v>
      </c>
      <c r="AQ896" s="1">
        <f>SUM(AH897:AH914)</f>
        <v>0</v>
      </c>
      <c r="AR896" s="1">
        <f>SUM(AI897:AI914)</f>
        <v>0</v>
      </c>
      <c r="AS896" s="1">
        <f>SUM(AJ897:AJ914)</f>
        <v>0</v>
      </c>
    </row>
    <row r="897" spans="1:74" ht="14.4" x14ac:dyDescent="0.3">
      <c r="A897" s="2" t="s">
        <v>1134</v>
      </c>
      <c r="B897" s="3" t="s">
        <v>1101</v>
      </c>
      <c r="C897" s="3" t="s">
        <v>589</v>
      </c>
      <c r="D897" s="112" t="s">
        <v>590</v>
      </c>
      <c r="E897" s="109"/>
      <c r="F897" s="3" t="s">
        <v>115</v>
      </c>
      <c r="G897" s="25">
        <v>25.85</v>
      </c>
      <c r="H897" s="62"/>
      <c r="I897" s="25">
        <f>ROUND(G897*AM897,2)</f>
        <v>0</v>
      </c>
      <c r="J897" s="25">
        <f>ROUND(G897*AN897,2)</f>
        <v>0</v>
      </c>
      <c r="K897" s="25">
        <f>ROUND(G897*H897,2)</f>
        <v>0</v>
      </c>
      <c r="L897" s="25">
        <v>1.0200000000000001E-3</v>
      </c>
      <c r="M897" s="25">
        <f>G897*L897</f>
        <v>2.6367000000000005E-2</v>
      </c>
      <c r="N897" s="26"/>
      <c r="X897" s="25">
        <f>ROUND(IF(AO897="5",BH897,0),2)</f>
        <v>0</v>
      </c>
      <c r="Z897" s="25">
        <f>ROUND(IF(AO897="1",BF897,0),2)</f>
        <v>0</v>
      </c>
      <c r="AA897" s="25">
        <f>ROUND(IF(AO897="1",BG897,0),2)</f>
        <v>0</v>
      </c>
      <c r="AB897" s="25">
        <f>ROUND(IF(AO897="7",BF897,0),2)</f>
        <v>0</v>
      </c>
      <c r="AC897" s="25">
        <f>ROUND(IF(AO897="7",BG897,0),2)</f>
        <v>0</v>
      </c>
      <c r="AD897" s="25">
        <f>ROUND(IF(AO897="2",BF897,0),2)</f>
        <v>0</v>
      </c>
      <c r="AE897" s="25">
        <f>ROUND(IF(AO897="2",BG897,0),2)</f>
        <v>0</v>
      </c>
      <c r="AF897" s="25">
        <f>ROUND(IF(AO897="0",BH897,0),2)</f>
        <v>0</v>
      </c>
      <c r="AG897" s="10" t="s">
        <v>1101</v>
      </c>
      <c r="AH897" s="25">
        <f>IF(AL897=0,K897,0)</f>
        <v>0</v>
      </c>
      <c r="AI897" s="25">
        <f>IF(AL897=12,K897,0)</f>
        <v>0</v>
      </c>
      <c r="AJ897" s="25">
        <f>IF(AL897=21,K897,0)</f>
        <v>0</v>
      </c>
      <c r="AL897" s="25">
        <v>21</v>
      </c>
      <c r="AM897" s="25">
        <f>H897*0.214775067</f>
        <v>0</v>
      </c>
      <c r="AN897" s="25">
        <f>H897*(1-0.214775067)</f>
        <v>0</v>
      </c>
      <c r="AO897" s="27" t="s">
        <v>57</v>
      </c>
      <c r="AT897" s="25">
        <f>ROUND(AU897+AV897,2)</f>
        <v>0</v>
      </c>
      <c r="AU897" s="25">
        <f>ROUND(G897*AM897,2)</f>
        <v>0</v>
      </c>
      <c r="AV897" s="25">
        <f>ROUND(G897*AN897,2)</f>
        <v>0</v>
      </c>
      <c r="AW897" s="27" t="s">
        <v>591</v>
      </c>
      <c r="AX897" s="27" t="s">
        <v>1135</v>
      </c>
      <c r="AY897" s="10" t="s">
        <v>1105</v>
      </c>
      <c r="BA897" s="25">
        <f>AU897+AV897</f>
        <v>0</v>
      </c>
      <c r="BB897" s="25">
        <f>H897/(100-BC897)*100</f>
        <v>0</v>
      </c>
      <c r="BC897" s="25">
        <v>0</v>
      </c>
      <c r="BD897" s="25">
        <f>M897</f>
        <v>2.6367000000000005E-2</v>
      </c>
      <c r="BF897" s="25">
        <f>G897*AM897</f>
        <v>0</v>
      </c>
      <c r="BG897" s="25">
        <f>G897*AN897</f>
        <v>0</v>
      </c>
      <c r="BH897" s="25">
        <f>G897*H897</f>
        <v>0</v>
      </c>
      <c r="BI897" s="27" t="s">
        <v>65</v>
      </c>
      <c r="BJ897" s="25">
        <v>34</v>
      </c>
      <c r="BU897" s="25" t="e">
        <f>#REF!</f>
        <v>#REF!</v>
      </c>
      <c r="BV897" s="4" t="s">
        <v>590</v>
      </c>
    </row>
    <row r="898" spans="1:74" ht="14.4" x14ac:dyDescent="0.3">
      <c r="A898" s="28"/>
      <c r="D898" s="29" t="s">
        <v>1136</v>
      </c>
      <c r="E898" s="29" t="s">
        <v>52</v>
      </c>
      <c r="G898" s="30">
        <v>22.75</v>
      </c>
      <c r="H898" s="63"/>
      <c r="N898" s="31"/>
    </row>
    <row r="899" spans="1:74" ht="14.4" x14ac:dyDescent="0.3">
      <c r="A899" s="28"/>
      <c r="D899" s="29" t="s">
        <v>1137</v>
      </c>
      <c r="E899" s="29" t="s">
        <v>52</v>
      </c>
      <c r="G899" s="30">
        <v>2.1</v>
      </c>
      <c r="H899" s="63"/>
      <c r="N899" s="31"/>
    </row>
    <row r="900" spans="1:74" ht="14.4" x14ac:dyDescent="0.3">
      <c r="A900" s="28"/>
      <c r="D900" s="29" t="s">
        <v>1138</v>
      </c>
      <c r="E900" s="29" t="s">
        <v>52</v>
      </c>
      <c r="G900" s="30">
        <v>1</v>
      </c>
      <c r="H900" s="63"/>
      <c r="N900" s="31"/>
    </row>
    <row r="901" spans="1:74" ht="14.4" x14ac:dyDescent="0.3">
      <c r="A901" s="2" t="s">
        <v>1139</v>
      </c>
      <c r="B901" s="3" t="s">
        <v>1101</v>
      </c>
      <c r="C901" s="3" t="s">
        <v>602</v>
      </c>
      <c r="D901" s="112" t="s">
        <v>1140</v>
      </c>
      <c r="E901" s="109"/>
      <c r="F901" s="3" t="s">
        <v>60</v>
      </c>
      <c r="G901" s="25">
        <v>14.356</v>
      </c>
      <c r="H901" s="62"/>
      <c r="I901" s="25">
        <f>ROUND(G901*AM901,2)</f>
        <v>0</v>
      </c>
      <c r="J901" s="25">
        <f>ROUND(G901*AN901,2)</f>
        <v>0</v>
      </c>
      <c r="K901" s="25">
        <f>ROUND(G901*H901,2)</f>
        <v>0</v>
      </c>
      <c r="L901" s="25">
        <v>7.5340000000000004E-2</v>
      </c>
      <c r="M901" s="25">
        <f>G901*L901</f>
        <v>1.0815810400000001</v>
      </c>
      <c r="N901" s="26"/>
      <c r="X901" s="25">
        <f>ROUND(IF(AO901="5",BH901,0),2)</f>
        <v>0</v>
      </c>
      <c r="Z901" s="25">
        <f>ROUND(IF(AO901="1",BF901,0),2)</f>
        <v>0</v>
      </c>
      <c r="AA901" s="25">
        <f>ROUND(IF(AO901="1",BG901,0),2)</f>
        <v>0</v>
      </c>
      <c r="AB901" s="25">
        <f>ROUND(IF(AO901="7",BF901,0),2)</f>
        <v>0</v>
      </c>
      <c r="AC901" s="25">
        <f>ROUND(IF(AO901="7",BG901,0),2)</f>
        <v>0</v>
      </c>
      <c r="AD901" s="25">
        <f>ROUND(IF(AO901="2",BF901,0),2)</f>
        <v>0</v>
      </c>
      <c r="AE901" s="25">
        <f>ROUND(IF(AO901="2",BG901,0),2)</f>
        <v>0</v>
      </c>
      <c r="AF901" s="25">
        <f>ROUND(IF(AO901="0",BH901,0),2)</f>
        <v>0</v>
      </c>
      <c r="AG901" s="10" t="s">
        <v>1101</v>
      </c>
      <c r="AH901" s="25">
        <f>IF(AL901=0,K901,0)</f>
        <v>0</v>
      </c>
      <c r="AI901" s="25">
        <f>IF(AL901=12,K901,0)</f>
        <v>0</v>
      </c>
      <c r="AJ901" s="25">
        <f>IF(AL901=21,K901,0)</f>
        <v>0</v>
      </c>
      <c r="AL901" s="25">
        <v>21</v>
      </c>
      <c r="AM901" s="25">
        <f>H901*0.628006151</f>
        <v>0</v>
      </c>
      <c r="AN901" s="25">
        <f>H901*(1-0.628006151)</f>
        <v>0</v>
      </c>
      <c r="AO901" s="27" t="s">
        <v>57</v>
      </c>
      <c r="AT901" s="25">
        <f>ROUND(AU901+AV901,2)</f>
        <v>0</v>
      </c>
      <c r="AU901" s="25">
        <f>ROUND(G901*AM901,2)</f>
        <v>0</v>
      </c>
      <c r="AV901" s="25">
        <f>ROUND(G901*AN901,2)</f>
        <v>0</v>
      </c>
      <c r="AW901" s="27" t="s">
        <v>591</v>
      </c>
      <c r="AX901" s="27" t="s">
        <v>1135</v>
      </c>
      <c r="AY901" s="10" t="s">
        <v>1105</v>
      </c>
      <c r="BA901" s="25">
        <f>AU901+AV901</f>
        <v>0</v>
      </c>
      <c r="BB901" s="25">
        <f>H901/(100-BC901)*100</f>
        <v>0</v>
      </c>
      <c r="BC901" s="25">
        <v>0</v>
      </c>
      <c r="BD901" s="25">
        <f>M901</f>
        <v>1.0815810400000001</v>
      </c>
      <c r="BF901" s="25">
        <f>G901*AM901</f>
        <v>0</v>
      </c>
      <c r="BG901" s="25">
        <f>G901*AN901</f>
        <v>0</v>
      </c>
      <c r="BH901" s="25">
        <f>G901*H901</f>
        <v>0</v>
      </c>
      <c r="BI901" s="27" t="s">
        <v>65</v>
      </c>
      <c r="BJ901" s="25">
        <v>34</v>
      </c>
      <c r="BU901" s="25" t="e">
        <f>#REF!</f>
        <v>#REF!</v>
      </c>
      <c r="BV901" s="4" t="s">
        <v>1140</v>
      </c>
    </row>
    <row r="902" spans="1:74" ht="14.4" x14ac:dyDescent="0.3">
      <c r="A902" s="28"/>
      <c r="D902" s="29" t="s">
        <v>1141</v>
      </c>
      <c r="E902" s="29" t="s">
        <v>1142</v>
      </c>
      <c r="G902" s="30">
        <v>12.680999999999999</v>
      </c>
      <c r="H902" s="63"/>
      <c r="N902" s="31"/>
    </row>
    <row r="903" spans="1:74" ht="14.4" x14ac:dyDescent="0.3">
      <c r="A903" s="28"/>
      <c r="D903" s="29" t="s">
        <v>1143</v>
      </c>
      <c r="E903" s="29" t="s">
        <v>1144</v>
      </c>
      <c r="G903" s="30">
        <v>1.675</v>
      </c>
      <c r="H903" s="63"/>
      <c r="N903" s="31"/>
    </row>
    <row r="904" spans="1:74" ht="14.4" x14ac:dyDescent="0.3">
      <c r="A904" s="2" t="s">
        <v>1145</v>
      </c>
      <c r="B904" s="3" t="s">
        <v>1101</v>
      </c>
      <c r="C904" s="3" t="s">
        <v>1146</v>
      </c>
      <c r="D904" s="112" t="s">
        <v>1147</v>
      </c>
      <c r="E904" s="109"/>
      <c r="F904" s="3" t="s">
        <v>60</v>
      </c>
      <c r="G904" s="25">
        <v>44.978999999999999</v>
      </c>
      <c r="H904" s="62"/>
      <c r="I904" s="25">
        <f>ROUND(G904*AM904,2)</f>
        <v>0</v>
      </c>
      <c r="J904" s="25">
        <f>ROUND(G904*AN904,2)</f>
        <v>0</v>
      </c>
      <c r="K904" s="25">
        <f>ROUND(G904*H904,2)</f>
        <v>0</v>
      </c>
      <c r="L904" s="25">
        <v>9.4810000000000005E-2</v>
      </c>
      <c r="M904" s="25">
        <f>G904*L904</f>
        <v>4.2644589900000005</v>
      </c>
      <c r="N904" s="26"/>
      <c r="X904" s="25">
        <f>ROUND(IF(AO904="5",BH904,0),2)</f>
        <v>0</v>
      </c>
      <c r="Z904" s="25">
        <f>ROUND(IF(AO904="1",BF904,0),2)</f>
        <v>0</v>
      </c>
      <c r="AA904" s="25">
        <f>ROUND(IF(AO904="1",BG904,0),2)</f>
        <v>0</v>
      </c>
      <c r="AB904" s="25">
        <f>ROUND(IF(AO904="7",BF904,0),2)</f>
        <v>0</v>
      </c>
      <c r="AC904" s="25">
        <f>ROUND(IF(AO904="7",BG904,0),2)</f>
        <v>0</v>
      </c>
      <c r="AD904" s="25">
        <f>ROUND(IF(AO904="2",BF904,0),2)</f>
        <v>0</v>
      </c>
      <c r="AE904" s="25">
        <f>ROUND(IF(AO904="2",BG904,0),2)</f>
        <v>0</v>
      </c>
      <c r="AF904" s="25">
        <f>ROUND(IF(AO904="0",BH904,0),2)</f>
        <v>0</v>
      </c>
      <c r="AG904" s="10" t="s">
        <v>1101</v>
      </c>
      <c r="AH904" s="25">
        <f>IF(AL904=0,K904,0)</f>
        <v>0</v>
      </c>
      <c r="AI904" s="25">
        <f>IF(AL904=12,K904,0)</f>
        <v>0</v>
      </c>
      <c r="AJ904" s="25">
        <f>IF(AL904=21,K904,0)</f>
        <v>0</v>
      </c>
      <c r="AL904" s="25">
        <v>21</v>
      </c>
      <c r="AM904" s="25">
        <f>H904*0.683877232</f>
        <v>0</v>
      </c>
      <c r="AN904" s="25">
        <f>H904*(1-0.683877232)</f>
        <v>0</v>
      </c>
      <c r="AO904" s="27" t="s">
        <v>57</v>
      </c>
      <c r="AT904" s="25">
        <f>ROUND(AU904+AV904,2)</f>
        <v>0</v>
      </c>
      <c r="AU904" s="25">
        <f>ROUND(G904*AM904,2)</f>
        <v>0</v>
      </c>
      <c r="AV904" s="25">
        <f>ROUND(G904*AN904,2)</f>
        <v>0</v>
      </c>
      <c r="AW904" s="27" t="s">
        <v>591</v>
      </c>
      <c r="AX904" s="27" t="s">
        <v>1135</v>
      </c>
      <c r="AY904" s="10" t="s">
        <v>1105</v>
      </c>
      <c r="BA904" s="25">
        <f>AU904+AV904</f>
        <v>0</v>
      </c>
      <c r="BB904" s="25">
        <f>H904/(100-BC904)*100</f>
        <v>0</v>
      </c>
      <c r="BC904" s="25">
        <v>0</v>
      </c>
      <c r="BD904" s="25">
        <f>M904</f>
        <v>4.2644589900000005</v>
      </c>
      <c r="BF904" s="25">
        <f>G904*AM904</f>
        <v>0</v>
      </c>
      <c r="BG904" s="25">
        <f>G904*AN904</f>
        <v>0</v>
      </c>
      <c r="BH904" s="25">
        <f>G904*H904</f>
        <v>0</v>
      </c>
      <c r="BI904" s="27" t="s">
        <v>65</v>
      </c>
      <c r="BJ904" s="25">
        <v>34</v>
      </c>
      <c r="BU904" s="25" t="e">
        <f>#REF!</f>
        <v>#REF!</v>
      </c>
      <c r="BV904" s="4" t="s">
        <v>1147</v>
      </c>
    </row>
    <row r="905" spans="1:74" ht="14.4" x14ac:dyDescent="0.3">
      <c r="A905" s="28"/>
      <c r="D905" s="29" t="s">
        <v>1148</v>
      </c>
      <c r="E905" s="29" t="s">
        <v>366</v>
      </c>
      <c r="G905" s="30">
        <v>40.473999999999997</v>
      </c>
      <c r="H905" s="63"/>
      <c r="N905" s="31"/>
    </row>
    <row r="906" spans="1:74" ht="14.4" x14ac:dyDescent="0.3">
      <c r="A906" s="28"/>
      <c r="D906" s="29" t="s">
        <v>1149</v>
      </c>
      <c r="E906" s="29" t="s">
        <v>1150</v>
      </c>
      <c r="G906" s="30">
        <v>4.5049999999999999</v>
      </c>
      <c r="H906" s="63"/>
      <c r="N906" s="31"/>
    </row>
    <row r="907" spans="1:74" ht="14.4" x14ac:dyDescent="0.3">
      <c r="A907" s="2" t="s">
        <v>1151</v>
      </c>
      <c r="B907" s="3" t="s">
        <v>1101</v>
      </c>
      <c r="C907" s="3" t="s">
        <v>606</v>
      </c>
      <c r="D907" s="112" t="s">
        <v>1152</v>
      </c>
      <c r="E907" s="109"/>
      <c r="F907" s="3" t="s">
        <v>60</v>
      </c>
      <c r="G907" s="25">
        <v>3.1019999999999999</v>
      </c>
      <c r="H907" s="62"/>
      <c r="I907" s="25">
        <f>ROUND(G907*AM907,2)</f>
        <v>0</v>
      </c>
      <c r="J907" s="25">
        <f>ROUND(G907*AN907,2)</f>
        <v>0</v>
      </c>
      <c r="K907" s="25">
        <f>ROUND(G907*H907,2)</f>
        <v>0</v>
      </c>
      <c r="L907" s="25">
        <v>9.3579999999999997E-2</v>
      </c>
      <c r="M907" s="25">
        <f>G907*L907</f>
        <v>0.29028515999999999</v>
      </c>
      <c r="N907" s="26"/>
      <c r="X907" s="25">
        <f>ROUND(IF(AO907="5",BH907,0),2)</f>
        <v>0</v>
      </c>
      <c r="Z907" s="25">
        <f>ROUND(IF(AO907="1",BF907,0),2)</f>
        <v>0</v>
      </c>
      <c r="AA907" s="25">
        <f>ROUND(IF(AO907="1",BG907,0),2)</f>
        <v>0</v>
      </c>
      <c r="AB907" s="25">
        <f>ROUND(IF(AO907="7",BF907,0),2)</f>
        <v>0</v>
      </c>
      <c r="AC907" s="25">
        <f>ROUND(IF(AO907="7",BG907,0),2)</f>
        <v>0</v>
      </c>
      <c r="AD907" s="25">
        <f>ROUND(IF(AO907="2",BF907,0),2)</f>
        <v>0</v>
      </c>
      <c r="AE907" s="25">
        <f>ROUND(IF(AO907="2",BG907,0),2)</f>
        <v>0</v>
      </c>
      <c r="AF907" s="25">
        <f>ROUND(IF(AO907="0",BH907,0),2)</f>
        <v>0</v>
      </c>
      <c r="AG907" s="10" t="s">
        <v>1101</v>
      </c>
      <c r="AH907" s="25">
        <f>IF(AL907=0,K907,0)</f>
        <v>0</v>
      </c>
      <c r="AI907" s="25">
        <f>IF(AL907=12,K907,0)</f>
        <v>0</v>
      </c>
      <c r="AJ907" s="25">
        <f>IF(AL907=21,K907,0)</f>
        <v>0</v>
      </c>
      <c r="AL907" s="25">
        <v>21</v>
      </c>
      <c r="AM907" s="25">
        <f>H907*0.498544664</f>
        <v>0</v>
      </c>
      <c r="AN907" s="25">
        <f>H907*(1-0.498544664)</f>
        <v>0</v>
      </c>
      <c r="AO907" s="27" t="s">
        <v>57</v>
      </c>
      <c r="AT907" s="25">
        <f>ROUND(AU907+AV907,2)</f>
        <v>0</v>
      </c>
      <c r="AU907" s="25">
        <f>ROUND(G907*AM907,2)</f>
        <v>0</v>
      </c>
      <c r="AV907" s="25">
        <f>ROUND(G907*AN907,2)</f>
        <v>0</v>
      </c>
      <c r="AW907" s="27" t="s">
        <v>591</v>
      </c>
      <c r="AX907" s="27" t="s">
        <v>1135</v>
      </c>
      <c r="AY907" s="10" t="s">
        <v>1105</v>
      </c>
      <c r="BA907" s="25">
        <f>AU907+AV907</f>
        <v>0</v>
      </c>
      <c r="BB907" s="25">
        <f>H907/(100-BC907)*100</f>
        <v>0</v>
      </c>
      <c r="BC907" s="25">
        <v>0</v>
      </c>
      <c r="BD907" s="25">
        <f>M907</f>
        <v>0.29028515999999999</v>
      </c>
      <c r="BF907" s="25">
        <f>G907*AM907</f>
        <v>0</v>
      </c>
      <c r="BG907" s="25">
        <f>G907*AN907</f>
        <v>0</v>
      </c>
      <c r="BH907" s="25">
        <f>G907*H907</f>
        <v>0</v>
      </c>
      <c r="BI907" s="27" t="s">
        <v>65</v>
      </c>
      <c r="BJ907" s="25">
        <v>34</v>
      </c>
      <c r="BU907" s="25" t="e">
        <f>#REF!</f>
        <v>#REF!</v>
      </c>
      <c r="BV907" s="4" t="s">
        <v>1152</v>
      </c>
    </row>
    <row r="908" spans="1:74" ht="14.4" x14ac:dyDescent="0.3">
      <c r="A908" s="28"/>
      <c r="D908" s="29" t="s">
        <v>1153</v>
      </c>
      <c r="E908" s="29" t="s">
        <v>377</v>
      </c>
      <c r="G908" s="30">
        <v>1.5</v>
      </c>
      <c r="H908" s="63"/>
      <c r="N908" s="31"/>
    </row>
    <row r="909" spans="1:74" ht="14.4" x14ac:dyDescent="0.3">
      <c r="A909" s="28"/>
      <c r="D909" s="29" t="s">
        <v>1154</v>
      </c>
      <c r="E909" s="29" t="s">
        <v>375</v>
      </c>
      <c r="G909" s="30">
        <v>1.6020000000000001</v>
      </c>
      <c r="H909" s="63"/>
      <c r="N909" s="31"/>
    </row>
    <row r="910" spans="1:74" ht="14.4" x14ac:dyDescent="0.3">
      <c r="A910" s="2" t="s">
        <v>1155</v>
      </c>
      <c r="B910" s="3" t="s">
        <v>1101</v>
      </c>
      <c r="C910" s="3" t="s">
        <v>595</v>
      </c>
      <c r="D910" s="112" t="s">
        <v>596</v>
      </c>
      <c r="E910" s="109"/>
      <c r="F910" s="3" t="s">
        <v>115</v>
      </c>
      <c r="G910" s="25">
        <v>17.989999999999998</v>
      </c>
      <c r="H910" s="62"/>
      <c r="I910" s="25">
        <f>ROUND(G910*AM910,2)</f>
        <v>0</v>
      </c>
      <c r="J910" s="25">
        <f>ROUND(G910*AN910,2)</f>
        <v>0</v>
      </c>
      <c r="K910" s="25">
        <f>ROUND(G910*H910,2)</f>
        <v>0</v>
      </c>
      <c r="L910" s="25">
        <v>6.2E-4</v>
      </c>
      <c r="M910" s="25">
        <f>G910*L910</f>
        <v>1.1153799999999998E-2</v>
      </c>
      <c r="N910" s="26"/>
      <c r="X910" s="25">
        <f>ROUND(IF(AO910="5",BH910,0),2)</f>
        <v>0</v>
      </c>
      <c r="Z910" s="25">
        <f>ROUND(IF(AO910="1",BF910,0),2)</f>
        <v>0</v>
      </c>
      <c r="AA910" s="25">
        <f>ROUND(IF(AO910="1",BG910,0),2)</f>
        <v>0</v>
      </c>
      <c r="AB910" s="25">
        <f>ROUND(IF(AO910="7",BF910,0),2)</f>
        <v>0</v>
      </c>
      <c r="AC910" s="25">
        <f>ROUND(IF(AO910="7",BG910,0),2)</f>
        <v>0</v>
      </c>
      <c r="AD910" s="25">
        <f>ROUND(IF(AO910="2",BF910,0),2)</f>
        <v>0</v>
      </c>
      <c r="AE910" s="25">
        <f>ROUND(IF(AO910="2",BG910,0),2)</f>
        <v>0</v>
      </c>
      <c r="AF910" s="25">
        <f>ROUND(IF(AO910="0",BH910,0),2)</f>
        <v>0</v>
      </c>
      <c r="AG910" s="10" t="s">
        <v>1101</v>
      </c>
      <c r="AH910" s="25">
        <f>IF(AL910=0,K910,0)</f>
        <v>0</v>
      </c>
      <c r="AI910" s="25">
        <f>IF(AL910=12,K910,0)</f>
        <v>0</v>
      </c>
      <c r="AJ910" s="25">
        <f>IF(AL910=21,K910,0)</f>
        <v>0</v>
      </c>
      <c r="AL910" s="25">
        <v>21</v>
      </c>
      <c r="AM910" s="25">
        <f>H910*0.378546918</f>
        <v>0</v>
      </c>
      <c r="AN910" s="25">
        <f>H910*(1-0.378546918)</f>
        <v>0</v>
      </c>
      <c r="AO910" s="27" t="s">
        <v>57</v>
      </c>
      <c r="AT910" s="25">
        <f>ROUND(AU910+AV910,2)</f>
        <v>0</v>
      </c>
      <c r="AU910" s="25">
        <f>ROUND(G910*AM910,2)</f>
        <v>0</v>
      </c>
      <c r="AV910" s="25">
        <f>ROUND(G910*AN910,2)</f>
        <v>0</v>
      </c>
      <c r="AW910" s="27" t="s">
        <v>591</v>
      </c>
      <c r="AX910" s="27" t="s">
        <v>1135</v>
      </c>
      <c r="AY910" s="10" t="s">
        <v>1105</v>
      </c>
      <c r="BA910" s="25">
        <f>AU910+AV910</f>
        <v>0</v>
      </c>
      <c r="BB910" s="25">
        <f>H910/(100-BC910)*100</f>
        <v>0</v>
      </c>
      <c r="BC910" s="25">
        <v>0</v>
      </c>
      <c r="BD910" s="25">
        <f>M910</f>
        <v>1.1153799999999998E-2</v>
      </c>
      <c r="BF910" s="25">
        <f>G910*AM910</f>
        <v>0</v>
      </c>
      <c r="BG910" s="25">
        <f>G910*AN910</f>
        <v>0</v>
      </c>
      <c r="BH910" s="25">
        <f>G910*H910</f>
        <v>0</v>
      </c>
      <c r="BI910" s="27" t="s">
        <v>65</v>
      </c>
      <c r="BJ910" s="25">
        <v>34</v>
      </c>
      <c r="BU910" s="25" t="e">
        <f>#REF!</f>
        <v>#REF!</v>
      </c>
      <c r="BV910" s="4" t="s">
        <v>596</v>
      </c>
    </row>
    <row r="911" spans="1:74" ht="14.4" x14ac:dyDescent="0.3">
      <c r="A911" s="28"/>
      <c r="D911" s="29" t="s">
        <v>1156</v>
      </c>
      <c r="E911" s="29" t="s">
        <v>52</v>
      </c>
      <c r="G911" s="30">
        <v>17.989999999999998</v>
      </c>
      <c r="H911" s="63"/>
      <c r="N911" s="31"/>
    </row>
    <row r="912" spans="1:74" ht="26.4" x14ac:dyDescent="0.3">
      <c r="A912" s="2" t="s">
        <v>1157</v>
      </c>
      <c r="B912" s="3" t="s">
        <v>1101</v>
      </c>
      <c r="C912" s="3" t="s">
        <v>1158</v>
      </c>
      <c r="D912" s="112" t="s">
        <v>612</v>
      </c>
      <c r="E912" s="109"/>
      <c r="F912" s="3" t="s">
        <v>60</v>
      </c>
      <c r="G912" s="25">
        <v>8.6129999999999995</v>
      </c>
      <c r="H912" s="62"/>
      <c r="I912" s="25">
        <f>ROUND(G912*AM912,2)</f>
        <v>0</v>
      </c>
      <c r="J912" s="25">
        <f>ROUND(G912*AN912,2)</f>
        <v>0</v>
      </c>
      <c r="K912" s="25">
        <f>ROUND(G912*H912,2)</f>
        <v>0</v>
      </c>
      <c r="L912" s="25">
        <v>1.1259999999999999E-2</v>
      </c>
      <c r="M912" s="25">
        <f>G912*L912</f>
        <v>9.6982379999999993E-2</v>
      </c>
      <c r="N912" s="26"/>
      <c r="X912" s="25">
        <f>ROUND(IF(AO912="5",BH912,0),2)</f>
        <v>0</v>
      </c>
      <c r="Z912" s="25">
        <f>ROUND(IF(AO912="1",BF912,0),2)</f>
        <v>0</v>
      </c>
      <c r="AA912" s="25">
        <f>ROUND(IF(AO912="1",BG912,0),2)</f>
        <v>0</v>
      </c>
      <c r="AB912" s="25">
        <f>ROUND(IF(AO912="7",BF912,0),2)</f>
        <v>0</v>
      </c>
      <c r="AC912" s="25">
        <f>ROUND(IF(AO912="7",BG912,0),2)</f>
        <v>0</v>
      </c>
      <c r="AD912" s="25">
        <f>ROUND(IF(AO912="2",BF912,0),2)</f>
        <v>0</v>
      </c>
      <c r="AE912" s="25">
        <f>ROUND(IF(AO912="2",BG912,0),2)</f>
        <v>0</v>
      </c>
      <c r="AF912" s="25">
        <f>ROUND(IF(AO912="0",BH912,0),2)</f>
        <v>0</v>
      </c>
      <c r="AG912" s="10" t="s">
        <v>1101</v>
      </c>
      <c r="AH912" s="25">
        <f>IF(AL912=0,K912,0)</f>
        <v>0</v>
      </c>
      <c r="AI912" s="25">
        <f>IF(AL912=12,K912,0)</f>
        <v>0</v>
      </c>
      <c r="AJ912" s="25">
        <f>IF(AL912=21,K912,0)</f>
        <v>0</v>
      </c>
      <c r="AL912" s="25">
        <v>21</v>
      </c>
      <c r="AM912" s="25">
        <f>H912*0.288991786</f>
        <v>0</v>
      </c>
      <c r="AN912" s="25">
        <f>H912*(1-0.288991786)</f>
        <v>0</v>
      </c>
      <c r="AO912" s="27" t="s">
        <v>57</v>
      </c>
      <c r="AT912" s="25">
        <f>ROUND(AU912+AV912,2)</f>
        <v>0</v>
      </c>
      <c r="AU912" s="25">
        <f>ROUND(G912*AM912,2)</f>
        <v>0</v>
      </c>
      <c r="AV912" s="25">
        <f>ROUND(G912*AN912,2)</f>
        <v>0</v>
      </c>
      <c r="AW912" s="27" t="s">
        <v>591</v>
      </c>
      <c r="AX912" s="27" t="s">
        <v>1135</v>
      </c>
      <c r="AY912" s="10" t="s">
        <v>1105</v>
      </c>
      <c r="BA912" s="25">
        <f>AU912+AV912</f>
        <v>0</v>
      </c>
      <c r="BB912" s="25">
        <f>H912/(100-BC912)*100</f>
        <v>0</v>
      </c>
      <c r="BC912" s="25">
        <v>0</v>
      </c>
      <c r="BD912" s="25">
        <f>M912</f>
        <v>9.6982379999999993E-2</v>
      </c>
      <c r="BF912" s="25">
        <f>G912*AM912</f>
        <v>0</v>
      </c>
      <c r="BG912" s="25">
        <f>G912*AN912</f>
        <v>0</v>
      </c>
      <c r="BH912" s="25">
        <f>G912*H912</f>
        <v>0</v>
      </c>
      <c r="BI912" s="27" t="s">
        <v>65</v>
      </c>
      <c r="BJ912" s="25">
        <v>34</v>
      </c>
      <c r="BU912" s="25" t="e">
        <f>#REF!</f>
        <v>#REF!</v>
      </c>
      <c r="BV912" s="4" t="s">
        <v>612</v>
      </c>
    </row>
    <row r="913" spans="1:74" ht="14.4" x14ac:dyDescent="0.3">
      <c r="A913" s="28"/>
      <c r="D913" s="29" t="s">
        <v>1159</v>
      </c>
      <c r="E913" s="29" t="s">
        <v>52</v>
      </c>
      <c r="G913" s="30">
        <v>8.6129999999999995</v>
      </c>
      <c r="H913" s="63"/>
      <c r="N913" s="31"/>
    </row>
    <row r="914" spans="1:74" ht="14.4" x14ac:dyDescent="0.3">
      <c r="A914" s="2" t="s">
        <v>1160</v>
      </c>
      <c r="B914" s="3" t="s">
        <v>1101</v>
      </c>
      <c r="C914" s="3" t="s">
        <v>615</v>
      </c>
      <c r="D914" s="112" t="s">
        <v>616</v>
      </c>
      <c r="E914" s="109"/>
      <c r="F914" s="3" t="s">
        <v>122</v>
      </c>
      <c r="G914" s="25">
        <v>7</v>
      </c>
      <c r="H914" s="62"/>
      <c r="I914" s="25">
        <f>ROUND(G914*AM914,2)</f>
        <v>0</v>
      </c>
      <c r="J914" s="25">
        <f>ROUND(G914*AN914,2)</f>
        <v>0</v>
      </c>
      <c r="K914" s="25">
        <f>ROUND(G914*H914,2)</f>
        <v>0</v>
      </c>
      <c r="L914" s="25">
        <v>1.6000000000000001E-3</v>
      </c>
      <c r="M914" s="25">
        <f>G914*L914</f>
        <v>1.12E-2</v>
      </c>
      <c r="N914" s="26"/>
      <c r="X914" s="25">
        <f>ROUND(IF(AO914="5",BH914,0),2)</f>
        <v>0</v>
      </c>
      <c r="Z914" s="25">
        <f>ROUND(IF(AO914="1",BF914,0),2)</f>
        <v>0</v>
      </c>
      <c r="AA914" s="25">
        <f>ROUND(IF(AO914="1",BG914,0),2)</f>
        <v>0</v>
      </c>
      <c r="AB914" s="25">
        <f>ROUND(IF(AO914="7",BF914,0),2)</f>
        <v>0</v>
      </c>
      <c r="AC914" s="25">
        <f>ROUND(IF(AO914="7",BG914,0),2)</f>
        <v>0</v>
      </c>
      <c r="AD914" s="25">
        <f>ROUND(IF(AO914="2",BF914,0),2)</f>
        <v>0</v>
      </c>
      <c r="AE914" s="25">
        <f>ROUND(IF(AO914="2",BG914,0),2)</f>
        <v>0</v>
      </c>
      <c r="AF914" s="25">
        <f>ROUND(IF(AO914="0",BH914,0),2)</f>
        <v>0</v>
      </c>
      <c r="AG914" s="10" t="s">
        <v>1101</v>
      </c>
      <c r="AH914" s="25">
        <f>IF(AL914=0,K914,0)</f>
        <v>0</v>
      </c>
      <c r="AI914" s="25">
        <f>IF(AL914=12,K914,0)</f>
        <v>0</v>
      </c>
      <c r="AJ914" s="25">
        <f>IF(AL914=21,K914,0)</f>
        <v>0</v>
      </c>
      <c r="AL914" s="25">
        <v>21</v>
      </c>
      <c r="AM914" s="25">
        <f>H914*1</f>
        <v>0</v>
      </c>
      <c r="AN914" s="25">
        <f>H914*(1-1)</f>
        <v>0</v>
      </c>
      <c r="AO914" s="27" t="s">
        <v>57</v>
      </c>
      <c r="AT914" s="25">
        <f>ROUND(AU914+AV914,2)</f>
        <v>0</v>
      </c>
      <c r="AU914" s="25">
        <f>ROUND(G914*AM914,2)</f>
        <v>0</v>
      </c>
      <c r="AV914" s="25">
        <f>ROUND(G914*AN914,2)</f>
        <v>0</v>
      </c>
      <c r="AW914" s="27" t="s">
        <v>591</v>
      </c>
      <c r="AX914" s="27" t="s">
        <v>1135</v>
      </c>
      <c r="AY914" s="10" t="s">
        <v>1105</v>
      </c>
      <c r="BA914" s="25">
        <f>AU914+AV914</f>
        <v>0</v>
      </c>
      <c r="BB914" s="25">
        <f>H914/(100-BC914)*100</f>
        <v>0</v>
      </c>
      <c r="BC914" s="25">
        <v>0</v>
      </c>
      <c r="BD914" s="25">
        <f>M914</f>
        <v>1.12E-2</v>
      </c>
      <c r="BF914" s="25">
        <f>G914*AM914</f>
        <v>0</v>
      </c>
      <c r="BG914" s="25">
        <f>G914*AN914</f>
        <v>0</v>
      </c>
      <c r="BH914" s="25">
        <f>G914*H914</f>
        <v>0</v>
      </c>
      <c r="BI914" s="27" t="s">
        <v>576</v>
      </c>
      <c r="BJ914" s="25">
        <v>34</v>
      </c>
      <c r="BU914" s="25" t="e">
        <f>#REF!</f>
        <v>#REF!</v>
      </c>
      <c r="BV914" s="4" t="s">
        <v>616</v>
      </c>
    </row>
    <row r="915" spans="1:74" ht="14.4" x14ac:dyDescent="0.3">
      <c r="A915" s="28"/>
      <c r="D915" s="29" t="s">
        <v>61</v>
      </c>
      <c r="E915" s="29" t="s">
        <v>52</v>
      </c>
      <c r="G915" s="30">
        <v>7</v>
      </c>
      <c r="H915" s="63"/>
      <c r="N915" s="31"/>
    </row>
    <row r="916" spans="1:74" ht="14.4" x14ac:dyDescent="0.3">
      <c r="A916" s="21" t="s">
        <v>52</v>
      </c>
      <c r="B916" s="22" t="s">
        <v>1101</v>
      </c>
      <c r="C916" s="22" t="s">
        <v>320</v>
      </c>
      <c r="D916" s="170" t="s">
        <v>617</v>
      </c>
      <c r="E916" s="171"/>
      <c r="F916" s="23" t="s">
        <v>32</v>
      </c>
      <c r="G916" s="23" t="s">
        <v>32</v>
      </c>
      <c r="H916" s="64"/>
      <c r="I916" s="1">
        <f>SUM(I917:I960)</f>
        <v>0</v>
      </c>
      <c r="J916" s="1">
        <f>SUM(J917:J960)</f>
        <v>0</v>
      </c>
      <c r="K916" s="1">
        <f>SUM(K917:K960)</f>
        <v>0</v>
      </c>
      <c r="L916" s="10" t="s">
        <v>52</v>
      </c>
      <c r="M916" s="1">
        <f>SUM(M917:M960)</f>
        <v>10.856546679999999</v>
      </c>
      <c r="N916" s="24"/>
      <c r="AG916" s="10" t="s">
        <v>1101</v>
      </c>
      <c r="AQ916" s="1">
        <f>SUM(AH917:AH960)</f>
        <v>0</v>
      </c>
      <c r="AR916" s="1">
        <f>SUM(AI917:AI960)</f>
        <v>0</v>
      </c>
      <c r="AS916" s="1">
        <f>SUM(AJ917:AJ960)</f>
        <v>0</v>
      </c>
    </row>
    <row r="917" spans="1:74" ht="26.4" x14ac:dyDescent="0.3">
      <c r="A917" s="2" t="s">
        <v>1161</v>
      </c>
      <c r="B917" s="3" t="s">
        <v>1101</v>
      </c>
      <c r="C917" s="3" t="s">
        <v>1162</v>
      </c>
      <c r="D917" s="112" t="s">
        <v>1163</v>
      </c>
      <c r="E917" s="109"/>
      <c r="F917" s="3" t="s">
        <v>60</v>
      </c>
      <c r="G917" s="25">
        <v>13.75</v>
      </c>
      <c r="H917" s="62"/>
      <c r="I917" s="25">
        <f>ROUND(G917*AM917,2)</f>
        <v>0</v>
      </c>
      <c r="J917" s="25">
        <f>ROUND(G917*AN917,2)</f>
        <v>0</v>
      </c>
      <c r="K917" s="25">
        <f>ROUND(G917*H917,2)</f>
        <v>0</v>
      </c>
      <c r="L917" s="25">
        <v>1.059E-2</v>
      </c>
      <c r="M917" s="25">
        <f>G917*L917</f>
        <v>0.14561250000000001</v>
      </c>
      <c r="N917" s="26"/>
      <c r="X917" s="25">
        <f>ROUND(IF(AO917="5",BH917,0),2)</f>
        <v>0</v>
      </c>
      <c r="Z917" s="25">
        <f>ROUND(IF(AO917="1",BF917,0),2)</f>
        <v>0</v>
      </c>
      <c r="AA917" s="25">
        <f>ROUND(IF(AO917="1",BG917,0),2)</f>
        <v>0</v>
      </c>
      <c r="AB917" s="25">
        <f>ROUND(IF(AO917="7",BF917,0),2)</f>
        <v>0</v>
      </c>
      <c r="AC917" s="25">
        <f>ROUND(IF(AO917="7",BG917,0),2)</f>
        <v>0</v>
      </c>
      <c r="AD917" s="25">
        <f>ROUND(IF(AO917="2",BF917,0),2)</f>
        <v>0</v>
      </c>
      <c r="AE917" s="25">
        <f>ROUND(IF(AO917="2",BG917,0),2)</f>
        <v>0</v>
      </c>
      <c r="AF917" s="25">
        <f>ROUND(IF(AO917="0",BH917,0),2)</f>
        <v>0</v>
      </c>
      <c r="AG917" s="10" t="s">
        <v>1101</v>
      </c>
      <c r="AH917" s="25">
        <f>IF(AL917=0,K917,0)</f>
        <v>0</v>
      </c>
      <c r="AI917" s="25">
        <f>IF(AL917=12,K917,0)</f>
        <v>0</v>
      </c>
      <c r="AJ917" s="25">
        <f>IF(AL917=21,K917,0)</f>
        <v>0</v>
      </c>
      <c r="AL917" s="25">
        <v>21</v>
      </c>
      <c r="AM917" s="25">
        <f>H917*0.914187761</f>
        <v>0</v>
      </c>
      <c r="AN917" s="25">
        <f>H917*(1-0.914187761)</f>
        <v>0</v>
      </c>
      <c r="AO917" s="27" t="s">
        <v>57</v>
      </c>
      <c r="AT917" s="25">
        <f>ROUND(AU917+AV917,2)</f>
        <v>0</v>
      </c>
      <c r="AU917" s="25">
        <f>ROUND(G917*AM917,2)</f>
        <v>0</v>
      </c>
      <c r="AV917" s="25">
        <f>ROUND(G917*AN917,2)</f>
        <v>0</v>
      </c>
      <c r="AW917" s="27" t="s">
        <v>621</v>
      </c>
      <c r="AX917" s="27" t="s">
        <v>1164</v>
      </c>
      <c r="AY917" s="10" t="s">
        <v>1105</v>
      </c>
      <c r="BA917" s="25">
        <f>AU917+AV917</f>
        <v>0</v>
      </c>
      <c r="BB917" s="25">
        <f>H917/(100-BC917)*100</f>
        <v>0</v>
      </c>
      <c r="BC917" s="25">
        <v>0</v>
      </c>
      <c r="BD917" s="25">
        <f>M917</f>
        <v>0.14561250000000001</v>
      </c>
      <c r="BF917" s="25">
        <f>G917*AM917</f>
        <v>0</v>
      </c>
      <c r="BG917" s="25">
        <f>G917*AN917</f>
        <v>0</v>
      </c>
      <c r="BH917" s="25">
        <f>G917*H917</f>
        <v>0</v>
      </c>
      <c r="BI917" s="27" t="s">
        <v>65</v>
      </c>
      <c r="BJ917" s="25">
        <v>41</v>
      </c>
      <c r="BU917" s="25" t="e">
        <f>#REF!</f>
        <v>#REF!</v>
      </c>
      <c r="BV917" s="4" t="s">
        <v>1163</v>
      </c>
    </row>
    <row r="918" spans="1:74" ht="14.4" x14ac:dyDescent="0.3">
      <c r="A918" s="28"/>
      <c r="D918" s="29" t="s">
        <v>1165</v>
      </c>
      <c r="E918" s="29" t="s">
        <v>1166</v>
      </c>
      <c r="G918" s="30">
        <v>13.75</v>
      </c>
      <c r="H918" s="63"/>
      <c r="N918" s="31"/>
    </row>
    <row r="919" spans="1:74" ht="14.4" x14ac:dyDescent="0.3">
      <c r="A919" s="2" t="s">
        <v>1167</v>
      </c>
      <c r="B919" s="3" t="s">
        <v>1101</v>
      </c>
      <c r="C919" s="3" t="s">
        <v>1168</v>
      </c>
      <c r="D919" s="112" t="s">
        <v>1169</v>
      </c>
      <c r="E919" s="109"/>
      <c r="F919" s="3" t="s">
        <v>60</v>
      </c>
      <c r="G919" s="25">
        <v>14.75</v>
      </c>
      <c r="H919" s="62"/>
      <c r="I919" s="25">
        <f>ROUND(G919*AM919,2)</f>
        <v>0</v>
      </c>
      <c r="J919" s="25">
        <f>ROUND(G919*AN919,2)</f>
        <v>0</v>
      </c>
      <c r="K919" s="25">
        <f>ROUND(G919*H919,2)</f>
        <v>0</v>
      </c>
      <c r="L919" s="25">
        <v>0.31247999999999998</v>
      </c>
      <c r="M919" s="25">
        <f>G919*L919</f>
        <v>4.6090799999999996</v>
      </c>
      <c r="N919" s="26"/>
      <c r="X919" s="25">
        <f>ROUND(IF(AO919="5",BH919,0),2)</f>
        <v>0</v>
      </c>
      <c r="Z919" s="25">
        <f>ROUND(IF(AO919="1",BF919,0),2)</f>
        <v>0</v>
      </c>
      <c r="AA919" s="25">
        <f>ROUND(IF(AO919="1",BG919,0),2)</f>
        <v>0</v>
      </c>
      <c r="AB919" s="25">
        <f>ROUND(IF(AO919="7",BF919,0),2)</f>
        <v>0</v>
      </c>
      <c r="AC919" s="25">
        <f>ROUND(IF(AO919="7",BG919,0),2)</f>
        <v>0</v>
      </c>
      <c r="AD919" s="25">
        <f>ROUND(IF(AO919="2",BF919,0),2)</f>
        <v>0</v>
      </c>
      <c r="AE919" s="25">
        <f>ROUND(IF(AO919="2",BG919,0),2)</f>
        <v>0</v>
      </c>
      <c r="AF919" s="25">
        <f>ROUND(IF(AO919="0",BH919,0),2)</f>
        <v>0</v>
      </c>
      <c r="AG919" s="10" t="s">
        <v>1101</v>
      </c>
      <c r="AH919" s="25">
        <f>IF(AL919=0,K919,0)</f>
        <v>0</v>
      </c>
      <c r="AI919" s="25">
        <f>IF(AL919=12,K919,0)</f>
        <v>0</v>
      </c>
      <c r="AJ919" s="25">
        <f>IF(AL919=21,K919,0)</f>
        <v>0</v>
      </c>
      <c r="AL919" s="25">
        <v>21</v>
      </c>
      <c r="AM919" s="25">
        <f>H919*0.402775069</f>
        <v>0</v>
      </c>
      <c r="AN919" s="25">
        <f>H919*(1-0.402775069)</f>
        <v>0</v>
      </c>
      <c r="AO919" s="27" t="s">
        <v>57</v>
      </c>
      <c r="AT919" s="25">
        <f>ROUND(AU919+AV919,2)</f>
        <v>0</v>
      </c>
      <c r="AU919" s="25">
        <f>ROUND(G919*AM919,2)</f>
        <v>0</v>
      </c>
      <c r="AV919" s="25">
        <f>ROUND(G919*AN919,2)</f>
        <v>0</v>
      </c>
      <c r="AW919" s="27" t="s">
        <v>621</v>
      </c>
      <c r="AX919" s="27" t="s">
        <v>1164</v>
      </c>
      <c r="AY919" s="10" t="s">
        <v>1105</v>
      </c>
      <c r="BA919" s="25">
        <f>AU919+AV919</f>
        <v>0</v>
      </c>
      <c r="BB919" s="25">
        <f>H919/(100-BC919)*100</f>
        <v>0</v>
      </c>
      <c r="BC919" s="25">
        <v>0</v>
      </c>
      <c r="BD919" s="25">
        <f>M919</f>
        <v>4.6090799999999996</v>
      </c>
      <c r="BF919" s="25">
        <f>G919*AM919</f>
        <v>0</v>
      </c>
      <c r="BG919" s="25">
        <f>G919*AN919</f>
        <v>0</v>
      </c>
      <c r="BH919" s="25">
        <f>G919*H919</f>
        <v>0</v>
      </c>
      <c r="BI919" s="27" t="s">
        <v>65</v>
      </c>
      <c r="BJ919" s="25">
        <v>41</v>
      </c>
      <c r="BU919" s="25" t="e">
        <f>#REF!</f>
        <v>#REF!</v>
      </c>
      <c r="BV919" s="4" t="s">
        <v>1169</v>
      </c>
    </row>
    <row r="920" spans="1:74" ht="14.4" x14ac:dyDescent="0.3">
      <c r="A920" s="28"/>
      <c r="D920" s="29" t="s">
        <v>1165</v>
      </c>
      <c r="E920" s="29" t="s">
        <v>1170</v>
      </c>
      <c r="G920" s="30">
        <v>13.75</v>
      </c>
      <c r="H920" s="63"/>
      <c r="N920" s="31"/>
    </row>
    <row r="921" spans="1:74" ht="14.4" x14ac:dyDescent="0.3">
      <c r="A921" s="28"/>
      <c r="D921" s="29" t="s">
        <v>1171</v>
      </c>
      <c r="E921" s="29" t="s">
        <v>1172</v>
      </c>
      <c r="G921" s="30">
        <v>1</v>
      </c>
      <c r="H921" s="63"/>
      <c r="N921" s="31"/>
    </row>
    <row r="922" spans="1:74" ht="14.4" x14ac:dyDescent="0.3">
      <c r="A922" s="2" t="s">
        <v>1173</v>
      </c>
      <c r="B922" s="3" t="s">
        <v>1101</v>
      </c>
      <c r="C922" s="3" t="s">
        <v>619</v>
      </c>
      <c r="D922" s="112" t="s">
        <v>620</v>
      </c>
      <c r="E922" s="109"/>
      <c r="F922" s="3" t="s">
        <v>148</v>
      </c>
      <c r="G922" s="25">
        <v>1.224</v>
      </c>
      <c r="H922" s="62"/>
      <c r="I922" s="25">
        <f>ROUND(G922*AM922,2)</f>
        <v>0</v>
      </c>
      <c r="J922" s="25">
        <f>ROUND(G922*AN922,2)</f>
        <v>0</v>
      </c>
      <c r="K922" s="25">
        <f>ROUND(G922*H922,2)</f>
        <v>0</v>
      </c>
      <c r="L922" s="25">
        <v>2.7501099999999998</v>
      </c>
      <c r="M922" s="25">
        <f>G922*L922</f>
        <v>3.3661346399999998</v>
      </c>
      <c r="N922" s="26"/>
      <c r="X922" s="25">
        <f>ROUND(IF(AO922="5",BH922,0),2)</f>
        <v>0</v>
      </c>
      <c r="Z922" s="25">
        <f>ROUND(IF(AO922="1",BF922,0),2)</f>
        <v>0</v>
      </c>
      <c r="AA922" s="25">
        <f>ROUND(IF(AO922="1",BG922,0),2)</f>
        <v>0</v>
      </c>
      <c r="AB922" s="25">
        <f>ROUND(IF(AO922="7",BF922,0),2)</f>
        <v>0</v>
      </c>
      <c r="AC922" s="25">
        <f>ROUND(IF(AO922="7",BG922,0),2)</f>
        <v>0</v>
      </c>
      <c r="AD922" s="25">
        <f>ROUND(IF(AO922="2",BF922,0),2)</f>
        <v>0</v>
      </c>
      <c r="AE922" s="25">
        <f>ROUND(IF(AO922="2",BG922,0),2)</f>
        <v>0</v>
      </c>
      <c r="AF922" s="25">
        <f>ROUND(IF(AO922="0",BH922,0),2)</f>
        <v>0</v>
      </c>
      <c r="AG922" s="10" t="s">
        <v>1101</v>
      </c>
      <c r="AH922" s="25">
        <f>IF(AL922=0,K922,0)</f>
        <v>0</v>
      </c>
      <c r="AI922" s="25">
        <f>IF(AL922=12,K922,0)</f>
        <v>0</v>
      </c>
      <c r="AJ922" s="25">
        <f>IF(AL922=21,K922,0)</f>
        <v>0</v>
      </c>
      <c r="AL922" s="25">
        <v>21</v>
      </c>
      <c r="AM922" s="25">
        <f>H922*0.807837818</f>
        <v>0</v>
      </c>
      <c r="AN922" s="25">
        <f>H922*(1-0.807837818)</f>
        <v>0</v>
      </c>
      <c r="AO922" s="27" t="s">
        <v>57</v>
      </c>
      <c r="AT922" s="25">
        <f>ROUND(AU922+AV922,2)</f>
        <v>0</v>
      </c>
      <c r="AU922" s="25">
        <f>ROUND(G922*AM922,2)</f>
        <v>0</v>
      </c>
      <c r="AV922" s="25">
        <f>ROUND(G922*AN922,2)</f>
        <v>0</v>
      </c>
      <c r="AW922" s="27" t="s">
        <v>621</v>
      </c>
      <c r="AX922" s="27" t="s">
        <v>1164</v>
      </c>
      <c r="AY922" s="10" t="s">
        <v>1105</v>
      </c>
      <c r="BA922" s="25">
        <f>AU922+AV922</f>
        <v>0</v>
      </c>
      <c r="BB922" s="25">
        <f>H922/(100-BC922)*100</f>
        <v>0</v>
      </c>
      <c r="BC922" s="25">
        <v>0</v>
      </c>
      <c r="BD922" s="25">
        <f>M922</f>
        <v>3.3661346399999998</v>
      </c>
      <c r="BF922" s="25">
        <f>G922*AM922</f>
        <v>0</v>
      </c>
      <c r="BG922" s="25">
        <f>G922*AN922</f>
        <v>0</v>
      </c>
      <c r="BH922" s="25">
        <f>G922*H922</f>
        <v>0</v>
      </c>
      <c r="BI922" s="27" t="s">
        <v>65</v>
      </c>
      <c r="BJ922" s="25">
        <v>41</v>
      </c>
      <c r="BU922" s="25" t="e">
        <f>#REF!</f>
        <v>#REF!</v>
      </c>
      <c r="BV922" s="4" t="s">
        <v>620</v>
      </c>
    </row>
    <row r="923" spans="1:74" ht="14.4" x14ac:dyDescent="0.3">
      <c r="A923" s="28"/>
      <c r="D923" s="29" t="s">
        <v>1174</v>
      </c>
      <c r="E923" s="29" t="s">
        <v>1175</v>
      </c>
      <c r="G923" s="30">
        <v>6.9000000000000006E-2</v>
      </c>
      <c r="H923" s="63"/>
      <c r="N923" s="31"/>
    </row>
    <row r="924" spans="1:74" ht="14.4" x14ac:dyDescent="0.3">
      <c r="A924" s="28"/>
      <c r="D924" s="29" t="s">
        <v>1176</v>
      </c>
      <c r="E924" s="29" t="s">
        <v>1175</v>
      </c>
      <c r="G924" s="30">
        <v>0.11899999999999999</v>
      </c>
      <c r="H924" s="63"/>
      <c r="N924" s="31"/>
    </row>
    <row r="925" spans="1:74" ht="14.4" x14ac:dyDescent="0.3">
      <c r="A925" s="28"/>
      <c r="D925" s="29" t="s">
        <v>1177</v>
      </c>
      <c r="E925" s="29" t="s">
        <v>1175</v>
      </c>
      <c r="G925" s="30">
        <v>0.152</v>
      </c>
      <c r="H925" s="63"/>
      <c r="N925" s="31"/>
    </row>
    <row r="926" spans="1:74" ht="14.4" x14ac:dyDescent="0.3">
      <c r="A926" s="28"/>
      <c r="D926" s="29" t="s">
        <v>1178</v>
      </c>
      <c r="E926" s="29" t="s">
        <v>1175</v>
      </c>
      <c r="G926" s="30">
        <v>0.189</v>
      </c>
      <c r="H926" s="63"/>
      <c r="N926" s="31"/>
    </row>
    <row r="927" spans="1:74" ht="14.4" x14ac:dyDescent="0.3">
      <c r="A927" s="28"/>
      <c r="D927" s="29" t="s">
        <v>1179</v>
      </c>
      <c r="E927" s="29" t="s">
        <v>1175</v>
      </c>
      <c r="G927" s="30">
        <v>0.14699999999999999</v>
      </c>
      <c r="H927" s="63"/>
      <c r="N927" s="31"/>
    </row>
    <row r="928" spans="1:74" ht="14.4" x14ac:dyDescent="0.3">
      <c r="A928" s="28"/>
      <c r="D928" s="29" t="s">
        <v>1180</v>
      </c>
      <c r="E928" s="29" t="s">
        <v>1175</v>
      </c>
      <c r="G928" s="30">
        <v>0.157</v>
      </c>
      <c r="H928" s="63"/>
      <c r="N928" s="31"/>
    </row>
    <row r="929" spans="1:74" ht="14.4" x14ac:dyDescent="0.3">
      <c r="A929" s="28"/>
      <c r="D929" s="29" t="s">
        <v>1181</v>
      </c>
      <c r="E929" s="29" t="s">
        <v>1175</v>
      </c>
      <c r="G929" s="30">
        <v>0.115</v>
      </c>
      <c r="H929" s="63"/>
      <c r="N929" s="31"/>
    </row>
    <row r="930" spans="1:74" ht="14.4" x14ac:dyDescent="0.3">
      <c r="A930" s="28"/>
      <c r="D930" s="29" t="s">
        <v>1182</v>
      </c>
      <c r="E930" s="29" t="s">
        <v>1175</v>
      </c>
      <c r="G930" s="30">
        <v>5.5E-2</v>
      </c>
      <c r="H930" s="63"/>
      <c r="N930" s="31"/>
    </row>
    <row r="931" spans="1:74" ht="14.4" x14ac:dyDescent="0.3">
      <c r="A931" s="28"/>
      <c r="D931" s="29" t="s">
        <v>1183</v>
      </c>
      <c r="E931" s="29" t="s">
        <v>1175</v>
      </c>
      <c r="G931" s="30">
        <v>0.11799999999999999</v>
      </c>
      <c r="H931" s="63"/>
      <c r="N931" s="31"/>
    </row>
    <row r="932" spans="1:74" ht="14.4" x14ac:dyDescent="0.3">
      <c r="A932" s="28"/>
      <c r="D932" s="29" t="s">
        <v>1184</v>
      </c>
      <c r="E932" s="29" t="s">
        <v>1175</v>
      </c>
      <c r="G932" s="30">
        <v>0.10299999999999999</v>
      </c>
      <c r="H932" s="63"/>
      <c r="N932" s="31"/>
    </row>
    <row r="933" spans="1:74" ht="14.4" x14ac:dyDescent="0.3">
      <c r="A933" s="2" t="s">
        <v>1185</v>
      </c>
      <c r="B933" s="3" t="s">
        <v>1101</v>
      </c>
      <c r="C933" s="3" t="s">
        <v>630</v>
      </c>
      <c r="D933" s="112" t="s">
        <v>631</v>
      </c>
      <c r="E933" s="109"/>
      <c r="F933" s="3" t="s">
        <v>60</v>
      </c>
      <c r="G933" s="25">
        <v>11.798</v>
      </c>
      <c r="H933" s="62"/>
      <c r="I933" s="25">
        <f>ROUND(G933*AM933,2)</f>
        <v>0</v>
      </c>
      <c r="J933" s="25">
        <f>ROUND(G933*AN933,2)</f>
        <v>0</v>
      </c>
      <c r="K933" s="25">
        <f>ROUND(G933*H933,2)</f>
        <v>0</v>
      </c>
      <c r="L933" s="25">
        <v>0</v>
      </c>
      <c r="M933" s="25">
        <f>G933*L933</f>
        <v>0</v>
      </c>
      <c r="N933" s="26"/>
      <c r="X933" s="25">
        <f>ROUND(IF(AO933="5",BH933,0),2)</f>
        <v>0</v>
      </c>
      <c r="Z933" s="25">
        <f>ROUND(IF(AO933="1",BF933,0),2)</f>
        <v>0</v>
      </c>
      <c r="AA933" s="25">
        <f>ROUND(IF(AO933="1",BG933,0),2)</f>
        <v>0</v>
      </c>
      <c r="AB933" s="25">
        <f>ROUND(IF(AO933="7",BF933,0),2)</f>
        <v>0</v>
      </c>
      <c r="AC933" s="25">
        <f>ROUND(IF(AO933="7",BG933,0),2)</f>
        <v>0</v>
      </c>
      <c r="AD933" s="25">
        <f>ROUND(IF(AO933="2",BF933,0),2)</f>
        <v>0</v>
      </c>
      <c r="AE933" s="25">
        <f>ROUND(IF(AO933="2",BG933,0),2)</f>
        <v>0</v>
      </c>
      <c r="AF933" s="25">
        <f>ROUND(IF(AO933="0",BH933,0),2)</f>
        <v>0</v>
      </c>
      <c r="AG933" s="10" t="s">
        <v>1101</v>
      </c>
      <c r="AH933" s="25">
        <f>IF(AL933=0,K933,0)</f>
        <v>0</v>
      </c>
      <c r="AI933" s="25">
        <f>IF(AL933=12,K933,0)</f>
        <v>0</v>
      </c>
      <c r="AJ933" s="25">
        <f>IF(AL933=21,K933,0)</f>
        <v>0</v>
      </c>
      <c r="AL933" s="25">
        <v>21</v>
      </c>
      <c r="AM933" s="25">
        <f>H933*0</f>
        <v>0</v>
      </c>
      <c r="AN933" s="25">
        <f>H933*(1-0)</f>
        <v>0</v>
      </c>
      <c r="AO933" s="27" t="s">
        <v>57</v>
      </c>
      <c r="AT933" s="25">
        <f>ROUND(AU933+AV933,2)</f>
        <v>0</v>
      </c>
      <c r="AU933" s="25">
        <f>ROUND(G933*AM933,2)</f>
        <v>0</v>
      </c>
      <c r="AV933" s="25">
        <f>ROUND(G933*AN933,2)</f>
        <v>0</v>
      </c>
      <c r="AW933" s="27" t="s">
        <v>621</v>
      </c>
      <c r="AX933" s="27" t="s">
        <v>1164</v>
      </c>
      <c r="AY933" s="10" t="s">
        <v>1105</v>
      </c>
      <c r="BA933" s="25">
        <f>AU933+AV933</f>
        <v>0</v>
      </c>
      <c r="BB933" s="25">
        <f>H933/(100-BC933)*100</f>
        <v>0</v>
      </c>
      <c r="BC933" s="25">
        <v>0</v>
      </c>
      <c r="BD933" s="25">
        <f>M933</f>
        <v>0</v>
      </c>
      <c r="BF933" s="25">
        <f>G933*AM933</f>
        <v>0</v>
      </c>
      <c r="BG933" s="25">
        <f>G933*AN933</f>
        <v>0</v>
      </c>
      <c r="BH933" s="25">
        <f>G933*H933</f>
        <v>0</v>
      </c>
      <c r="BI933" s="27" t="s">
        <v>65</v>
      </c>
      <c r="BJ933" s="25">
        <v>41</v>
      </c>
      <c r="BU933" s="25" t="e">
        <f>#REF!</f>
        <v>#REF!</v>
      </c>
      <c r="BV933" s="4" t="s">
        <v>631</v>
      </c>
    </row>
    <row r="934" spans="1:74" ht="14.4" x14ac:dyDescent="0.3">
      <c r="A934" s="28"/>
      <c r="D934" s="29" t="s">
        <v>1186</v>
      </c>
      <c r="E934" s="29" t="s">
        <v>1175</v>
      </c>
      <c r="G934" s="30">
        <v>0.60599999999999998</v>
      </c>
      <c r="H934" s="63"/>
      <c r="N934" s="31"/>
    </row>
    <row r="935" spans="1:74" ht="14.4" x14ac:dyDescent="0.3">
      <c r="A935" s="28"/>
      <c r="D935" s="29" t="s">
        <v>1187</v>
      </c>
      <c r="E935" s="29" t="s">
        <v>1175</v>
      </c>
      <c r="G935" s="30">
        <v>1.101</v>
      </c>
      <c r="H935" s="63"/>
      <c r="N935" s="31"/>
    </row>
    <row r="936" spans="1:74" ht="14.4" x14ac:dyDescent="0.3">
      <c r="A936" s="28"/>
      <c r="D936" s="29" t="s">
        <v>1188</v>
      </c>
      <c r="E936" s="29" t="s">
        <v>1175</v>
      </c>
      <c r="G936" s="30">
        <v>1.4870000000000001</v>
      </c>
      <c r="H936" s="63"/>
      <c r="N936" s="31"/>
    </row>
    <row r="937" spans="1:74" ht="14.4" x14ac:dyDescent="0.3">
      <c r="A937" s="28"/>
      <c r="D937" s="29" t="s">
        <v>1189</v>
      </c>
      <c r="E937" s="29" t="s">
        <v>1175</v>
      </c>
      <c r="G937" s="30">
        <v>1.712</v>
      </c>
      <c r="H937" s="63"/>
      <c r="N937" s="31"/>
    </row>
    <row r="938" spans="1:74" ht="14.4" x14ac:dyDescent="0.3">
      <c r="A938" s="28"/>
      <c r="D938" s="29" t="s">
        <v>1190</v>
      </c>
      <c r="E938" s="29" t="s">
        <v>1175</v>
      </c>
      <c r="G938" s="30">
        <v>1.641</v>
      </c>
      <c r="H938" s="63"/>
      <c r="N938" s="31"/>
    </row>
    <row r="939" spans="1:74" ht="14.4" x14ac:dyDescent="0.3">
      <c r="A939" s="28"/>
      <c r="D939" s="29" t="s">
        <v>1191</v>
      </c>
      <c r="E939" s="29" t="s">
        <v>1175</v>
      </c>
      <c r="G939" s="30">
        <v>1.782</v>
      </c>
      <c r="H939" s="63"/>
      <c r="N939" s="31"/>
    </row>
    <row r="940" spans="1:74" ht="14.4" x14ac:dyDescent="0.3">
      <c r="A940" s="28"/>
      <c r="D940" s="29" t="s">
        <v>1192</v>
      </c>
      <c r="E940" s="29" t="s">
        <v>1175</v>
      </c>
      <c r="G940" s="30">
        <v>1.0649999999999999</v>
      </c>
      <c r="H940" s="63"/>
      <c r="N940" s="31"/>
    </row>
    <row r="941" spans="1:74" ht="14.4" x14ac:dyDescent="0.3">
      <c r="A941" s="28"/>
      <c r="D941" s="29" t="s">
        <v>1193</v>
      </c>
      <c r="E941" s="29" t="s">
        <v>1175</v>
      </c>
      <c r="G941" s="30">
        <v>0.371</v>
      </c>
      <c r="H941" s="63"/>
      <c r="N941" s="31"/>
    </row>
    <row r="942" spans="1:74" ht="14.4" x14ac:dyDescent="0.3">
      <c r="A942" s="28"/>
      <c r="D942" s="29" t="s">
        <v>1194</v>
      </c>
      <c r="E942" s="29" t="s">
        <v>1175</v>
      </c>
      <c r="G942" s="30">
        <v>1.097</v>
      </c>
      <c r="H942" s="63"/>
      <c r="N942" s="31"/>
    </row>
    <row r="943" spans="1:74" ht="14.4" x14ac:dyDescent="0.3">
      <c r="A943" s="28"/>
      <c r="D943" s="29" t="s">
        <v>1195</v>
      </c>
      <c r="E943" s="29" t="s">
        <v>1175</v>
      </c>
      <c r="G943" s="30">
        <v>0.93600000000000005</v>
      </c>
      <c r="H943" s="63"/>
      <c r="N943" s="31"/>
    </row>
    <row r="944" spans="1:74" ht="14.4" x14ac:dyDescent="0.3">
      <c r="A944" s="2" t="s">
        <v>1196</v>
      </c>
      <c r="B944" s="3" t="s">
        <v>1101</v>
      </c>
      <c r="C944" s="3" t="s">
        <v>626</v>
      </c>
      <c r="D944" s="112" t="s">
        <v>627</v>
      </c>
      <c r="E944" s="109"/>
      <c r="F944" s="3" t="s">
        <v>60</v>
      </c>
      <c r="G944" s="25">
        <v>11.798</v>
      </c>
      <c r="H944" s="62"/>
      <c r="I944" s="25">
        <f>ROUND(G944*AM944,2)</f>
        <v>0</v>
      </c>
      <c r="J944" s="25">
        <f>ROUND(G944*AN944,2)</f>
        <v>0</v>
      </c>
      <c r="K944" s="25">
        <f>ROUND(G944*H944,2)</f>
        <v>0</v>
      </c>
      <c r="L944" s="25">
        <v>7.8100000000000001E-3</v>
      </c>
      <c r="M944" s="25">
        <f>G944*L944</f>
        <v>9.2142379999999996E-2</v>
      </c>
      <c r="N944" s="26"/>
      <c r="X944" s="25">
        <f>ROUND(IF(AO944="5",BH944,0),2)</f>
        <v>0</v>
      </c>
      <c r="Z944" s="25">
        <f>ROUND(IF(AO944="1",BF944,0),2)</f>
        <v>0</v>
      </c>
      <c r="AA944" s="25">
        <f>ROUND(IF(AO944="1",BG944,0),2)</f>
        <v>0</v>
      </c>
      <c r="AB944" s="25">
        <f>ROUND(IF(AO944="7",BF944,0),2)</f>
        <v>0</v>
      </c>
      <c r="AC944" s="25">
        <f>ROUND(IF(AO944="7",BG944,0),2)</f>
        <v>0</v>
      </c>
      <c r="AD944" s="25">
        <f>ROUND(IF(AO944="2",BF944,0),2)</f>
        <v>0</v>
      </c>
      <c r="AE944" s="25">
        <f>ROUND(IF(AO944="2",BG944,0),2)</f>
        <v>0</v>
      </c>
      <c r="AF944" s="25">
        <f>ROUND(IF(AO944="0",BH944,0),2)</f>
        <v>0</v>
      </c>
      <c r="AG944" s="10" t="s">
        <v>1101</v>
      </c>
      <c r="AH944" s="25">
        <f>IF(AL944=0,K944,0)</f>
        <v>0</v>
      </c>
      <c r="AI944" s="25">
        <f>IF(AL944=12,K944,0)</f>
        <v>0</v>
      </c>
      <c r="AJ944" s="25">
        <f>IF(AL944=21,K944,0)</f>
        <v>0</v>
      </c>
      <c r="AL944" s="25">
        <v>21</v>
      </c>
      <c r="AM944" s="25">
        <f>H944*0.180138656</f>
        <v>0</v>
      </c>
      <c r="AN944" s="25">
        <f>H944*(1-0.180138656)</f>
        <v>0</v>
      </c>
      <c r="AO944" s="27" t="s">
        <v>57</v>
      </c>
      <c r="AT944" s="25">
        <f>ROUND(AU944+AV944,2)</f>
        <v>0</v>
      </c>
      <c r="AU944" s="25">
        <f>ROUND(G944*AM944,2)</f>
        <v>0</v>
      </c>
      <c r="AV944" s="25">
        <f>ROUND(G944*AN944,2)</f>
        <v>0</v>
      </c>
      <c r="AW944" s="27" t="s">
        <v>621</v>
      </c>
      <c r="AX944" s="27" t="s">
        <v>1164</v>
      </c>
      <c r="AY944" s="10" t="s">
        <v>1105</v>
      </c>
      <c r="BA944" s="25">
        <f>AU944+AV944</f>
        <v>0</v>
      </c>
      <c r="BB944" s="25">
        <f>H944/(100-BC944)*100</f>
        <v>0</v>
      </c>
      <c r="BC944" s="25">
        <v>0</v>
      </c>
      <c r="BD944" s="25">
        <f>M944</f>
        <v>9.2142379999999996E-2</v>
      </c>
      <c r="BF944" s="25">
        <f>G944*AM944</f>
        <v>0</v>
      </c>
      <c r="BG944" s="25">
        <f>G944*AN944</f>
        <v>0</v>
      </c>
      <c r="BH944" s="25">
        <f>G944*H944</f>
        <v>0</v>
      </c>
      <c r="BI944" s="27" t="s">
        <v>65</v>
      </c>
      <c r="BJ944" s="25">
        <v>41</v>
      </c>
      <c r="BU944" s="25" t="e">
        <f>#REF!</f>
        <v>#REF!</v>
      </c>
      <c r="BV944" s="4" t="s">
        <v>627</v>
      </c>
    </row>
    <row r="945" spans="1:74" ht="14.4" x14ac:dyDescent="0.3">
      <c r="A945" s="28"/>
      <c r="D945" s="29" t="s">
        <v>1186</v>
      </c>
      <c r="E945" s="29" t="s">
        <v>1175</v>
      </c>
      <c r="G945" s="30">
        <v>0.60599999999999998</v>
      </c>
      <c r="H945" s="63"/>
      <c r="N945" s="31"/>
    </row>
    <row r="946" spans="1:74" ht="14.4" x14ac:dyDescent="0.3">
      <c r="A946" s="28"/>
      <c r="D946" s="29" t="s">
        <v>1187</v>
      </c>
      <c r="E946" s="29" t="s">
        <v>1175</v>
      </c>
      <c r="G946" s="30">
        <v>1.101</v>
      </c>
      <c r="H946" s="63"/>
      <c r="N946" s="31"/>
    </row>
    <row r="947" spans="1:74" ht="14.4" x14ac:dyDescent="0.3">
      <c r="A947" s="28"/>
      <c r="D947" s="29" t="s">
        <v>1188</v>
      </c>
      <c r="E947" s="29" t="s">
        <v>1175</v>
      </c>
      <c r="G947" s="30">
        <v>1.4870000000000001</v>
      </c>
      <c r="H947" s="63"/>
      <c r="N947" s="31"/>
    </row>
    <row r="948" spans="1:74" ht="14.4" x14ac:dyDescent="0.3">
      <c r="A948" s="28"/>
      <c r="D948" s="29" t="s">
        <v>1189</v>
      </c>
      <c r="E948" s="29" t="s">
        <v>1175</v>
      </c>
      <c r="G948" s="30">
        <v>1.712</v>
      </c>
      <c r="H948" s="63"/>
      <c r="N948" s="31"/>
    </row>
    <row r="949" spans="1:74" ht="14.4" x14ac:dyDescent="0.3">
      <c r="A949" s="28"/>
      <c r="D949" s="29" t="s">
        <v>1190</v>
      </c>
      <c r="E949" s="29" t="s">
        <v>1175</v>
      </c>
      <c r="G949" s="30">
        <v>1.641</v>
      </c>
      <c r="H949" s="63"/>
      <c r="N949" s="31"/>
    </row>
    <row r="950" spans="1:74" ht="14.4" x14ac:dyDescent="0.3">
      <c r="A950" s="28"/>
      <c r="D950" s="29" t="s">
        <v>1191</v>
      </c>
      <c r="E950" s="29" t="s">
        <v>1175</v>
      </c>
      <c r="G950" s="30">
        <v>1.782</v>
      </c>
      <c r="H950" s="63"/>
      <c r="N950" s="31"/>
    </row>
    <row r="951" spans="1:74" ht="14.4" x14ac:dyDescent="0.3">
      <c r="A951" s="28"/>
      <c r="D951" s="29" t="s">
        <v>1192</v>
      </c>
      <c r="E951" s="29" t="s">
        <v>1175</v>
      </c>
      <c r="G951" s="30">
        <v>1.0649999999999999</v>
      </c>
      <c r="H951" s="63"/>
      <c r="N951" s="31"/>
    </row>
    <row r="952" spans="1:74" ht="14.4" x14ac:dyDescent="0.3">
      <c r="A952" s="28"/>
      <c r="D952" s="29" t="s">
        <v>1193</v>
      </c>
      <c r="E952" s="29" t="s">
        <v>1175</v>
      </c>
      <c r="G952" s="30">
        <v>0.371</v>
      </c>
      <c r="H952" s="63"/>
      <c r="N952" s="31"/>
    </row>
    <row r="953" spans="1:74" ht="14.4" x14ac:dyDescent="0.3">
      <c r="A953" s="28"/>
      <c r="D953" s="29" t="s">
        <v>1194</v>
      </c>
      <c r="E953" s="29" t="s">
        <v>1175</v>
      </c>
      <c r="G953" s="30">
        <v>1.097</v>
      </c>
      <c r="H953" s="63"/>
      <c r="N953" s="31"/>
    </row>
    <row r="954" spans="1:74" ht="14.4" x14ac:dyDescent="0.3">
      <c r="A954" s="28"/>
      <c r="D954" s="29" t="s">
        <v>1195</v>
      </c>
      <c r="E954" s="29" t="s">
        <v>1175</v>
      </c>
      <c r="G954" s="30">
        <v>0.93600000000000005</v>
      </c>
      <c r="H954" s="63"/>
      <c r="N954" s="31"/>
    </row>
    <row r="955" spans="1:74" ht="14.4" x14ac:dyDescent="0.3">
      <c r="A955" s="2" t="s">
        <v>1197</v>
      </c>
      <c r="B955" s="3" t="s">
        <v>1101</v>
      </c>
      <c r="C955" s="3" t="s">
        <v>633</v>
      </c>
      <c r="D955" s="112" t="s">
        <v>634</v>
      </c>
      <c r="E955" s="109"/>
      <c r="F955" s="3" t="s">
        <v>278</v>
      </c>
      <c r="G955" s="25">
        <v>0.11600000000000001</v>
      </c>
      <c r="H955" s="62"/>
      <c r="I955" s="25">
        <f>ROUND(G955*AM955,2)</f>
        <v>0</v>
      </c>
      <c r="J955" s="25">
        <f>ROUND(G955*AN955,2)</f>
        <v>0</v>
      </c>
      <c r="K955" s="25">
        <f>ROUND(G955*H955,2)</f>
        <v>0</v>
      </c>
      <c r="L955" s="25">
        <v>1.02101</v>
      </c>
      <c r="M955" s="25">
        <f>G955*L955</f>
        <v>0.11843716</v>
      </c>
      <c r="N955" s="26"/>
      <c r="X955" s="25">
        <f>ROUND(IF(AO955="5",BH955,0),2)</f>
        <v>0</v>
      </c>
      <c r="Z955" s="25">
        <f>ROUND(IF(AO955="1",BF955,0),2)</f>
        <v>0</v>
      </c>
      <c r="AA955" s="25">
        <f>ROUND(IF(AO955="1",BG955,0),2)</f>
        <v>0</v>
      </c>
      <c r="AB955" s="25">
        <f>ROUND(IF(AO955="7",BF955,0),2)</f>
        <v>0</v>
      </c>
      <c r="AC955" s="25">
        <f>ROUND(IF(AO955="7",BG955,0),2)</f>
        <v>0</v>
      </c>
      <c r="AD955" s="25">
        <f>ROUND(IF(AO955="2",BF955,0),2)</f>
        <v>0</v>
      </c>
      <c r="AE955" s="25">
        <f>ROUND(IF(AO955="2",BG955,0),2)</f>
        <v>0</v>
      </c>
      <c r="AF955" s="25">
        <f>ROUND(IF(AO955="0",BH955,0),2)</f>
        <v>0</v>
      </c>
      <c r="AG955" s="10" t="s">
        <v>1101</v>
      </c>
      <c r="AH955" s="25">
        <f>IF(AL955=0,K955,0)</f>
        <v>0</v>
      </c>
      <c r="AI955" s="25">
        <f>IF(AL955=12,K955,0)</f>
        <v>0</v>
      </c>
      <c r="AJ955" s="25">
        <f>IF(AL955=21,K955,0)</f>
        <v>0</v>
      </c>
      <c r="AL955" s="25">
        <v>21</v>
      </c>
      <c r="AM955" s="25">
        <f>H955*0.658640259</f>
        <v>0</v>
      </c>
      <c r="AN955" s="25">
        <f>H955*(1-0.658640259)</f>
        <v>0</v>
      </c>
      <c r="AO955" s="27" t="s">
        <v>57</v>
      </c>
      <c r="AT955" s="25">
        <f>ROUND(AU955+AV955,2)</f>
        <v>0</v>
      </c>
      <c r="AU955" s="25">
        <f>ROUND(G955*AM955,2)</f>
        <v>0</v>
      </c>
      <c r="AV955" s="25">
        <f>ROUND(G955*AN955,2)</f>
        <v>0</v>
      </c>
      <c r="AW955" s="27" t="s">
        <v>621</v>
      </c>
      <c r="AX955" s="27" t="s">
        <v>1164</v>
      </c>
      <c r="AY955" s="10" t="s">
        <v>1105</v>
      </c>
      <c r="BA955" s="25">
        <f>AU955+AV955</f>
        <v>0</v>
      </c>
      <c r="BB955" s="25">
        <f>H955/(100-BC955)*100</f>
        <v>0</v>
      </c>
      <c r="BC955" s="25">
        <v>0</v>
      </c>
      <c r="BD955" s="25">
        <f>M955</f>
        <v>0.11843716</v>
      </c>
      <c r="BF955" s="25">
        <f>G955*AM955</f>
        <v>0</v>
      </c>
      <c r="BG955" s="25">
        <f>G955*AN955</f>
        <v>0</v>
      </c>
      <c r="BH955" s="25">
        <f>G955*H955</f>
        <v>0</v>
      </c>
      <c r="BI955" s="27" t="s">
        <v>65</v>
      </c>
      <c r="BJ955" s="25">
        <v>41</v>
      </c>
      <c r="BU955" s="25" t="e">
        <f>#REF!</f>
        <v>#REF!</v>
      </c>
      <c r="BV955" s="4" t="s">
        <v>634</v>
      </c>
    </row>
    <row r="956" spans="1:74" ht="14.4" x14ac:dyDescent="0.3">
      <c r="A956" s="28"/>
      <c r="D956" s="29" t="s">
        <v>1198</v>
      </c>
      <c r="E956" s="29" t="s">
        <v>636</v>
      </c>
      <c r="G956" s="30">
        <v>0.11600000000000001</v>
      </c>
      <c r="H956" s="63"/>
      <c r="N956" s="31"/>
    </row>
    <row r="957" spans="1:74" ht="14.4" x14ac:dyDescent="0.3">
      <c r="A957" s="2" t="s">
        <v>1199</v>
      </c>
      <c r="B957" s="3" t="s">
        <v>1101</v>
      </c>
      <c r="C957" s="3" t="s">
        <v>638</v>
      </c>
      <c r="D957" s="112" t="s">
        <v>639</v>
      </c>
      <c r="E957" s="109"/>
      <c r="F957" s="3" t="s">
        <v>122</v>
      </c>
      <c r="G957" s="25">
        <v>217.72</v>
      </c>
      <c r="H957" s="62"/>
      <c r="I957" s="25">
        <f>ROUND(G957*AM957,2)</f>
        <v>0</v>
      </c>
      <c r="J957" s="25">
        <f>ROUND(G957*AN957,2)</f>
        <v>0</v>
      </c>
      <c r="K957" s="25">
        <f>ROUND(G957*H957,2)</f>
        <v>0</v>
      </c>
      <c r="L957" s="25">
        <v>0</v>
      </c>
      <c r="M957" s="25">
        <f>G957*L957</f>
        <v>0</v>
      </c>
      <c r="N957" s="26"/>
      <c r="X957" s="25">
        <f>ROUND(IF(AO957="5",BH957,0),2)</f>
        <v>0</v>
      </c>
      <c r="Z957" s="25">
        <f>ROUND(IF(AO957="1",BF957,0),2)</f>
        <v>0</v>
      </c>
      <c r="AA957" s="25">
        <f>ROUND(IF(AO957="1",BG957,0),2)</f>
        <v>0</v>
      </c>
      <c r="AB957" s="25">
        <f>ROUND(IF(AO957="7",BF957,0),2)</f>
        <v>0</v>
      </c>
      <c r="AC957" s="25">
        <f>ROUND(IF(AO957="7",BG957,0),2)</f>
        <v>0</v>
      </c>
      <c r="AD957" s="25">
        <f>ROUND(IF(AO957="2",BF957,0),2)</f>
        <v>0</v>
      </c>
      <c r="AE957" s="25">
        <f>ROUND(IF(AO957="2",BG957,0),2)</f>
        <v>0</v>
      </c>
      <c r="AF957" s="25">
        <f>ROUND(IF(AO957="0",BH957,0),2)</f>
        <v>0</v>
      </c>
      <c r="AG957" s="10" t="s">
        <v>1101</v>
      </c>
      <c r="AH957" s="25">
        <f>IF(AL957=0,K957,0)</f>
        <v>0</v>
      </c>
      <c r="AI957" s="25">
        <f>IF(AL957=12,K957,0)</f>
        <v>0</v>
      </c>
      <c r="AJ957" s="25">
        <f>IF(AL957=21,K957,0)</f>
        <v>0</v>
      </c>
      <c r="AL957" s="25">
        <v>21</v>
      </c>
      <c r="AM957" s="25">
        <f>H957*0.464695088</f>
        <v>0</v>
      </c>
      <c r="AN957" s="25">
        <f>H957*(1-0.464695088)</f>
        <v>0</v>
      </c>
      <c r="AO957" s="27" t="s">
        <v>57</v>
      </c>
      <c r="AT957" s="25">
        <f>ROUND(AU957+AV957,2)</f>
        <v>0</v>
      </c>
      <c r="AU957" s="25">
        <f>ROUND(G957*AM957,2)</f>
        <v>0</v>
      </c>
      <c r="AV957" s="25">
        <f>ROUND(G957*AN957,2)</f>
        <v>0</v>
      </c>
      <c r="AW957" s="27" t="s">
        <v>621</v>
      </c>
      <c r="AX957" s="27" t="s">
        <v>1164</v>
      </c>
      <c r="AY957" s="10" t="s">
        <v>1105</v>
      </c>
      <c r="BA957" s="25">
        <f>AU957+AV957</f>
        <v>0</v>
      </c>
      <c r="BB957" s="25">
        <f>H957/(100-BC957)*100</f>
        <v>0</v>
      </c>
      <c r="BC957" s="25">
        <v>0</v>
      </c>
      <c r="BD957" s="25">
        <f>M957</f>
        <v>0</v>
      </c>
      <c r="BF957" s="25">
        <f>G957*AM957</f>
        <v>0</v>
      </c>
      <c r="BG957" s="25">
        <f>G957*AN957</f>
        <v>0</v>
      </c>
      <c r="BH957" s="25">
        <f>G957*H957</f>
        <v>0</v>
      </c>
      <c r="BI957" s="27" t="s">
        <v>65</v>
      </c>
      <c r="BJ957" s="25">
        <v>41</v>
      </c>
      <c r="BU957" s="25" t="e">
        <f>#REF!</f>
        <v>#REF!</v>
      </c>
      <c r="BV957" s="4" t="s">
        <v>639</v>
      </c>
    </row>
    <row r="958" spans="1:74" ht="14.4" x14ac:dyDescent="0.3">
      <c r="A958" s="28"/>
      <c r="D958" s="29" t="s">
        <v>1200</v>
      </c>
      <c r="E958" s="29" t="s">
        <v>52</v>
      </c>
      <c r="G958" s="30">
        <v>93.16</v>
      </c>
      <c r="H958" s="63"/>
      <c r="N958" s="31"/>
    </row>
    <row r="959" spans="1:74" ht="14.4" x14ac:dyDescent="0.3">
      <c r="A959" s="28"/>
      <c r="D959" s="29" t="s">
        <v>1201</v>
      </c>
      <c r="E959" s="29" t="s">
        <v>52</v>
      </c>
      <c r="G959" s="30">
        <v>124.56</v>
      </c>
      <c r="H959" s="63"/>
      <c r="N959" s="31"/>
    </row>
    <row r="960" spans="1:74" ht="14.4" x14ac:dyDescent="0.3">
      <c r="A960" s="2" t="s">
        <v>1202</v>
      </c>
      <c r="B960" s="3" t="s">
        <v>1101</v>
      </c>
      <c r="C960" s="3" t="s">
        <v>1203</v>
      </c>
      <c r="D960" s="112" t="s">
        <v>1204</v>
      </c>
      <c r="E960" s="109"/>
      <c r="F960" s="3" t="s">
        <v>148</v>
      </c>
      <c r="G960" s="25">
        <v>1</v>
      </c>
      <c r="H960" s="62"/>
      <c r="I960" s="25">
        <f>ROUND(G960*AM960,2)</f>
        <v>0</v>
      </c>
      <c r="J960" s="25">
        <f>ROUND(G960*AN960,2)</f>
        <v>0</v>
      </c>
      <c r="K960" s="25">
        <f>ROUND(G960*H960,2)</f>
        <v>0</v>
      </c>
      <c r="L960" s="25">
        <v>2.5251399999999999</v>
      </c>
      <c r="M960" s="25">
        <f>G960*L960</f>
        <v>2.5251399999999999</v>
      </c>
      <c r="N960" s="26"/>
      <c r="X960" s="25">
        <f>ROUND(IF(AO960="5",BH960,0),2)</f>
        <v>0</v>
      </c>
      <c r="Z960" s="25">
        <f>ROUND(IF(AO960="1",BF960,0),2)</f>
        <v>0</v>
      </c>
      <c r="AA960" s="25">
        <f>ROUND(IF(AO960="1",BG960,0),2)</f>
        <v>0</v>
      </c>
      <c r="AB960" s="25">
        <f>ROUND(IF(AO960="7",BF960,0),2)</f>
        <v>0</v>
      </c>
      <c r="AC960" s="25">
        <f>ROUND(IF(AO960="7",BG960,0),2)</f>
        <v>0</v>
      </c>
      <c r="AD960" s="25">
        <f>ROUND(IF(AO960="2",BF960,0),2)</f>
        <v>0</v>
      </c>
      <c r="AE960" s="25">
        <f>ROUND(IF(AO960="2",BG960,0),2)</f>
        <v>0</v>
      </c>
      <c r="AF960" s="25">
        <f>ROUND(IF(AO960="0",BH960,0),2)</f>
        <v>0</v>
      </c>
      <c r="AG960" s="10" t="s">
        <v>1101</v>
      </c>
      <c r="AH960" s="25">
        <f>IF(AL960=0,K960,0)</f>
        <v>0</v>
      </c>
      <c r="AI960" s="25">
        <f>IF(AL960=12,K960,0)</f>
        <v>0</v>
      </c>
      <c r="AJ960" s="25">
        <f>IF(AL960=21,K960,0)</f>
        <v>0</v>
      </c>
      <c r="AL960" s="25">
        <v>21</v>
      </c>
      <c r="AM960" s="25">
        <f>H960*0.841672204</f>
        <v>0</v>
      </c>
      <c r="AN960" s="25">
        <f>H960*(1-0.841672204)</f>
        <v>0</v>
      </c>
      <c r="AO960" s="27" t="s">
        <v>57</v>
      </c>
      <c r="AT960" s="25">
        <f>ROUND(AU960+AV960,2)</f>
        <v>0</v>
      </c>
      <c r="AU960" s="25">
        <f>ROUND(G960*AM960,2)</f>
        <v>0</v>
      </c>
      <c r="AV960" s="25">
        <f>ROUND(G960*AN960,2)</f>
        <v>0</v>
      </c>
      <c r="AW960" s="27" t="s">
        <v>621</v>
      </c>
      <c r="AX960" s="27" t="s">
        <v>1164</v>
      </c>
      <c r="AY960" s="10" t="s">
        <v>1105</v>
      </c>
      <c r="BA960" s="25">
        <f>AU960+AV960</f>
        <v>0</v>
      </c>
      <c r="BB960" s="25">
        <f>H960/(100-BC960)*100</f>
        <v>0</v>
      </c>
      <c r="BC960" s="25">
        <v>0</v>
      </c>
      <c r="BD960" s="25">
        <f>M960</f>
        <v>2.5251399999999999</v>
      </c>
      <c r="BF960" s="25">
        <f>G960*AM960</f>
        <v>0</v>
      </c>
      <c r="BG960" s="25">
        <f>G960*AN960</f>
        <v>0</v>
      </c>
      <c r="BH960" s="25">
        <f>G960*H960</f>
        <v>0</v>
      </c>
      <c r="BI960" s="27" t="s">
        <v>65</v>
      </c>
      <c r="BJ960" s="25">
        <v>41</v>
      </c>
      <c r="BU960" s="25" t="e">
        <f>#REF!</f>
        <v>#REF!</v>
      </c>
      <c r="BV960" s="4" t="s">
        <v>1204</v>
      </c>
    </row>
    <row r="961" spans="1:74" ht="14.4" x14ac:dyDescent="0.3">
      <c r="A961" s="28"/>
      <c r="D961" s="29" t="s">
        <v>1171</v>
      </c>
      <c r="E961" s="29" t="s">
        <v>1205</v>
      </c>
      <c r="G961" s="30">
        <v>1</v>
      </c>
      <c r="H961" s="63"/>
      <c r="N961" s="31"/>
    </row>
    <row r="962" spans="1:74" ht="14.4" x14ac:dyDescent="0.3">
      <c r="A962" s="21" t="s">
        <v>52</v>
      </c>
      <c r="B962" s="22" t="s">
        <v>1101</v>
      </c>
      <c r="C962" s="22" t="s">
        <v>434</v>
      </c>
      <c r="D962" s="170" t="s">
        <v>661</v>
      </c>
      <c r="E962" s="171"/>
      <c r="F962" s="23" t="s">
        <v>32</v>
      </c>
      <c r="G962" s="23" t="s">
        <v>32</v>
      </c>
      <c r="H962" s="64"/>
      <c r="I962" s="1">
        <f>SUM(I963:I1064)</f>
        <v>0</v>
      </c>
      <c r="J962" s="1">
        <f>SUM(J963:J1064)</f>
        <v>0</v>
      </c>
      <c r="K962" s="1">
        <f>SUM(K963:K1064)</f>
        <v>0</v>
      </c>
      <c r="L962" s="10" t="s">
        <v>52</v>
      </c>
      <c r="M962" s="1">
        <f>SUM(M963:M1064)</f>
        <v>35.955647849999998</v>
      </c>
      <c r="N962" s="24"/>
      <c r="AG962" s="10" t="s">
        <v>1101</v>
      </c>
      <c r="AQ962" s="1">
        <f>SUM(AH963:AH1064)</f>
        <v>0</v>
      </c>
      <c r="AR962" s="1">
        <f>SUM(AI963:AI1064)</f>
        <v>0</v>
      </c>
      <c r="AS962" s="1">
        <f>SUM(AJ963:AJ1064)</f>
        <v>0</v>
      </c>
    </row>
    <row r="963" spans="1:74" ht="14.4" x14ac:dyDescent="0.3">
      <c r="A963" s="2" t="s">
        <v>1206</v>
      </c>
      <c r="B963" s="3" t="s">
        <v>1101</v>
      </c>
      <c r="C963" s="3" t="s">
        <v>1207</v>
      </c>
      <c r="D963" s="112" t="s">
        <v>1208</v>
      </c>
      <c r="E963" s="109"/>
      <c r="F963" s="3" t="s">
        <v>60</v>
      </c>
      <c r="G963" s="25">
        <v>158.08199999999999</v>
      </c>
      <c r="H963" s="62"/>
      <c r="I963" s="25">
        <f>ROUND(G963*AM963,2)</f>
        <v>0</v>
      </c>
      <c r="J963" s="25">
        <f>ROUND(G963*AN963,2)</f>
        <v>0</v>
      </c>
      <c r="K963" s="25">
        <f>ROUND(G963*H963,2)</f>
        <v>0</v>
      </c>
      <c r="L963" s="25">
        <v>4.8199999999999996E-3</v>
      </c>
      <c r="M963" s="25">
        <f>G963*L963</f>
        <v>0.76195523999999992</v>
      </c>
      <c r="N963" s="26"/>
      <c r="X963" s="25">
        <f>ROUND(IF(AO963="5",BH963,0),2)</f>
        <v>0</v>
      </c>
      <c r="Z963" s="25">
        <f>ROUND(IF(AO963="1",BF963,0),2)</f>
        <v>0</v>
      </c>
      <c r="AA963" s="25">
        <f>ROUND(IF(AO963="1",BG963,0),2)</f>
        <v>0</v>
      </c>
      <c r="AB963" s="25">
        <f>ROUND(IF(AO963="7",BF963,0),2)</f>
        <v>0</v>
      </c>
      <c r="AC963" s="25">
        <f>ROUND(IF(AO963="7",BG963,0),2)</f>
        <v>0</v>
      </c>
      <c r="AD963" s="25">
        <f>ROUND(IF(AO963="2",BF963,0),2)</f>
        <v>0</v>
      </c>
      <c r="AE963" s="25">
        <f>ROUND(IF(AO963="2",BG963,0),2)</f>
        <v>0</v>
      </c>
      <c r="AF963" s="25">
        <f>ROUND(IF(AO963="0",BH963,0),2)</f>
        <v>0</v>
      </c>
      <c r="AG963" s="10" t="s">
        <v>1101</v>
      </c>
      <c r="AH963" s="25">
        <f>IF(AL963=0,K963,0)</f>
        <v>0</v>
      </c>
      <c r="AI963" s="25">
        <f>IF(AL963=12,K963,0)</f>
        <v>0</v>
      </c>
      <c r="AJ963" s="25">
        <f>IF(AL963=21,K963,0)</f>
        <v>0</v>
      </c>
      <c r="AL963" s="25">
        <v>21</v>
      </c>
      <c r="AM963" s="25">
        <f>H963*0.211244408</f>
        <v>0</v>
      </c>
      <c r="AN963" s="25">
        <f>H963*(1-0.211244408)</f>
        <v>0</v>
      </c>
      <c r="AO963" s="27" t="s">
        <v>57</v>
      </c>
      <c r="AT963" s="25">
        <f>ROUND(AU963+AV963,2)</f>
        <v>0</v>
      </c>
      <c r="AU963" s="25">
        <f>ROUND(G963*AM963,2)</f>
        <v>0</v>
      </c>
      <c r="AV963" s="25">
        <f>ROUND(G963*AN963,2)</f>
        <v>0</v>
      </c>
      <c r="AW963" s="27" t="s">
        <v>665</v>
      </c>
      <c r="AX963" s="27" t="s">
        <v>1209</v>
      </c>
      <c r="AY963" s="10" t="s">
        <v>1105</v>
      </c>
      <c r="BA963" s="25">
        <f>AU963+AV963</f>
        <v>0</v>
      </c>
      <c r="BB963" s="25">
        <f>H963/(100-BC963)*100</f>
        <v>0</v>
      </c>
      <c r="BC963" s="25">
        <v>0</v>
      </c>
      <c r="BD963" s="25">
        <f>M963</f>
        <v>0.76195523999999992</v>
      </c>
      <c r="BF963" s="25">
        <f>G963*AM963</f>
        <v>0</v>
      </c>
      <c r="BG963" s="25">
        <f>G963*AN963</f>
        <v>0</v>
      </c>
      <c r="BH963" s="25">
        <f>G963*H963</f>
        <v>0</v>
      </c>
      <c r="BI963" s="27" t="s">
        <v>65</v>
      </c>
      <c r="BJ963" s="25">
        <v>61</v>
      </c>
      <c r="BU963" s="25" t="e">
        <f>#REF!</f>
        <v>#REF!</v>
      </c>
      <c r="BV963" s="4" t="s">
        <v>1208</v>
      </c>
    </row>
    <row r="964" spans="1:74" ht="14.4" x14ac:dyDescent="0.3">
      <c r="A964" s="28"/>
      <c r="D964" s="29" t="s">
        <v>1210</v>
      </c>
      <c r="E964" s="29" t="s">
        <v>366</v>
      </c>
      <c r="G964" s="30">
        <v>120.31699999999999</v>
      </c>
      <c r="H964" s="63"/>
      <c r="N964" s="31"/>
    </row>
    <row r="965" spans="1:74" ht="14.4" x14ac:dyDescent="0.3">
      <c r="A965" s="28"/>
      <c r="D965" s="29" t="s">
        <v>1211</v>
      </c>
      <c r="E965" s="29" t="s">
        <v>337</v>
      </c>
      <c r="G965" s="30">
        <v>6.6909999999999998</v>
      </c>
      <c r="H965" s="63"/>
      <c r="N965" s="31"/>
    </row>
    <row r="966" spans="1:74" ht="14.4" x14ac:dyDescent="0.3">
      <c r="A966" s="28"/>
      <c r="D966" s="29" t="s">
        <v>1212</v>
      </c>
      <c r="E966" s="29" t="s">
        <v>361</v>
      </c>
      <c r="G966" s="30">
        <v>9.5510000000000002</v>
      </c>
      <c r="H966" s="63"/>
      <c r="N966" s="31"/>
    </row>
    <row r="967" spans="1:74" ht="14.4" x14ac:dyDescent="0.3">
      <c r="A967" s="28"/>
      <c r="D967" s="29" t="s">
        <v>1213</v>
      </c>
      <c r="E967" s="29" t="s">
        <v>370</v>
      </c>
      <c r="G967" s="30">
        <v>8.4410000000000007</v>
      </c>
      <c r="H967" s="63"/>
      <c r="N967" s="31"/>
    </row>
    <row r="968" spans="1:74" ht="14.4" x14ac:dyDescent="0.3">
      <c r="A968" s="28"/>
      <c r="D968" s="29" t="s">
        <v>391</v>
      </c>
      <c r="E968" s="29" t="s">
        <v>363</v>
      </c>
      <c r="G968" s="30">
        <v>2.73</v>
      </c>
      <c r="H968" s="63"/>
      <c r="N968" s="31"/>
    </row>
    <row r="969" spans="1:74" ht="14.4" x14ac:dyDescent="0.3">
      <c r="A969" s="28"/>
      <c r="D969" s="29" t="s">
        <v>1214</v>
      </c>
      <c r="E969" s="29" t="s">
        <v>373</v>
      </c>
      <c r="G969" s="30">
        <v>5.72</v>
      </c>
      <c r="H969" s="63"/>
      <c r="N969" s="31"/>
    </row>
    <row r="970" spans="1:74" ht="14.4" x14ac:dyDescent="0.3">
      <c r="A970" s="28"/>
      <c r="D970" s="29" t="s">
        <v>1215</v>
      </c>
      <c r="E970" s="29" t="s">
        <v>375</v>
      </c>
      <c r="G970" s="30">
        <v>1.776</v>
      </c>
      <c r="H970" s="63"/>
      <c r="N970" s="31"/>
    </row>
    <row r="971" spans="1:74" ht="14.4" x14ac:dyDescent="0.3">
      <c r="A971" s="28"/>
      <c r="D971" s="29" t="s">
        <v>1216</v>
      </c>
      <c r="E971" s="29" t="s">
        <v>377</v>
      </c>
      <c r="G971" s="30">
        <v>2.8559999999999999</v>
      </c>
      <c r="H971" s="63"/>
      <c r="N971" s="31"/>
    </row>
    <row r="972" spans="1:74" ht="14.4" x14ac:dyDescent="0.3">
      <c r="A972" s="2" t="s">
        <v>1217</v>
      </c>
      <c r="B972" s="3" t="s">
        <v>1101</v>
      </c>
      <c r="C972" s="3" t="s">
        <v>672</v>
      </c>
      <c r="D972" s="112" t="s">
        <v>673</v>
      </c>
      <c r="E972" s="109"/>
      <c r="F972" s="3" t="s">
        <v>60</v>
      </c>
      <c r="G972" s="25">
        <v>158.08199999999999</v>
      </c>
      <c r="H972" s="62"/>
      <c r="I972" s="25">
        <f>ROUND(G972*AM972,2)</f>
        <v>0</v>
      </c>
      <c r="J972" s="25">
        <f>ROUND(G972*AN972,2)</f>
        <v>0</v>
      </c>
      <c r="K972" s="25">
        <f>ROUND(G972*H972,2)</f>
        <v>0</v>
      </c>
      <c r="L972" s="25">
        <v>5.1229999999999998E-2</v>
      </c>
      <c r="M972" s="25">
        <f>G972*L972</f>
        <v>8.09854086</v>
      </c>
      <c r="N972" s="26"/>
      <c r="X972" s="25">
        <f>ROUND(IF(AO972="5",BH972,0),2)</f>
        <v>0</v>
      </c>
      <c r="Z972" s="25">
        <f>ROUND(IF(AO972="1",BF972,0),2)</f>
        <v>0</v>
      </c>
      <c r="AA972" s="25">
        <f>ROUND(IF(AO972="1",BG972,0),2)</f>
        <v>0</v>
      </c>
      <c r="AB972" s="25">
        <f>ROUND(IF(AO972="7",BF972,0),2)</f>
        <v>0</v>
      </c>
      <c r="AC972" s="25">
        <f>ROUND(IF(AO972="7",BG972,0),2)</f>
        <v>0</v>
      </c>
      <c r="AD972" s="25">
        <f>ROUND(IF(AO972="2",BF972,0),2)</f>
        <v>0</v>
      </c>
      <c r="AE972" s="25">
        <f>ROUND(IF(AO972="2",BG972,0),2)</f>
        <v>0</v>
      </c>
      <c r="AF972" s="25">
        <f>ROUND(IF(AO972="0",BH972,0),2)</f>
        <v>0</v>
      </c>
      <c r="AG972" s="10" t="s">
        <v>1101</v>
      </c>
      <c r="AH972" s="25">
        <f>IF(AL972=0,K972,0)</f>
        <v>0</v>
      </c>
      <c r="AI972" s="25">
        <f>IF(AL972=12,K972,0)</f>
        <v>0</v>
      </c>
      <c r="AJ972" s="25">
        <f>IF(AL972=21,K972,0)</f>
        <v>0</v>
      </c>
      <c r="AL972" s="25">
        <v>21</v>
      </c>
      <c r="AM972" s="25">
        <f>H972*0.186053986</f>
        <v>0</v>
      </c>
      <c r="AN972" s="25">
        <f>H972*(1-0.186053986)</f>
        <v>0</v>
      </c>
      <c r="AO972" s="27" t="s">
        <v>57</v>
      </c>
      <c r="AT972" s="25">
        <f>ROUND(AU972+AV972,2)</f>
        <v>0</v>
      </c>
      <c r="AU972" s="25">
        <f>ROUND(G972*AM972,2)</f>
        <v>0</v>
      </c>
      <c r="AV972" s="25">
        <f>ROUND(G972*AN972,2)</f>
        <v>0</v>
      </c>
      <c r="AW972" s="27" t="s">
        <v>665</v>
      </c>
      <c r="AX972" s="27" t="s">
        <v>1209</v>
      </c>
      <c r="AY972" s="10" t="s">
        <v>1105</v>
      </c>
      <c r="BA972" s="25">
        <f>AU972+AV972</f>
        <v>0</v>
      </c>
      <c r="BB972" s="25">
        <f>H972/(100-BC972)*100</f>
        <v>0</v>
      </c>
      <c r="BC972" s="25">
        <v>0</v>
      </c>
      <c r="BD972" s="25">
        <f>M972</f>
        <v>8.09854086</v>
      </c>
      <c r="BF972" s="25">
        <f>G972*AM972</f>
        <v>0</v>
      </c>
      <c r="BG972" s="25">
        <f>G972*AN972</f>
        <v>0</v>
      </c>
      <c r="BH972" s="25">
        <f>G972*H972</f>
        <v>0</v>
      </c>
      <c r="BI972" s="27" t="s">
        <v>65</v>
      </c>
      <c r="BJ972" s="25">
        <v>61</v>
      </c>
      <c r="BU972" s="25" t="e">
        <f>#REF!</f>
        <v>#REF!</v>
      </c>
      <c r="BV972" s="4" t="s">
        <v>673</v>
      </c>
    </row>
    <row r="973" spans="1:74" ht="14.4" x14ac:dyDescent="0.3">
      <c r="A973" s="28"/>
      <c r="D973" s="29" t="s">
        <v>1210</v>
      </c>
      <c r="E973" s="29" t="s">
        <v>366</v>
      </c>
      <c r="G973" s="30">
        <v>120.31699999999999</v>
      </c>
      <c r="H973" s="63"/>
      <c r="N973" s="31"/>
    </row>
    <row r="974" spans="1:74" ht="14.4" x14ac:dyDescent="0.3">
      <c r="A974" s="28"/>
      <c r="D974" s="29" t="s">
        <v>1211</v>
      </c>
      <c r="E974" s="29" t="s">
        <v>337</v>
      </c>
      <c r="G974" s="30">
        <v>6.6909999999999998</v>
      </c>
      <c r="H974" s="63"/>
      <c r="N974" s="31"/>
    </row>
    <row r="975" spans="1:74" ht="14.4" x14ac:dyDescent="0.3">
      <c r="A975" s="28"/>
      <c r="D975" s="29" t="s">
        <v>1212</v>
      </c>
      <c r="E975" s="29" t="s">
        <v>361</v>
      </c>
      <c r="G975" s="30">
        <v>9.5510000000000002</v>
      </c>
      <c r="H975" s="63"/>
      <c r="N975" s="31"/>
    </row>
    <row r="976" spans="1:74" ht="14.4" x14ac:dyDescent="0.3">
      <c r="A976" s="28"/>
      <c r="D976" s="29" t="s">
        <v>1213</v>
      </c>
      <c r="E976" s="29" t="s">
        <v>370</v>
      </c>
      <c r="G976" s="30">
        <v>8.4410000000000007</v>
      </c>
      <c r="H976" s="63"/>
      <c r="N976" s="31"/>
    </row>
    <row r="977" spans="1:74" ht="14.4" x14ac:dyDescent="0.3">
      <c r="A977" s="28"/>
      <c r="D977" s="29" t="s">
        <v>391</v>
      </c>
      <c r="E977" s="29" t="s">
        <v>363</v>
      </c>
      <c r="G977" s="30">
        <v>2.73</v>
      </c>
      <c r="H977" s="63"/>
      <c r="N977" s="31"/>
    </row>
    <row r="978" spans="1:74" ht="14.4" x14ac:dyDescent="0.3">
      <c r="A978" s="28"/>
      <c r="D978" s="29" t="s">
        <v>1214</v>
      </c>
      <c r="E978" s="29" t="s">
        <v>373</v>
      </c>
      <c r="G978" s="30">
        <v>5.72</v>
      </c>
      <c r="H978" s="63"/>
      <c r="N978" s="31"/>
    </row>
    <row r="979" spans="1:74" ht="14.4" x14ac:dyDescent="0.3">
      <c r="A979" s="28"/>
      <c r="D979" s="29" t="s">
        <v>1215</v>
      </c>
      <c r="E979" s="29" t="s">
        <v>375</v>
      </c>
      <c r="G979" s="30">
        <v>1.776</v>
      </c>
      <c r="H979" s="63"/>
      <c r="N979" s="31"/>
    </row>
    <row r="980" spans="1:74" ht="14.4" x14ac:dyDescent="0.3">
      <c r="A980" s="28"/>
      <c r="D980" s="29" t="s">
        <v>1216</v>
      </c>
      <c r="E980" s="29" t="s">
        <v>377</v>
      </c>
      <c r="G980" s="30">
        <v>2.8559999999999999</v>
      </c>
      <c r="H980" s="63"/>
      <c r="N980" s="31"/>
    </row>
    <row r="981" spans="1:74" ht="14.4" x14ac:dyDescent="0.3">
      <c r="A981" s="2" t="s">
        <v>1218</v>
      </c>
      <c r="B981" s="3" t="s">
        <v>1101</v>
      </c>
      <c r="C981" s="3" t="s">
        <v>675</v>
      </c>
      <c r="D981" s="112" t="s">
        <v>676</v>
      </c>
      <c r="E981" s="109"/>
      <c r="F981" s="3" t="s">
        <v>60</v>
      </c>
      <c r="G981" s="25">
        <v>81.866</v>
      </c>
      <c r="H981" s="62"/>
      <c r="I981" s="25">
        <f>ROUND(G981*AM981,2)</f>
        <v>0</v>
      </c>
      <c r="J981" s="25">
        <f>ROUND(G981*AN981,2)</f>
        <v>0</v>
      </c>
      <c r="K981" s="25">
        <f>ROUND(G981*H981,2)</f>
        <v>0</v>
      </c>
      <c r="L981" s="25">
        <v>4.0000000000000003E-5</v>
      </c>
      <c r="M981" s="25">
        <f>G981*L981</f>
        <v>3.2746400000000001E-3</v>
      </c>
      <c r="N981" s="26"/>
      <c r="X981" s="25">
        <f>ROUND(IF(AO981="5",BH981,0),2)</f>
        <v>0</v>
      </c>
      <c r="Z981" s="25">
        <f>ROUND(IF(AO981="1",BF981,0),2)</f>
        <v>0</v>
      </c>
      <c r="AA981" s="25">
        <f>ROUND(IF(AO981="1",BG981,0),2)</f>
        <v>0</v>
      </c>
      <c r="AB981" s="25">
        <f>ROUND(IF(AO981="7",BF981,0),2)</f>
        <v>0</v>
      </c>
      <c r="AC981" s="25">
        <f>ROUND(IF(AO981="7",BG981,0),2)</f>
        <v>0</v>
      </c>
      <c r="AD981" s="25">
        <f>ROUND(IF(AO981="2",BF981,0),2)</f>
        <v>0</v>
      </c>
      <c r="AE981" s="25">
        <f>ROUND(IF(AO981="2",BG981,0),2)</f>
        <v>0</v>
      </c>
      <c r="AF981" s="25">
        <f>ROUND(IF(AO981="0",BH981,0),2)</f>
        <v>0</v>
      </c>
      <c r="AG981" s="10" t="s">
        <v>1101</v>
      </c>
      <c r="AH981" s="25">
        <f>IF(AL981=0,K981,0)</f>
        <v>0</v>
      </c>
      <c r="AI981" s="25">
        <f>IF(AL981=12,K981,0)</f>
        <v>0</v>
      </c>
      <c r="AJ981" s="25">
        <f>IF(AL981=21,K981,0)</f>
        <v>0</v>
      </c>
      <c r="AL981" s="25">
        <v>21</v>
      </c>
      <c r="AM981" s="25">
        <f>H981*0.334082864</f>
        <v>0</v>
      </c>
      <c r="AN981" s="25">
        <f>H981*(1-0.334082864)</f>
        <v>0</v>
      </c>
      <c r="AO981" s="27" t="s">
        <v>57</v>
      </c>
      <c r="AT981" s="25">
        <f>ROUND(AU981+AV981,2)</f>
        <v>0</v>
      </c>
      <c r="AU981" s="25">
        <f>ROUND(G981*AM981,2)</f>
        <v>0</v>
      </c>
      <c r="AV981" s="25">
        <f>ROUND(G981*AN981,2)</f>
        <v>0</v>
      </c>
      <c r="AW981" s="27" t="s">
        <v>665</v>
      </c>
      <c r="AX981" s="27" t="s">
        <v>1209</v>
      </c>
      <c r="AY981" s="10" t="s">
        <v>1105</v>
      </c>
      <c r="BA981" s="25">
        <f>AU981+AV981</f>
        <v>0</v>
      </c>
      <c r="BB981" s="25">
        <f>H981/(100-BC981)*100</f>
        <v>0</v>
      </c>
      <c r="BC981" s="25">
        <v>0</v>
      </c>
      <c r="BD981" s="25">
        <f>M981</f>
        <v>3.2746400000000001E-3</v>
      </c>
      <c r="BF981" s="25">
        <f>G981*AM981</f>
        <v>0</v>
      </c>
      <c r="BG981" s="25">
        <f>G981*AN981</f>
        <v>0</v>
      </c>
      <c r="BH981" s="25">
        <f>G981*H981</f>
        <v>0</v>
      </c>
      <c r="BI981" s="27" t="s">
        <v>65</v>
      </c>
      <c r="BJ981" s="25">
        <v>61</v>
      </c>
      <c r="BU981" s="25" t="e">
        <f>#REF!</f>
        <v>#REF!</v>
      </c>
      <c r="BV981" s="4" t="s">
        <v>676</v>
      </c>
    </row>
    <row r="982" spans="1:74" ht="14.4" x14ac:dyDescent="0.3">
      <c r="A982" s="28"/>
      <c r="D982" s="29" t="s">
        <v>1219</v>
      </c>
      <c r="E982" s="29" t="s">
        <v>52</v>
      </c>
      <c r="G982" s="30">
        <v>39.021999999999998</v>
      </c>
      <c r="H982" s="63"/>
      <c r="N982" s="31"/>
    </row>
    <row r="983" spans="1:74" ht="14.4" x14ac:dyDescent="0.3">
      <c r="A983" s="28"/>
      <c r="D983" s="29" t="s">
        <v>1220</v>
      </c>
      <c r="E983" s="29" t="s">
        <v>356</v>
      </c>
      <c r="G983" s="30">
        <v>42.844000000000001</v>
      </c>
      <c r="H983" s="63"/>
      <c r="N983" s="31"/>
    </row>
    <row r="984" spans="1:74" ht="14.4" x14ac:dyDescent="0.3">
      <c r="A984" s="2" t="s">
        <v>1221</v>
      </c>
      <c r="B984" s="3" t="s">
        <v>1101</v>
      </c>
      <c r="C984" s="3" t="s">
        <v>683</v>
      </c>
      <c r="D984" s="112" t="s">
        <v>684</v>
      </c>
      <c r="E984" s="109"/>
      <c r="F984" s="3" t="s">
        <v>60</v>
      </c>
      <c r="G984" s="25">
        <v>265.82499999999999</v>
      </c>
      <c r="H984" s="62"/>
      <c r="I984" s="25">
        <f>ROUND(G984*AM984,2)</f>
        <v>0</v>
      </c>
      <c r="J984" s="25">
        <f>ROUND(G984*AN984,2)</f>
        <v>0</v>
      </c>
      <c r="K984" s="25">
        <f>ROUND(G984*H984,2)</f>
        <v>0</v>
      </c>
      <c r="L984" s="25">
        <v>4.7660000000000001E-2</v>
      </c>
      <c r="M984" s="25">
        <f>G984*L984</f>
        <v>12.669219500000001</v>
      </c>
      <c r="N984" s="26"/>
      <c r="X984" s="25">
        <f>ROUND(IF(AO984="5",BH984,0),2)</f>
        <v>0</v>
      </c>
      <c r="Z984" s="25">
        <f>ROUND(IF(AO984="1",BF984,0),2)</f>
        <v>0</v>
      </c>
      <c r="AA984" s="25">
        <f>ROUND(IF(AO984="1",BG984,0),2)</f>
        <v>0</v>
      </c>
      <c r="AB984" s="25">
        <f>ROUND(IF(AO984="7",BF984,0),2)</f>
        <v>0</v>
      </c>
      <c r="AC984" s="25">
        <f>ROUND(IF(AO984="7",BG984,0),2)</f>
        <v>0</v>
      </c>
      <c r="AD984" s="25">
        <f>ROUND(IF(AO984="2",BF984,0),2)</f>
        <v>0</v>
      </c>
      <c r="AE984" s="25">
        <f>ROUND(IF(AO984="2",BG984,0),2)</f>
        <v>0</v>
      </c>
      <c r="AF984" s="25">
        <f>ROUND(IF(AO984="0",BH984,0),2)</f>
        <v>0</v>
      </c>
      <c r="AG984" s="10" t="s">
        <v>1101</v>
      </c>
      <c r="AH984" s="25">
        <f>IF(AL984=0,K984,0)</f>
        <v>0</v>
      </c>
      <c r="AI984" s="25">
        <f>IF(AL984=12,K984,0)</f>
        <v>0</v>
      </c>
      <c r="AJ984" s="25">
        <f>IF(AL984=21,K984,0)</f>
        <v>0</v>
      </c>
      <c r="AL984" s="25">
        <v>21</v>
      </c>
      <c r="AM984" s="25">
        <f>H984*0.131226036</f>
        <v>0</v>
      </c>
      <c r="AN984" s="25">
        <f>H984*(1-0.131226036)</f>
        <v>0</v>
      </c>
      <c r="AO984" s="27" t="s">
        <v>57</v>
      </c>
      <c r="AT984" s="25">
        <f>ROUND(AU984+AV984,2)</f>
        <v>0</v>
      </c>
      <c r="AU984" s="25">
        <f>ROUND(G984*AM984,2)</f>
        <v>0</v>
      </c>
      <c r="AV984" s="25">
        <f>ROUND(G984*AN984,2)</f>
        <v>0</v>
      </c>
      <c r="AW984" s="27" t="s">
        <v>665</v>
      </c>
      <c r="AX984" s="27" t="s">
        <v>1209</v>
      </c>
      <c r="AY984" s="10" t="s">
        <v>1105</v>
      </c>
      <c r="BA984" s="25">
        <f>AU984+AV984</f>
        <v>0</v>
      </c>
      <c r="BB984" s="25">
        <f>H984/(100-BC984)*100</f>
        <v>0</v>
      </c>
      <c r="BC984" s="25">
        <v>0</v>
      </c>
      <c r="BD984" s="25">
        <f>M984</f>
        <v>12.669219500000001</v>
      </c>
      <c r="BF984" s="25">
        <f>G984*AM984</f>
        <v>0</v>
      </c>
      <c r="BG984" s="25">
        <f>G984*AN984</f>
        <v>0</v>
      </c>
      <c r="BH984" s="25">
        <f>G984*H984</f>
        <v>0</v>
      </c>
      <c r="BI984" s="27" t="s">
        <v>65</v>
      </c>
      <c r="BJ984" s="25">
        <v>61</v>
      </c>
      <c r="BU984" s="25" t="e">
        <f>#REF!</f>
        <v>#REF!</v>
      </c>
      <c r="BV984" s="4" t="s">
        <v>684</v>
      </c>
    </row>
    <row r="985" spans="1:74" ht="14.4" x14ac:dyDescent="0.3">
      <c r="A985" s="28"/>
      <c r="D985" s="29" t="s">
        <v>1222</v>
      </c>
      <c r="E985" s="29" t="s">
        <v>366</v>
      </c>
      <c r="G985" s="30">
        <v>19.878</v>
      </c>
      <c r="H985" s="63"/>
      <c r="N985" s="31"/>
    </row>
    <row r="986" spans="1:74" ht="14.4" x14ac:dyDescent="0.3">
      <c r="A986" s="28"/>
      <c r="D986" s="29" t="s">
        <v>1223</v>
      </c>
      <c r="E986" s="29" t="s">
        <v>52</v>
      </c>
      <c r="G986" s="30">
        <v>14.789</v>
      </c>
      <c r="H986" s="63"/>
      <c r="N986" s="31"/>
    </row>
    <row r="987" spans="1:74" ht="14.4" x14ac:dyDescent="0.3">
      <c r="A987" s="28"/>
      <c r="D987" s="29" t="s">
        <v>1224</v>
      </c>
      <c r="E987" s="29" t="s">
        <v>52</v>
      </c>
      <c r="G987" s="30">
        <v>20.965</v>
      </c>
      <c r="H987" s="63"/>
      <c r="N987" s="31"/>
    </row>
    <row r="988" spans="1:74" ht="14.4" x14ac:dyDescent="0.3">
      <c r="A988" s="28"/>
      <c r="D988" s="29" t="s">
        <v>1225</v>
      </c>
      <c r="E988" s="29" t="s">
        <v>52</v>
      </c>
      <c r="G988" s="30">
        <v>4.5940000000000003</v>
      </c>
      <c r="H988" s="63"/>
      <c r="N988" s="31"/>
    </row>
    <row r="989" spans="1:74" ht="14.4" x14ac:dyDescent="0.3">
      <c r="A989" s="28"/>
      <c r="D989" s="29" t="s">
        <v>1226</v>
      </c>
      <c r="E989" s="29" t="s">
        <v>52</v>
      </c>
      <c r="G989" s="30">
        <v>11.492000000000001</v>
      </c>
      <c r="H989" s="63"/>
      <c r="N989" s="31"/>
    </row>
    <row r="990" spans="1:74" ht="14.4" x14ac:dyDescent="0.3">
      <c r="A990" s="28"/>
      <c r="D990" s="29" t="s">
        <v>1227</v>
      </c>
      <c r="E990" s="29" t="s">
        <v>52</v>
      </c>
      <c r="G990" s="30">
        <v>0.77600000000000002</v>
      </c>
      <c r="H990" s="63"/>
      <c r="N990" s="31"/>
    </row>
    <row r="991" spans="1:74" ht="14.4" x14ac:dyDescent="0.3">
      <c r="A991" s="28"/>
      <c r="D991" s="29" t="s">
        <v>1228</v>
      </c>
      <c r="E991" s="29" t="s">
        <v>337</v>
      </c>
      <c r="G991" s="30">
        <v>25.861000000000001</v>
      </c>
      <c r="H991" s="63"/>
      <c r="N991" s="31"/>
    </row>
    <row r="992" spans="1:74" ht="14.4" x14ac:dyDescent="0.3">
      <c r="A992" s="28"/>
      <c r="D992" s="29" t="s">
        <v>1229</v>
      </c>
      <c r="E992" s="29" t="s">
        <v>361</v>
      </c>
      <c r="G992" s="30">
        <v>41.856000000000002</v>
      </c>
      <c r="H992" s="63"/>
      <c r="N992" s="31"/>
    </row>
    <row r="993" spans="1:74" ht="14.4" x14ac:dyDescent="0.3">
      <c r="A993" s="28"/>
      <c r="D993" s="29" t="s">
        <v>1230</v>
      </c>
      <c r="E993" s="29" t="s">
        <v>370</v>
      </c>
      <c r="G993" s="30">
        <v>26.190999999999999</v>
      </c>
      <c r="H993" s="63"/>
      <c r="N993" s="31"/>
    </row>
    <row r="994" spans="1:74" ht="14.4" x14ac:dyDescent="0.3">
      <c r="A994" s="28"/>
      <c r="D994" s="29" t="s">
        <v>1231</v>
      </c>
      <c r="E994" s="29" t="s">
        <v>363</v>
      </c>
      <c r="G994" s="30">
        <v>11.324999999999999</v>
      </c>
      <c r="H994" s="63"/>
      <c r="N994" s="31"/>
    </row>
    <row r="995" spans="1:74" ht="14.4" x14ac:dyDescent="0.3">
      <c r="A995" s="28"/>
      <c r="D995" s="29" t="s">
        <v>1232</v>
      </c>
      <c r="E995" s="29" t="s">
        <v>373</v>
      </c>
      <c r="G995" s="30">
        <v>24.099</v>
      </c>
      <c r="H995" s="63"/>
      <c r="N995" s="31"/>
    </row>
    <row r="996" spans="1:74" ht="14.4" x14ac:dyDescent="0.3">
      <c r="A996" s="28"/>
      <c r="D996" s="29" t="s">
        <v>1233</v>
      </c>
      <c r="E996" s="29" t="s">
        <v>375</v>
      </c>
      <c r="G996" s="30">
        <v>8.0370000000000008</v>
      </c>
      <c r="H996" s="63"/>
      <c r="N996" s="31"/>
    </row>
    <row r="997" spans="1:74" ht="14.4" x14ac:dyDescent="0.3">
      <c r="A997" s="28"/>
      <c r="D997" s="29" t="s">
        <v>1234</v>
      </c>
      <c r="E997" s="29" t="s">
        <v>377</v>
      </c>
      <c r="G997" s="30">
        <v>7.4050000000000002</v>
      </c>
      <c r="H997" s="63"/>
      <c r="N997" s="31"/>
    </row>
    <row r="998" spans="1:74" ht="14.4" x14ac:dyDescent="0.3">
      <c r="A998" s="28"/>
      <c r="D998" s="29" t="s">
        <v>1235</v>
      </c>
      <c r="E998" s="29" t="s">
        <v>335</v>
      </c>
      <c r="G998" s="30">
        <v>48.557000000000002</v>
      </c>
      <c r="H998" s="63"/>
      <c r="N998" s="31"/>
    </row>
    <row r="999" spans="1:74" ht="14.4" x14ac:dyDescent="0.3">
      <c r="A999" s="2" t="s">
        <v>1236</v>
      </c>
      <c r="B999" s="3" t="s">
        <v>1101</v>
      </c>
      <c r="C999" s="3" t="s">
        <v>695</v>
      </c>
      <c r="D999" s="112" t="s">
        <v>696</v>
      </c>
      <c r="E999" s="109"/>
      <c r="F999" s="3" t="s">
        <v>60</v>
      </c>
      <c r="G999" s="25">
        <v>265.82499999999999</v>
      </c>
      <c r="H999" s="62"/>
      <c r="I999" s="25">
        <f>ROUND(G999*AM999,2)</f>
        <v>0</v>
      </c>
      <c r="J999" s="25">
        <f>ROUND(G999*AN999,2)</f>
        <v>0</v>
      </c>
      <c r="K999" s="25">
        <f>ROUND(G999*H999,2)</f>
        <v>0</v>
      </c>
      <c r="L999" s="25">
        <v>3.6700000000000001E-3</v>
      </c>
      <c r="M999" s="25">
        <f>G999*L999</f>
        <v>0.97557775000000002</v>
      </c>
      <c r="N999" s="26"/>
      <c r="X999" s="25">
        <f>ROUND(IF(AO999="5",BH999,0),2)</f>
        <v>0</v>
      </c>
      <c r="Z999" s="25">
        <f>ROUND(IF(AO999="1",BF999,0),2)</f>
        <v>0</v>
      </c>
      <c r="AA999" s="25">
        <f>ROUND(IF(AO999="1",BG999,0),2)</f>
        <v>0</v>
      </c>
      <c r="AB999" s="25">
        <f>ROUND(IF(AO999="7",BF999,0),2)</f>
        <v>0</v>
      </c>
      <c r="AC999" s="25">
        <f>ROUND(IF(AO999="7",BG999,0),2)</f>
        <v>0</v>
      </c>
      <c r="AD999" s="25">
        <f>ROUND(IF(AO999="2",BF999,0),2)</f>
        <v>0</v>
      </c>
      <c r="AE999" s="25">
        <f>ROUND(IF(AO999="2",BG999,0),2)</f>
        <v>0</v>
      </c>
      <c r="AF999" s="25">
        <f>ROUND(IF(AO999="0",BH999,0),2)</f>
        <v>0</v>
      </c>
      <c r="AG999" s="10" t="s">
        <v>1101</v>
      </c>
      <c r="AH999" s="25">
        <f>IF(AL999=0,K999,0)</f>
        <v>0</v>
      </c>
      <c r="AI999" s="25">
        <f>IF(AL999=12,K999,0)</f>
        <v>0</v>
      </c>
      <c r="AJ999" s="25">
        <f>IF(AL999=21,K999,0)</f>
        <v>0</v>
      </c>
      <c r="AL999" s="25">
        <v>21</v>
      </c>
      <c r="AM999" s="25">
        <f>H999*0.297330122</f>
        <v>0</v>
      </c>
      <c r="AN999" s="25">
        <f>H999*(1-0.297330122)</f>
        <v>0</v>
      </c>
      <c r="AO999" s="27" t="s">
        <v>57</v>
      </c>
      <c r="AT999" s="25">
        <f>ROUND(AU999+AV999,2)</f>
        <v>0</v>
      </c>
      <c r="AU999" s="25">
        <f>ROUND(G999*AM999,2)</f>
        <v>0</v>
      </c>
      <c r="AV999" s="25">
        <f>ROUND(G999*AN999,2)</f>
        <v>0</v>
      </c>
      <c r="AW999" s="27" t="s">
        <v>665</v>
      </c>
      <c r="AX999" s="27" t="s">
        <v>1209</v>
      </c>
      <c r="AY999" s="10" t="s">
        <v>1105</v>
      </c>
      <c r="BA999" s="25">
        <f>AU999+AV999</f>
        <v>0</v>
      </c>
      <c r="BB999" s="25">
        <f>H999/(100-BC999)*100</f>
        <v>0</v>
      </c>
      <c r="BC999" s="25">
        <v>0</v>
      </c>
      <c r="BD999" s="25">
        <f>M999</f>
        <v>0.97557775000000002</v>
      </c>
      <c r="BF999" s="25">
        <f>G999*AM999</f>
        <v>0</v>
      </c>
      <c r="BG999" s="25">
        <f>G999*AN999</f>
        <v>0</v>
      </c>
      <c r="BH999" s="25">
        <f>G999*H999</f>
        <v>0</v>
      </c>
      <c r="BI999" s="27" t="s">
        <v>65</v>
      </c>
      <c r="BJ999" s="25">
        <v>61</v>
      </c>
      <c r="BU999" s="25" t="e">
        <f>#REF!</f>
        <v>#REF!</v>
      </c>
      <c r="BV999" s="4" t="s">
        <v>696</v>
      </c>
    </row>
    <row r="1000" spans="1:74" ht="14.4" x14ac:dyDescent="0.3">
      <c r="A1000" s="28"/>
      <c r="D1000" s="29" t="s">
        <v>1222</v>
      </c>
      <c r="E1000" s="29" t="s">
        <v>366</v>
      </c>
      <c r="G1000" s="30">
        <v>19.878</v>
      </c>
      <c r="H1000" s="63"/>
      <c r="N1000" s="31"/>
    </row>
    <row r="1001" spans="1:74" ht="14.4" x14ac:dyDescent="0.3">
      <c r="A1001" s="28"/>
      <c r="D1001" s="29" t="s">
        <v>1223</v>
      </c>
      <c r="E1001" s="29" t="s">
        <v>52</v>
      </c>
      <c r="G1001" s="30">
        <v>14.789</v>
      </c>
      <c r="H1001" s="63"/>
      <c r="N1001" s="31"/>
    </row>
    <row r="1002" spans="1:74" ht="14.4" x14ac:dyDescent="0.3">
      <c r="A1002" s="28"/>
      <c r="D1002" s="29" t="s">
        <v>1224</v>
      </c>
      <c r="E1002" s="29" t="s">
        <v>52</v>
      </c>
      <c r="G1002" s="30">
        <v>20.965</v>
      </c>
      <c r="H1002" s="63"/>
      <c r="N1002" s="31"/>
    </row>
    <row r="1003" spans="1:74" ht="14.4" x14ac:dyDescent="0.3">
      <c r="A1003" s="28"/>
      <c r="D1003" s="29" t="s">
        <v>1225</v>
      </c>
      <c r="E1003" s="29" t="s">
        <v>52</v>
      </c>
      <c r="G1003" s="30">
        <v>4.5940000000000003</v>
      </c>
      <c r="H1003" s="63"/>
      <c r="N1003" s="31"/>
    </row>
    <row r="1004" spans="1:74" ht="14.4" x14ac:dyDescent="0.3">
      <c r="A1004" s="28"/>
      <c r="D1004" s="29" t="s">
        <v>1226</v>
      </c>
      <c r="E1004" s="29" t="s">
        <v>52</v>
      </c>
      <c r="G1004" s="30">
        <v>11.492000000000001</v>
      </c>
      <c r="H1004" s="63"/>
      <c r="N1004" s="31"/>
    </row>
    <row r="1005" spans="1:74" ht="14.4" x14ac:dyDescent="0.3">
      <c r="A1005" s="28"/>
      <c r="D1005" s="29" t="s">
        <v>1227</v>
      </c>
      <c r="E1005" s="29" t="s">
        <v>52</v>
      </c>
      <c r="G1005" s="30">
        <v>0.77600000000000002</v>
      </c>
      <c r="H1005" s="63"/>
      <c r="N1005" s="31"/>
    </row>
    <row r="1006" spans="1:74" ht="14.4" x14ac:dyDescent="0.3">
      <c r="A1006" s="28"/>
      <c r="D1006" s="29" t="s">
        <v>1228</v>
      </c>
      <c r="E1006" s="29" t="s">
        <v>337</v>
      </c>
      <c r="G1006" s="30">
        <v>25.861000000000001</v>
      </c>
      <c r="H1006" s="63"/>
      <c r="N1006" s="31"/>
    </row>
    <row r="1007" spans="1:74" ht="14.4" x14ac:dyDescent="0.3">
      <c r="A1007" s="28"/>
      <c r="D1007" s="29" t="s">
        <v>1229</v>
      </c>
      <c r="E1007" s="29" t="s">
        <v>361</v>
      </c>
      <c r="G1007" s="30">
        <v>41.856000000000002</v>
      </c>
      <c r="H1007" s="63"/>
      <c r="N1007" s="31"/>
    </row>
    <row r="1008" spans="1:74" ht="14.4" x14ac:dyDescent="0.3">
      <c r="A1008" s="28"/>
      <c r="D1008" s="29" t="s">
        <v>1230</v>
      </c>
      <c r="E1008" s="29" t="s">
        <v>370</v>
      </c>
      <c r="G1008" s="30">
        <v>26.190999999999999</v>
      </c>
      <c r="H1008" s="63"/>
      <c r="N1008" s="31"/>
    </row>
    <row r="1009" spans="1:74" ht="14.4" x14ac:dyDescent="0.3">
      <c r="A1009" s="28"/>
      <c r="D1009" s="29" t="s">
        <v>1231</v>
      </c>
      <c r="E1009" s="29" t="s">
        <v>363</v>
      </c>
      <c r="G1009" s="30">
        <v>11.324999999999999</v>
      </c>
      <c r="H1009" s="63"/>
      <c r="N1009" s="31"/>
    </row>
    <row r="1010" spans="1:74" ht="14.4" x14ac:dyDescent="0.3">
      <c r="A1010" s="28"/>
      <c r="D1010" s="29" t="s">
        <v>1232</v>
      </c>
      <c r="E1010" s="29" t="s">
        <v>373</v>
      </c>
      <c r="G1010" s="30">
        <v>24.099</v>
      </c>
      <c r="H1010" s="63"/>
      <c r="N1010" s="31"/>
    </row>
    <row r="1011" spans="1:74" ht="14.4" x14ac:dyDescent="0.3">
      <c r="A1011" s="28"/>
      <c r="D1011" s="29" t="s">
        <v>1233</v>
      </c>
      <c r="E1011" s="29" t="s">
        <v>375</v>
      </c>
      <c r="G1011" s="30">
        <v>8.0370000000000008</v>
      </c>
      <c r="H1011" s="63"/>
      <c r="N1011" s="31"/>
    </row>
    <row r="1012" spans="1:74" ht="14.4" x14ac:dyDescent="0.3">
      <c r="A1012" s="28"/>
      <c r="D1012" s="29" t="s">
        <v>1234</v>
      </c>
      <c r="E1012" s="29" t="s">
        <v>377</v>
      </c>
      <c r="G1012" s="30">
        <v>7.4050000000000002</v>
      </c>
      <c r="H1012" s="63"/>
      <c r="N1012" s="31"/>
    </row>
    <row r="1013" spans="1:74" ht="14.4" x14ac:dyDescent="0.3">
      <c r="A1013" s="28"/>
      <c r="D1013" s="29" t="s">
        <v>1235</v>
      </c>
      <c r="E1013" s="29" t="s">
        <v>335</v>
      </c>
      <c r="G1013" s="30">
        <v>48.557000000000002</v>
      </c>
      <c r="H1013" s="63"/>
      <c r="N1013" s="31"/>
    </row>
    <row r="1014" spans="1:74" ht="14.4" x14ac:dyDescent="0.3">
      <c r="A1014" s="2" t="s">
        <v>1237</v>
      </c>
      <c r="B1014" s="3" t="s">
        <v>1101</v>
      </c>
      <c r="C1014" s="3" t="s">
        <v>698</v>
      </c>
      <c r="D1014" s="112" t="s">
        <v>710</v>
      </c>
      <c r="E1014" s="109"/>
      <c r="F1014" s="3" t="s">
        <v>115</v>
      </c>
      <c r="G1014" s="25">
        <v>18.329999999999998</v>
      </c>
      <c r="H1014" s="62"/>
      <c r="I1014" s="25">
        <f>ROUND(G1014*AM1014,2)</f>
        <v>0</v>
      </c>
      <c r="J1014" s="25">
        <f>ROUND(G1014*AN1014,2)</f>
        <v>0</v>
      </c>
      <c r="K1014" s="25">
        <f>ROUND(G1014*H1014,2)</f>
        <v>0</v>
      </c>
      <c r="L1014" s="25">
        <v>4.3099999999999996E-3</v>
      </c>
      <c r="M1014" s="25">
        <f>G1014*L1014</f>
        <v>7.9002299999999984E-2</v>
      </c>
      <c r="N1014" s="26"/>
      <c r="X1014" s="25">
        <f>ROUND(IF(AO1014="5",BH1014,0),2)</f>
        <v>0</v>
      </c>
      <c r="Z1014" s="25">
        <f>ROUND(IF(AO1014="1",BF1014,0),2)</f>
        <v>0</v>
      </c>
      <c r="AA1014" s="25">
        <f>ROUND(IF(AO1014="1",BG1014,0),2)</f>
        <v>0</v>
      </c>
      <c r="AB1014" s="25">
        <f>ROUND(IF(AO1014="7",BF1014,0),2)</f>
        <v>0</v>
      </c>
      <c r="AC1014" s="25">
        <f>ROUND(IF(AO1014="7",BG1014,0),2)</f>
        <v>0</v>
      </c>
      <c r="AD1014" s="25">
        <f>ROUND(IF(AO1014="2",BF1014,0),2)</f>
        <v>0</v>
      </c>
      <c r="AE1014" s="25">
        <f>ROUND(IF(AO1014="2",BG1014,0),2)</f>
        <v>0</v>
      </c>
      <c r="AF1014" s="25">
        <f>ROUND(IF(AO1014="0",BH1014,0),2)</f>
        <v>0</v>
      </c>
      <c r="AG1014" s="10" t="s">
        <v>1101</v>
      </c>
      <c r="AH1014" s="25">
        <f>IF(AL1014=0,K1014,0)</f>
        <v>0</v>
      </c>
      <c r="AI1014" s="25">
        <f>IF(AL1014=12,K1014,0)</f>
        <v>0</v>
      </c>
      <c r="AJ1014" s="25">
        <f>IF(AL1014=21,K1014,0)</f>
        <v>0</v>
      </c>
      <c r="AL1014" s="25">
        <v>21</v>
      </c>
      <c r="AM1014" s="25">
        <f>H1014*0.054770299</f>
        <v>0</v>
      </c>
      <c r="AN1014" s="25">
        <f>H1014*(1-0.054770299)</f>
        <v>0</v>
      </c>
      <c r="AO1014" s="27" t="s">
        <v>57</v>
      </c>
      <c r="AT1014" s="25">
        <f>ROUND(AU1014+AV1014,2)</f>
        <v>0</v>
      </c>
      <c r="AU1014" s="25">
        <f>ROUND(G1014*AM1014,2)</f>
        <v>0</v>
      </c>
      <c r="AV1014" s="25">
        <f>ROUND(G1014*AN1014,2)</f>
        <v>0</v>
      </c>
      <c r="AW1014" s="27" t="s">
        <v>665</v>
      </c>
      <c r="AX1014" s="27" t="s">
        <v>1209</v>
      </c>
      <c r="AY1014" s="10" t="s">
        <v>1105</v>
      </c>
      <c r="BA1014" s="25">
        <f>AU1014+AV1014</f>
        <v>0</v>
      </c>
      <c r="BB1014" s="25">
        <f>H1014/(100-BC1014)*100</f>
        <v>0</v>
      </c>
      <c r="BC1014" s="25">
        <v>0</v>
      </c>
      <c r="BD1014" s="25">
        <f>M1014</f>
        <v>7.9002299999999984E-2</v>
      </c>
      <c r="BF1014" s="25">
        <f>G1014*AM1014</f>
        <v>0</v>
      </c>
      <c r="BG1014" s="25">
        <f>G1014*AN1014</f>
        <v>0</v>
      </c>
      <c r="BH1014" s="25">
        <f>G1014*H1014</f>
        <v>0</v>
      </c>
      <c r="BI1014" s="27" t="s">
        <v>65</v>
      </c>
      <c r="BJ1014" s="25">
        <v>61</v>
      </c>
      <c r="BU1014" s="25" t="e">
        <f>#REF!</f>
        <v>#REF!</v>
      </c>
      <c r="BV1014" s="4" t="s">
        <v>710</v>
      </c>
    </row>
    <row r="1015" spans="1:74" ht="14.4" x14ac:dyDescent="0.3">
      <c r="A1015" s="28"/>
      <c r="D1015" s="29" t="s">
        <v>1238</v>
      </c>
      <c r="E1015" s="29" t="s">
        <v>1239</v>
      </c>
      <c r="G1015" s="30">
        <v>3</v>
      </c>
      <c r="H1015" s="63"/>
      <c r="N1015" s="31"/>
    </row>
    <row r="1016" spans="1:74" ht="14.4" x14ac:dyDescent="0.3">
      <c r="A1016" s="28"/>
      <c r="D1016" s="29" t="s">
        <v>1240</v>
      </c>
      <c r="E1016" s="29" t="s">
        <v>1241</v>
      </c>
      <c r="G1016" s="30">
        <v>14.58</v>
      </c>
      <c r="H1016" s="63"/>
      <c r="N1016" s="31"/>
    </row>
    <row r="1017" spans="1:74" ht="14.4" x14ac:dyDescent="0.3">
      <c r="A1017" s="28"/>
      <c r="D1017" s="29" t="s">
        <v>1242</v>
      </c>
      <c r="E1017" s="29" t="s">
        <v>1243</v>
      </c>
      <c r="G1017" s="30">
        <v>0.75</v>
      </c>
      <c r="H1017" s="63"/>
      <c r="N1017" s="31"/>
    </row>
    <row r="1018" spans="1:74" ht="14.4" x14ac:dyDescent="0.3">
      <c r="A1018" s="2" t="s">
        <v>1244</v>
      </c>
      <c r="B1018" s="3" t="s">
        <v>1101</v>
      </c>
      <c r="C1018" s="3" t="s">
        <v>717</v>
      </c>
      <c r="D1018" s="112" t="s">
        <v>718</v>
      </c>
      <c r="E1018" s="109"/>
      <c r="F1018" s="3" t="s">
        <v>60</v>
      </c>
      <c r="G1018" s="25">
        <v>265.82499999999999</v>
      </c>
      <c r="H1018" s="62"/>
      <c r="I1018" s="25">
        <f>ROUND(G1018*AM1018,2)</f>
        <v>0</v>
      </c>
      <c r="J1018" s="25">
        <f>ROUND(G1018*AN1018,2)</f>
        <v>0</v>
      </c>
      <c r="K1018" s="25">
        <f>ROUND(G1018*H1018,2)</f>
        <v>0</v>
      </c>
      <c r="L1018" s="25">
        <v>5.2999999999999998E-4</v>
      </c>
      <c r="M1018" s="25">
        <f>G1018*L1018</f>
        <v>0.14088724999999999</v>
      </c>
      <c r="N1018" s="26"/>
      <c r="X1018" s="25">
        <f>ROUND(IF(AO1018="5",BH1018,0),2)</f>
        <v>0</v>
      </c>
      <c r="Z1018" s="25">
        <f>ROUND(IF(AO1018="1",BF1018,0),2)</f>
        <v>0</v>
      </c>
      <c r="AA1018" s="25">
        <f>ROUND(IF(AO1018="1",BG1018,0),2)</f>
        <v>0</v>
      </c>
      <c r="AB1018" s="25">
        <f>ROUND(IF(AO1018="7",BF1018,0),2)</f>
        <v>0</v>
      </c>
      <c r="AC1018" s="25">
        <f>ROUND(IF(AO1018="7",BG1018,0),2)</f>
        <v>0</v>
      </c>
      <c r="AD1018" s="25">
        <f>ROUND(IF(AO1018="2",BF1018,0),2)</f>
        <v>0</v>
      </c>
      <c r="AE1018" s="25">
        <f>ROUND(IF(AO1018="2",BG1018,0),2)</f>
        <v>0</v>
      </c>
      <c r="AF1018" s="25">
        <f>ROUND(IF(AO1018="0",BH1018,0),2)</f>
        <v>0</v>
      </c>
      <c r="AG1018" s="10" t="s">
        <v>1101</v>
      </c>
      <c r="AH1018" s="25">
        <f>IF(AL1018=0,K1018,0)</f>
        <v>0</v>
      </c>
      <c r="AI1018" s="25">
        <f>IF(AL1018=12,K1018,0)</f>
        <v>0</v>
      </c>
      <c r="AJ1018" s="25">
        <f>IF(AL1018=21,K1018,0)</f>
        <v>0</v>
      </c>
      <c r="AL1018" s="25">
        <v>21</v>
      </c>
      <c r="AM1018" s="25">
        <f>H1018*0.610807907</f>
        <v>0</v>
      </c>
      <c r="AN1018" s="25">
        <f>H1018*(1-0.610807907)</f>
        <v>0</v>
      </c>
      <c r="AO1018" s="27" t="s">
        <v>57</v>
      </c>
      <c r="AT1018" s="25">
        <f>ROUND(AU1018+AV1018,2)</f>
        <v>0</v>
      </c>
      <c r="AU1018" s="25">
        <f>ROUND(G1018*AM1018,2)</f>
        <v>0</v>
      </c>
      <c r="AV1018" s="25">
        <f>ROUND(G1018*AN1018,2)</f>
        <v>0</v>
      </c>
      <c r="AW1018" s="27" t="s">
        <v>665</v>
      </c>
      <c r="AX1018" s="27" t="s">
        <v>1209</v>
      </c>
      <c r="AY1018" s="10" t="s">
        <v>1105</v>
      </c>
      <c r="BA1018" s="25">
        <f>AU1018+AV1018</f>
        <v>0</v>
      </c>
      <c r="BB1018" s="25">
        <f>H1018/(100-BC1018)*100</f>
        <v>0</v>
      </c>
      <c r="BC1018" s="25">
        <v>0</v>
      </c>
      <c r="BD1018" s="25">
        <f>M1018</f>
        <v>0.14088724999999999</v>
      </c>
      <c r="BF1018" s="25">
        <f>G1018*AM1018</f>
        <v>0</v>
      </c>
      <c r="BG1018" s="25">
        <f>G1018*AN1018</f>
        <v>0</v>
      </c>
      <c r="BH1018" s="25">
        <f>G1018*H1018</f>
        <v>0</v>
      </c>
      <c r="BI1018" s="27" t="s">
        <v>65</v>
      </c>
      <c r="BJ1018" s="25">
        <v>61</v>
      </c>
      <c r="BU1018" s="25" t="e">
        <f>#REF!</f>
        <v>#REF!</v>
      </c>
      <c r="BV1018" s="4" t="s">
        <v>718</v>
      </c>
    </row>
    <row r="1019" spans="1:74" ht="14.4" x14ac:dyDescent="0.3">
      <c r="A1019" s="28"/>
      <c r="D1019" s="29" t="s">
        <v>1222</v>
      </c>
      <c r="E1019" s="29" t="s">
        <v>366</v>
      </c>
      <c r="G1019" s="30">
        <v>19.878</v>
      </c>
      <c r="H1019" s="63"/>
      <c r="N1019" s="31"/>
    </row>
    <row r="1020" spans="1:74" ht="14.4" x14ac:dyDescent="0.3">
      <c r="A1020" s="28"/>
      <c r="D1020" s="29" t="s">
        <v>1223</v>
      </c>
      <c r="E1020" s="29" t="s">
        <v>52</v>
      </c>
      <c r="G1020" s="30">
        <v>14.789</v>
      </c>
      <c r="H1020" s="63"/>
      <c r="N1020" s="31"/>
    </row>
    <row r="1021" spans="1:74" ht="14.4" x14ac:dyDescent="0.3">
      <c r="A1021" s="28"/>
      <c r="D1021" s="29" t="s">
        <v>1224</v>
      </c>
      <c r="E1021" s="29" t="s">
        <v>52</v>
      </c>
      <c r="G1021" s="30">
        <v>20.965</v>
      </c>
      <c r="H1021" s="63"/>
      <c r="N1021" s="31"/>
    </row>
    <row r="1022" spans="1:74" ht="14.4" x14ac:dyDescent="0.3">
      <c r="A1022" s="28"/>
      <c r="D1022" s="29" t="s">
        <v>1225</v>
      </c>
      <c r="E1022" s="29" t="s">
        <v>52</v>
      </c>
      <c r="G1022" s="30">
        <v>4.5940000000000003</v>
      </c>
      <c r="H1022" s="63"/>
      <c r="N1022" s="31"/>
    </row>
    <row r="1023" spans="1:74" ht="14.4" x14ac:dyDescent="0.3">
      <c r="A1023" s="28"/>
      <c r="D1023" s="29" t="s">
        <v>1226</v>
      </c>
      <c r="E1023" s="29" t="s">
        <v>52</v>
      </c>
      <c r="G1023" s="30">
        <v>11.492000000000001</v>
      </c>
      <c r="H1023" s="63"/>
      <c r="N1023" s="31"/>
    </row>
    <row r="1024" spans="1:74" ht="14.4" x14ac:dyDescent="0.3">
      <c r="A1024" s="28"/>
      <c r="D1024" s="29" t="s">
        <v>1227</v>
      </c>
      <c r="E1024" s="29" t="s">
        <v>52</v>
      </c>
      <c r="G1024" s="30">
        <v>0.77600000000000002</v>
      </c>
      <c r="H1024" s="63"/>
      <c r="N1024" s="31"/>
    </row>
    <row r="1025" spans="1:74" ht="14.4" x14ac:dyDescent="0.3">
      <c r="A1025" s="28"/>
      <c r="D1025" s="29" t="s">
        <v>1228</v>
      </c>
      <c r="E1025" s="29" t="s">
        <v>337</v>
      </c>
      <c r="G1025" s="30">
        <v>25.861000000000001</v>
      </c>
      <c r="H1025" s="63"/>
      <c r="N1025" s="31"/>
    </row>
    <row r="1026" spans="1:74" ht="14.4" x14ac:dyDescent="0.3">
      <c r="A1026" s="28"/>
      <c r="D1026" s="29" t="s">
        <v>1229</v>
      </c>
      <c r="E1026" s="29" t="s">
        <v>361</v>
      </c>
      <c r="G1026" s="30">
        <v>41.856000000000002</v>
      </c>
      <c r="H1026" s="63"/>
      <c r="N1026" s="31"/>
    </row>
    <row r="1027" spans="1:74" ht="14.4" x14ac:dyDescent="0.3">
      <c r="A1027" s="28"/>
      <c r="D1027" s="29" t="s">
        <v>1230</v>
      </c>
      <c r="E1027" s="29" t="s">
        <v>370</v>
      </c>
      <c r="G1027" s="30">
        <v>26.190999999999999</v>
      </c>
      <c r="H1027" s="63"/>
      <c r="N1027" s="31"/>
    </row>
    <row r="1028" spans="1:74" ht="14.4" x14ac:dyDescent="0.3">
      <c r="A1028" s="28"/>
      <c r="D1028" s="29" t="s">
        <v>1231</v>
      </c>
      <c r="E1028" s="29" t="s">
        <v>363</v>
      </c>
      <c r="G1028" s="30">
        <v>11.324999999999999</v>
      </c>
      <c r="H1028" s="63"/>
      <c r="N1028" s="31"/>
    </row>
    <row r="1029" spans="1:74" ht="14.4" x14ac:dyDescent="0.3">
      <c r="A1029" s="28"/>
      <c r="D1029" s="29" t="s">
        <v>1232</v>
      </c>
      <c r="E1029" s="29" t="s">
        <v>373</v>
      </c>
      <c r="G1029" s="30">
        <v>24.099</v>
      </c>
      <c r="H1029" s="63"/>
      <c r="N1029" s="31"/>
    </row>
    <row r="1030" spans="1:74" ht="14.4" x14ac:dyDescent="0.3">
      <c r="A1030" s="28"/>
      <c r="D1030" s="29" t="s">
        <v>1233</v>
      </c>
      <c r="E1030" s="29" t="s">
        <v>375</v>
      </c>
      <c r="G1030" s="30">
        <v>8.0370000000000008</v>
      </c>
      <c r="H1030" s="63"/>
      <c r="N1030" s="31"/>
    </row>
    <row r="1031" spans="1:74" ht="14.4" x14ac:dyDescent="0.3">
      <c r="A1031" s="28"/>
      <c r="D1031" s="29" t="s">
        <v>1234</v>
      </c>
      <c r="E1031" s="29" t="s">
        <v>377</v>
      </c>
      <c r="G1031" s="30">
        <v>7.4050000000000002</v>
      </c>
      <c r="H1031" s="63"/>
      <c r="N1031" s="31"/>
    </row>
    <row r="1032" spans="1:74" ht="14.4" x14ac:dyDescent="0.3">
      <c r="A1032" s="28"/>
      <c r="D1032" s="29" t="s">
        <v>1235</v>
      </c>
      <c r="E1032" s="29" t="s">
        <v>335</v>
      </c>
      <c r="G1032" s="30">
        <v>48.557000000000002</v>
      </c>
      <c r="H1032" s="63"/>
      <c r="N1032" s="31"/>
    </row>
    <row r="1033" spans="1:74" ht="14.4" x14ac:dyDescent="0.3">
      <c r="A1033" s="2" t="s">
        <v>1245</v>
      </c>
      <c r="B1033" s="3" t="s">
        <v>1101</v>
      </c>
      <c r="C1033" s="3" t="s">
        <v>720</v>
      </c>
      <c r="D1033" s="112" t="s">
        <v>721</v>
      </c>
      <c r="E1033" s="109"/>
      <c r="F1033" s="3" t="s">
        <v>60</v>
      </c>
      <c r="G1033" s="25">
        <v>181.06299999999999</v>
      </c>
      <c r="H1033" s="62"/>
      <c r="I1033" s="25">
        <f>ROUND(G1033*AM1033,2)</f>
        <v>0</v>
      </c>
      <c r="J1033" s="25">
        <f>ROUND(G1033*AN1033,2)</f>
        <v>0</v>
      </c>
      <c r="K1033" s="25">
        <f>ROUND(G1033*H1033,2)</f>
        <v>0</v>
      </c>
      <c r="L1033" s="25">
        <v>4.4139999999999999E-2</v>
      </c>
      <c r="M1033" s="25">
        <f>G1033*L1033</f>
        <v>7.9921208199999993</v>
      </c>
      <c r="N1033" s="26"/>
      <c r="X1033" s="25">
        <f>ROUND(IF(AO1033="5",BH1033,0),2)</f>
        <v>0</v>
      </c>
      <c r="Z1033" s="25">
        <f>ROUND(IF(AO1033="1",BF1033,0),2)</f>
        <v>0</v>
      </c>
      <c r="AA1033" s="25">
        <f>ROUND(IF(AO1033="1",BG1033,0),2)</f>
        <v>0</v>
      </c>
      <c r="AB1033" s="25">
        <f>ROUND(IF(AO1033="7",BF1033,0),2)</f>
        <v>0</v>
      </c>
      <c r="AC1033" s="25">
        <f>ROUND(IF(AO1033="7",BG1033,0),2)</f>
        <v>0</v>
      </c>
      <c r="AD1033" s="25">
        <f>ROUND(IF(AO1033="2",BF1033,0),2)</f>
        <v>0</v>
      </c>
      <c r="AE1033" s="25">
        <f>ROUND(IF(AO1033="2",BG1033,0),2)</f>
        <v>0</v>
      </c>
      <c r="AF1033" s="25">
        <f>ROUND(IF(AO1033="0",BH1033,0),2)</f>
        <v>0</v>
      </c>
      <c r="AG1033" s="10" t="s">
        <v>1101</v>
      </c>
      <c r="AH1033" s="25">
        <f>IF(AL1033=0,K1033,0)</f>
        <v>0</v>
      </c>
      <c r="AI1033" s="25">
        <f>IF(AL1033=12,K1033,0)</f>
        <v>0</v>
      </c>
      <c r="AJ1033" s="25">
        <f>IF(AL1033=21,K1033,0)</f>
        <v>0</v>
      </c>
      <c r="AL1033" s="25">
        <v>21</v>
      </c>
      <c r="AM1033" s="25">
        <f>H1033*0.118851631</f>
        <v>0</v>
      </c>
      <c r="AN1033" s="25">
        <f>H1033*(1-0.118851631)</f>
        <v>0</v>
      </c>
      <c r="AO1033" s="27" t="s">
        <v>57</v>
      </c>
      <c r="AT1033" s="25">
        <f>ROUND(AU1033+AV1033,2)</f>
        <v>0</v>
      </c>
      <c r="AU1033" s="25">
        <f>ROUND(G1033*AM1033,2)</f>
        <v>0</v>
      </c>
      <c r="AV1033" s="25">
        <f>ROUND(G1033*AN1033,2)</f>
        <v>0</v>
      </c>
      <c r="AW1033" s="27" t="s">
        <v>665</v>
      </c>
      <c r="AX1033" s="27" t="s">
        <v>1209</v>
      </c>
      <c r="AY1033" s="10" t="s">
        <v>1105</v>
      </c>
      <c r="BA1033" s="25">
        <f>AU1033+AV1033</f>
        <v>0</v>
      </c>
      <c r="BB1033" s="25">
        <f>H1033/(100-BC1033)*100</f>
        <v>0</v>
      </c>
      <c r="BC1033" s="25">
        <v>0</v>
      </c>
      <c r="BD1033" s="25">
        <f>M1033</f>
        <v>7.9921208199999993</v>
      </c>
      <c r="BF1033" s="25">
        <f>G1033*AM1033</f>
        <v>0</v>
      </c>
      <c r="BG1033" s="25">
        <f>G1033*AN1033</f>
        <v>0</v>
      </c>
      <c r="BH1033" s="25">
        <f>G1033*H1033</f>
        <v>0</v>
      </c>
      <c r="BI1033" s="27" t="s">
        <v>65</v>
      </c>
      <c r="BJ1033" s="25">
        <v>61</v>
      </c>
      <c r="BU1033" s="25" t="e">
        <f>#REF!</f>
        <v>#REF!</v>
      </c>
      <c r="BV1033" s="4" t="s">
        <v>721</v>
      </c>
    </row>
    <row r="1034" spans="1:74" ht="14.4" x14ac:dyDescent="0.3">
      <c r="A1034" s="28"/>
      <c r="D1034" s="29" t="s">
        <v>1246</v>
      </c>
      <c r="E1034" s="29" t="s">
        <v>366</v>
      </c>
      <c r="G1034" s="30">
        <v>28.547999999999998</v>
      </c>
      <c r="H1034" s="63"/>
      <c r="N1034" s="31"/>
    </row>
    <row r="1035" spans="1:74" ht="14.4" x14ac:dyDescent="0.3">
      <c r="A1035" s="28"/>
      <c r="D1035" s="29" t="s">
        <v>1247</v>
      </c>
      <c r="E1035" s="29" t="s">
        <v>52</v>
      </c>
      <c r="G1035" s="30">
        <v>25.698</v>
      </c>
      <c r="H1035" s="63"/>
      <c r="N1035" s="31"/>
    </row>
    <row r="1036" spans="1:74" ht="14.4" x14ac:dyDescent="0.3">
      <c r="A1036" s="28"/>
      <c r="D1036" s="29" t="s">
        <v>1248</v>
      </c>
      <c r="E1036" s="29" t="s">
        <v>52</v>
      </c>
      <c r="G1036" s="30">
        <v>22.989000000000001</v>
      </c>
      <c r="H1036" s="63"/>
      <c r="N1036" s="31"/>
    </row>
    <row r="1037" spans="1:74" ht="14.4" x14ac:dyDescent="0.3">
      <c r="A1037" s="28"/>
      <c r="D1037" s="29" t="s">
        <v>1249</v>
      </c>
      <c r="E1037" s="29" t="s">
        <v>52</v>
      </c>
      <c r="G1037" s="30">
        <v>12.464</v>
      </c>
      <c r="H1037" s="63"/>
      <c r="N1037" s="31"/>
    </row>
    <row r="1038" spans="1:74" ht="14.4" x14ac:dyDescent="0.3">
      <c r="A1038" s="28"/>
      <c r="D1038" s="29" t="s">
        <v>1250</v>
      </c>
      <c r="E1038" s="29" t="s">
        <v>52</v>
      </c>
      <c r="G1038" s="30">
        <v>24.558</v>
      </c>
      <c r="H1038" s="63"/>
      <c r="N1038" s="31"/>
    </row>
    <row r="1039" spans="1:74" ht="14.4" x14ac:dyDescent="0.3">
      <c r="A1039" s="28"/>
      <c r="D1039" s="29" t="s">
        <v>1251</v>
      </c>
      <c r="E1039" s="29" t="s">
        <v>52</v>
      </c>
      <c r="G1039" s="30">
        <v>27.04</v>
      </c>
      <c r="H1039" s="63"/>
      <c r="N1039" s="31"/>
    </row>
    <row r="1040" spans="1:74" ht="14.4" x14ac:dyDescent="0.3">
      <c r="A1040" s="28"/>
      <c r="D1040" s="29" t="s">
        <v>1252</v>
      </c>
      <c r="E1040" s="29" t="s">
        <v>52</v>
      </c>
      <c r="G1040" s="30">
        <v>1.417</v>
      </c>
      <c r="H1040" s="63"/>
      <c r="N1040" s="31"/>
    </row>
    <row r="1041" spans="1:74" ht="14.4" x14ac:dyDescent="0.3">
      <c r="A1041" s="28"/>
      <c r="D1041" s="29" t="s">
        <v>1253</v>
      </c>
      <c r="E1041" s="29" t="s">
        <v>1254</v>
      </c>
      <c r="G1041" s="30">
        <v>0.999</v>
      </c>
      <c r="H1041" s="63"/>
      <c r="N1041" s="31"/>
    </row>
    <row r="1042" spans="1:74" ht="14.4" x14ac:dyDescent="0.3">
      <c r="A1042" s="28"/>
      <c r="D1042" s="29" t="s">
        <v>1255</v>
      </c>
      <c r="E1042" s="29" t="s">
        <v>363</v>
      </c>
      <c r="G1042" s="30">
        <v>8.9700000000000006</v>
      </c>
      <c r="H1042" s="63"/>
      <c r="N1042" s="31"/>
    </row>
    <row r="1043" spans="1:74" ht="14.4" x14ac:dyDescent="0.3">
      <c r="A1043" s="28"/>
      <c r="D1043" s="29" t="s">
        <v>1256</v>
      </c>
      <c r="E1043" s="29" t="s">
        <v>375</v>
      </c>
      <c r="G1043" s="30">
        <v>6.5549999999999997</v>
      </c>
      <c r="H1043" s="63"/>
      <c r="N1043" s="31"/>
    </row>
    <row r="1044" spans="1:74" ht="14.4" x14ac:dyDescent="0.3">
      <c r="A1044" s="28"/>
      <c r="D1044" s="29" t="s">
        <v>1257</v>
      </c>
      <c r="E1044" s="29" t="s">
        <v>377</v>
      </c>
      <c r="G1044" s="30">
        <v>13.356999999999999</v>
      </c>
      <c r="H1044" s="63"/>
      <c r="N1044" s="31"/>
    </row>
    <row r="1045" spans="1:74" ht="14.4" x14ac:dyDescent="0.3">
      <c r="A1045" s="28"/>
      <c r="D1045" s="29" t="s">
        <v>1258</v>
      </c>
      <c r="E1045" s="29" t="s">
        <v>52</v>
      </c>
      <c r="G1045" s="30">
        <v>8.468</v>
      </c>
      <c r="H1045" s="63"/>
      <c r="N1045" s="31"/>
    </row>
    <row r="1046" spans="1:74" ht="14.4" x14ac:dyDescent="0.3">
      <c r="A1046" s="2" t="s">
        <v>1259</v>
      </c>
      <c r="B1046" s="3" t="s">
        <v>1101</v>
      </c>
      <c r="C1046" s="3" t="s">
        <v>736</v>
      </c>
      <c r="D1046" s="112" t="s">
        <v>737</v>
      </c>
      <c r="E1046" s="109"/>
      <c r="F1046" s="3" t="s">
        <v>60</v>
      </c>
      <c r="G1046" s="25">
        <v>7.6310000000000002</v>
      </c>
      <c r="H1046" s="62"/>
      <c r="I1046" s="25">
        <f>ROUND(G1046*AM1046,2)</f>
        <v>0</v>
      </c>
      <c r="J1046" s="25">
        <f>ROUND(G1046*AN1046,2)</f>
        <v>0</v>
      </c>
      <c r="K1046" s="25">
        <f>ROUND(G1046*H1046,2)</f>
        <v>0</v>
      </c>
      <c r="L1046" s="25">
        <v>5.3690000000000002E-2</v>
      </c>
      <c r="M1046" s="25">
        <f>G1046*L1046</f>
        <v>0.40970839000000003</v>
      </c>
      <c r="N1046" s="26"/>
      <c r="X1046" s="25">
        <f>ROUND(IF(AO1046="5",BH1046,0),2)</f>
        <v>0</v>
      </c>
      <c r="Z1046" s="25">
        <f>ROUND(IF(AO1046="1",BF1046,0),2)</f>
        <v>0</v>
      </c>
      <c r="AA1046" s="25">
        <f>ROUND(IF(AO1046="1",BG1046,0),2)</f>
        <v>0</v>
      </c>
      <c r="AB1046" s="25">
        <f>ROUND(IF(AO1046="7",BF1046,0),2)</f>
        <v>0</v>
      </c>
      <c r="AC1046" s="25">
        <f>ROUND(IF(AO1046="7",BG1046,0),2)</f>
        <v>0</v>
      </c>
      <c r="AD1046" s="25">
        <f>ROUND(IF(AO1046="2",BF1046,0),2)</f>
        <v>0</v>
      </c>
      <c r="AE1046" s="25">
        <f>ROUND(IF(AO1046="2",BG1046,0),2)</f>
        <v>0</v>
      </c>
      <c r="AF1046" s="25">
        <f>ROUND(IF(AO1046="0",BH1046,0),2)</f>
        <v>0</v>
      </c>
      <c r="AG1046" s="10" t="s">
        <v>1101</v>
      </c>
      <c r="AH1046" s="25">
        <f>IF(AL1046=0,K1046,0)</f>
        <v>0</v>
      </c>
      <c r="AI1046" s="25">
        <f>IF(AL1046=12,K1046,0)</f>
        <v>0</v>
      </c>
      <c r="AJ1046" s="25">
        <f>IF(AL1046=21,K1046,0)</f>
        <v>0</v>
      </c>
      <c r="AL1046" s="25">
        <v>21</v>
      </c>
      <c r="AM1046" s="25">
        <f>H1046*0.132181585</f>
        <v>0</v>
      </c>
      <c r="AN1046" s="25">
        <f>H1046*(1-0.132181585)</f>
        <v>0</v>
      </c>
      <c r="AO1046" s="27" t="s">
        <v>57</v>
      </c>
      <c r="AT1046" s="25">
        <f>ROUND(AU1046+AV1046,2)</f>
        <v>0</v>
      </c>
      <c r="AU1046" s="25">
        <f>ROUND(G1046*AM1046,2)</f>
        <v>0</v>
      </c>
      <c r="AV1046" s="25">
        <f>ROUND(G1046*AN1046,2)</f>
        <v>0</v>
      </c>
      <c r="AW1046" s="27" t="s">
        <v>665</v>
      </c>
      <c r="AX1046" s="27" t="s">
        <v>1209</v>
      </c>
      <c r="AY1046" s="10" t="s">
        <v>1105</v>
      </c>
      <c r="BA1046" s="25">
        <f>AU1046+AV1046</f>
        <v>0</v>
      </c>
      <c r="BB1046" s="25">
        <f>H1046/(100-BC1046)*100</f>
        <v>0</v>
      </c>
      <c r="BC1046" s="25">
        <v>0</v>
      </c>
      <c r="BD1046" s="25">
        <f>M1046</f>
        <v>0.40970839000000003</v>
      </c>
      <c r="BF1046" s="25">
        <f>G1046*AM1046</f>
        <v>0</v>
      </c>
      <c r="BG1046" s="25">
        <f>G1046*AN1046</f>
        <v>0</v>
      </c>
      <c r="BH1046" s="25">
        <f>G1046*H1046</f>
        <v>0</v>
      </c>
      <c r="BI1046" s="27" t="s">
        <v>65</v>
      </c>
      <c r="BJ1046" s="25">
        <v>61</v>
      </c>
      <c r="BU1046" s="25" t="e">
        <f>#REF!</f>
        <v>#REF!</v>
      </c>
      <c r="BV1046" s="4" t="s">
        <v>737</v>
      </c>
    </row>
    <row r="1047" spans="1:74" ht="14.4" x14ac:dyDescent="0.3">
      <c r="A1047" s="28"/>
      <c r="D1047" s="29" t="s">
        <v>1260</v>
      </c>
      <c r="E1047" s="29" t="s">
        <v>366</v>
      </c>
      <c r="G1047" s="30">
        <v>4.12</v>
      </c>
      <c r="H1047" s="63"/>
      <c r="N1047" s="31"/>
    </row>
    <row r="1048" spans="1:74" ht="14.4" x14ac:dyDescent="0.3">
      <c r="A1048" s="28"/>
      <c r="D1048" s="29" t="s">
        <v>1261</v>
      </c>
      <c r="E1048" s="29" t="s">
        <v>361</v>
      </c>
      <c r="G1048" s="30">
        <v>0.79100000000000004</v>
      </c>
      <c r="H1048" s="63"/>
      <c r="N1048" s="31"/>
    </row>
    <row r="1049" spans="1:74" ht="14.4" x14ac:dyDescent="0.3">
      <c r="A1049" s="28"/>
      <c r="D1049" s="29" t="s">
        <v>1262</v>
      </c>
      <c r="E1049" s="29" t="s">
        <v>370</v>
      </c>
      <c r="G1049" s="30">
        <v>0.43099999999999999</v>
      </c>
      <c r="H1049" s="63"/>
      <c r="N1049" s="31"/>
    </row>
    <row r="1050" spans="1:74" ht="14.4" x14ac:dyDescent="0.3">
      <c r="A1050" s="28"/>
      <c r="D1050" s="29" t="s">
        <v>1263</v>
      </c>
      <c r="E1050" s="29" t="s">
        <v>375</v>
      </c>
      <c r="G1050" s="30">
        <v>0.35699999999999998</v>
      </c>
      <c r="H1050" s="63"/>
      <c r="N1050" s="31"/>
    </row>
    <row r="1051" spans="1:74" ht="14.4" x14ac:dyDescent="0.3">
      <c r="A1051" s="28"/>
      <c r="D1051" s="29" t="s">
        <v>1263</v>
      </c>
      <c r="E1051" s="29" t="s">
        <v>377</v>
      </c>
      <c r="G1051" s="30">
        <v>0.35699999999999998</v>
      </c>
      <c r="H1051" s="63"/>
      <c r="N1051" s="31"/>
    </row>
    <row r="1052" spans="1:74" ht="14.4" x14ac:dyDescent="0.3">
      <c r="A1052" s="28"/>
      <c r="D1052" s="29" t="s">
        <v>1264</v>
      </c>
      <c r="E1052" s="29" t="s">
        <v>335</v>
      </c>
      <c r="G1052" s="30">
        <v>1.575</v>
      </c>
      <c r="H1052" s="63"/>
      <c r="N1052" s="31"/>
    </row>
    <row r="1053" spans="1:74" ht="14.4" x14ac:dyDescent="0.3">
      <c r="A1053" s="2" t="s">
        <v>1265</v>
      </c>
      <c r="B1053" s="3" t="s">
        <v>1101</v>
      </c>
      <c r="C1053" s="3" t="s">
        <v>698</v>
      </c>
      <c r="D1053" s="112" t="s">
        <v>1266</v>
      </c>
      <c r="E1053" s="109"/>
      <c r="F1053" s="3" t="s">
        <v>115</v>
      </c>
      <c r="G1053" s="25">
        <v>167.83500000000001</v>
      </c>
      <c r="H1053" s="62"/>
      <c r="I1053" s="25">
        <f>ROUND(G1053*AM1053,2)</f>
        <v>0</v>
      </c>
      <c r="J1053" s="25">
        <f>ROUND(G1053*AN1053,2)</f>
        <v>0</v>
      </c>
      <c r="K1053" s="25">
        <f>ROUND(G1053*H1053,2)</f>
        <v>0</v>
      </c>
      <c r="L1053" s="25">
        <v>3.7100000000000002E-3</v>
      </c>
      <c r="M1053" s="25">
        <f>G1053*L1053</f>
        <v>0.62266785000000002</v>
      </c>
      <c r="N1053" s="26"/>
      <c r="X1053" s="25">
        <f>ROUND(IF(AO1053="5",BH1053,0),2)</f>
        <v>0</v>
      </c>
      <c r="Z1053" s="25">
        <f>ROUND(IF(AO1053="1",BF1053,0),2)</f>
        <v>0</v>
      </c>
      <c r="AA1053" s="25">
        <f>ROUND(IF(AO1053="1",BG1053,0),2)</f>
        <v>0</v>
      </c>
      <c r="AB1053" s="25">
        <f>ROUND(IF(AO1053="7",BF1053,0),2)</f>
        <v>0</v>
      </c>
      <c r="AC1053" s="25">
        <f>ROUND(IF(AO1053="7",BG1053,0),2)</f>
        <v>0</v>
      </c>
      <c r="AD1053" s="25">
        <f>ROUND(IF(AO1053="2",BF1053,0),2)</f>
        <v>0</v>
      </c>
      <c r="AE1053" s="25">
        <f>ROUND(IF(AO1053="2",BG1053,0),2)</f>
        <v>0</v>
      </c>
      <c r="AF1053" s="25">
        <f>ROUND(IF(AO1053="0",BH1053,0),2)</f>
        <v>0</v>
      </c>
      <c r="AG1053" s="10" t="s">
        <v>1101</v>
      </c>
      <c r="AH1053" s="25">
        <f>IF(AL1053=0,K1053,0)</f>
        <v>0</v>
      </c>
      <c r="AI1053" s="25">
        <f>IF(AL1053=12,K1053,0)</f>
        <v>0</v>
      </c>
      <c r="AJ1053" s="25">
        <f>IF(AL1053=21,K1053,0)</f>
        <v>0</v>
      </c>
      <c r="AL1053" s="25">
        <v>21</v>
      </c>
      <c r="AM1053" s="25">
        <f>H1053*0.046563732</f>
        <v>0</v>
      </c>
      <c r="AN1053" s="25">
        <f>H1053*(1-0.046563732)</f>
        <v>0</v>
      </c>
      <c r="AO1053" s="27" t="s">
        <v>57</v>
      </c>
      <c r="AT1053" s="25">
        <f>ROUND(AU1053+AV1053,2)</f>
        <v>0</v>
      </c>
      <c r="AU1053" s="25">
        <f>ROUND(G1053*AM1053,2)</f>
        <v>0</v>
      </c>
      <c r="AV1053" s="25">
        <f>ROUND(G1053*AN1053,2)</f>
        <v>0</v>
      </c>
      <c r="AW1053" s="27" t="s">
        <v>665</v>
      </c>
      <c r="AX1053" s="27" t="s">
        <v>1209</v>
      </c>
      <c r="AY1053" s="10" t="s">
        <v>1105</v>
      </c>
      <c r="BA1053" s="25">
        <f>AU1053+AV1053</f>
        <v>0</v>
      </c>
      <c r="BB1053" s="25">
        <f>H1053/(100-BC1053)*100</f>
        <v>0</v>
      </c>
      <c r="BC1053" s="25">
        <v>0</v>
      </c>
      <c r="BD1053" s="25">
        <f>M1053</f>
        <v>0.62266785000000002</v>
      </c>
      <c r="BF1053" s="25">
        <f>G1053*AM1053</f>
        <v>0</v>
      </c>
      <c r="BG1053" s="25">
        <f>G1053*AN1053</f>
        <v>0</v>
      </c>
      <c r="BH1053" s="25">
        <f>G1053*H1053</f>
        <v>0</v>
      </c>
      <c r="BI1053" s="27" t="s">
        <v>65</v>
      </c>
      <c r="BJ1053" s="25">
        <v>61</v>
      </c>
      <c r="BU1053" s="25" t="e">
        <f>#REF!</f>
        <v>#REF!</v>
      </c>
      <c r="BV1053" s="4" t="s">
        <v>1266</v>
      </c>
    </row>
    <row r="1054" spans="1:74" ht="14.4" x14ac:dyDescent="0.3">
      <c r="A1054" s="28"/>
      <c r="D1054" s="29" t="s">
        <v>1267</v>
      </c>
      <c r="E1054" s="29" t="s">
        <v>1268</v>
      </c>
      <c r="G1054" s="30">
        <v>31.2</v>
      </c>
      <c r="H1054" s="63"/>
      <c r="N1054" s="31"/>
    </row>
    <row r="1055" spans="1:74" ht="14.4" x14ac:dyDescent="0.3">
      <c r="A1055" s="28"/>
      <c r="D1055" s="29" t="s">
        <v>1269</v>
      </c>
      <c r="E1055" s="29" t="s">
        <v>361</v>
      </c>
      <c r="G1055" s="30">
        <v>5.04</v>
      </c>
      <c r="H1055" s="63"/>
      <c r="N1055" s="31"/>
    </row>
    <row r="1056" spans="1:74" ht="14.4" x14ac:dyDescent="0.3">
      <c r="A1056" s="28"/>
      <c r="D1056" s="29" t="s">
        <v>1270</v>
      </c>
      <c r="E1056" s="29" t="s">
        <v>370</v>
      </c>
      <c r="G1056" s="30">
        <v>16.760000000000002</v>
      </c>
      <c r="H1056" s="63"/>
      <c r="N1056" s="31"/>
    </row>
    <row r="1057" spans="1:74" ht="14.4" x14ac:dyDescent="0.3">
      <c r="A1057" s="28"/>
      <c r="D1057" s="29" t="s">
        <v>1271</v>
      </c>
      <c r="E1057" s="29" t="s">
        <v>373</v>
      </c>
      <c r="G1057" s="30">
        <v>24.6</v>
      </c>
      <c r="H1057" s="63"/>
      <c r="N1057" s="31"/>
    </row>
    <row r="1058" spans="1:74" ht="14.4" x14ac:dyDescent="0.3">
      <c r="A1058" s="28"/>
      <c r="D1058" s="29" t="s">
        <v>1272</v>
      </c>
      <c r="E1058" s="29" t="s">
        <v>1273</v>
      </c>
      <c r="G1058" s="30">
        <v>3.08</v>
      </c>
      <c r="H1058" s="63"/>
      <c r="N1058" s="31"/>
    </row>
    <row r="1059" spans="1:74" ht="14.4" x14ac:dyDescent="0.3">
      <c r="A1059" s="28"/>
      <c r="D1059" s="29" t="s">
        <v>1274</v>
      </c>
      <c r="E1059" s="29" t="s">
        <v>335</v>
      </c>
      <c r="G1059" s="30">
        <v>25.28</v>
      </c>
      <c r="H1059" s="63"/>
      <c r="N1059" s="31"/>
    </row>
    <row r="1060" spans="1:74" ht="14.4" x14ac:dyDescent="0.3">
      <c r="A1060" s="28"/>
      <c r="D1060" s="29" t="s">
        <v>1275</v>
      </c>
      <c r="E1060" s="29" t="s">
        <v>1276</v>
      </c>
      <c r="G1060" s="30">
        <v>19.925000000000001</v>
      </c>
      <c r="H1060" s="63"/>
      <c r="N1060" s="31"/>
    </row>
    <row r="1061" spans="1:74" ht="14.4" x14ac:dyDescent="0.3">
      <c r="A1061" s="28"/>
      <c r="D1061" s="29" t="s">
        <v>1277</v>
      </c>
      <c r="E1061" s="29" t="s">
        <v>1276</v>
      </c>
      <c r="G1061" s="30">
        <v>25.23</v>
      </c>
      <c r="H1061" s="63"/>
      <c r="N1061" s="31"/>
    </row>
    <row r="1062" spans="1:74" ht="14.4" x14ac:dyDescent="0.3">
      <c r="A1062" s="28"/>
      <c r="D1062" s="29" t="s">
        <v>1278</v>
      </c>
      <c r="E1062" s="29" t="s">
        <v>1276</v>
      </c>
      <c r="G1062" s="30">
        <v>13.52</v>
      </c>
      <c r="H1062" s="63"/>
      <c r="N1062" s="31"/>
    </row>
    <row r="1063" spans="1:74" ht="14.4" x14ac:dyDescent="0.3">
      <c r="A1063" s="28"/>
      <c r="D1063" s="29" t="s">
        <v>1279</v>
      </c>
      <c r="E1063" s="29" t="s">
        <v>1280</v>
      </c>
      <c r="G1063" s="30">
        <v>3.2</v>
      </c>
      <c r="H1063" s="63"/>
      <c r="N1063" s="31"/>
    </row>
    <row r="1064" spans="1:74" ht="14.4" x14ac:dyDescent="0.3">
      <c r="A1064" s="2" t="s">
        <v>1281</v>
      </c>
      <c r="B1064" s="3" t="s">
        <v>1101</v>
      </c>
      <c r="C1064" s="3" t="s">
        <v>731</v>
      </c>
      <c r="D1064" s="112" t="s">
        <v>732</v>
      </c>
      <c r="E1064" s="109"/>
      <c r="F1064" s="3" t="s">
        <v>60</v>
      </c>
      <c r="G1064" s="25">
        <v>265.82499999999999</v>
      </c>
      <c r="H1064" s="62"/>
      <c r="I1064" s="25">
        <f>ROUND(G1064*AM1064,2)</f>
        <v>0</v>
      </c>
      <c r="J1064" s="25">
        <f>ROUND(G1064*AN1064,2)</f>
        <v>0</v>
      </c>
      <c r="K1064" s="25">
        <f>ROUND(G1064*H1064,2)</f>
        <v>0</v>
      </c>
      <c r="L1064" s="25">
        <v>1.5810000000000001E-2</v>
      </c>
      <c r="M1064" s="25">
        <f>G1064*L1064</f>
        <v>4.2026932500000003</v>
      </c>
      <c r="N1064" s="26"/>
      <c r="X1064" s="25">
        <f>ROUND(IF(AO1064="5",BH1064,0),2)</f>
        <v>0</v>
      </c>
      <c r="Z1064" s="25">
        <f>ROUND(IF(AO1064="1",BF1064,0),2)</f>
        <v>0</v>
      </c>
      <c r="AA1064" s="25">
        <f>ROUND(IF(AO1064="1",BG1064,0),2)</f>
        <v>0</v>
      </c>
      <c r="AB1064" s="25">
        <f>ROUND(IF(AO1064="7",BF1064,0),2)</f>
        <v>0</v>
      </c>
      <c r="AC1064" s="25">
        <f>ROUND(IF(AO1064="7",BG1064,0),2)</f>
        <v>0</v>
      </c>
      <c r="AD1064" s="25">
        <f>ROUND(IF(AO1064="2",BF1064,0),2)</f>
        <v>0</v>
      </c>
      <c r="AE1064" s="25">
        <f>ROUND(IF(AO1064="2",BG1064,0),2)</f>
        <v>0</v>
      </c>
      <c r="AF1064" s="25">
        <f>ROUND(IF(AO1064="0",BH1064,0),2)</f>
        <v>0</v>
      </c>
      <c r="AG1064" s="10" t="s">
        <v>1101</v>
      </c>
      <c r="AH1064" s="25">
        <f>IF(AL1064=0,K1064,0)</f>
        <v>0</v>
      </c>
      <c r="AI1064" s="25">
        <f>IF(AL1064=12,K1064,0)</f>
        <v>0</v>
      </c>
      <c r="AJ1064" s="25">
        <f>IF(AL1064=21,K1064,0)</f>
        <v>0</v>
      </c>
      <c r="AL1064" s="25">
        <v>21</v>
      </c>
      <c r="AM1064" s="25">
        <f>H1064*0.177162745</f>
        <v>0</v>
      </c>
      <c r="AN1064" s="25">
        <f>H1064*(1-0.177162745)</f>
        <v>0</v>
      </c>
      <c r="AO1064" s="27" t="s">
        <v>57</v>
      </c>
      <c r="AT1064" s="25">
        <f>ROUND(AU1064+AV1064,2)</f>
        <v>0</v>
      </c>
      <c r="AU1064" s="25">
        <f>ROUND(G1064*AM1064,2)</f>
        <v>0</v>
      </c>
      <c r="AV1064" s="25">
        <f>ROUND(G1064*AN1064,2)</f>
        <v>0</v>
      </c>
      <c r="AW1064" s="27" t="s">
        <v>665</v>
      </c>
      <c r="AX1064" s="27" t="s">
        <v>1209</v>
      </c>
      <c r="AY1064" s="10" t="s">
        <v>1105</v>
      </c>
      <c r="BA1064" s="25">
        <f>AU1064+AV1064</f>
        <v>0</v>
      </c>
      <c r="BB1064" s="25">
        <f>H1064/(100-BC1064)*100</f>
        <v>0</v>
      </c>
      <c r="BC1064" s="25">
        <v>0</v>
      </c>
      <c r="BD1064" s="25">
        <f>M1064</f>
        <v>4.2026932500000003</v>
      </c>
      <c r="BF1064" s="25">
        <f>G1064*AM1064</f>
        <v>0</v>
      </c>
      <c r="BG1064" s="25">
        <f>G1064*AN1064</f>
        <v>0</v>
      </c>
      <c r="BH1064" s="25">
        <f>G1064*H1064</f>
        <v>0</v>
      </c>
      <c r="BI1064" s="27" t="s">
        <v>65</v>
      </c>
      <c r="BJ1064" s="25">
        <v>61</v>
      </c>
      <c r="BU1064" s="25" t="e">
        <f>#REF!</f>
        <v>#REF!</v>
      </c>
      <c r="BV1064" s="4" t="s">
        <v>732</v>
      </c>
    </row>
    <row r="1065" spans="1:74" ht="14.4" x14ac:dyDescent="0.3">
      <c r="A1065" s="28"/>
      <c r="D1065" s="29" t="s">
        <v>1222</v>
      </c>
      <c r="E1065" s="29" t="s">
        <v>366</v>
      </c>
      <c r="G1065" s="30">
        <v>19.878</v>
      </c>
      <c r="H1065" s="63"/>
      <c r="N1065" s="31"/>
    </row>
    <row r="1066" spans="1:74" ht="14.4" x14ac:dyDescent="0.3">
      <c r="A1066" s="28"/>
      <c r="D1066" s="29" t="s">
        <v>1223</v>
      </c>
      <c r="E1066" s="29" t="s">
        <v>52</v>
      </c>
      <c r="G1066" s="30">
        <v>14.789</v>
      </c>
      <c r="H1066" s="63"/>
      <c r="N1066" s="31"/>
    </row>
    <row r="1067" spans="1:74" ht="14.4" x14ac:dyDescent="0.3">
      <c r="A1067" s="28"/>
      <c r="D1067" s="29" t="s">
        <v>1224</v>
      </c>
      <c r="E1067" s="29" t="s">
        <v>52</v>
      </c>
      <c r="G1067" s="30">
        <v>20.965</v>
      </c>
      <c r="H1067" s="63"/>
      <c r="N1067" s="31"/>
    </row>
    <row r="1068" spans="1:74" ht="14.4" x14ac:dyDescent="0.3">
      <c r="A1068" s="28"/>
      <c r="D1068" s="29" t="s">
        <v>1225</v>
      </c>
      <c r="E1068" s="29" t="s">
        <v>52</v>
      </c>
      <c r="G1068" s="30">
        <v>4.5940000000000003</v>
      </c>
      <c r="H1068" s="63"/>
      <c r="N1068" s="31"/>
    </row>
    <row r="1069" spans="1:74" ht="14.4" x14ac:dyDescent="0.3">
      <c r="A1069" s="28"/>
      <c r="D1069" s="29" t="s">
        <v>1226</v>
      </c>
      <c r="E1069" s="29" t="s">
        <v>52</v>
      </c>
      <c r="G1069" s="30">
        <v>11.492000000000001</v>
      </c>
      <c r="H1069" s="63"/>
      <c r="N1069" s="31"/>
    </row>
    <row r="1070" spans="1:74" ht="14.4" x14ac:dyDescent="0.3">
      <c r="A1070" s="28"/>
      <c r="D1070" s="29" t="s">
        <v>1227</v>
      </c>
      <c r="E1070" s="29" t="s">
        <v>52</v>
      </c>
      <c r="G1070" s="30">
        <v>0.77600000000000002</v>
      </c>
      <c r="H1070" s="63"/>
      <c r="N1070" s="31"/>
    </row>
    <row r="1071" spans="1:74" ht="14.4" x14ac:dyDescent="0.3">
      <c r="A1071" s="28"/>
      <c r="D1071" s="29" t="s">
        <v>1228</v>
      </c>
      <c r="E1071" s="29" t="s">
        <v>337</v>
      </c>
      <c r="G1071" s="30">
        <v>25.861000000000001</v>
      </c>
      <c r="H1071" s="63"/>
      <c r="N1071" s="31"/>
    </row>
    <row r="1072" spans="1:74" ht="14.4" x14ac:dyDescent="0.3">
      <c r="A1072" s="28"/>
      <c r="D1072" s="29" t="s">
        <v>1229</v>
      </c>
      <c r="E1072" s="29" t="s">
        <v>361</v>
      </c>
      <c r="G1072" s="30">
        <v>41.856000000000002</v>
      </c>
      <c r="H1072" s="63"/>
      <c r="N1072" s="31"/>
    </row>
    <row r="1073" spans="1:74" ht="14.4" x14ac:dyDescent="0.3">
      <c r="A1073" s="28"/>
      <c r="D1073" s="29" t="s">
        <v>1230</v>
      </c>
      <c r="E1073" s="29" t="s">
        <v>370</v>
      </c>
      <c r="G1073" s="30">
        <v>26.190999999999999</v>
      </c>
      <c r="H1073" s="63"/>
      <c r="N1073" s="31"/>
    </row>
    <row r="1074" spans="1:74" ht="14.4" x14ac:dyDescent="0.3">
      <c r="A1074" s="28"/>
      <c r="D1074" s="29" t="s">
        <v>1231</v>
      </c>
      <c r="E1074" s="29" t="s">
        <v>363</v>
      </c>
      <c r="G1074" s="30">
        <v>11.324999999999999</v>
      </c>
      <c r="H1074" s="63"/>
      <c r="N1074" s="31"/>
    </row>
    <row r="1075" spans="1:74" ht="14.4" x14ac:dyDescent="0.3">
      <c r="A1075" s="28"/>
      <c r="D1075" s="29" t="s">
        <v>1232</v>
      </c>
      <c r="E1075" s="29" t="s">
        <v>373</v>
      </c>
      <c r="G1075" s="30">
        <v>24.099</v>
      </c>
      <c r="H1075" s="63"/>
      <c r="N1075" s="31"/>
    </row>
    <row r="1076" spans="1:74" ht="14.4" x14ac:dyDescent="0.3">
      <c r="A1076" s="28"/>
      <c r="D1076" s="29" t="s">
        <v>1233</v>
      </c>
      <c r="E1076" s="29" t="s">
        <v>375</v>
      </c>
      <c r="G1076" s="30">
        <v>8.0370000000000008</v>
      </c>
      <c r="H1076" s="63"/>
      <c r="N1076" s="31"/>
    </row>
    <row r="1077" spans="1:74" ht="14.4" x14ac:dyDescent="0.3">
      <c r="A1077" s="28"/>
      <c r="D1077" s="29" t="s">
        <v>1234</v>
      </c>
      <c r="E1077" s="29" t="s">
        <v>377</v>
      </c>
      <c r="G1077" s="30">
        <v>7.4050000000000002</v>
      </c>
      <c r="H1077" s="63"/>
      <c r="N1077" s="31"/>
    </row>
    <row r="1078" spans="1:74" ht="14.4" x14ac:dyDescent="0.3">
      <c r="A1078" s="28"/>
      <c r="D1078" s="29" t="s">
        <v>1235</v>
      </c>
      <c r="E1078" s="29" t="s">
        <v>335</v>
      </c>
      <c r="G1078" s="30">
        <v>48.557000000000002</v>
      </c>
      <c r="H1078" s="63"/>
      <c r="N1078" s="31"/>
    </row>
    <row r="1079" spans="1:74" ht="14.4" x14ac:dyDescent="0.3">
      <c r="A1079" s="21" t="s">
        <v>52</v>
      </c>
      <c r="B1079" s="22" t="s">
        <v>1101</v>
      </c>
      <c r="C1079" s="22" t="s">
        <v>441</v>
      </c>
      <c r="D1079" s="170" t="s">
        <v>742</v>
      </c>
      <c r="E1079" s="171"/>
      <c r="F1079" s="23" t="s">
        <v>32</v>
      </c>
      <c r="G1079" s="23" t="s">
        <v>32</v>
      </c>
      <c r="H1079" s="64"/>
      <c r="I1079" s="1">
        <f>SUM(I1080:I1094)</f>
        <v>0</v>
      </c>
      <c r="J1079" s="1">
        <f>SUM(J1080:J1094)</f>
        <v>0</v>
      </c>
      <c r="K1079" s="1">
        <f>SUM(K1080:K1094)</f>
        <v>0</v>
      </c>
      <c r="L1079" s="10" t="s">
        <v>52</v>
      </c>
      <c r="M1079" s="1">
        <f>SUM(M1080:M1094)</f>
        <v>16.527983459999998</v>
      </c>
      <c r="N1079" s="24"/>
      <c r="AG1079" s="10" t="s">
        <v>1101</v>
      </c>
      <c r="AQ1079" s="1">
        <f>SUM(AH1080:AH1094)</f>
        <v>0</v>
      </c>
      <c r="AR1079" s="1">
        <f>SUM(AI1080:AI1094)</f>
        <v>0</v>
      </c>
      <c r="AS1079" s="1">
        <f>SUM(AJ1080:AJ1094)</f>
        <v>0</v>
      </c>
    </row>
    <row r="1080" spans="1:74" ht="14.4" x14ac:dyDescent="0.3">
      <c r="A1080" s="2" t="s">
        <v>1282</v>
      </c>
      <c r="B1080" s="3" t="s">
        <v>1101</v>
      </c>
      <c r="C1080" s="3" t="s">
        <v>1283</v>
      </c>
      <c r="D1080" s="112" t="s">
        <v>1284</v>
      </c>
      <c r="E1080" s="109"/>
      <c r="F1080" s="3" t="s">
        <v>60</v>
      </c>
      <c r="G1080" s="25">
        <v>2.7480000000000002</v>
      </c>
      <c r="H1080" s="62"/>
      <c r="I1080" s="25">
        <f>ROUND(G1080*AM1080,2)</f>
        <v>0</v>
      </c>
      <c r="J1080" s="25">
        <f>ROUND(G1080*AN1080,2)</f>
        <v>0</v>
      </c>
      <c r="K1080" s="25">
        <f>ROUND(G1080*H1080,2)</f>
        <v>0</v>
      </c>
      <c r="L1080" s="25">
        <v>6.3E-2</v>
      </c>
      <c r="M1080" s="25">
        <f>G1080*L1080</f>
        <v>0.17312400000000003</v>
      </c>
      <c r="N1080" s="26"/>
      <c r="X1080" s="25">
        <f>ROUND(IF(AO1080="5",BH1080,0),2)</f>
        <v>0</v>
      </c>
      <c r="Z1080" s="25">
        <f>ROUND(IF(AO1080="1",BF1080,0),2)</f>
        <v>0</v>
      </c>
      <c r="AA1080" s="25">
        <f>ROUND(IF(AO1080="1",BG1080,0),2)</f>
        <v>0</v>
      </c>
      <c r="AB1080" s="25">
        <f>ROUND(IF(AO1080="7",BF1080,0),2)</f>
        <v>0</v>
      </c>
      <c r="AC1080" s="25">
        <f>ROUND(IF(AO1080="7",BG1080,0),2)</f>
        <v>0</v>
      </c>
      <c r="AD1080" s="25">
        <f>ROUND(IF(AO1080="2",BF1080,0),2)</f>
        <v>0</v>
      </c>
      <c r="AE1080" s="25">
        <f>ROUND(IF(AO1080="2",BG1080,0),2)</f>
        <v>0</v>
      </c>
      <c r="AF1080" s="25">
        <f>ROUND(IF(AO1080="0",BH1080,0),2)</f>
        <v>0</v>
      </c>
      <c r="AG1080" s="10" t="s">
        <v>1101</v>
      </c>
      <c r="AH1080" s="25">
        <f>IF(AL1080=0,K1080,0)</f>
        <v>0</v>
      </c>
      <c r="AI1080" s="25">
        <f>IF(AL1080=12,K1080,0)</f>
        <v>0</v>
      </c>
      <c r="AJ1080" s="25">
        <f>IF(AL1080=21,K1080,0)</f>
        <v>0</v>
      </c>
      <c r="AL1080" s="25">
        <v>21</v>
      </c>
      <c r="AM1080" s="25">
        <f>H1080*0.594735861</f>
        <v>0</v>
      </c>
      <c r="AN1080" s="25">
        <f>H1080*(1-0.594735861)</f>
        <v>0</v>
      </c>
      <c r="AO1080" s="27" t="s">
        <v>57</v>
      </c>
      <c r="AT1080" s="25">
        <f>ROUND(AU1080+AV1080,2)</f>
        <v>0</v>
      </c>
      <c r="AU1080" s="25">
        <f>ROUND(G1080*AM1080,2)</f>
        <v>0</v>
      </c>
      <c r="AV1080" s="25">
        <f>ROUND(G1080*AN1080,2)</f>
        <v>0</v>
      </c>
      <c r="AW1080" s="27" t="s">
        <v>746</v>
      </c>
      <c r="AX1080" s="27" t="s">
        <v>1209</v>
      </c>
      <c r="AY1080" s="10" t="s">
        <v>1105</v>
      </c>
      <c r="BA1080" s="25">
        <f>AU1080+AV1080</f>
        <v>0</v>
      </c>
      <c r="BB1080" s="25">
        <f>H1080/(100-BC1080)*100</f>
        <v>0</v>
      </c>
      <c r="BC1080" s="25">
        <v>0</v>
      </c>
      <c r="BD1080" s="25">
        <f>M1080</f>
        <v>0.17312400000000003</v>
      </c>
      <c r="BF1080" s="25">
        <f>G1080*AM1080</f>
        <v>0</v>
      </c>
      <c r="BG1080" s="25">
        <f>G1080*AN1080</f>
        <v>0</v>
      </c>
      <c r="BH1080" s="25">
        <f>G1080*H1080</f>
        <v>0</v>
      </c>
      <c r="BI1080" s="27" t="s">
        <v>65</v>
      </c>
      <c r="BJ1080" s="25">
        <v>63</v>
      </c>
      <c r="BU1080" s="25" t="e">
        <f>#REF!</f>
        <v>#REF!</v>
      </c>
      <c r="BV1080" s="4" t="s">
        <v>1284</v>
      </c>
    </row>
    <row r="1081" spans="1:74" ht="14.4" x14ac:dyDescent="0.3">
      <c r="A1081" s="28"/>
      <c r="D1081" s="29" t="s">
        <v>1285</v>
      </c>
      <c r="E1081" s="29" t="s">
        <v>52</v>
      </c>
      <c r="G1081" s="30">
        <v>2.7480000000000002</v>
      </c>
      <c r="H1081" s="63"/>
      <c r="N1081" s="31"/>
    </row>
    <row r="1082" spans="1:74" ht="14.4" x14ac:dyDescent="0.3">
      <c r="A1082" s="2" t="s">
        <v>1286</v>
      </c>
      <c r="B1082" s="3" t="s">
        <v>1101</v>
      </c>
      <c r="C1082" s="3" t="s">
        <v>771</v>
      </c>
      <c r="D1082" s="112" t="s">
        <v>772</v>
      </c>
      <c r="E1082" s="109"/>
      <c r="F1082" s="3" t="s">
        <v>60</v>
      </c>
      <c r="G1082" s="25">
        <v>125.8</v>
      </c>
      <c r="H1082" s="62"/>
      <c r="I1082" s="25">
        <f>ROUND(G1082*AM1082,2)</f>
        <v>0</v>
      </c>
      <c r="J1082" s="25">
        <f>ROUND(G1082*AN1082,2)</f>
        <v>0</v>
      </c>
      <c r="K1082" s="25">
        <f>ROUND(G1082*H1082,2)</f>
        <v>0</v>
      </c>
      <c r="L1082" s="25">
        <v>2.7150000000000001E-2</v>
      </c>
      <c r="M1082" s="25">
        <f>G1082*L1082</f>
        <v>3.41547</v>
      </c>
      <c r="N1082" s="26"/>
      <c r="X1082" s="25">
        <f>ROUND(IF(AO1082="5",BH1082,0),2)</f>
        <v>0</v>
      </c>
      <c r="Z1082" s="25">
        <f>ROUND(IF(AO1082="1",BF1082,0),2)</f>
        <v>0</v>
      </c>
      <c r="AA1082" s="25">
        <f>ROUND(IF(AO1082="1",BG1082,0),2)</f>
        <v>0</v>
      </c>
      <c r="AB1082" s="25">
        <f>ROUND(IF(AO1082="7",BF1082,0),2)</f>
        <v>0</v>
      </c>
      <c r="AC1082" s="25">
        <f>ROUND(IF(AO1082="7",BG1082,0),2)</f>
        <v>0</v>
      </c>
      <c r="AD1082" s="25">
        <f>ROUND(IF(AO1082="2",BF1082,0),2)</f>
        <v>0</v>
      </c>
      <c r="AE1082" s="25">
        <f>ROUND(IF(AO1082="2",BG1082,0),2)</f>
        <v>0</v>
      </c>
      <c r="AF1082" s="25">
        <f>ROUND(IF(AO1082="0",BH1082,0),2)</f>
        <v>0</v>
      </c>
      <c r="AG1082" s="10" t="s">
        <v>1101</v>
      </c>
      <c r="AH1082" s="25">
        <f>IF(AL1082=0,K1082,0)</f>
        <v>0</v>
      </c>
      <c r="AI1082" s="25">
        <f>IF(AL1082=12,K1082,0)</f>
        <v>0</v>
      </c>
      <c r="AJ1082" s="25">
        <f>IF(AL1082=21,K1082,0)</f>
        <v>0</v>
      </c>
      <c r="AL1082" s="25">
        <v>21</v>
      </c>
      <c r="AM1082" s="25">
        <f>H1082*0.664165589</f>
        <v>0</v>
      </c>
      <c r="AN1082" s="25">
        <f>H1082*(1-0.664165589)</f>
        <v>0</v>
      </c>
      <c r="AO1082" s="27" t="s">
        <v>57</v>
      </c>
      <c r="AT1082" s="25">
        <f>ROUND(AU1082+AV1082,2)</f>
        <v>0</v>
      </c>
      <c r="AU1082" s="25">
        <f>ROUND(G1082*AM1082,2)</f>
        <v>0</v>
      </c>
      <c r="AV1082" s="25">
        <f>ROUND(G1082*AN1082,2)</f>
        <v>0</v>
      </c>
      <c r="AW1082" s="27" t="s">
        <v>746</v>
      </c>
      <c r="AX1082" s="27" t="s">
        <v>1209</v>
      </c>
      <c r="AY1082" s="10" t="s">
        <v>1105</v>
      </c>
      <c r="BA1082" s="25">
        <f>AU1082+AV1082</f>
        <v>0</v>
      </c>
      <c r="BB1082" s="25">
        <f>H1082/(100-BC1082)*100</f>
        <v>0</v>
      </c>
      <c r="BC1082" s="25">
        <v>0</v>
      </c>
      <c r="BD1082" s="25">
        <f>M1082</f>
        <v>3.41547</v>
      </c>
      <c r="BF1082" s="25">
        <f>G1082*AM1082</f>
        <v>0</v>
      </c>
      <c r="BG1082" s="25">
        <f>G1082*AN1082</f>
        <v>0</v>
      </c>
      <c r="BH1082" s="25">
        <f>G1082*H1082</f>
        <v>0</v>
      </c>
      <c r="BI1082" s="27" t="s">
        <v>65</v>
      </c>
      <c r="BJ1082" s="25">
        <v>63</v>
      </c>
      <c r="BU1082" s="25" t="e">
        <f>#REF!</f>
        <v>#REF!</v>
      </c>
      <c r="BV1082" s="4" t="s">
        <v>772</v>
      </c>
    </row>
    <row r="1083" spans="1:74" ht="14.4" x14ac:dyDescent="0.3">
      <c r="A1083" s="28"/>
      <c r="D1083" s="29" t="s">
        <v>1287</v>
      </c>
      <c r="E1083" s="29" t="s">
        <v>1288</v>
      </c>
      <c r="G1083" s="30">
        <v>102.51</v>
      </c>
      <c r="H1083" s="63"/>
      <c r="N1083" s="31"/>
    </row>
    <row r="1084" spans="1:74" ht="14.4" x14ac:dyDescent="0.3">
      <c r="A1084" s="28"/>
      <c r="D1084" s="29" t="s">
        <v>381</v>
      </c>
      <c r="E1084" s="29" t="s">
        <v>361</v>
      </c>
      <c r="G1084" s="30">
        <v>9.35</v>
      </c>
      <c r="H1084" s="63"/>
      <c r="N1084" s="31"/>
    </row>
    <row r="1085" spans="1:74" ht="14.4" x14ac:dyDescent="0.3">
      <c r="A1085" s="28"/>
      <c r="D1085" s="29" t="s">
        <v>1289</v>
      </c>
      <c r="E1085" s="29" t="s">
        <v>370</v>
      </c>
      <c r="G1085" s="30">
        <v>8.24</v>
      </c>
      <c r="H1085" s="63"/>
      <c r="N1085" s="31"/>
    </row>
    <row r="1086" spans="1:74" ht="14.4" x14ac:dyDescent="0.3">
      <c r="A1086" s="28"/>
      <c r="D1086" s="29" t="s">
        <v>1290</v>
      </c>
      <c r="E1086" s="29" t="s">
        <v>373</v>
      </c>
      <c r="G1086" s="30">
        <v>5.7</v>
      </c>
      <c r="H1086" s="63"/>
      <c r="N1086" s="31"/>
    </row>
    <row r="1087" spans="1:74" ht="14.4" x14ac:dyDescent="0.3">
      <c r="A1087" s="2" t="s">
        <v>1291</v>
      </c>
      <c r="B1087" s="3" t="s">
        <v>1101</v>
      </c>
      <c r="C1087" s="3" t="s">
        <v>765</v>
      </c>
      <c r="D1087" s="112" t="s">
        <v>766</v>
      </c>
      <c r="E1087" s="109"/>
      <c r="F1087" s="3" t="s">
        <v>60</v>
      </c>
      <c r="G1087" s="25">
        <v>125.03</v>
      </c>
      <c r="H1087" s="62"/>
      <c r="I1087" s="25">
        <f>ROUND(G1087*AM1087,2)</f>
        <v>0</v>
      </c>
      <c r="J1087" s="25">
        <f>ROUND(G1087*AN1087,2)</f>
        <v>0</v>
      </c>
      <c r="K1087" s="25">
        <f>ROUND(G1087*H1087,2)</f>
        <v>0</v>
      </c>
      <c r="L1087" s="25">
        <v>0.10013</v>
      </c>
      <c r="M1087" s="25">
        <f>G1087*L1087</f>
        <v>12.519253899999999</v>
      </c>
      <c r="N1087" s="26"/>
      <c r="X1087" s="25">
        <f>ROUND(IF(AO1087="5",BH1087,0),2)</f>
        <v>0</v>
      </c>
      <c r="Z1087" s="25">
        <f>ROUND(IF(AO1087="1",BF1087,0),2)</f>
        <v>0</v>
      </c>
      <c r="AA1087" s="25">
        <f>ROUND(IF(AO1087="1",BG1087,0),2)</f>
        <v>0</v>
      </c>
      <c r="AB1087" s="25">
        <f>ROUND(IF(AO1087="7",BF1087,0),2)</f>
        <v>0</v>
      </c>
      <c r="AC1087" s="25">
        <f>ROUND(IF(AO1087="7",BG1087,0),2)</f>
        <v>0</v>
      </c>
      <c r="AD1087" s="25">
        <f>ROUND(IF(AO1087="2",BF1087,0),2)</f>
        <v>0</v>
      </c>
      <c r="AE1087" s="25">
        <f>ROUND(IF(AO1087="2",BG1087,0),2)</f>
        <v>0</v>
      </c>
      <c r="AF1087" s="25">
        <f>ROUND(IF(AO1087="0",BH1087,0),2)</f>
        <v>0</v>
      </c>
      <c r="AG1087" s="10" t="s">
        <v>1101</v>
      </c>
      <c r="AH1087" s="25">
        <f>IF(AL1087=0,K1087,0)</f>
        <v>0</v>
      </c>
      <c r="AI1087" s="25">
        <f>IF(AL1087=12,K1087,0)</f>
        <v>0</v>
      </c>
      <c r="AJ1087" s="25">
        <f>IF(AL1087=21,K1087,0)</f>
        <v>0</v>
      </c>
      <c r="AL1087" s="25">
        <v>21</v>
      </c>
      <c r="AM1087" s="25">
        <f>H1087*0.686276295</f>
        <v>0</v>
      </c>
      <c r="AN1087" s="25">
        <f>H1087*(1-0.686276295)</f>
        <v>0</v>
      </c>
      <c r="AO1087" s="27" t="s">
        <v>57</v>
      </c>
      <c r="AT1087" s="25">
        <f>ROUND(AU1087+AV1087,2)</f>
        <v>0</v>
      </c>
      <c r="AU1087" s="25">
        <f>ROUND(G1087*AM1087,2)</f>
        <v>0</v>
      </c>
      <c r="AV1087" s="25">
        <f>ROUND(G1087*AN1087,2)</f>
        <v>0</v>
      </c>
      <c r="AW1087" s="27" t="s">
        <v>746</v>
      </c>
      <c r="AX1087" s="27" t="s">
        <v>1209</v>
      </c>
      <c r="AY1087" s="10" t="s">
        <v>1105</v>
      </c>
      <c r="BA1087" s="25">
        <f>AU1087+AV1087</f>
        <v>0</v>
      </c>
      <c r="BB1087" s="25">
        <f>H1087/(100-BC1087)*100</f>
        <v>0</v>
      </c>
      <c r="BC1087" s="25">
        <v>0</v>
      </c>
      <c r="BD1087" s="25">
        <f>M1087</f>
        <v>12.519253899999999</v>
      </c>
      <c r="BF1087" s="25">
        <f>G1087*AM1087</f>
        <v>0</v>
      </c>
      <c r="BG1087" s="25">
        <f>G1087*AN1087</f>
        <v>0</v>
      </c>
      <c r="BH1087" s="25">
        <f>G1087*H1087</f>
        <v>0</v>
      </c>
      <c r="BI1087" s="27" t="s">
        <v>65</v>
      </c>
      <c r="BJ1087" s="25">
        <v>63</v>
      </c>
      <c r="BU1087" s="25" t="e">
        <f>#REF!</f>
        <v>#REF!</v>
      </c>
      <c r="BV1087" s="4" t="s">
        <v>766</v>
      </c>
    </row>
    <row r="1088" spans="1:74" ht="14.4" x14ac:dyDescent="0.3">
      <c r="A1088" s="28"/>
      <c r="D1088" s="29" t="s">
        <v>1292</v>
      </c>
      <c r="E1088" s="29" t="s">
        <v>366</v>
      </c>
      <c r="G1088" s="30">
        <v>117.85</v>
      </c>
      <c r="H1088" s="63"/>
      <c r="N1088" s="31"/>
    </row>
    <row r="1089" spans="1:74" ht="14.4" x14ac:dyDescent="0.3">
      <c r="A1089" s="28"/>
      <c r="D1089" s="29" t="s">
        <v>391</v>
      </c>
      <c r="E1089" s="29" t="s">
        <v>363</v>
      </c>
      <c r="G1089" s="30">
        <v>2.73</v>
      </c>
      <c r="H1089" s="63"/>
      <c r="N1089" s="31"/>
    </row>
    <row r="1090" spans="1:74" ht="14.4" x14ac:dyDescent="0.3">
      <c r="A1090" s="28"/>
      <c r="D1090" s="29" t="s">
        <v>1293</v>
      </c>
      <c r="E1090" s="29" t="s">
        <v>375</v>
      </c>
      <c r="G1090" s="30">
        <v>1.69</v>
      </c>
      <c r="H1090" s="63"/>
      <c r="N1090" s="31"/>
    </row>
    <row r="1091" spans="1:74" ht="14.4" x14ac:dyDescent="0.3">
      <c r="A1091" s="28"/>
      <c r="D1091" s="29" t="s">
        <v>386</v>
      </c>
      <c r="E1091" s="29" t="s">
        <v>377</v>
      </c>
      <c r="G1091" s="30">
        <v>2.76</v>
      </c>
      <c r="H1091" s="63"/>
      <c r="N1091" s="31"/>
    </row>
    <row r="1092" spans="1:74" ht="14.4" x14ac:dyDescent="0.3">
      <c r="A1092" s="2" t="s">
        <v>1294</v>
      </c>
      <c r="B1092" s="3" t="s">
        <v>1101</v>
      </c>
      <c r="C1092" s="3" t="s">
        <v>744</v>
      </c>
      <c r="D1092" s="112" t="s">
        <v>745</v>
      </c>
      <c r="E1092" s="109"/>
      <c r="F1092" s="3" t="s">
        <v>278</v>
      </c>
      <c r="G1092" s="25">
        <v>0.38900000000000001</v>
      </c>
      <c r="H1092" s="62"/>
      <c r="I1092" s="25">
        <f>ROUND(G1092*AM1092,2)</f>
        <v>0</v>
      </c>
      <c r="J1092" s="25">
        <f>ROUND(G1092*AN1092,2)</f>
        <v>0</v>
      </c>
      <c r="K1092" s="25">
        <f>ROUND(G1092*H1092,2)</f>
        <v>0</v>
      </c>
      <c r="L1092" s="25">
        <v>1.0800399999999999</v>
      </c>
      <c r="M1092" s="25">
        <f>G1092*L1092</f>
        <v>0.42013555999999996</v>
      </c>
      <c r="N1092" s="26"/>
      <c r="X1092" s="25">
        <f>ROUND(IF(AO1092="5",BH1092,0),2)</f>
        <v>0</v>
      </c>
      <c r="Z1092" s="25">
        <f>ROUND(IF(AO1092="1",BF1092,0),2)</f>
        <v>0</v>
      </c>
      <c r="AA1092" s="25">
        <f>ROUND(IF(AO1092="1",BG1092,0),2)</f>
        <v>0</v>
      </c>
      <c r="AB1092" s="25">
        <f>ROUND(IF(AO1092="7",BF1092,0),2)</f>
        <v>0</v>
      </c>
      <c r="AC1092" s="25">
        <f>ROUND(IF(AO1092="7",BG1092,0),2)</f>
        <v>0</v>
      </c>
      <c r="AD1092" s="25">
        <f>ROUND(IF(AO1092="2",BF1092,0),2)</f>
        <v>0</v>
      </c>
      <c r="AE1092" s="25">
        <f>ROUND(IF(AO1092="2",BG1092,0),2)</f>
        <v>0</v>
      </c>
      <c r="AF1092" s="25">
        <f>ROUND(IF(AO1092="0",BH1092,0),2)</f>
        <v>0</v>
      </c>
      <c r="AG1092" s="10" t="s">
        <v>1101</v>
      </c>
      <c r="AH1092" s="25">
        <f>IF(AL1092=0,K1092,0)</f>
        <v>0</v>
      </c>
      <c r="AI1092" s="25">
        <f>IF(AL1092=12,K1092,0)</f>
        <v>0</v>
      </c>
      <c r="AJ1092" s="25">
        <f>IF(AL1092=21,K1092,0)</f>
        <v>0</v>
      </c>
      <c r="AL1092" s="25">
        <v>21</v>
      </c>
      <c r="AM1092" s="25">
        <f>H1092*0.758055502</f>
        <v>0</v>
      </c>
      <c r="AN1092" s="25">
        <f>H1092*(1-0.758055502)</f>
        <v>0</v>
      </c>
      <c r="AO1092" s="27" t="s">
        <v>57</v>
      </c>
      <c r="AT1092" s="25">
        <f>ROUND(AU1092+AV1092,2)</f>
        <v>0</v>
      </c>
      <c r="AU1092" s="25">
        <f>ROUND(G1092*AM1092,2)</f>
        <v>0</v>
      </c>
      <c r="AV1092" s="25">
        <f>ROUND(G1092*AN1092,2)</f>
        <v>0</v>
      </c>
      <c r="AW1092" s="27" t="s">
        <v>746</v>
      </c>
      <c r="AX1092" s="27" t="s">
        <v>1209</v>
      </c>
      <c r="AY1092" s="10" t="s">
        <v>1105</v>
      </c>
      <c r="BA1092" s="25">
        <f>AU1092+AV1092</f>
        <v>0</v>
      </c>
      <c r="BB1092" s="25">
        <f>H1092/(100-BC1092)*100</f>
        <v>0</v>
      </c>
      <c r="BC1092" s="25">
        <v>0</v>
      </c>
      <c r="BD1092" s="25">
        <f>M1092</f>
        <v>0.42013555999999996</v>
      </c>
      <c r="BF1092" s="25">
        <f>G1092*AM1092</f>
        <v>0</v>
      </c>
      <c r="BG1092" s="25">
        <f>G1092*AN1092</f>
        <v>0</v>
      </c>
      <c r="BH1092" s="25">
        <f>G1092*H1092</f>
        <v>0</v>
      </c>
      <c r="BI1092" s="27" t="s">
        <v>65</v>
      </c>
      <c r="BJ1092" s="25">
        <v>63</v>
      </c>
      <c r="BU1092" s="25" t="e">
        <f>#REF!</f>
        <v>#REF!</v>
      </c>
      <c r="BV1092" s="4" t="s">
        <v>745</v>
      </c>
    </row>
    <row r="1093" spans="1:74" ht="14.4" x14ac:dyDescent="0.3">
      <c r="A1093" s="28"/>
      <c r="D1093" s="29" t="s">
        <v>1295</v>
      </c>
      <c r="E1093" s="29" t="s">
        <v>1296</v>
      </c>
      <c r="G1093" s="30">
        <v>0.38900000000000001</v>
      </c>
      <c r="H1093" s="63"/>
      <c r="N1093" s="31"/>
    </row>
    <row r="1094" spans="1:74" ht="14.4" x14ac:dyDescent="0.3">
      <c r="A1094" s="2" t="s">
        <v>1297</v>
      </c>
      <c r="B1094" s="3" t="s">
        <v>1101</v>
      </c>
      <c r="C1094" s="3" t="s">
        <v>774</v>
      </c>
      <c r="D1094" s="112" t="s">
        <v>775</v>
      </c>
      <c r="E1094" s="109"/>
      <c r="F1094" s="3" t="s">
        <v>148</v>
      </c>
      <c r="G1094" s="25">
        <v>8.8059999999999992</v>
      </c>
      <c r="H1094" s="62"/>
      <c r="I1094" s="25">
        <f>ROUND(G1094*AM1094,2)</f>
        <v>0</v>
      </c>
      <c r="J1094" s="25">
        <f>ROUND(G1094*AN1094,2)</f>
        <v>0</v>
      </c>
      <c r="K1094" s="25">
        <f>ROUND(G1094*H1094,2)</f>
        <v>0</v>
      </c>
      <c r="L1094" s="25">
        <v>0</v>
      </c>
      <c r="M1094" s="25">
        <f>G1094*L1094</f>
        <v>0</v>
      </c>
      <c r="N1094" s="26"/>
      <c r="X1094" s="25">
        <f>ROUND(IF(AO1094="5",BH1094,0),2)</f>
        <v>0</v>
      </c>
      <c r="Z1094" s="25">
        <f>ROUND(IF(AO1094="1",BF1094,0),2)</f>
        <v>0</v>
      </c>
      <c r="AA1094" s="25">
        <f>ROUND(IF(AO1094="1",BG1094,0),2)</f>
        <v>0</v>
      </c>
      <c r="AB1094" s="25">
        <f>ROUND(IF(AO1094="7",BF1094,0),2)</f>
        <v>0</v>
      </c>
      <c r="AC1094" s="25">
        <f>ROUND(IF(AO1094="7",BG1094,0),2)</f>
        <v>0</v>
      </c>
      <c r="AD1094" s="25">
        <f>ROUND(IF(AO1094="2",BF1094,0),2)</f>
        <v>0</v>
      </c>
      <c r="AE1094" s="25">
        <f>ROUND(IF(AO1094="2",BG1094,0),2)</f>
        <v>0</v>
      </c>
      <c r="AF1094" s="25">
        <f>ROUND(IF(AO1094="0",BH1094,0),2)</f>
        <v>0</v>
      </c>
      <c r="AG1094" s="10" t="s">
        <v>1101</v>
      </c>
      <c r="AH1094" s="25">
        <f>IF(AL1094=0,K1094,0)</f>
        <v>0</v>
      </c>
      <c r="AI1094" s="25">
        <f>IF(AL1094=12,K1094,0)</f>
        <v>0</v>
      </c>
      <c r="AJ1094" s="25">
        <f>IF(AL1094=21,K1094,0)</f>
        <v>0</v>
      </c>
      <c r="AL1094" s="25">
        <v>21</v>
      </c>
      <c r="AM1094" s="25">
        <f>H1094*0</f>
        <v>0</v>
      </c>
      <c r="AN1094" s="25">
        <f>H1094*(1-0)</f>
        <v>0</v>
      </c>
      <c r="AO1094" s="27" t="s">
        <v>57</v>
      </c>
      <c r="AT1094" s="25">
        <f>ROUND(AU1094+AV1094,2)</f>
        <v>0</v>
      </c>
      <c r="AU1094" s="25">
        <f>ROUND(G1094*AM1094,2)</f>
        <v>0</v>
      </c>
      <c r="AV1094" s="25">
        <f>ROUND(G1094*AN1094,2)</f>
        <v>0</v>
      </c>
      <c r="AW1094" s="27" t="s">
        <v>746</v>
      </c>
      <c r="AX1094" s="27" t="s">
        <v>1209</v>
      </c>
      <c r="AY1094" s="10" t="s">
        <v>1105</v>
      </c>
      <c r="BA1094" s="25">
        <f>AU1094+AV1094</f>
        <v>0</v>
      </c>
      <c r="BB1094" s="25">
        <f>H1094/(100-BC1094)*100</f>
        <v>0</v>
      </c>
      <c r="BC1094" s="25">
        <v>0</v>
      </c>
      <c r="BD1094" s="25">
        <f>M1094</f>
        <v>0</v>
      </c>
      <c r="BF1094" s="25">
        <f>G1094*AM1094</f>
        <v>0</v>
      </c>
      <c r="BG1094" s="25">
        <f>G1094*AN1094</f>
        <v>0</v>
      </c>
      <c r="BH1094" s="25">
        <f>G1094*H1094</f>
        <v>0</v>
      </c>
      <c r="BI1094" s="27" t="s">
        <v>65</v>
      </c>
      <c r="BJ1094" s="25">
        <v>63</v>
      </c>
      <c r="BU1094" s="25" t="e">
        <f>#REF!</f>
        <v>#REF!</v>
      </c>
      <c r="BV1094" s="4" t="s">
        <v>775</v>
      </c>
    </row>
    <row r="1095" spans="1:74" ht="14.4" x14ac:dyDescent="0.3">
      <c r="A1095" s="28"/>
      <c r="D1095" s="29" t="s">
        <v>1298</v>
      </c>
      <c r="E1095" s="29" t="s">
        <v>1288</v>
      </c>
      <c r="G1095" s="30">
        <v>7.1757</v>
      </c>
      <c r="H1095" s="63"/>
      <c r="N1095" s="31"/>
    </row>
    <row r="1096" spans="1:74" ht="14.4" x14ac:dyDescent="0.3">
      <c r="A1096" s="28"/>
      <c r="D1096" s="29" t="s">
        <v>368</v>
      </c>
      <c r="E1096" s="29" t="s">
        <v>361</v>
      </c>
      <c r="G1096" s="30">
        <v>0.65449999999999997</v>
      </c>
      <c r="H1096" s="63"/>
      <c r="N1096" s="31"/>
    </row>
    <row r="1097" spans="1:74" ht="14.4" x14ac:dyDescent="0.3">
      <c r="A1097" s="28"/>
      <c r="D1097" s="29" t="s">
        <v>1299</v>
      </c>
      <c r="E1097" s="29" t="s">
        <v>370</v>
      </c>
      <c r="G1097" s="30">
        <v>0.57679999999999998</v>
      </c>
      <c r="H1097" s="63"/>
      <c r="N1097" s="31"/>
    </row>
    <row r="1098" spans="1:74" ht="14.4" x14ac:dyDescent="0.3">
      <c r="A1098" s="28"/>
      <c r="D1098" s="29" t="s">
        <v>1300</v>
      </c>
      <c r="E1098" s="29" t="s">
        <v>373</v>
      </c>
      <c r="G1098" s="30">
        <v>0.39900000000000002</v>
      </c>
      <c r="H1098" s="63"/>
      <c r="N1098" s="31"/>
    </row>
    <row r="1099" spans="1:74" ht="14.4" x14ac:dyDescent="0.3">
      <c r="A1099" s="21" t="s">
        <v>52</v>
      </c>
      <c r="B1099" s="22" t="s">
        <v>1101</v>
      </c>
      <c r="C1099" s="22" t="s">
        <v>444</v>
      </c>
      <c r="D1099" s="170" t="s">
        <v>780</v>
      </c>
      <c r="E1099" s="171"/>
      <c r="F1099" s="23" t="s">
        <v>32</v>
      </c>
      <c r="G1099" s="23" t="s">
        <v>32</v>
      </c>
      <c r="H1099" s="64"/>
      <c r="I1099" s="1">
        <f>SUM(I1100:I1118)</f>
        <v>0</v>
      </c>
      <c r="J1099" s="1">
        <f>SUM(J1100:J1118)</f>
        <v>0</v>
      </c>
      <c r="K1099" s="1">
        <f>SUM(K1100:K1118)</f>
        <v>0</v>
      </c>
      <c r="L1099" s="10" t="s">
        <v>52</v>
      </c>
      <c r="M1099" s="1">
        <f>SUM(M1100:M1118)</f>
        <v>0.42245000000000005</v>
      </c>
      <c r="N1099" s="24"/>
      <c r="AG1099" s="10" t="s">
        <v>1101</v>
      </c>
      <c r="AQ1099" s="1">
        <f>SUM(AH1100:AH1118)</f>
        <v>0</v>
      </c>
      <c r="AR1099" s="1">
        <f>SUM(AI1100:AI1118)</f>
        <v>0</v>
      </c>
      <c r="AS1099" s="1">
        <f>SUM(AJ1100:AJ1118)</f>
        <v>0</v>
      </c>
    </row>
    <row r="1100" spans="1:74" ht="26.4" x14ac:dyDescent="0.3">
      <c r="A1100" s="2" t="s">
        <v>1301</v>
      </c>
      <c r="B1100" s="3" t="s">
        <v>1101</v>
      </c>
      <c r="C1100" s="3" t="s">
        <v>1302</v>
      </c>
      <c r="D1100" s="112" t="s">
        <v>1303</v>
      </c>
      <c r="E1100" s="109"/>
      <c r="F1100" s="3" t="s">
        <v>122</v>
      </c>
      <c r="G1100" s="25">
        <v>1</v>
      </c>
      <c r="H1100" s="62"/>
      <c r="I1100" s="25">
        <f>ROUND(G1100*AM1100,2)</f>
        <v>0</v>
      </c>
      <c r="J1100" s="25">
        <f>ROUND(G1100*AN1100,2)</f>
        <v>0</v>
      </c>
      <c r="K1100" s="25">
        <f>ROUND(G1100*H1100,2)</f>
        <v>0</v>
      </c>
      <c r="L1100" s="25">
        <v>4.2750000000000003E-2</v>
      </c>
      <c r="M1100" s="25">
        <f>G1100*L1100</f>
        <v>4.2750000000000003E-2</v>
      </c>
      <c r="N1100" s="26"/>
      <c r="X1100" s="25">
        <f>ROUND(IF(AO1100="5",BH1100,0),2)</f>
        <v>0</v>
      </c>
      <c r="Z1100" s="25">
        <f>ROUND(IF(AO1100="1",BF1100,0),2)</f>
        <v>0</v>
      </c>
      <c r="AA1100" s="25">
        <f>ROUND(IF(AO1100="1",BG1100,0),2)</f>
        <v>0</v>
      </c>
      <c r="AB1100" s="25">
        <f>ROUND(IF(AO1100="7",BF1100,0),2)</f>
        <v>0</v>
      </c>
      <c r="AC1100" s="25">
        <f>ROUND(IF(AO1100="7",BG1100,0),2)</f>
        <v>0</v>
      </c>
      <c r="AD1100" s="25">
        <f>ROUND(IF(AO1100="2",BF1100,0),2)</f>
        <v>0</v>
      </c>
      <c r="AE1100" s="25">
        <f>ROUND(IF(AO1100="2",BG1100,0),2)</f>
        <v>0</v>
      </c>
      <c r="AF1100" s="25">
        <f>ROUND(IF(AO1100="0",BH1100,0),2)</f>
        <v>0</v>
      </c>
      <c r="AG1100" s="10" t="s">
        <v>1101</v>
      </c>
      <c r="AH1100" s="25">
        <f>IF(AL1100=0,K1100,0)</f>
        <v>0</v>
      </c>
      <c r="AI1100" s="25">
        <f>IF(AL1100=12,K1100,0)</f>
        <v>0</v>
      </c>
      <c r="AJ1100" s="25">
        <f>IF(AL1100=21,K1100,0)</f>
        <v>0</v>
      </c>
      <c r="AL1100" s="25">
        <v>21</v>
      </c>
      <c r="AM1100" s="25">
        <f>H1100*0.914487034</f>
        <v>0</v>
      </c>
      <c r="AN1100" s="25">
        <f>H1100*(1-0.914487034)</f>
        <v>0</v>
      </c>
      <c r="AO1100" s="27" t="s">
        <v>57</v>
      </c>
      <c r="AT1100" s="25">
        <f>ROUND(AU1100+AV1100,2)</f>
        <v>0</v>
      </c>
      <c r="AU1100" s="25">
        <f>ROUND(G1100*AM1100,2)</f>
        <v>0</v>
      </c>
      <c r="AV1100" s="25">
        <f>ROUND(G1100*AN1100,2)</f>
        <v>0</v>
      </c>
      <c r="AW1100" s="27" t="s">
        <v>784</v>
      </c>
      <c r="AX1100" s="27" t="s">
        <v>1209</v>
      </c>
      <c r="AY1100" s="10" t="s">
        <v>1105</v>
      </c>
      <c r="BA1100" s="25">
        <f>AU1100+AV1100</f>
        <v>0</v>
      </c>
      <c r="BB1100" s="25">
        <f>H1100/(100-BC1100)*100</f>
        <v>0</v>
      </c>
      <c r="BC1100" s="25">
        <v>0</v>
      </c>
      <c r="BD1100" s="25">
        <f>M1100</f>
        <v>4.2750000000000003E-2</v>
      </c>
      <c r="BF1100" s="25">
        <f>G1100*AM1100</f>
        <v>0</v>
      </c>
      <c r="BG1100" s="25">
        <f>G1100*AN1100</f>
        <v>0</v>
      </c>
      <c r="BH1100" s="25">
        <f>G1100*H1100</f>
        <v>0</v>
      </c>
      <c r="BI1100" s="27" t="s">
        <v>65</v>
      </c>
      <c r="BJ1100" s="25">
        <v>64</v>
      </c>
      <c r="BU1100" s="25" t="e">
        <f>#REF!</f>
        <v>#REF!</v>
      </c>
      <c r="BV1100" s="4" t="s">
        <v>1303</v>
      </c>
    </row>
    <row r="1101" spans="1:74" ht="14.4" x14ac:dyDescent="0.3">
      <c r="A1101" s="28"/>
      <c r="D1101" s="29" t="s">
        <v>57</v>
      </c>
      <c r="E1101" s="29" t="s">
        <v>52</v>
      </c>
      <c r="G1101" s="30">
        <v>1</v>
      </c>
      <c r="H1101" s="63"/>
      <c r="N1101" s="31"/>
    </row>
    <row r="1102" spans="1:74" ht="14.4" x14ac:dyDescent="0.3">
      <c r="A1102" s="2" t="s">
        <v>1304</v>
      </c>
      <c r="B1102" s="3" t="s">
        <v>1101</v>
      </c>
      <c r="C1102" s="3" t="s">
        <v>782</v>
      </c>
      <c r="D1102" s="112" t="s">
        <v>783</v>
      </c>
      <c r="E1102" s="109"/>
      <c r="F1102" s="3" t="s">
        <v>122</v>
      </c>
      <c r="G1102" s="25">
        <v>10</v>
      </c>
      <c r="H1102" s="62"/>
      <c r="I1102" s="25">
        <f>ROUND(G1102*AM1102,2)</f>
        <v>0</v>
      </c>
      <c r="J1102" s="25">
        <f>ROUND(G1102*AN1102,2)</f>
        <v>0</v>
      </c>
      <c r="K1102" s="25">
        <f>ROUND(G1102*H1102,2)</f>
        <v>0</v>
      </c>
      <c r="L1102" s="25">
        <v>1.8970000000000001E-2</v>
      </c>
      <c r="M1102" s="25">
        <f>G1102*L1102</f>
        <v>0.18970000000000001</v>
      </c>
      <c r="N1102" s="26"/>
      <c r="X1102" s="25">
        <f>ROUND(IF(AO1102="5",BH1102,0),2)</f>
        <v>0</v>
      </c>
      <c r="Z1102" s="25">
        <f>ROUND(IF(AO1102="1",BF1102,0),2)</f>
        <v>0</v>
      </c>
      <c r="AA1102" s="25">
        <f>ROUND(IF(AO1102="1",BG1102,0),2)</f>
        <v>0</v>
      </c>
      <c r="AB1102" s="25">
        <f>ROUND(IF(AO1102="7",BF1102,0),2)</f>
        <v>0</v>
      </c>
      <c r="AC1102" s="25">
        <f>ROUND(IF(AO1102="7",BG1102,0),2)</f>
        <v>0</v>
      </c>
      <c r="AD1102" s="25">
        <f>ROUND(IF(AO1102="2",BF1102,0),2)</f>
        <v>0</v>
      </c>
      <c r="AE1102" s="25">
        <f>ROUND(IF(AO1102="2",BG1102,0),2)</f>
        <v>0</v>
      </c>
      <c r="AF1102" s="25">
        <f>ROUND(IF(AO1102="0",BH1102,0),2)</f>
        <v>0</v>
      </c>
      <c r="AG1102" s="10" t="s">
        <v>1101</v>
      </c>
      <c r="AH1102" s="25">
        <f>IF(AL1102=0,K1102,0)</f>
        <v>0</v>
      </c>
      <c r="AI1102" s="25">
        <f>IF(AL1102=12,K1102,0)</f>
        <v>0</v>
      </c>
      <c r="AJ1102" s="25">
        <f>IF(AL1102=21,K1102,0)</f>
        <v>0</v>
      </c>
      <c r="AL1102" s="25">
        <v>21</v>
      </c>
      <c r="AM1102" s="25">
        <f>H1102*0.023675048</f>
        <v>0</v>
      </c>
      <c r="AN1102" s="25">
        <f>H1102*(1-0.023675048)</f>
        <v>0</v>
      </c>
      <c r="AO1102" s="27" t="s">
        <v>57</v>
      </c>
      <c r="AT1102" s="25">
        <f>ROUND(AU1102+AV1102,2)</f>
        <v>0</v>
      </c>
      <c r="AU1102" s="25">
        <f>ROUND(G1102*AM1102,2)</f>
        <v>0</v>
      </c>
      <c r="AV1102" s="25">
        <f>ROUND(G1102*AN1102,2)</f>
        <v>0</v>
      </c>
      <c r="AW1102" s="27" t="s">
        <v>784</v>
      </c>
      <c r="AX1102" s="27" t="s">
        <v>1209</v>
      </c>
      <c r="AY1102" s="10" t="s">
        <v>1105</v>
      </c>
      <c r="BA1102" s="25">
        <f>AU1102+AV1102</f>
        <v>0</v>
      </c>
      <c r="BB1102" s="25">
        <f>H1102/(100-BC1102)*100</f>
        <v>0</v>
      </c>
      <c r="BC1102" s="25">
        <v>0</v>
      </c>
      <c r="BD1102" s="25">
        <f>M1102</f>
        <v>0.18970000000000001</v>
      </c>
      <c r="BF1102" s="25">
        <f>G1102*AM1102</f>
        <v>0</v>
      </c>
      <c r="BG1102" s="25">
        <f>G1102*AN1102</f>
        <v>0</v>
      </c>
      <c r="BH1102" s="25">
        <f>G1102*H1102</f>
        <v>0</v>
      </c>
      <c r="BI1102" s="27" t="s">
        <v>65</v>
      </c>
      <c r="BJ1102" s="25">
        <v>64</v>
      </c>
      <c r="BU1102" s="25" t="e">
        <f>#REF!</f>
        <v>#REF!</v>
      </c>
      <c r="BV1102" s="4" t="s">
        <v>783</v>
      </c>
    </row>
    <row r="1103" spans="1:74" ht="14.4" x14ac:dyDescent="0.3">
      <c r="A1103" s="28"/>
      <c r="D1103" s="29" t="s">
        <v>129</v>
      </c>
      <c r="E1103" s="29" t="s">
        <v>52</v>
      </c>
      <c r="G1103" s="30">
        <v>10</v>
      </c>
      <c r="H1103" s="63"/>
      <c r="N1103" s="31"/>
    </row>
    <row r="1104" spans="1:74" ht="26.4" x14ac:dyDescent="0.3">
      <c r="A1104" s="2" t="s">
        <v>1305</v>
      </c>
      <c r="B1104" s="3" t="s">
        <v>1101</v>
      </c>
      <c r="C1104" s="3" t="s">
        <v>798</v>
      </c>
      <c r="D1104" s="112" t="s">
        <v>799</v>
      </c>
      <c r="E1104" s="109"/>
      <c r="F1104" s="3" t="s">
        <v>122</v>
      </c>
      <c r="G1104" s="25">
        <v>3</v>
      </c>
      <c r="H1104" s="62"/>
      <c r="I1104" s="25">
        <f>ROUND(G1104*AM1104,2)</f>
        <v>0</v>
      </c>
      <c r="J1104" s="25">
        <f>ROUND(G1104*AN1104,2)</f>
        <v>0</v>
      </c>
      <c r="K1104" s="25">
        <f>ROUND(G1104*H1104,2)</f>
        <v>0</v>
      </c>
      <c r="L1104" s="25">
        <v>1.9400000000000001E-2</v>
      </c>
      <c r="M1104" s="25">
        <f>G1104*L1104</f>
        <v>5.8200000000000002E-2</v>
      </c>
      <c r="N1104" s="102"/>
      <c r="X1104" s="25">
        <f>ROUND(IF(AO1104="5",BH1104,0),2)</f>
        <v>0</v>
      </c>
      <c r="Z1104" s="25">
        <f>ROUND(IF(AO1104="1",BF1104,0),2)</f>
        <v>0</v>
      </c>
      <c r="AA1104" s="25">
        <f>ROUND(IF(AO1104="1",BG1104,0),2)</f>
        <v>0</v>
      </c>
      <c r="AB1104" s="25">
        <f>ROUND(IF(AO1104="7",BF1104,0),2)</f>
        <v>0</v>
      </c>
      <c r="AC1104" s="25">
        <f>ROUND(IF(AO1104="7",BG1104,0),2)</f>
        <v>0</v>
      </c>
      <c r="AD1104" s="25">
        <f>ROUND(IF(AO1104="2",BF1104,0),2)</f>
        <v>0</v>
      </c>
      <c r="AE1104" s="25">
        <f>ROUND(IF(AO1104="2",BG1104,0),2)</f>
        <v>0</v>
      </c>
      <c r="AF1104" s="25">
        <f>ROUND(IF(AO1104="0",BH1104,0),2)</f>
        <v>0</v>
      </c>
      <c r="AG1104" s="10" t="s">
        <v>1101</v>
      </c>
      <c r="AH1104" s="25">
        <f>IF(AL1104=0,K1104,0)</f>
        <v>0</v>
      </c>
      <c r="AI1104" s="25">
        <f>IF(AL1104=12,K1104,0)</f>
        <v>0</v>
      </c>
      <c r="AJ1104" s="25">
        <f>IF(AL1104=21,K1104,0)</f>
        <v>0</v>
      </c>
      <c r="AL1104" s="25">
        <v>21</v>
      </c>
      <c r="AM1104" s="25">
        <f>H1104*1</f>
        <v>0</v>
      </c>
      <c r="AN1104" s="25">
        <f>H1104*(1-1)</f>
        <v>0</v>
      </c>
      <c r="AO1104" s="27" t="s">
        <v>57</v>
      </c>
      <c r="AT1104" s="25">
        <f>ROUND(AU1104+AV1104,2)</f>
        <v>0</v>
      </c>
      <c r="AU1104" s="25">
        <f>ROUND(G1104*AM1104,2)</f>
        <v>0</v>
      </c>
      <c r="AV1104" s="25">
        <f>ROUND(G1104*AN1104,2)</f>
        <v>0</v>
      </c>
      <c r="AW1104" s="27" t="s">
        <v>784</v>
      </c>
      <c r="AX1104" s="27" t="s">
        <v>1209</v>
      </c>
      <c r="AY1104" s="10" t="s">
        <v>1105</v>
      </c>
      <c r="BA1104" s="25">
        <f>AU1104+AV1104</f>
        <v>0</v>
      </c>
      <c r="BB1104" s="25">
        <f>H1104/(100-BC1104)*100</f>
        <v>0</v>
      </c>
      <c r="BC1104" s="25">
        <v>0</v>
      </c>
      <c r="BD1104" s="25">
        <f>M1104</f>
        <v>5.8200000000000002E-2</v>
      </c>
      <c r="BF1104" s="25">
        <f>G1104*AM1104</f>
        <v>0</v>
      </c>
      <c r="BG1104" s="25">
        <f>G1104*AN1104</f>
        <v>0</v>
      </c>
      <c r="BH1104" s="25">
        <f>G1104*H1104</f>
        <v>0</v>
      </c>
      <c r="BI1104" s="27" t="s">
        <v>576</v>
      </c>
      <c r="BJ1104" s="25">
        <v>64</v>
      </c>
      <c r="BU1104" s="25" t="e">
        <f>#REF!</f>
        <v>#REF!</v>
      </c>
      <c r="BV1104" s="4" t="s">
        <v>799</v>
      </c>
    </row>
    <row r="1105" spans="1:74" ht="14.4" x14ac:dyDescent="0.3">
      <c r="A1105" s="28"/>
      <c r="D1105" s="29" t="s">
        <v>57</v>
      </c>
      <c r="E1105" s="29" t="s">
        <v>1306</v>
      </c>
      <c r="G1105" s="30">
        <v>1</v>
      </c>
      <c r="H1105" s="63"/>
      <c r="N1105" s="31"/>
    </row>
    <row r="1106" spans="1:74" ht="14.4" x14ac:dyDescent="0.3">
      <c r="A1106" s="28"/>
      <c r="D1106" s="29" t="s">
        <v>57</v>
      </c>
      <c r="E1106" s="29" t="s">
        <v>1307</v>
      </c>
      <c r="G1106" s="30">
        <v>1</v>
      </c>
      <c r="H1106" s="63"/>
      <c r="N1106" s="31"/>
    </row>
    <row r="1107" spans="1:74" ht="14.4" x14ac:dyDescent="0.3">
      <c r="A1107" s="28"/>
      <c r="D1107" s="29" t="s">
        <v>57</v>
      </c>
      <c r="E1107" s="29" t="s">
        <v>1308</v>
      </c>
      <c r="G1107" s="30">
        <v>1</v>
      </c>
      <c r="H1107" s="63"/>
      <c r="N1107" s="31"/>
    </row>
    <row r="1108" spans="1:74" ht="26.4" x14ac:dyDescent="0.3">
      <c r="A1108" s="2" t="s">
        <v>1309</v>
      </c>
      <c r="B1108" s="3" t="s">
        <v>1101</v>
      </c>
      <c r="C1108" s="3" t="s">
        <v>1310</v>
      </c>
      <c r="D1108" s="112" t="s">
        <v>1311</v>
      </c>
      <c r="E1108" s="109"/>
      <c r="F1108" s="3" t="s">
        <v>122</v>
      </c>
      <c r="G1108" s="25">
        <v>1</v>
      </c>
      <c r="H1108" s="62"/>
      <c r="I1108" s="25">
        <f>ROUND(G1108*AM1108,2)</f>
        <v>0</v>
      </c>
      <c r="J1108" s="25">
        <f>ROUND(G1108*AN1108,2)</f>
        <v>0</v>
      </c>
      <c r="K1108" s="25">
        <f>ROUND(G1108*H1108,2)</f>
        <v>0</v>
      </c>
      <c r="L1108" s="25">
        <v>1.8599999999999998E-2</v>
      </c>
      <c r="M1108" s="25">
        <f>G1108*L1108</f>
        <v>1.8599999999999998E-2</v>
      </c>
      <c r="N1108" s="102"/>
      <c r="X1108" s="25">
        <f>ROUND(IF(AO1108="5",BH1108,0),2)</f>
        <v>0</v>
      </c>
      <c r="Z1108" s="25">
        <f>ROUND(IF(AO1108="1",BF1108,0),2)</f>
        <v>0</v>
      </c>
      <c r="AA1108" s="25">
        <f>ROUND(IF(AO1108="1",BG1108,0),2)</f>
        <v>0</v>
      </c>
      <c r="AB1108" s="25">
        <f>ROUND(IF(AO1108="7",BF1108,0),2)</f>
        <v>0</v>
      </c>
      <c r="AC1108" s="25">
        <f>ROUND(IF(AO1108="7",BG1108,0),2)</f>
        <v>0</v>
      </c>
      <c r="AD1108" s="25">
        <f>ROUND(IF(AO1108="2",BF1108,0),2)</f>
        <v>0</v>
      </c>
      <c r="AE1108" s="25">
        <f>ROUND(IF(AO1108="2",BG1108,0),2)</f>
        <v>0</v>
      </c>
      <c r="AF1108" s="25">
        <f>ROUND(IF(AO1108="0",BH1108,0),2)</f>
        <v>0</v>
      </c>
      <c r="AG1108" s="10" t="s">
        <v>1101</v>
      </c>
      <c r="AH1108" s="25">
        <f>IF(AL1108=0,K1108,0)</f>
        <v>0</v>
      </c>
      <c r="AI1108" s="25">
        <f>IF(AL1108=12,K1108,0)</f>
        <v>0</v>
      </c>
      <c r="AJ1108" s="25">
        <f>IF(AL1108=21,K1108,0)</f>
        <v>0</v>
      </c>
      <c r="AL1108" s="25">
        <v>21</v>
      </c>
      <c r="AM1108" s="25">
        <f>H1108*1</f>
        <v>0</v>
      </c>
      <c r="AN1108" s="25">
        <f>H1108*(1-1)</f>
        <v>0</v>
      </c>
      <c r="AO1108" s="27" t="s">
        <v>57</v>
      </c>
      <c r="AT1108" s="25">
        <f>ROUND(AU1108+AV1108,2)</f>
        <v>0</v>
      </c>
      <c r="AU1108" s="25">
        <f>ROUND(G1108*AM1108,2)</f>
        <v>0</v>
      </c>
      <c r="AV1108" s="25">
        <f>ROUND(G1108*AN1108,2)</f>
        <v>0</v>
      </c>
      <c r="AW1108" s="27" t="s">
        <v>784</v>
      </c>
      <c r="AX1108" s="27" t="s">
        <v>1209</v>
      </c>
      <c r="AY1108" s="10" t="s">
        <v>1105</v>
      </c>
      <c r="BA1108" s="25">
        <f>AU1108+AV1108</f>
        <v>0</v>
      </c>
      <c r="BB1108" s="25">
        <f>H1108/(100-BC1108)*100</f>
        <v>0</v>
      </c>
      <c r="BC1108" s="25">
        <v>0</v>
      </c>
      <c r="BD1108" s="25">
        <f>M1108</f>
        <v>1.8599999999999998E-2</v>
      </c>
      <c r="BF1108" s="25">
        <f>G1108*AM1108</f>
        <v>0</v>
      </c>
      <c r="BG1108" s="25">
        <f>G1108*AN1108</f>
        <v>0</v>
      </c>
      <c r="BH1108" s="25">
        <f>G1108*H1108</f>
        <v>0</v>
      </c>
      <c r="BI1108" s="27" t="s">
        <v>576</v>
      </c>
      <c r="BJ1108" s="25">
        <v>64</v>
      </c>
      <c r="BU1108" s="25" t="e">
        <f>#REF!</f>
        <v>#REF!</v>
      </c>
      <c r="BV1108" s="4" t="s">
        <v>1311</v>
      </c>
    </row>
    <row r="1109" spans="1:74" ht="14.4" x14ac:dyDescent="0.3">
      <c r="A1109" s="28"/>
      <c r="D1109" s="29" t="s">
        <v>57</v>
      </c>
      <c r="E1109" s="29" t="s">
        <v>1312</v>
      </c>
      <c r="G1109" s="30">
        <v>1</v>
      </c>
      <c r="H1109" s="63"/>
      <c r="N1109" s="31"/>
    </row>
    <row r="1110" spans="1:74" ht="26.4" x14ac:dyDescent="0.3">
      <c r="A1110" s="2" t="s">
        <v>1313</v>
      </c>
      <c r="B1110" s="3" t="s">
        <v>1101</v>
      </c>
      <c r="C1110" s="3" t="s">
        <v>1314</v>
      </c>
      <c r="D1110" s="112" t="s">
        <v>1315</v>
      </c>
      <c r="E1110" s="109"/>
      <c r="F1110" s="3" t="s">
        <v>122</v>
      </c>
      <c r="G1110" s="25">
        <v>1</v>
      </c>
      <c r="H1110" s="62"/>
      <c r="I1110" s="25">
        <f>ROUND(G1110*AM1110,2)</f>
        <v>0</v>
      </c>
      <c r="J1110" s="25">
        <f>ROUND(G1110*AN1110,2)</f>
        <v>0</v>
      </c>
      <c r="K1110" s="25">
        <f>ROUND(G1110*H1110,2)</f>
        <v>0</v>
      </c>
      <c r="L1110" s="25">
        <v>1.9900000000000001E-2</v>
      </c>
      <c r="M1110" s="25">
        <f>G1110*L1110</f>
        <v>1.9900000000000001E-2</v>
      </c>
      <c r="N1110" s="102"/>
      <c r="X1110" s="25">
        <f>ROUND(IF(AO1110="5",BH1110,0),2)</f>
        <v>0</v>
      </c>
      <c r="Z1110" s="25">
        <f>ROUND(IF(AO1110="1",BF1110,0),2)</f>
        <v>0</v>
      </c>
      <c r="AA1110" s="25">
        <f>ROUND(IF(AO1110="1",BG1110,0),2)</f>
        <v>0</v>
      </c>
      <c r="AB1110" s="25">
        <f>ROUND(IF(AO1110="7",BF1110,0),2)</f>
        <v>0</v>
      </c>
      <c r="AC1110" s="25">
        <f>ROUND(IF(AO1110="7",BG1110,0),2)</f>
        <v>0</v>
      </c>
      <c r="AD1110" s="25">
        <f>ROUND(IF(AO1110="2",BF1110,0),2)</f>
        <v>0</v>
      </c>
      <c r="AE1110" s="25">
        <f>ROUND(IF(AO1110="2",BG1110,0),2)</f>
        <v>0</v>
      </c>
      <c r="AF1110" s="25">
        <f>ROUND(IF(AO1110="0",BH1110,0),2)</f>
        <v>0</v>
      </c>
      <c r="AG1110" s="10" t="s">
        <v>1101</v>
      </c>
      <c r="AH1110" s="25">
        <f>IF(AL1110=0,K1110,0)</f>
        <v>0</v>
      </c>
      <c r="AI1110" s="25">
        <f>IF(AL1110=12,K1110,0)</f>
        <v>0</v>
      </c>
      <c r="AJ1110" s="25">
        <f>IF(AL1110=21,K1110,0)</f>
        <v>0</v>
      </c>
      <c r="AL1110" s="25">
        <v>21</v>
      </c>
      <c r="AM1110" s="25">
        <f>H1110*1</f>
        <v>0</v>
      </c>
      <c r="AN1110" s="25">
        <f>H1110*(1-1)</f>
        <v>0</v>
      </c>
      <c r="AO1110" s="27" t="s">
        <v>57</v>
      </c>
      <c r="AT1110" s="25">
        <f>ROUND(AU1110+AV1110,2)</f>
        <v>0</v>
      </c>
      <c r="AU1110" s="25">
        <f>ROUND(G1110*AM1110,2)</f>
        <v>0</v>
      </c>
      <c r="AV1110" s="25">
        <f>ROUND(G1110*AN1110,2)</f>
        <v>0</v>
      </c>
      <c r="AW1110" s="27" t="s">
        <v>784</v>
      </c>
      <c r="AX1110" s="27" t="s">
        <v>1209</v>
      </c>
      <c r="AY1110" s="10" t="s">
        <v>1105</v>
      </c>
      <c r="BA1110" s="25">
        <f>AU1110+AV1110</f>
        <v>0</v>
      </c>
      <c r="BB1110" s="25">
        <f>H1110/(100-BC1110)*100</f>
        <v>0</v>
      </c>
      <c r="BC1110" s="25">
        <v>0</v>
      </c>
      <c r="BD1110" s="25">
        <f>M1110</f>
        <v>1.9900000000000001E-2</v>
      </c>
      <c r="BF1110" s="25">
        <f>G1110*AM1110</f>
        <v>0</v>
      </c>
      <c r="BG1110" s="25">
        <f>G1110*AN1110</f>
        <v>0</v>
      </c>
      <c r="BH1110" s="25">
        <f>G1110*H1110</f>
        <v>0</v>
      </c>
      <c r="BI1110" s="27" t="s">
        <v>576</v>
      </c>
      <c r="BJ1110" s="25">
        <v>64</v>
      </c>
      <c r="BU1110" s="25" t="e">
        <f>#REF!</f>
        <v>#REF!</v>
      </c>
      <c r="BV1110" s="4" t="s">
        <v>1315</v>
      </c>
    </row>
    <row r="1111" spans="1:74" ht="14.4" x14ac:dyDescent="0.3">
      <c r="A1111" s="28"/>
      <c r="D1111" s="29" t="s">
        <v>57</v>
      </c>
      <c r="E1111" s="29" t="s">
        <v>1316</v>
      </c>
      <c r="G1111" s="30">
        <v>1</v>
      </c>
      <c r="H1111" s="63"/>
      <c r="N1111" s="31"/>
    </row>
    <row r="1112" spans="1:74" ht="26.4" x14ac:dyDescent="0.3">
      <c r="A1112" s="2" t="s">
        <v>1317</v>
      </c>
      <c r="B1112" s="3" t="s">
        <v>1101</v>
      </c>
      <c r="C1112" s="3" t="s">
        <v>794</v>
      </c>
      <c r="D1112" s="112" t="s">
        <v>795</v>
      </c>
      <c r="E1112" s="109"/>
      <c r="F1112" s="3" t="s">
        <v>122</v>
      </c>
      <c r="G1112" s="25">
        <v>1</v>
      </c>
      <c r="H1112" s="62"/>
      <c r="I1112" s="25">
        <f>ROUND(G1112*AM1112,2)</f>
        <v>0</v>
      </c>
      <c r="J1112" s="25">
        <f>ROUND(G1112*AN1112,2)</f>
        <v>0</v>
      </c>
      <c r="K1112" s="25">
        <f>ROUND(G1112*H1112,2)</f>
        <v>0</v>
      </c>
      <c r="L1112" s="25">
        <v>1.9300000000000001E-2</v>
      </c>
      <c r="M1112" s="25">
        <f>G1112*L1112</f>
        <v>1.9300000000000001E-2</v>
      </c>
      <c r="N1112" s="102"/>
      <c r="X1112" s="25">
        <f>ROUND(IF(AO1112="5",BH1112,0),2)</f>
        <v>0</v>
      </c>
      <c r="Z1112" s="25">
        <f>ROUND(IF(AO1112="1",BF1112,0),2)</f>
        <v>0</v>
      </c>
      <c r="AA1112" s="25">
        <f>ROUND(IF(AO1112="1",BG1112,0),2)</f>
        <v>0</v>
      </c>
      <c r="AB1112" s="25">
        <f>ROUND(IF(AO1112="7",BF1112,0),2)</f>
        <v>0</v>
      </c>
      <c r="AC1112" s="25">
        <f>ROUND(IF(AO1112="7",BG1112,0),2)</f>
        <v>0</v>
      </c>
      <c r="AD1112" s="25">
        <f>ROUND(IF(AO1112="2",BF1112,0),2)</f>
        <v>0</v>
      </c>
      <c r="AE1112" s="25">
        <f>ROUND(IF(AO1112="2",BG1112,0),2)</f>
        <v>0</v>
      </c>
      <c r="AF1112" s="25">
        <f>ROUND(IF(AO1112="0",BH1112,0),2)</f>
        <v>0</v>
      </c>
      <c r="AG1112" s="10" t="s">
        <v>1101</v>
      </c>
      <c r="AH1112" s="25">
        <f>IF(AL1112=0,K1112,0)</f>
        <v>0</v>
      </c>
      <c r="AI1112" s="25">
        <f>IF(AL1112=12,K1112,0)</f>
        <v>0</v>
      </c>
      <c r="AJ1112" s="25">
        <f>IF(AL1112=21,K1112,0)</f>
        <v>0</v>
      </c>
      <c r="AL1112" s="25">
        <v>21</v>
      </c>
      <c r="AM1112" s="25">
        <f>H1112*1</f>
        <v>0</v>
      </c>
      <c r="AN1112" s="25">
        <f>H1112*(1-1)</f>
        <v>0</v>
      </c>
      <c r="AO1112" s="27" t="s">
        <v>57</v>
      </c>
      <c r="AT1112" s="25">
        <f>ROUND(AU1112+AV1112,2)</f>
        <v>0</v>
      </c>
      <c r="AU1112" s="25">
        <f>ROUND(G1112*AM1112,2)</f>
        <v>0</v>
      </c>
      <c r="AV1112" s="25">
        <f>ROUND(G1112*AN1112,2)</f>
        <v>0</v>
      </c>
      <c r="AW1112" s="27" t="s">
        <v>784</v>
      </c>
      <c r="AX1112" s="27" t="s">
        <v>1209</v>
      </c>
      <c r="AY1112" s="10" t="s">
        <v>1105</v>
      </c>
      <c r="BA1112" s="25">
        <f>AU1112+AV1112</f>
        <v>0</v>
      </c>
      <c r="BB1112" s="25">
        <f>H1112/(100-BC1112)*100</f>
        <v>0</v>
      </c>
      <c r="BC1112" s="25">
        <v>0</v>
      </c>
      <c r="BD1112" s="25">
        <f>M1112</f>
        <v>1.9300000000000001E-2</v>
      </c>
      <c r="BF1112" s="25">
        <f>G1112*AM1112</f>
        <v>0</v>
      </c>
      <c r="BG1112" s="25">
        <f>G1112*AN1112</f>
        <v>0</v>
      </c>
      <c r="BH1112" s="25">
        <f>G1112*H1112</f>
        <v>0</v>
      </c>
      <c r="BI1112" s="27" t="s">
        <v>576</v>
      </c>
      <c r="BJ1112" s="25">
        <v>64</v>
      </c>
      <c r="BU1112" s="25" t="e">
        <f>#REF!</f>
        <v>#REF!</v>
      </c>
      <c r="BV1112" s="4" t="s">
        <v>795</v>
      </c>
    </row>
    <row r="1113" spans="1:74" ht="14.4" x14ac:dyDescent="0.3">
      <c r="A1113" s="28"/>
      <c r="D1113" s="29" t="s">
        <v>57</v>
      </c>
      <c r="E1113" s="29" t="s">
        <v>1318</v>
      </c>
      <c r="G1113" s="30">
        <v>1</v>
      </c>
      <c r="H1113" s="63"/>
      <c r="N1113" s="31"/>
    </row>
    <row r="1114" spans="1:74" ht="26.4" x14ac:dyDescent="0.3">
      <c r="A1114" s="2" t="s">
        <v>1319</v>
      </c>
      <c r="B1114" s="3" t="s">
        <v>1101</v>
      </c>
      <c r="C1114" s="3" t="s">
        <v>786</v>
      </c>
      <c r="D1114" s="112" t="s">
        <v>787</v>
      </c>
      <c r="E1114" s="109"/>
      <c r="F1114" s="3" t="s">
        <v>122</v>
      </c>
      <c r="G1114" s="25">
        <v>1</v>
      </c>
      <c r="H1114" s="62"/>
      <c r="I1114" s="25">
        <f>ROUND(G1114*AM1114,2)</f>
        <v>0</v>
      </c>
      <c r="J1114" s="25">
        <f>ROUND(G1114*AN1114,2)</f>
        <v>0</v>
      </c>
      <c r="K1114" s="25">
        <f>ROUND(G1114*H1114,2)</f>
        <v>0</v>
      </c>
      <c r="L1114" s="25">
        <v>1.9199999999999998E-2</v>
      </c>
      <c r="M1114" s="25">
        <f>G1114*L1114</f>
        <v>1.9199999999999998E-2</v>
      </c>
      <c r="N1114" s="102"/>
      <c r="X1114" s="25">
        <f>ROUND(IF(AO1114="5",BH1114,0),2)</f>
        <v>0</v>
      </c>
      <c r="Z1114" s="25">
        <f>ROUND(IF(AO1114="1",BF1114,0),2)</f>
        <v>0</v>
      </c>
      <c r="AA1114" s="25">
        <f>ROUND(IF(AO1114="1",BG1114,0),2)</f>
        <v>0</v>
      </c>
      <c r="AB1114" s="25">
        <f>ROUND(IF(AO1114="7",BF1114,0),2)</f>
        <v>0</v>
      </c>
      <c r="AC1114" s="25">
        <f>ROUND(IF(AO1114="7",BG1114,0),2)</f>
        <v>0</v>
      </c>
      <c r="AD1114" s="25">
        <f>ROUND(IF(AO1114="2",BF1114,0),2)</f>
        <v>0</v>
      </c>
      <c r="AE1114" s="25">
        <f>ROUND(IF(AO1114="2",BG1114,0),2)</f>
        <v>0</v>
      </c>
      <c r="AF1114" s="25">
        <f>ROUND(IF(AO1114="0",BH1114,0),2)</f>
        <v>0</v>
      </c>
      <c r="AG1114" s="10" t="s">
        <v>1101</v>
      </c>
      <c r="AH1114" s="25">
        <f>IF(AL1114=0,K1114,0)</f>
        <v>0</v>
      </c>
      <c r="AI1114" s="25">
        <f>IF(AL1114=12,K1114,0)</f>
        <v>0</v>
      </c>
      <c r="AJ1114" s="25">
        <f>IF(AL1114=21,K1114,0)</f>
        <v>0</v>
      </c>
      <c r="AL1114" s="25">
        <v>21</v>
      </c>
      <c r="AM1114" s="25">
        <f>H1114*1</f>
        <v>0</v>
      </c>
      <c r="AN1114" s="25">
        <f>H1114*(1-1)</f>
        <v>0</v>
      </c>
      <c r="AO1114" s="27" t="s">
        <v>57</v>
      </c>
      <c r="AT1114" s="25">
        <f>ROUND(AU1114+AV1114,2)</f>
        <v>0</v>
      </c>
      <c r="AU1114" s="25">
        <f>ROUND(G1114*AM1114,2)</f>
        <v>0</v>
      </c>
      <c r="AV1114" s="25">
        <f>ROUND(G1114*AN1114,2)</f>
        <v>0</v>
      </c>
      <c r="AW1114" s="27" t="s">
        <v>784</v>
      </c>
      <c r="AX1114" s="27" t="s">
        <v>1209</v>
      </c>
      <c r="AY1114" s="10" t="s">
        <v>1105</v>
      </c>
      <c r="BA1114" s="25">
        <f>AU1114+AV1114</f>
        <v>0</v>
      </c>
      <c r="BB1114" s="25">
        <f>H1114/(100-BC1114)*100</f>
        <v>0</v>
      </c>
      <c r="BC1114" s="25">
        <v>0</v>
      </c>
      <c r="BD1114" s="25">
        <f>M1114</f>
        <v>1.9199999999999998E-2</v>
      </c>
      <c r="BF1114" s="25">
        <f>G1114*AM1114</f>
        <v>0</v>
      </c>
      <c r="BG1114" s="25">
        <f>G1114*AN1114</f>
        <v>0</v>
      </c>
      <c r="BH1114" s="25">
        <f>G1114*H1114</f>
        <v>0</v>
      </c>
      <c r="BI1114" s="27" t="s">
        <v>576</v>
      </c>
      <c r="BJ1114" s="25">
        <v>64</v>
      </c>
      <c r="BU1114" s="25" t="e">
        <f>#REF!</f>
        <v>#REF!</v>
      </c>
      <c r="BV1114" s="4" t="s">
        <v>787</v>
      </c>
    </row>
    <row r="1115" spans="1:74" ht="14.4" x14ac:dyDescent="0.3">
      <c r="A1115" s="28"/>
      <c r="D1115" s="29" t="s">
        <v>57</v>
      </c>
      <c r="E1115" s="29" t="s">
        <v>1320</v>
      </c>
      <c r="G1115" s="30">
        <v>1</v>
      </c>
      <c r="H1115" s="63"/>
      <c r="N1115" s="31"/>
    </row>
    <row r="1116" spans="1:74" ht="26.4" x14ac:dyDescent="0.3">
      <c r="A1116" s="2" t="s">
        <v>1321</v>
      </c>
      <c r="B1116" s="3" t="s">
        <v>1101</v>
      </c>
      <c r="C1116" s="3" t="s">
        <v>1322</v>
      </c>
      <c r="D1116" s="112" t="s">
        <v>915</v>
      </c>
      <c r="E1116" s="109"/>
      <c r="F1116" s="3" t="s">
        <v>122</v>
      </c>
      <c r="G1116" s="25">
        <v>2</v>
      </c>
      <c r="H1116" s="62"/>
      <c r="I1116" s="25">
        <f>ROUND(G1116*AM1116,2)</f>
        <v>0</v>
      </c>
      <c r="J1116" s="25">
        <f>ROUND(G1116*AN1116,2)</f>
        <v>0</v>
      </c>
      <c r="K1116" s="25">
        <f>ROUND(G1116*H1116,2)</f>
        <v>0</v>
      </c>
      <c r="L1116" s="25">
        <v>1.83E-2</v>
      </c>
      <c r="M1116" s="25">
        <f>G1116*L1116</f>
        <v>3.6600000000000001E-2</v>
      </c>
      <c r="N1116" s="102"/>
      <c r="X1116" s="25">
        <f>ROUND(IF(AO1116="5",BH1116,0),2)</f>
        <v>0</v>
      </c>
      <c r="Z1116" s="25">
        <f>ROUND(IF(AO1116="1",BF1116,0),2)</f>
        <v>0</v>
      </c>
      <c r="AA1116" s="25">
        <f>ROUND(IF(AO1116="1",BG1116,0),2)</f>
        <v>0</v>
      </c>
      <c r="AB1116" s="25">
        <f>ROUND(IF(AO1116="7",BF1116,0),2)</f>
        <v>0</v>
      </c>
      <c r="AC1116" s="25">
        <f>ROUND(IF(AO1116="7",BG1116,0),2)</f>
        <v>0</v>
      </c>
      <c r="AD1116" s="25">
        <f>ROUND(IF(AO1116="2",BF1116,0),2)</f>
        <v>0</v>
      </c>
      <c r="AE1116" s="25">
        <f>ROUND(IF(AO1116="2",BG1116,0),2)</f>
        <v>0</v>
      </c>
      <c r="AF1116" s="25">
        <f>ROUND(IF(AO1116="0",BH1116,0),2)</f>
        <v>0</v>
      </c>
      <c r="AG1116" s="10" t="s">
        <v>1101</v>
      </c>
      <c r="AH1116" s="25">
        <f>IF(AL1116=0,K1116,0)</f>
        <v>0</v>
      </c>
      <c r="AI1116" s="25">
        <f>IF(AL1116=12,K1116,0)</f>
        <v>0</v>
      </c>
      <c r="AJ1116" s="25">
        <f>IF(AL1116=21,K1116,0)</f>
        <v>0</v>
      </c>
      <c r="AL1116" s="25">
        <v>21</v>
      </c>
      <c r="AM1116" s="25">
        <f>H1116*1</f>
        <v>0</v>
      </c>
      <c r="AN1116" s="25">
        <f>H1116*(1-1)</f>
        <v>0</v>
      </c>
      <c r="AO1116" s="27" t="s">
        <v>57</v>
      </c>
      <c r="AT1116" s="25">
        <f>ROUND(AU1116+AV1116,2)</f>
        <v>0</v>
      </c>
      <c r="AU1116" s="25">
        <f>ROUND(G1116*AM1116,2)</f>
        <v>0</v>
      </c>
      <c r="AV1116" s="25">
        <f>ROUND(G1116*AN1116,2)</f>
        <v>0</v>
      </c>
      <c r="AW1116" s="27" t="s">
        <v>784</v>
      </c>
      <c r="AX1116" s="27" t="s">
        <v>1209</v>
      </c>
      <c r="AY1116" s="10" t="s">
        <v>1105</v>
      </c>
      <c r="BA1116" s="25">
        <f>AU1116+AV1116</f>
        <v>0</v>
      </c>
      <c r="BB1116" s="25">
        <f>H1116/(100-BC1116)*100</f>
        <v>0</v>
      </c>
      <c r="BC1116" s="25">
        <v>0</v>
      </c>
      <c r="BD1116" s="25">
        <f>M1116</f>
        <v>3.6600000000000001E-2</v>
      </c>
      <c r="BF1116" s="25">
        <f>G1116*AM1116</f>
        <v>0</v>
      </c>
      <c r="BG1116" s="25">
        <f>G1116*AN1116</f>
        <v>0</v>
      </c>
      <c r="BH1116" s="25">
        <f>G1116*H1116</f>
        <v>0</v>
      </c>
      <c r="BI1116" s="27" t="s">
        <v>576</v>
      </c>
      <c r="BJ1116" s="25">
        <v>64</v>
      </c>
      <c r="BU1116" s="25" t="e">
        <f>#REF!</f>
        <v>#REF!</v>
      </c>
      <c r="BV1116" s="4" t="s">
        <v>915</v>
      </c>
    </row>
    <row r="1117" spans="1:74" ht="14.4" x14ac:dyDescent="0.3">
      <c r="A1117" s="28"/>
      <c r="D1117" s="29" t="s">
        <v>81</v>
      </c>
      <c r="E1117" s="29" t="s">
        <v>916</v>
      </c>
      <c r="G1117" s="30">
        <v>2</v>
      </c>
      <c r="H1117" s="63"/>
      <c r="N1117" s="31"/>
    </row>
    <row r="1118" spans="1:74" ht="26.4" x14ac:dyDescent="0.3">
      <c r="A1118" s="2" t="s">
        <v>1323</v>
      </c>
      <c r="B1118" s="3" t="s">
        <v>1101</v>
      </c>
      <c r="C1118" s="3" t="s">
        <v>1324</v>
      </c>
      <c r="D1118" s="112" t="s">
        <v>1325</v>
      </c>
      <c r="E1118" s="109"/>
      <c r="F1118" s="3" t="s">
        <v>122</v>
      </c>
      <c r="G1118" s="25">
        <v>1</v>
      </c>
      <c r="H1118" s="62"/>
      <c r="I1118" s="25">
        <f>ROUND(G1118*AM1118,2)</f>
        <v>0</v>
      </c>
      <c r="J1118" s="25">
        <f>ROUND(G1118*AN1118,2)</f>
        <v>0</v>
      </c>
      <c r="K1118" s="25">
        <f>ROUND(G1118*H1118,2)</f>
        <v>0</v>
      </c>
      <c r="L1118" s="25">
        <v>1.8200000000000001E-2</v>
      </c>
      <c r="M1118" s="25">
        <f>G1118*L1118</f>
        <v>1.8200000000000001E-2</v>
      </c>
      <c r="N1118" s="102"/>
      <c r="X1118" s="25">
        <f>ROUND(IF(AO1118="5",BH1118,0),2)</f>
        <v>0</v>
      </c>
      <c r="Z1118" s="25">
        <f>ROUND(IF(AO1118="1",BF1118,0),2)</f>
        <v>0</v>
      </c>
      <c r="AA1118" s="25">
        <f>ROUND(IF(AO1118="1",BG1118,0),2)</f>
        <v>0</v>
      </c>
      <c r="AB1118" s="25">
        <f>ROUND(IF(AO1118="7",BF1118,0),2)</f>
        <v>0</v>
      </c>
      <c r="AC1118" s="25">
        <f>ROUND(IF(AO1118="7",BG1118,0),2)</f>
        <v>0</v>
      </c>
      <c r="AD1118" s="25">
        <f>ROUND(IF(AO1118="2",BF1118,0),2)</f>
        <v>0</v>
      </c>
      <c r="AE1118" s="25">
        <f>ROUND(IF(AO1118="2",BG1118,0),2)</f>
        <v>0</v>
      </c>
      <c r="AF1118" s="25">
        <f>ROUND(IF(AO1118="0",BH1118,0),2)</f>
        <v>0</v>
      </c>
      <c r="AG1118" s="10" t="s">
        <v>1101</v>
      </c>
      <c r="AH1118" s="25">
        <f>IF(AL1118=0,K1118,0)</f>
        <v>0</v>
      </c>
      <c r="AI1118" s="25">
        <f>IF(AL1118=12,K1118,0)</f>
        <v>0</v>
      </c>
      <c r="AJ1118" s="25">
        <f>IF(AL1118=21,K1118,0)</f>
        <v>0</v>
      </c>
      <c r="AL1118" s="25">
        <v>21</v>
      </c>
      <c r="AM1118" s="25">
        <f>H1118*1</f>
        <v>0</v>
      </c>
      <c r="AN1118" s="25">
        <f>H1118*(1-1)</f>
        <v>0</v>
      </c>
      <c r="AO1118" s="27" t="s">
        <v>57</v>
      </c>
      <c r="AT1118" s="25">
        <f>ROUND(AU1118+AV1118,2)</f>
        <v>0</v>
      </c>
      <c r="AU1118" s="25">
        <f>ROUND(G1118*AM1118,2)</f>
        <v>0</v>
      </c>
      <c r="AV1118" s="25">
        <f>ROUND(G1118*AN1118,2)</f>
        <v>0</v>
      </c>
      <c r="AW1118" s="27" t="s">
        <v>784</v>
      </c>
      <c r="AX1118" s="27" t="s">
        <v>1209</v>
      </c>
      <c r="AY1118" s="10" t="s">
        <v>1105</v>
      </c>
      <c r="BA1118" s="25">
        <f>AU1118+AV1118</f>
        <v>0</v>
      </c>
      <c r="BB1118" s="25">
        <f>H1118/(100-BC1118)*100</f>
        <v>0</v>
      </c>
      <c r="BC1118" s="25">
        <v>0</v>
      </c>
      <c r="BD1118" s="25">
        <f>M1118</f>
        <v>1.8200000000000001E-2</v>
      </c>
      <c r="BF1118" s="25">
        <f>G1118*AM1118</f>
        <v>0</v>
      </c>
      <c r="BG1118" s="25">
        <f>G1118*AN1118</f>
        <v>0</v>
      </c>
      <c r="BH1118" s="25">
        <f>G1118*H1118</f>
        <v>0</v>
      </c>
      <c r="BI1118" s="27" t="s">
        <v>576</v>
      </c>
      <c r="BJ1118" s="25">
        <v>64</v>
      </c>
      <c r="BU1118" s="25" t="e">
        <f>#REF!</f>
        <v>#REF!</v>
      </c>
      <c r="BV1118" s="4" t="s">
        <v>1325</v>
      </c>
    </row>
    <row r="1119" spans="1:74" ht="14.4" x14ac:dyDescent="0.3">
      <c r="A1119" s="28"/>
      <c r="D1119" s="29" t="s">
        <v>57</v>
      </c>
      <c r="E1119" s="29" t="s">
        <v>52</v>
      </c>
      <c r="G1119" s="30">
        <v>1</v>
      </c>
      <c r="H1119" s="63"/>
      <c r="N1119" s="31"/>
    </row>
    <row r="1120" spans="1:74" ht="14.4" x14ac:dyDescent="0.3">
      <c r="A1120" s="21" t="s">
        <v>52</v>
      </c>
      <c r="B1120" s="22" t="s">
        <v>1101</v>
      </c>
      <c r="C1120" s="22" t="s">
        <v>55</v>
      </c>
      <c r="D1120" s="170" t="s">
        <v>56</v>
      </c>
      <c r="E1120" s="171"/>
      <c r="F1120" s="23" t="s">
        <v>32</v>
      </c>
      <c r="G1120" s="23" t="s">
        <v>32</v>
      </c>
      <c r="H1120" s="64"/>
      <c r="I1120" s="1">
        <f>SUM(I1121:I1157)</f>
        <v>0</v>
      </c>
      <c r="J1120" s="1">
        <f>SUM(J1121:J1157)</f>
        <v>0</v>
      </c>
      <c r="K1120" s="1">
        <f>SUM(K1121:K1157)</f>
        <v>0</v>
      </c>
      <c r="L1120" s="10" t="s">
        <v>52</v>
      </c>
      <c r="M1120" s="1">
        <f>SUM(M1121:M1157)</f>
        <v>1.38519433</v>
      </c>
      <c r="N1120" s="24"/>
      <c r="AG1120" s="10" t="s">
        <v>1101</v>
      </c>
      <c r="AQ1120" s="1">
        <f>SUM(AH1121:AH1157)</f>
        <v>0</v>
      </c>
      <c r="AR1120" s="1">
        <f>SUM(AI1121:AI1157)</f>
        <v>0</v>
      </c>
      <c r="AS1120" s="1">
        <f>SUM(AJ1121:AJ1157)</f>
        <v>0</v>
      </c>
    </row>
    <row r="1121" spans="1:74" ht="26.4" x14ac:dyDescent="0.3">
      <c r="A1121" s="2" t="s">
        <v>1326</v>
      </c>
      <c r="B1121" s="3" t="s">
        <v>1101</v>
      </c>
      <c r="C1121" s="3" t="s">
        <v>807</v>
      </c>
      <c r="D1121" s="112" t="s">
        <v>808</v>
      </c>
      <c r="E1121" s="109"/>
      <c r="F1121" s="3" t="s">
        <v>60</v>
      </c>
      <c r="G1121" s="25">
        <v>322.661</v>
      </c>
      <c r="H1121" s="62"/>
      <c r="I1121" s="25">
        <f>ROUND(G1121*AM1121,2)</f>
        <v>0</v>
      </c>
      <c r="J1121" s="25">
        <f>ROUND(G1121*AN1121,2)</f>
        <v>0</v>
      </c>
      <c r="K1121" s="25">
        <f>ROUND(G1121*H1121,2)</f>
        <v>0</v>
      </c>
      <c r="L1121" s="25">
        <v>2.1000000000000001E-4</v>
      </c>
      <c r="M1121" s="25">
        <f>G1121*L1121</f>
        <v>6.7758810000000003E-2</v>
      </c>
      <c r="N1121" s="26"/>
      <c r="X1121" s="25">
        <f>ROUND(IF(AO1121="5",BH1121,0),2)</f>
        <v>0</v>
      </c>
      <c r="Z1121" s="25">
        <f>ROUND(IF(AO1121="1",BF1121,0),2)</f>
        <v>0</v>
      </c>
      <c r="AA1121" s="25">
        <f>ROUND(IF(AO1121="1",BG1121,0),2)</f>
        <v>0</v>
      </c>
      <c r="AB1121" s="25">
        <f>ROUND(IF(AO1121="7",BF1121,0),2)</f>
        <v>0</v>
      </c>
      <c r="AC1121" s="25">
        <f>ROUND(IF(AO1121="7",BG1121,0),2)</f>
        <v>0</v>
      </c>
      <c r="AD1121" s="25">
        <f>ROUND(IF(AO1121="2",BF1121,0),2)</f>
        <v>0</v>
      </c>
      <c r="AE1121" s="25">
        <f>ROUND(IF(AO1121="2",BG1121,0),2)</f>
        <v>0</v>
      </c>
      <c r="AF1121" s="25">
        <f>ROUND(IF(AO1121="0",BH1121,0),2)</f>
        <v>0</v>
      </c>
      <c r="AG1121" s="10" t="s">
        <v>1101</v>
      </c>
      <c r="AH1121" s="25">
        <f>IF(AL1121=0,K1121,0)</f>
        <v>0</v>
      </c>
      <c r="AI1121" s="25">
        <f>IF(AL1121=12,K1121,0)</f>
        <v>0</v>
      </c>
      <c r="AJ1121" s="25">
        <f>IF(AL1121=21,K1121,0)</f>
        <v>0</v>
      </c>
      <c r="AL1121" s="25">
        <v>21</v>
      </c>
      <c r="AM1121" s="25">
        <f>H1121*0.343628868</f>
        <v>0</v>
      </c>
      <c r="AN1121" s="25">
        <f>H1121*(1-0.343628868)</f>
        <v>0</v>
      </c>
      <c r="AO1121" s="27" t="s">
        <v>61</v>
      </c>
      <c r="AT1121" s="25">
        <f>ROUND(AU1121+AV1121,2)</f>
        <v>0</v>
      </c>
      <c r="AU1121" s="25">
        <f>ROUND(G1121*AM1121,2)</f>
        <v>0</v>
      </c>
      <c r="AV1121" s="25">
        <f>ROUND(G1121*AN1121,2)</f>
        <v>0</v>
      </c>
      <c r="AW1121" s="27" t="s">
        <v>62</v>
      </c>
      <c r="AX1121" s="27" t="s">
        <v>1327</v>
      </c>
      <c r="AY1121" s="10" t="s">
        <v>1105</v>
      </c>
      <c r="BA1121" s="25">
        <f>AU1121+AV1121</f>
        <v>0</v>
      </c>
      <c r="BB1121" s="25">
        <f>H1121/(100-BC1121)*100</f>
        <v>0</v>
      </c>
      <c r="BC1121" s="25">
        <v>0</v>
      </c>
      <c r="BD1121" s="25">
        <f>M1121</f>
        <v>6.7758810000000003E-2</v>
      </c>
      <c r="BF1121" s="25">
        <f>G1121*AM1121</f>
        <v>0</v>
      </c>
      <c r="BG1121" s="25">
        <f>G1121*AN1121</f>
        <v>0</v>
      </c>
      <c r="BH1121" s="25">
        <f>G1121*H1121</f>
        <v>0</v>
      </c>
      <c r="BI1121" s="27" t="s">
        <v>65</v>
      </c>
      <c r="BJ1121" s="25">
        <v>711</v>
      </c>
      <c r="BU1121" s="25" t="e">
        <f>#REF!</f>
        <v>#REF!</v>
      </c>
      <c r="BV1121" s="4" t="s">
        <v>808</v>
      </c>
    </row>
    <row r="1122" spans="1:74" ht="14.4" x14ac:dyDescent="0.3">
      <c r="A1122" s="28"/>
      <c r="D1122" s="29" t="s">
        <v>1328</v>
      </c>
      <c r="E1122" s="29" t="s">
        <v>366</v>
      </c>
      <c r="G1122" s="30">
        <v>143.65</v>
      </c>
      <c r="H1122" s="63"/>
      <c r="N1122" s="31"/>
    </row>
    <row r="1123" spans="1:74" ht="14.4" x14ac:dyDescent="0.3">
      <c r="A1123" s="28"/>
      <c r="D1123" s="29" t="s">
        <v>1329</v>
      </c>
      <c r="E1123" s="29" t="s">
        <v>361</v>
      </c>
      <c r="G1123" s="30">
        <v>13.313000000000001</v>
      </c>
      <c r="H1123" s="63"/>
      <c r="N1123" s="31"/>
    </row>
    <row r="1124" spans="1:74" ht="14.4" x14ac:dyDescent="0.3">
      <c r="A1124" s="28"/>
      <c r="D1124" s="29" t="s">
        <v>1330</v>
      </c>
      <c r="E1124" s="29" t="s">
        <v>363</v>
      </c>
      <c r="G1124" s="30">
        <v>4.4640000000000004</v>
      </c>
      <c r="H1124" s="63"/>
      <c r="N1124" s="31"/>
    </row>
    <row r="1125" spans="1:74" ht="14.4" x14ac:dyDescent="0.3">
      <c r="A1125" s="28"/>
      <c r="D1125" s="29" t="s">
        <v>1331</v>
      </c>
      <c r="E1125" s="29" t="s">
        <v>375</v>
      </c>
      <c r="G1125" s="30">
        <v>2.9910000000000001</v>
      </c>
      <c r="H1125" s="63"/>
      <c r="N1125" s="31"/>
    </row>
    <row r="1126" spans="1:74" ht="14.4" x14ac:dyDescent="0.3">
      <c r="A1126" s="28"/>
      <c r="D1126" s="29" t="s">
        <v>1332</v>
      </c>
      <c r="E1126" s="29" t="s">
        <v>377</v>
      </c>
      <c r="G1126" s="30">
        <v>8.86</v>
      </c>
      <c r="H1126" s="63"/>
      <c r="N1126" s="31"/>
    </row>
    <row r="1127" spans="1:74" ht="14.4" x14ac:dyDescent="0.3">
      <c r="A1127" s="28"/>
      <c r="D1127" s="29" t="s">
        <v>1333</v>
      </c>
      <c r="E1127" s="29" t="s">
        <v>1334</v>
      </c>
      <c r="G1127" s="30">
        <v>5.7329999999999997</v>
      </c>
      <c r="H1127" s="63"/>
      <c r="N1127" s="31"/>
    </row>
    <row r="1128" spans="1:74" ht="14.4" x14ac:dyDescent="0.3">
      <c r="A1128" s="28"/>
      <c r="D1128" s="29" t="s">
        <v>1328</v>
      </c>
      <c r="E1128" s="29" t="s">
        <v>1335</v>
      </c>
      <c r="G1128" s="30">
        <v>143.65</v>
      </c>
      <c r="H1128" s="63"/>
      <c r="N1128" s="31"/>
    </row>
    <row r="1129" spans="1:74" ht="14.4" x14ac:dyDescent="0.3">
      <c r="A1129" s="2" t="s">
        <v>1336</v>
      </c>
      <c r="B1129" s="3" t="s">
        <v>1101</v>
      </c>
      <c r="C1129" s="3" t="s">
        <v>816</v>
      </c>
      <c r="D1129" s="112" t="s">
        <v>817</v>
      </c>
      <c r="E1129" s="109"/>
      <c r="F1129" s="3" t="s">
        <v>60</v>
      </c>
      <c r="G1129" s="25">
        <v>333.87400000000002</v>
      </c>
      <c r="H1129" s="62"/>
      <c r="I1129" s="25">
        <f>ROUND(G1129*AM1129,2)</f>
        <v>0</v>
      </c>
      <c r="J1129" s="25">
        <f>ROUND(G1129*AN1129,2)</f>
        <v>0</v>
      </c>
      <c r="K1129" s="25">
        <f>ROUND(G1129*H1129,2)</f>
        <v>0</v>
      </c>
      <c r="L1129" s="25">
        <v>3.6800000000000001E-3</v>
      </c>
      <c r="M1129" s="25">
        <f>G1129*L1129</f>
        <v>1.22865632</v>
      </c>
      <c r="N1129" s="26"/>
      <c r="X1129" s="25">
        <f>ROUND(IF(AO1129="5",BH1129,0),2)</f>
        <v>0</v>
      </c>
      <c r="Z1129" s="25">
        <f>ROUND(IF(AO1129="1",BF1129,0),2)</f>
        <v>0</v>
      </c>
      <c r="AA1129" s="25">
        <f>ROUND(IF(AO1129="1",BG1129,0),2)</f>
        <v>0</v>
      </c>
      <c r="AB1129" s="25">
        <f>ROUND(IF(AO1129="7",BF1129,0),2)</f>
        <v>0</v>
      </c>
      <c r="AC1129" s="25">
        <f>ROUND(IF(AO1129="7",BG1129,0),2)</f>
        <v>0</v>
      </c>
      <c r="AD1129" s="25">
        <f>ROUND(IF(AO1129="2",BF1129,0),2)</f>
        <v>0</v>
      </c>
      <c r="AE1129" s="25">
        <f>ROUND(IF(AO1129="2",BG1129,0),2)</f>
        <v>0</v>
      </c>
      <c r="AF1129" s="25">
        <f>ROUND(IF(AO1129="0",BH1129,0),2)</f>
        <v>0</v>
      </c>
      <c r="AG1129" s="10" t="s">
        <v>1101</v>
      </c>
      <c r="AH1129" s="25">
        <f>IF(AL1129=0,K1129,0)</f>
        <v>0</v>
      </c>
      <c r="AI1129" s="25">
        <f>IF(AL1129=12,K1129,0)</f>
        <v>0</v>
      </c>
      <c r="AJ1129" s="25">
        <f>IF(AL1129=21,K1129,0)</f>
        <v>0</v>
      </c>
      <c r="AL1129" s="25">
        <v>21</v>
      </c>
      <c r="AM1129" s="25">
        <f>H1129*0.698736108</f>
        <v>0</v>
      </c>
      <c r="AN1129" s="25">
        <f>H1129*(1-0.698736108)</f>
        <v>0</v>
      </c>
      <c r="AO1129" s="27" t="s">
        <v>61</v>
      </c>
      <c r="AT1129" s="25">
        <f>ROUND(AU1129+AV1129,2)</f>
        <v>0</v>
      </c>
      <c r="AU1129" s="25">
        <f>ROUND(G1129*AM1129,2)</f>
        <v>0</v>
      </c>
      <c r="AV1129" s="25">
        <f>ROUND(G1129*AN1129,2)</f>
        <v>0</v>
      </c>
      <c r="AW1129" s="27" t="s">
        <v>62</v>
      </c>
      <c r="AX1129" s="27" t="s">
        <v>1327</v>
      </c>
      <c r="AY1129" s="10" t="s">
        <v>1105</v>
      </c>
      <c r="BA1129" s="25">
        <f>AU1129+AV1129</f>
        <v>0</v>
      </c>
      <c r="BB1129" s="25">
        <f>H1129/(100-BC1129)*100</f>
        <v>0</v>
      </c>
      <c r="BC1129" s="25">
        <v>0</v>
      </c>
      <c r="BD1129" s="25">
        <f>M1129</f>
        <v>1.22865632</v>
      </c>
      <c r="BF1129" s="25">
        <f>G1129*AM1129</f>
        <v>0</v>
      </c>
      <c r="BG1129" s="25">
        <f>G1129*AN1129</f>
        <v>0</v>
      </c>
      <c r="BH1129" s="25">
        <f>G1129*H1129</f>
        <v>0</v>
      </c>
      <c r="BI1129" s="27" t="s">
        <v>65</v>
      </c>
      <c r="BJ1129" s="25">
        <v>711</v>
      </c>
      <c r="BU1129" s="25" t="e">
        <f>#REF!</f>
        <v>#REF!</v>
      </c>
      <c r="BV1129" s="4" t="s">
        <v>817</v>
      </c>
    </row>
    <row r="1130" spans="1:74" ht="14.4" x14ac:dyDescent="0.3">
      <c r="A1130" s="28"/>
      <c r="D1130" s="29" t="s">
        <v>1337</v>
      </c>
      <c r="E1130" s="29" t="s">
        <v>1338</v>
      </c>
      <c r="G1130" s="30">
        <v>154.863</v>
      </c>
      <c r="H1130" s="63"/>
      <c r="N1130" s="31"/>
    </row>
    <row r="1131" spans="1:74" ht="14.4" x14ac:dyDescent="0.3">
      <c r="A1131" s="28"/>
      <c r="D1131" s="29" t="s">
        <v>1329</v>
      </c>
      <c r="E1131" s="29" t="s">
        <v>361</v>
      </c>
      <c r="G1131" s="30">
        <v>13.313000000000001</v>
      </c>
      <c r="H1131" s="63"/>
      <c r="N1131" s="31"/>
    </row>
    <row r="1132" spans="1:74" ht="14.4" x14ac:dyDescent="0.3">
      <c r="A1132" s="28"/>
      <c r="D1132" s="29" t="s">
        <v>1330</v>
      </c>
      <c r="E1132" s="29" t="s">
        <v>363</v>
      </c>
      <c r="G1132" s="30">
        <v>4.4640000000000004</v>
      </c>
      <c r="H1132" s="63"/>
      <c r="N1132" s="31"/>
    </row>
    <row r="1133" spans="1:74" ht="14.4" x14ac:dyDescent="0.3">
      <c r="A1133" s="28"/>
      <c r="D1133" s="29" t="s">
        <v>1331</v>
      </c>
      <c r="E1133" s="29" t="s">
        <v>375</v>
      </c>
      <c r="G1133" s="30">
        <v>2.9910000000000001</v>
      </c>
      <c r="H1133" s="63"/>
      <c r="N1133" s="31"/>
    </row>
    <row r="1134" spans="1:74" ht="14.4" x14ac:dyDescent="0.3">
      <c r="A1134" s="28"/>
      <c r="D1134" s="29" t="s">
        <v>1332</v>
      </c>
      <c r="E1134" s="29" t="s">
        <v>377</v>
      </c>
      <c r="G1134" s="30">
        <v>8.86</v>
      </c>
      <c r="H1134" s="63"/>
      <c r="N1134" s="31"/>
    </row>
    <row r="1135" spans="1:74" ht="14.4" x14ac:dyDescent="0.3">
      <c r="A1135" s="28"/>
      <c r="D1135" s="29" t="s">
        <v>1333</v>
      </c>
      <c r="E1135" s="29" t="s">
        <v>1334</v>
      </c>
      <c r="G1135" s="30">
        <v>5.7329999999999997</v>
      </c>
      <c r="H1135" s="63"/>
      <c r="N1135" s="31"/>
    </row>
    <row r="1136" spans="1:74" ht="14.4" x14ac:dyDescent="0.3">
      <c r="A1136" s="28"/>
      <c r="D1136" s="29" t="s">
        <v>1328</v>
      </c>
      <c r="E1136" s="29" t="s">
        <v>1339</v>
      </c>
      <c r="G1136" s="30">
        <v>143.65</v>
      </c>
      <c r="H1136" s="63"/>
      <c r="N1136" s="31"/>
    </row>
    <row r="1137" spans="1:74" ht="14.4" x14ac:dyDescent="0.3">
      <c r="A1137" s="2" t="s">
        <v>1340</v>
      </c>
      <c r="B1137" s="3" t="s">
        <v>1101</v>
      </c>
      <c r="C1137" s="3" t="s">
        <v>819</v>
      </c>
      <c r="D1137" s="112" t="s">
        <v>820</v>
      </c>
      <c r="E1137" s="109"/>
      <c r="F1137" s="3" t="s">
        <v>115</v>
      </c>
      <c r="G1137" s="25">
        <v>268.23500000000001</v>
      </c>
      <c r="H1137" s="62"/>
      <c r="I1137" s="25">
        <f>ROUND(G1137*AM1137,2)</f>
        <v>0</v>
      </c>
      <c r="J1137" s="25">
        <f>ROUND(G1137*AN1137,2)</f>
        <v>0</v>
      </c>
      <c r="K1137" s="25">
        <f>ROUND(G1137*H1137,2)</f>
        <v>0</v>
      </c>
      <c r="L1137" s="25">
        <v>3.2000000000000003E-4</v>
      </c>
      <c r="M1137" s="25">
        <f>G1137*L1137</f>
        <v>8.5835200000000014E-2</v>
      </c>
      <c r="N1137" s="26"/>
      <c r="X1137" s="25">
        <f>ROUND(IF(AO1137="5",BH1137,0),2)</f>
        <v>0</v>
      </c>
      <c r="Z1137" s="25">
        <f>ROUND(IF(AO1137="1",BF1137,0),2)</f>
        <v>0</v>
      </c>
      <c r="AA1137" s="25">
        <f>ROUND(IF(AO1137="1",BG1137,0),2)</f>
        <v>0</v>
      </c>
      <c r="AB1137" s="25">
        <f>ROUND(IF(AO1137="7",BF1137,0),2)</f>
        <v>0</v>
      </c>
      <c r="AC1137" s="25">
        <f>ROUND(IF(AO1137="7",BG1137,0),2)</f>
        <v>0</v>
      </c>
      <c r="AD1137" s="25">
        <f>ROUND(IF(AO1137="2",BF1137,0),2)</f>
        <v>0</v>
      </c>
      <c r="AE1137" s="25">
        <f>ROUND(IF(AO1137="2",BG1137,0),2)</f>
        <v>0</v>
      </c>
      <c r="AF1137" s="25">
        <f>ROUND(IF(AO1137="0",BH1137,0),2)</f>
        <v>0</v>
      </c>
      <c r="AG1137" s="10" t="s">
        <v>1101</v>
      </c>
      <c r="AH1137" s="25">
        <f>IF(AL1137=0,K1137,0)</f>
        <v>0</v>
      </c>
      <c r="AI1137" s="25">
        <f>IF(AL1137=12,K1137,0)</f>
        <v>0</v>
      </c>
      <c r="AJ1137" s="25">
        <f>IF(AL1137=21,K1137,0)</f>
        <v>0</v>
      </c>
      <c r="AL1137" s="25">
        <v>21</v>
      </c>
      <c r="AM1137" s="25">
        <f>H1137*0.696225544</f>
        <v>0</v>
      </c>
      <c r="AN1137" s="25">
        <f>H1137*(1-0.696225544)</f>
        <v>0</v>
      </c>
      <c r="AO1137" s="27" t="s">
        <v>61</v>
      </c>
      <c r="AT1137" s="25">
        <f>ROUND(AU1137+AV1137,2)</f>
        <v>0</v>
      </c>
      <c r="AU1137" s="25">
        <f>ROUND(G1137*AM1137,2)</f>
        <v>0</v>
      </c>
      <c r="AV1137" s="25">
        <f>ROUND(G1137*AN1137,2)</f>
        <v>0</v>
      </c>
      <c r="AW1137" s="27" t="s">
        <v>62</v>
      </c>
      <c r="AX1137" s="27" t="s">
        <v>1327</v>
      </c>
      <c r="AY1137" s="10" t="s">
        <v>1105</v>
      </c>
      <c r="BA1137" s="25">
        <f>AU1137+AV1137</f>
        <v>0</v>
      </c>
      <c r="BB1137" s="25">
        <f>H1137/(100-BC1137)*100</f>
        <v>0</v>
      </c>
      <c r="BC1137" s="25">
        <v>0</v>
      </c>
      <c r="BD1137" s="25">
        <f>M1137</f>
        <v>8.5835200000000014E-2</v>
      </c>
      <c r="BF1137" s="25">
        <f>G1137*AM1137</f>
        <v>0</v>
      </c>
      <c r="BG1137" s="25">
        <f>G1137*AN1137</f>
        <v>0</v>
      </c>
      <c r="BH1137" s="25">
        <f>G1137*H1137</f>
        <v>0</v>
      </c>
      <c r="BI1137" s="27" t="s">
        <v>65</v>
      </c>
      <c r="BJ1137" s="25">
        <v>711</v>
      </c>
      <c r="BU1137" s="25" t="e">
        <f>#REF!</f>
        <v>#REF!</v>
      </c>
      <c r="BV1137" s="4" t="s">
        <v>820</v>
      </c>
    </row>
    <row r="1138" spans="1:74" ht="14.4" x14ac:dyDescent="0.3">
      <c r="A1138" s="28"/>
      <c r="D1138" s="29" t="s">
        <v>1341</v>
      </c>
      <c r="E1138" s="29" t="s">
        <v>366</v>
      </c>
      <c r="G1138" s="30">
        <v>81.7</v>
      </c>
      <c r="H1138" s="63"/>
      <c r="N1138" s="31"/>
    </row>
    <row r="1139" spans="1:74" ht="14.4" x14ac:dyDescent="0.3">
      <c r="A1139" s="28"/>
      <c r="D1139" s="29" t="s">
        <v>1342</v>
      </c>
      <c r="E1139" s="29" t="s">
        <v>1343</v>
      </c>
      <c r="G1139" s="30">
        <v>3.42</v>
      </c>
      <c r="H1139" s="63"/>
      <c r="N1139" s="31"/>
    </row>
    <row r="1140" spans="1:74" ht="14.4" x14ac:dyDescent="0.3">
      <c r="A1140" s="28"/>
      <c r="D1140" s="29" t="s">
        <v>1344</v>
      </c>
      <c r="E1140" s="29" t="s">
        <v>1343</v>
      </c>
      <c r="G1140" s="30">
        <v>5.62</v>
      </c>
      <c r="H1140" s="63"/>
      <c r="N1140" s="31"/>
    </row>
    <row r="1141" spans="1:74" ht="14.4" x14ac:dyDescent="0.3">
      <c r="A1141" s="28"/>
      <c r="D1141" s="29" t="s">
        <v>1345</v>
      </c>
      <c r="E1141" s="29" t="s">
        <v>1343</v>
      </c>
      <c r="G1141" s="30">
        <v>9.9149999999999991</v>
      </c>
      <c r="H1141" s="63"/>
      <c r="N1141" s="31"/>
    </row>
    <row r="1142" spans="1:74" ht="14.4" x14ac:dyDescent="0.3">
      <c r="A1142" s="28"/>
      <c r="D1142" s="29" t="s">
        <v>1346</v>
      </c>
      <c r="E1142" s="29" t="s">
        <v>1343</v>
      </c>
      <c r="G1142" s="30">
        <v>11.414999999999999</v>
      </c>
      <c r="H1142" s="63"/>
      <c r="N1142" s="31"/>
    </row>
    <row r="1143" spans="1:74" ht="14.4" x14ac:dyDescent="0.3">
      <c r="A1143" s="28"/>
      <c r="D1143" s="29" t="s">
        <v>1347</v>
      </c>
      <c r="E1143" s="29" t="s">
        <v>1343</v>
      </c>
      <c r="G1143" s="30">
        <v>10.94</v>
      </c>
      <c r="H1143" s="63"/>
      <c r="N1143" s="31"/>
    </row>
    <row r="1144" spans="1:74" ht="14.4" x14ac:dyDescent="0.3">
      <c r="A1144" s="28"/>
      <c r="D1144" s="29" t="s">
        <v>1348</v>
      </c>
      <c r="E1144" s="29" t="s">
        <v>1343</v>
      </c>
      <c r="G1144" s="30">
        <v>11.88</v>
      </c>
      <c r="H1144" s="63"/>
      <c r="N1144" s="31"/>
    </row>
    <row r="1145" spans="1:74" ht="14.4" x14ac:dyDescent="0.3">
      <c r="A1145" s="28"/>
      <c r="D1145" s="29" t="s">
        <v>1349</v>
      </c>
      <c r="E1145" s="29" t="s">
        <v>1343</v>
      </c>
      <c r="G1145" s="30">
        <v>7.1</v>
      </c>
      <c r="H1145" s="63"/>
      <c r="N1145" s="31"/>
    </row>
    <row r="1146" spans="1:74" ht="14.4" x14ac:dyDescent="0.3">
      <c r="A1146" s="28"/>
      <c r="D1146" s="29" t="s">
        <v>1350</v>
      </c>
      <c r="E1146" s="29" t="s">
        <v>1343</v>
      </c>
      <c r="G1146" s="30">
        <v>8.5350000000000001</v>
      </c>
      <c r="H1146" s="63"/>
      <c r="N1146" s="31"/>
    </row>
    <row r="1147" spans="1:74" ht="14.4" x14ac:dyDescent="0.3">
      <c r="A1147" s="28"/>
      <c r="D1147" s="29" t="s">
        <v>1351</v>
      </c>
      <c r="E1147" s="29" t="s">
        <v>1343</v>
      </c>
      <c r="G1147" s="30">
        <v>6.24</v>
      </c>
      <c r="H1147" s="63"/>
      <c r="N1147" s="31"/>
    </row>
    <row r="1148" spans="1:74" ht="14.4" x14ac:dyDescent="0.3">
      <c r="A1148" s="28"/>
      <c r="D1148" s="29" t="s">
        <v>1352</v>
      </c>
      <c r="E1148" s="29" t="s">
        <v>363</v>
      </c>
      <c r="G1148" s="30">
        <v>6.78</v>
      </c>
      <c r="H1148" s="63"/>
      <c r="N1148" s="31"/>
    </row>
    <row r="1149" spans="1:74" ht="14.4" x14ac:dyDescent="0.3">
      <c r="A1149" s="28"/>
      <c r="D1149" s="29" t="s">
        <v>1353</v>
      </c>
      <c r="E1149" s="29" t="s">
        <v>373</v>
      </c>
      <c r="G1149" s="30">
        <v>5.83</v>
      </c>
      <c r="H1149" s="63"/>
      <c r="N1149" s="31"/>
    </row>
    <row r="1150" spans="1:74" ht="14.4" x14ac:dyDescent="0.3">
      <c r="A1150" s="28"/>
      <c r="D1150" s="29" t="s">
        <v>1354</v>
      </c>
      <c r="E1150" s="29" t="s">
        <v>375</v>
      </c>
      <c r="G1150" s="30">
        <v>4.43</v>
      </c>
      <c r="H1150" s="63"/>
      <c r="N1150" s="31"/>
    </row>
    <row r="1151" spans="1:74" ht="14.4" x14ac:dyDescent="0.3">
      <c r="A1151" s="28"/>
      <c r="D1151" s="29" t="s">
        <v>1355</v>
      </c>
      <c r="E1151" s="29" t="s">
        <v>377</v>
      </c>
      <c r="G1151" s="30">
        <v>6.33</v>
      </c>
      <c r="H1151" s="63"/>
      <c r="N1151" s="31"/>
    </row>
    <row r="1152" spans="1:74" ht="14.4" x14ac:dyDescent="0.3">
      <c r="A1152" s="28"/>
      <c r="D1152" s="29" t="s">
        <v>1356</v>
      </c>
      <c r="E1152" s="29" t="s">
        <v>1357</v>
      </c>
      <c r="G1152" s="30">
        <v>6.4</v>
      </c>
      <c r="H1152" s="63"/>
      <c r="N1152" s="31"/>
    </row>
    <row r="1153" spans="1:74" ht="14.4" x14ac:dyDescent="0.3">
      <c r="A1153" s="28"/>
      <c r="D1153" s="29" t="s">
        <v>1341</v>
      </c>
      <c r="E1153" s="29" t="s">
        <v>1358</v>
      </c>
      <c r="G1153" s="30">
        <v>81.7</v>
      </c>
      <c r="H1153" s="63"/>
      <c r="N1153" s="31"/>
    </row>
    <row r="1154" spans="1:74" ht="14.4" x14ac:dyDescent="0.3">
      <c r="A1154" s="2" t="s">
        <v>1359</v>
      </c>
      <c r="B1154" s="3" t="s">
        <v>1101</v>
      </c>
      <c r="C1154" s="3" t="s">
        <v>828</v>
      </c>
      <c r="D1154" s="112" t="s">
        <v>829</v>
      </c>
      <c r="E1154" s="109"/>
      <c r="F1154" s="3" t="s">
        <v>115</v>
      </c>
      <c r="G1154" s="25">
        <v>9.1999999999999993</v>
      </c>
      <c r="H1154" s="62"/>
      <c r="I1154" s="25">
        <f>ROUND(G1154*AM1154,2)</f>
        <v>0</v>
      </c>
      <c r="J1154" s="25">
        <f>ROUND(G1154*AN1154,2)</f>
        <v>0</v>
      </c>
      <c r="K1154" s="25">
        <f>ROUND(G1154*H1154,2)</f>
        <v>0</v>
      </c>
      <c r="L1154" s="25">
        <v>3.2000000000000003E-4</v>
      </c>
      <c r="M1154" s="25">
        <f>G1154*L1154</f>
        <v>2.944E-3</v>
      </c>
      <c r="N1154" s="26"/>
      <c r="X1154" s="25">
        <f>ROUND(IF(AO1154="5",BH1154,0),2)</f>
        <v>0</v>
      </c>
      <c r="Z1154" s="25">
        <f>ROUND(IF(AO1154="1",BF1154,0),2)</f>
        <v>0</v>
      </c>
      <c r="AA1154" s="25">
        <f>ROUND(IF(AO1154="1",BG1154,0),2)</f>
        <v>0</v>
      </c>
      <c r="AB1154" s="25">
        <f>ROUND(IF(AO1154="7",BF1154,0),2)</f>
        <v>0</v>
      </c>
      <c r="AC1154" s="25">
        <f>ROUND(IF(AO1154="7",BG1154,0),2)</f>
        <v>0</v>
      </c>
      <c r="AD1154" s="25">
        <f>ROUND(IF(AO1154="2",BF1154,0),2)</f>
        <v>0</v>
      </c>
      <c r="AE1154" s="25">
        <f>ROUND(IF(AO1154="2",BG1154,0),2)</f>
        <v>0</v>
      </c>
      <c r="AF1154" s="25">
        <f>ROUND(IF(AO1154="0",BH1154,0),2)</f>
        <v>0</v>
      </c>
      <c r="AG1154" s="10" t="s">
        <v>1101</v>
      </c>
      <c r="AH1154" s="25">
        <f>IF(AL1154=0,K1154,0)</f>
        <v>0</v>
      </c>
      <c r="AI1154" s="25">
        <f>IF(AL1154=12,K1154,0)</f>
        <v>0</v>
      </c>
      <c r="AJ1154" s="25">
        <f>IF(AL1154=21,K1154,0)</f>
        <v>0</v>
      </c>
      <c r="AL1154" s="25">
        <v>21</v>
      </c>
      <c r="AM1154" s="25">
        <f>H1154*0.591227515</f>
        <v>0</v>
      </c>
      <c r="AN1154" s="25">
        <f>H1154*(1-0.591227515)</f>
        <v>0</v>
      </c>
      <c r="AO1154" s="27" t="s">
        <v>61</v>
      </c>
      <c r="AT1154" s="25">
        <f>ROUND(AU1154+AV1154,2)</f>
        <v>0</v>
      </c>
      <c r="AU1154" s="25">
        <f>ROUND(G1154*AM1154,2)</f>
        <v>0</v>
      </c>
      <c r="AV1154" s="25">
        <f>ROUND(G1154*AN1154,2)</f>
        <v>0</v>
      </c>
      <c r="AW1154" s="27" t="s">
        <v>62</v>
      </c>
      <c r="AX1154" s="27" t="s">
        <v>1327</v>
      </c>
      <c r="AY1154" s="10" t="s">
        <v>1105</v>
      </c>
      <c r="BA1154" s="25">
        <f>AU1154+AV1154</f>
        <v>0</v>
      </c>
      <c r="BB1154" s="25">
        <f>H1154/(100-BC1154)*100</f>
        <v>0</v>
      </c>
      <c r="BC1154" s="25">
        <v>0</v>
      </c>
      <c r="BD1154" s="25">
        <f>M1154</f>
        <v>2.944E-3</v>
      </c>
      <c r="BF1154" s="25">
        <f>G1154*AM1154</f>
        <v>0</v>
      </c>
      <c r="BG1154" s="25">
        <f>G1154*AN1154</f>
        <v>0</v>
      </c>
      <c r="BH1154" s="25">
        <f>G1154*H1154</f>
        <v>0</v>
      </c>
      <c r="BI1154" s="27" t="s">
        <v>65</v>
      </c>
      <c r="BJ1154" s="25">
        <v>711</v>
      </c>
      <c r="BU1154" s="25" t="e">
        <f>#REF!</f>
        <v>#REF!</v>
      </c>
      <c r="BV1154" s="4" t="s">
        <v>829</v>
      </c>
    </row>
    <row r="1155" spans="1:74" ht="14.4" x14ac:dyDescent="0.3">
      <c r="A1155" s="28"/>
      <c r="D1155" s="29" t="s">
        <v>830</v>
      </c>
      <c r="E1155" s="29" t="s">
        <v>377</v>
      </c>
      <c r="G1155" s="30">
        <v>4.2</v>
      </c>
      <c r="H1155" s="63"/>
      <c r="N1155" s="31"/>
    </row>
    <row r="1156" spans="1:74" ht="14.4" x14ac:dyDescent="0.3">
      <c r="A1156" s="28"/>
      <c r="D1156" s="29" t="s">
        <v>1360</v>
      </c>
      <c r="E1156" s="29" t="s">
        <v>366</v>
      </c>
      <c r="G1156" s="30">
        <v>5</v>
      </c>
      <c r="H1156" s="63"/>
      <c r="N1156" s="31"/>
    </row>
    <row r="1157" spans="1:74" ht="14.4" x14ac:dyDescent="0.3">
      <c r="A1157" s="2" t="s">
        <v>1361</v>
      </c>
      <c r="B1157" s="3" t="s">
        <v>1101</v>
      </c>
      <c r="C1157" s="3" t="s">
        <v>832</v>
      </c>
      <c r="D1157" s="112" t="s">
        <v>833</v>
      </c>
      <c r="E1157" s="109"/>
      <c r="F1157" s="3" t="s">
        <v>278</v>
      </c>
      <c r="G1157" s="25">
        <v>1.3851899999999999</v>
      </c>
      <c r="H1157" s="62"/>
      <c r="I1157" s="25">
        <f>ROUND(G1157*AM1157,2)</f>
        <v>0</v>
      </c>
      <c r="J1157" s="25">
        <f>ROUND(G1157*AN1157,2)</f>
        <v>0</v>
      </c>
      <c r="K1157" s="25">
        <f>ROUND(G1157*H1157,2)</f>
        <v>0</v>
      </c>
      <c r="L1157" s="25">
        <v>0</v>
      </c>
      <c r="M1157" s="25">
        <f>G1157*L1157</f>
        <v>0</v>
      </c>
      <c r="N1157" s="26"/>
      <c r="X1157" s="25">
        <f>ROUND(IF(AO1157="5",BH1157,0),2)</f>
        <v>0</v>
      </c>
      <c r="Z1157" s="25">
        <f>ROUND(IF(AO1157="1",BF1157,0),2)</f>
        <v>0</v>
      </c>
      <c r="AA1157" s="25">
        <f>ROUND(IF(AO1157="1",BG1157,0),2)</f>
        <v>0</v>
      </c>
      <c r="AB1157" s="25">
        <f>ROUND(IF(AO1157="7",BF1157,0),2)</f>
        <v>0</v>
      </c>
      <c r="AC1157" s="25">
        <f>ROUND(IF(AO1157="7",BG1157,0),2)</f>
        <v>0</v>
      </c>
      <c r="AD1157" s="25">
        <f>ROUND(IF(AO1157="2",BF1157,0),2)</f>
        <v>0</v>
      </c>
      <c r="AE1157" s="25">
        <f>ROUND(IF(AO1157="2",BG1157,0),2)</f>
        <v>0</v>
      </c>
      <c r="AF1157" s="25">
        <f>ROUND(IF(AO1157="0",BH1157,0),2)</f>
        <v>0</v>
      </c>
      <c r="AG1157" s="10" t="s">
        <v>1101</v>
      </c>
      <c r="AH1157" s="25">
        <f>IF(AL1157=0,K1157,0)</f>
        <v>0</v>
      </c>
      <c r="AI1157" s="25">
        <f>IF(AL1157=12,K1157,0)</f>
        <v>0</v>
      </c>
      <c r="AJ1157" s="25">
        <f>IF(AL1157=21,K1157,0)</f>
        <v>0</v>
      </c>
      <c r="AL1157" s="25">
        <v>21</v>
      </c>
      <c r="AM1157" s="25">
        <f>H1157*0</f>
        <v>0</v>
      </c>
      <c r="AN1157" s="25">
        <f>H1157*(1-0)</f>
        <v>0</v>
      </c>
      <c r="AO1157" s="27" t="s">
        <v>97</v>
      </c>
      <c r="AT1157" s="25">
        <f>ROUND(AU1157+AV1157,2)</f>
        <v>0</v>
      </c>
      <c r="AU1157" s="25">
        <f>ROUND(G1157*AM1157,2)</f>
        <v>0</v>
      </c>
      <c r="AV1157" s="25">
        <f>ROUND(G1157*AN1157,2)</f>
        <v>0</v>
      </c>
      <c r="AW1157" s="27" t="s">
        <v>62</v>
      </c>
      <c r="AX1157" s="27" t="s">
        <v>1327</v>
      </c>
      <c r="AY1157" s="10" t="s">
        <v>1105</v>
      </c>
      <c r="BA1157" s="25">
        <f>AU1157+AV1157</f>
        <v>0</v>
      </c>
      <c r="BB1157" s="25">
        <f>H1157/(100-BC1157)*100</f>
        <v>0</v>
      </c>
      <c r="BC1157" s="25">
        <v>0</v>
      </c>
      <c r="BD1157" s="25">
        <f>M1157</f>
        <v>0</v>
      </c>
      <c r="BF1157" s="25">
        <f>G1157*AM1157</f>
        <v>0</v>
      </c>
      <c r="BG1157" s="25">
        <f>G1157*AN1157</f>
        <v>0</v>
      </c>
      <c r="BH1157" s="25">
        <f>G1157*H1157</f>
        <v>0</v>
      </c>
      <c r="BI1157" s="27" t="s">
        <v>65</v>
      </c>
      <c r="BJ1157" s="25">
        <v>711</v>
      </c>
      <c r="BU1157" s="25" t="e">
        <f>#REF!</f>
        <v>#REF!</v>
      </c>
      <c r="BV1157" s="4" t="s">
        <v>833</v>
      </c>
    </row>
    <row r="1158" spans="1:74" ht="14.4" x14ac:dyDescent="0.3">
      <c r="A1158" s="21" t="s">
        <v>52</v>
      </c>
      <c r="B1158" s="22" t="s">
        <v>1101</v>
      </c>
      <c r="C1158" s="22" t="s">
        <v>1362</v>
      </c>
      <c r="D1158" s="170" t="s">
        <v>1363</v>
      </c>
      <c r="E1158" s="171"/>
      <c r="F1158" s="23" t="s">
        <v>32</v>
      </c>
      <c r="G1158" s="23" t="s">
        <v>32</v>
      </c>
      <c r="H1158" s="64"/>
      <c r="I1158" s="1">
        <f>SUM(I1159:I1191)</f>
        <v>0</v>
      </c>
      <c r="J1158" s="1">
        <f>SUM(J1159:J1191)</f>
        <v>0</v>
      </c>
      <c r="K1158" s="1">
        <f>SUM(K1159:K1191)</f>
        <v>0</v>
      </c>
      <c r="L1158" s="10" t="s">
        <v>52</v>
      </c>
      <c r="M1158" s="1">
        <f>SUM(M1159:M1191)</f>
        <v>0.20544279999999998</v>
      </c>
      <c r="N1158" s="24"/>
      <c r="AG1158" s="10" t="s">
        <v>1101</v>
      </c>
      <c r="AQ1158" s="1">
        <f>SUM(AH1159:AH1191)</f>
        <v>0</v>
      </c>
      <c r="AR1158" s="1">
        <f>SUM(AI1159:AI1191)</f>
        <v>0</v>
      </c>
      <c r="AS1158" s="1">
        <f>SUM(AJ1159:AJ1191)</f>
        <v>0</v>
      </c>
    </row>
    <row r="1159" spans="1:74" ht="14.4" x14ac:dyDescent="0.3">
      <c r="A1159" s="2" t="s">
        <v>1364</v>
      </c>
      <c r="B1159" s="3" t="s">
        <v>1101</v>
      </c>
      <c r="C1159" s="3" t="s">
        <v>1365</v>
      </c>
      <c r="D1159" s="112" t="s">
        <v>1366</v>
      </c>
      <c r="E1159" s="109"/>
      <c r="F1159" s="3" t="s">
        <v>60</v>
      </c>
      <c r="G1159" s="25">
        <v>53.74</v>
      </c>
      <c r="H1159" s="62"/>
      <c r="I1159" s="25">
        <f>ROUND(G1159*AM1159,2)</f>
        <v>0</v>
      </c>
      <c r="J1159" s="25">
        <f>ROUND(G1159*AN1159,2)</f>
        <v>0</v>
      </c>
      <c r="K1159" s="25">
        <f>ROUND(G1159*H1159,2)</f>
        <v>0</v>
      </c>
      <c r="L1159" s="25">
        <v>3.5E-4</v>
      </c>
      <c r="M1159" s="25">
        <f>G1159*L1159</f>
        <v>1.8808999999999999E-2</v>
      </c>
      <c r="N1159" s="26"/>
      <c r="X1159" s="25">
        <f>ROUND(IF(AO1159="5",BH1159,0),2)</f>
        <v>0</v>
      </c>
      <c r="Z1159" s="25">
        <f>ROUND(IF(AO1159="1",BF1159,0),2)</f>
        <v>0</v>
      </c>
      <c r="AA1159" s="25">
        <f>ROUND(IF(AO1159="1",BG1159,0),2)</f>
        <v>0</v>
      </c>
      <c r="AB1159" s="25">
        <f>ROUND(IF(AO1159="7",BF1159,0),2)</f>
        <v>0</v>
      </c>
      <c r="AC1159" s="25">
        <f>ROUND(IF(AO1159="7",BG1159,0),2)</f>
        <v>0</v>
      </c>
      <c r="AD1159" s="25">
        <f>ROUND(IF(AO1159="2",BF1159,0),2)</f>
        <v>0</v>
      </c>
      <c r="AE1159" s="25">
        <f>ROUND(IF(AO1159="2",BG1159,0),2)</f>
        <v>0</v>
      </c>
      <c r="AF1159" s="25">
        <f>ROUND(IF(AO1159="0",BH1159,0),2)</f>
        <v>0</v>
      </c>
      <c r="AG1159" s="10" t="s">
        <v>1101</v>
      </c>
      <c r="AH1159" s="25">
        <f>IF(AL1159=0,K1159,0)</f>
        <v>0</v>
      </c>
      <c r="AI1159" s="25">
        <f>IF(AL1159=12,K1159,0)</f>
        <v>0</v>
      </c>
      <c r="AJ1159" s="25">
        <f>IF(AL1159=21,K1159,0)</f>
        <v>0</v>
      </c>
      <c r="AL1159" s="25">
        <v>21</v>
      </c>
      <c r="AM1159" s="25">
        <f>H1159*0.083843188</f>
        <v>0</v>
      </c>
      <c r="AN1159" s="25">
        <f>H1159*(1-0.083843188)</f>
        <v>0</v>
      </c>
      <c r="AO1159" s="27" t="s">
        <v>61</v>
      </c>
      <c r="AT1159" s="25">
        <f>ROUND(AU1159+AV1159,2)</f>
        <v>0</v>
      </c>
      <c r="AU1159" s="25">
        <f>ROUND(G1159*AM1159,2)</f>
        <v>0</v>
      </c>
      <c r="AV1159" s="25">
        <f>ROUND(G1159*AN1159,2)</f>
        <v>0</v>
      </c>
      <c r="AW1159" s="27" t="s">
        <v>1367</v>
      </c>
      <c r="AX1159" s="27" t="s">
        <v>1327</v>
      </c>
      <c r="AY1159" s="10" t="s">
        <v>1105</v>
      </c>
      <c r="BA1159" s="25">
        <f>AU1159+AV1159</f>
        <v>0</v>
      </c>
      <c r="BB1159" s="25">
        <f>H1159/(100-BC1159)*100</f>
        <v>0</v>
      </c>
      <c r="BC1159" s="25">
        <v>0</v>
      </c>
      <c r="BD1159" s="25">
        <f>M1159</f>
        <v>1.8808999999999999E-2</v>
      </c>
      <c r="BF1159" s="25">
        <f>G1159*AM1159</f>
        <v>0</v>
      </c>
      <c r="BG1159" s="25">
        <f>G1159*AN1159</f>
        <v>0</v>
      </c>
      <c r="BH1159" s="25">
        <f>G1159*H1159</f>
        <v>0</v>
      </c>
      <c r="BI1159" s="27" t="s">
        <v>65</v>
      </c>
      <c r="BJ1159" s="25">
        <v>712</v>
      </c>
      <c r="BU1159" s="25" t="e">
        <f>#REF!</f>
        <v>#REF!</v>
      </c>
      <c r="BV1159" s="4" t="s">
        <v>1366</v>
      </c>
    </row>
    <row r="1160" spans="1:74" ht="14.4" x14ac:dyDescent="0.3">
      <c r="A1160" s="28"/>
      <c r="D1160" s="29" t="s">
        <v>1368</v>
      </c>
      <c r="E1160" s="29" t="s">
        <v>1369</v>
      </c>
      <c r="G1160" s="30">
        <v>38.5</v>
      </c>
      <c r="H1160" s="63"/>
      <c r="N1160" s="31"/>
    </row>
    <row r="1161" spans="1:74" ht="14.4" x14ac:dyDescent="0.3">
      <c r="A1161" s="28"/>
      <c r="D1161" s="29" t="s">
        <v>1370</v>
      </c>
      <c r="E1161" s="29" t="s">
        <v>1371</v>
      </c>
      <c r="G1161" s="30">
        <v>8.9600000000000009</v>
      </c>
      <c r="H1161" s="63"/>
      <c r="N1161" s="31"/>
    </row>
    <row r="1162" spans="1:74" ht="14.4" x14ac:dyDescent="0.3">
      <c r="A1162" s="28"/>
      <c r="D1162" s="29" t="s">
        <v>1372</v>
      </c>
      <c r="E1162" s="29" t="s">
        <v>1373</v>
      </c>
      <c r="G1162" s="30">
        <v>1.28</v>
      </c>
      <c r="H1162" s="63"/>
      <c r="N1162" s="31"/>
    </row>
    <row r="1163" spans="1:74" ht="14.4" x14ac:dyDescent="0.3">
      <c r="A1163" s="28"/>
      <c r="D1163" s="29" t="s">
        <v>1374</v>
      </c>
      <c r="E1163" s="29" t="s">
        <v>1375</v>
      </c>
      <c r="G1163" s="30">
        <v>3.2</v>
      </c>
      <c r="H1163" s="63"/>
      <c r="N1163" s="31"/>
    </row>
    <row r="1164" spans="1:74" ht="14.4" x14ac:dyDescent="0.3">
      <c r="A1164" s="28"/>
      <c r="D1164" s="29" t="s">
        <v>1376</v>
      </c>
      <c r="E1164" s="29" t="s">
        <v>1377</v>
      </c>
      <c r="G1164" s="30">
        <v>1.8</v>
      </c>
      <c r="H1164" s="63"/>
      <c r="N1164" s="31"/>
    </row>
    <row r="1165" spans="1:74" ht="14.4" x14ac:dyDescent="0.3">
      <c r="A1165" s="2" t="s">
        <v>1378</v>
      </c>
      <c r="B1165" s="3" t="s">
        <v>1101</v>
      </c>
      <c r="C1165" s="3" t="s">
        <v>1379</v>
      </c>
      <c r="D1165" s="112" t="s">
        <v>1380</v>
      </c>
      <c r="E1165" s="109"/>
      <c r="F1165" s="3" t="s">
        <v>60</v>
      </c>
      <c r="G1165" s="25">
        <v>53.74</v>
      </c>
      <c r="H1165" s="62"/>
      <c r="I1165" s="25">
        <f>ROUND(G1165*AM1165,2)</f>
        <v>0</v>
      </c>
      <c r="J1165" s="25">
        <f>ROUND(G1165*AN1165,2)</f>
        <v>0</v>
      </c>
      <c r="K1165" s="25">
        <f>ROUND(G1165*H1165,2)</f>
        <v>0</v>
      </c>
      <c r="L1165" s="25">
        <v>3.3E-4</v>
      </c>
      <c r="M1165" s="25">
        <f>G1165*L1165</f>
        <v>1.7734200000000002E-2</v>
      </c>
      <c r="N1165" s="26"/>
      <c r="X1165" s="25">
        <f>ROUND(IF(AO1165="5",BH1165,0),2)</f>
        <v>0</v>
      </c>
      <c r="Z1165" s="25">
        <f>ROUND(IF(AO1165="1",BF1165,0),2)</f>
        <v>0</v>
      </c>
      <c r="AA1165" s="25">
        <f>ROUND(IF(AO1165="1",BG1165,0),2)</f>
        <v>0</v>
      </c>
      <c r="AB1165" s="25">
        <f>ROUND(IF(AO1165="7",BF1165,0),2)</f>
        <v>0</v>
      </c>
      <c r="AC1165" s="25">
        <f>ROUND(IF(AO1165="7",BG1165,0),2)</f>
        <v>0</v>
      </c>
      <c r="AD1165" s="25">
        <f>ROUND(IF(AO1165="2",BF1165,0),2)</f>
        <v>0</v>
      </c>
      <c r="AE1165" s="25">
        <f>ROUND(IF(AO1165="2",BG1165,0),2)</f>
        <v>0</v>
      </c>
      <c r="AF1165" s="25">
        <f>ROUND(IF(AO1165="0",BH1165,0),2)</f>
        <v>0</v>
      </c>
      <c r="AG1165" s="10" t="s">
        <v>1101</v>
      </c>
      <c r="AH1165" s="25">
        <f>IF(AL1165=0,K1165,0)</f>
        <v>0</v>
      </c>
      <c r="AI1165" s="25">
        <f>IF(AL1165=12,K1165,0)</f>
        <v>0</v>
      </c>
      <c r="AJ1165" s="25">
        <f>IF(AL1165=21,K1165,0)</f>
        <v>0</v>
      </c>
      <c r="AL1165" s="25">
        <v>21</v>
      </c>
      <c r="AM1165" s="25">
        <f>H1165*0.698517319</f>
        <v>0</v>
      </c>
      <c r="AN1165" s="25">
        <f>H1165*(1-0.698517319)</f>
        <v>0</v>
      </c>
      <c r="AO1165" s="27" t="s">
        <v>61</v>
      </c>
      <c r="AT1165" s="25">
        <f>ROUND(AU1165+AV1165,2)</f>
        <v>0</v>
      </c>
      <c r="AU1165" s="25">
        <f>ROUND(G1165*AM1165,2)</f>
        <v>0</v>
      </c>
      <c r="AV1165" s="25">
        <f>ROUND(G1165*AN1165,2)</f>
        <v>0</v>
      </c>
      <c r="AW1165" s="27" t="s">
        <v>1367</v>
      </c>
      <c r="AX1165" s="27" t="s">
        <v>1327</v>
      </c>
      <c r="AY1165" s="10" t="s">
        <v>1105</v>
      </c>
      <c r="BA1165" s="25">
        <f>AU1165+AV1165</f>
        <v>0</v>
      </c>
      <c r="BB1165" s="25">
        <f>H1165/(100-BC1165)*100</f>
        <v>0</v>
      </c>
      <c r="BC1165" s="25">
        <v>0</v>
      </c>
      <c r="BD1165" s="25">
        <f>M1165</f>
        <v>1.7734200000000002E-2</v>
      </c>
      <c r="BF1165" s="25">
        <f>G1165*AM1165</f>
        <v>0</v>
      </c>
      <c r="BG1165" s="25">
        <f>G1165*AN1165</f>
        <v>0</v>
      </c>
      <c r="BH1165" s="25">
        <f>G1165*H1165</f>
        <v>0</v>
      </c>
      <c r="BI1165" s="27" t="s">
        <v>65</v>
      </c>
      <c r="BJ1165" s="25">
        <v>712</v>
      </c>
      <c r="BU1165" s="25" t="e">
        <f>#REF!</f>
        <v>#REF!</v>
      </c>
      <c r="BV1165" s="4" t="s">
        <v>1380</v>
      </c>
    </row>
    <row r="1166" spans="1:74" ht="14.4" x14ac:dyDescent="0.3">
      <c r="A1166" s="28"/>
      <c r="D1166" s="29" t="s">
        <v>1368</v>
      </c>
      <c r="E1166" s="29" t="s">
        <v>1369</v>
      </c>
      <c r="G1166" s="30">
        <v>38.5</v>
      </c>
      <c r="H1166" s="63"/>
      <c r="N1166" s="31"/>
    </row>
    <row r="1167" spans="1:74" ht="14.4" x14ac:dyDescent="0.3">
      <c r="A1167" s="28"/>
      <c r="D1167" s="29" t="s">
        <v>1370</v>
      </c>
      <c r="E1167" s="29" t="s">
        <v>1371</v>
      </c>
      <c r="G1167" s="30">
        <v>8.9600000000000009</v>
      </c>
      <c r="H1167" s="63"/>
      <c r="N1167" s="31"/>
    </row>
    <row r="1168" spans="1:74" ht="14.4" x14ac:dyDescent="0.3">
      <c r="A1168" s="28"/>
      <c r="D1168" s="29" t="s">
        <v>1372</v>
      </c>
      <c r="E1168" s="29" t="s">
        <v>1373</v>
      </c>
      <c r="G1168" s="30">
        <v>1.28</v>
      </c>
      <c r="H1168" s="63"/>
      <c r="N1168" s="31"/>
    </row>
    <row r="1169" spans="1:74" ht="14.4" x14ac:dyDescent="0.3">
      <c r="A1169" s="28"/>
      <c r="D1169" s="29" t="s">
        <v>1374</v>
      </c>
      <c r="E1169" s="29" t="s">
        <v>1375</v>
      </c>
      <c r="G1169" s="30">
        <v>3.2</v>
      </c>
      <c r="H1169" s="63"/>
      <c r="N1169" s="31"/>
    </row>
    <row r="1170" spans="1:74" ht="14.4" x14ac:dyDescent="0.3">
      <c r="A1170" s="28"/>
      <c r="D1170" s="29" t="s">
        <v>1376</v>
      </c>
      <c r="E1170" s="29" t="s">
        <v>1377</v>
      </c>
      <c r="G1170" s="30">
        <v>1.8</v>
      </c>
      <c r="H1170" s="63"/>
      <c r="N1170" s="31"/>
    </row>
    <row r="1171" spans="1:74" ht="14.4" x14ac:dyDescent="0.3">
      <c r="A1171" s="2" t="s">
        <v>1381</v>
      </c>
      <c r="B1171" s="3" t="s">
        <v>1101</v>
      </c>
      <c r="C1171" s="3" t="s">
        <v>1382</v>
      </c>
      <c r="D1171" s="112" t="s">
        <v>1383</v>
      </c>
      <c r="E1171" s="109"/>
      <c r="F1171" s="3" t="s">
        <v>60</v>
      </c>
      <c r="G1171" s="25">
        <v>53.74</v>
      </c>
      <c r="H1171" s="62"/>
      <c r="I1171" s="25">
        <f>ROUND(G1171*AM1171,2)</f>
        <v>0</v>
      </c>
      <c r="J1171" s="25">
        <f>ROUND(G1171*AN1171,2)</f>
        <v>0</v>
      </c>
      <c r="K1171" s="25">
        <f>ROUND(G1171*H1171,2)</f>
        <v>0</v>
      </c>
      <c r="L1171" s="25">
        <v>1.2999999999999999E-4</v>
      </c>
      <c r="M1171" s="25">
        <f>G1171*L1171</f>
        <v>6.9861999999999997E-3</v>
      </c>
      <c r="N1171" s="26"/>
      <c r="X1171" s="25">
        <f>ROUND(IF(AO1171="5",BH1171,0),2)</f>
        <v>0</v>
      </c>
      <c r="Z1171" s="25">
        <f>ROUND(IF(AO1171="1",BF1171,0),2)</f>
        <v>0</v>
      </c>
      <c r="AA1171" s="25">
        <f>ROUND(IF(AO1171="1",BG1171,0),2)</f>
        <v>0</v>
      </c>
      <c r="AB1171" s="25">
        <f>ROUND(IF(AO1171="7",BF1171,0),2)</f>
        <v>0</v>
      </c>
      <c r="AC1171" s="25">
        <f>ROUND(IF(AO1171="7",BG1171,0),2)</f>
        <v>0</v>
      </c>
      <c r="AD1171" s="25">
        <f>ROUND(IF(AO1171="2",BF1171,0),2)</f>
        <v>0</v>
      </c>
      <c r="AE1171" s="25">
        <f>ROUND(IF(AO1171="2",BG1171,0),2)</f>
        <v>0</v>
      </c>
      <c r="AF1171" s="25">
        <f>ROUND(IF(AO1171="0",BH1171,0),2)</f>
        <v>0</v>
      </c>
      <c r="AG1171" s="10" t="s">
        <v>1101</v>
      </c>
      <c r="AH1171" s="25">
        <f>IF(AL1171=0,K1171,0)</f>
        <v>0</v>
      </c>
      <c r="AI1171" s="25">
        <f>IF(AL1171=12,K1171,0)</f>
        <v>0</v>
      </c>
      <c r="AJ1171" s="25">
        <f>IF(AL1171=21,K1171,0)</f>
        <v>0</v>
      </c>
      <c r="AL1171" s="25">
        <v>21</v>
      </c>
      <c r="AM1171" s="25">
        <f>H1171*0.314927338</f>
        <v>0</v>
      </c>
      <c r="AN1171" s="25">
        <f>H1171*(1-0.314927338)</f>
        <v>0</v>
      </c>
      <c r="AO1171" s="27" t="s">
        <v>61</v>
      </c>
      <c r="AT1171" s="25">
        <f>ROUND(AU1171+AV1171,2)</f>
        <v>0</v>
      </c>
      <c r="AU1171" s="25">
        <f>ROUND(G1171*AM1171,2)</f>
        <v>0</v>
      </c>
      <c r="AV1171" s="25">
        <f>ROUND(G1171*AN1171,2)</f>
        <v>0</v>
      </c>
      <c r="AW1171" s="27" t="s">
        <v>1367</v>
      </c>
      <c r="AX1171" s="27" t="s">
        <v>1327</v>
      </c>
      <c r="AY1171" s="10" t="s">
        <v>1105</v>
      </c>
      <c r="BA1171" s="25">
        <f>AU1171+AV1171</f>
        <v>0</v>
      </c>
      <c r="BB1171" s="25">
        <f>H1171/(100-BC1171)*100</f>
        <v>0</v>
      </c>
      <c r="BC1171" s="25">
        <v>0</v>
      </c>
      <c r="BD1171" s="25">
        <f>M1171</f>
        <v>6.9861999999999997E-3</v>
      </c>
      <c r="BF1171" s="25">
        <f>G1171*AM1171</f>
        <v>0</v>
      </c>
      <c r="BG1171" s="25">
        <f>G1171*AN1171</f>
        <v>0</v>
      </c>
      <c r="BH1171" s="25">
        <f>G1171*H1171</f>
        <v>0</v>
      </c>
      <c r="BI1171" s="27" t="s">
        <v>65</v>
      </c>
      <c r="BJ1171" s="25">
        <v>712</v>
      </c>
      <c r="BU1171" s="25" t="e">
        <f>#REF!</f>
        <v>#REF!</v>
      </c>
      <c r="BV1171" s="4" t="s">
        <v>1383</v>
      </c>
    </row>
    <row r="1172" spans="1:74" ht="14.4" x14ac:dyDescent="0.3">
      <c r="A1172" s="28"/>
      <c r="D1172" s="29" t="s">
        <v>1368</v>
      </c>
      <c r="E1172" s="29" t="s">
        <v>1369</v>
      </c>
      <c r="G1172" s="30">
        <v>38.5</v>
      </c>
      <c r="H1172" s="63"/>
      <c r="N1172" s="31"/>
    </row>
    <row r="1173" spans="1:74" ht="14.4" x14ac:dyDescent="0.3">
      <c r="A1173" s="28"/>
      <c r="D1173" s="29" t="s">
        <v>1370</v>
      </c>
      <c r="E1173" s="29" t="s">
        <v>1371</v>
      </c>
      <c r="G1173" s="30">
        <v>8.9600000000000009</v>
      </c>
      <c r="H1173" s="63"/>
      <c r="N1173" s="31"/>
    </row>
    <row r="1174" spans="1:74" ht="14.4" x14ac:dyDescent="0.3">
      <c r="A1174" s="28"/>
      <c r="D1174" s="29" t="s">
        <v>1372</v>
      </c>
      <c r="E1174" s="29" t="s">
        <v>1373</v>
      </c>
      <c r="G1174" s="30">
        <v>1.28</v>
      </c>
      <c r="H1174" s="63"/>
      <c r="N1174" s="31"/>
    </row>
    <row r="1175" spans="1:74" ht="14.4" x14ac:dyDescent="0.3">
      <c r="A1175" s="28"/>
      <c r="D1175" s="29" t="s">
        <v>1374</v>
      </c>
      <c r="E1175" s="29" t="s">
        <v>1375</v>
      </c>
      <c r="G1175" s="30">
        <v>3.2</v>
      </c>
      <c r="H1175" s="63"/>
      <c r="N1175" s="31"/>
    </row>
    <row r="1176" spans="1:74" ht="14.4" x14ac:dyDescent="0.3">
      <c r="A1176" s="28"/>
      <c r="D1176" s="29" t="s">
        <v>1376</v>
      </c>
      <c r="E1176" s="29" t="s">
        <v>1377</v>
      </c>
      <c r="G1176" s="30">
        <v>1.8</v>
      </c>
      <c r="H1176" s="63"/>
      <c r="N1176" s="31"/>
    </row>
    <row r="1177" spans="1:74" ht="14.4" x14ac:dyDescent="0.3">
      <c r="A1177" s="2" t="s">
        <v>1384</v>
      </c>
      <c r="B1177" s="3" t="s">
        <v>1101</v>
      </c>
      <c r="C1177" s="3" t="s">
        <v>1385</v>
      </c>
      <c r="D1177" s="112" t="s">
        <v>1386</v>
      </c>
      <c r="E1177" s="109"/>
      <c r="F1177" s="3" t="s">
        <v>60</v>
      </c>
      <c r="G1177" s="25">
        <v>53.74</v>
      </c>
      <c r="H1177" s="62"/>
      <c r="I1177" s="25">
        <f>ROUND(G1177*AM1177,2)</f>
        <v>0</v>
      </c>
      <c r="J1177" s="25">
        <f>ROUND(G1177*AN1177,2)</f>
        <v>0</v>
      </c>
      <c r="K1177" s="25">
        <f>ROUND(G1177*H1177,2)</f>
        <v>0</v>
      </c>
      <c r="L1177" s="25">
        <v>2.4099999999999998E-3</v>
      </c>
      <c r="M1177" s="25">
        <f>G1177*L1177</f>
        <v>0.1295134</v>
      </c>
      <c r="N1177" s="26"/>
      <c r="X1177" s="25">
        <f>ROUND(IF(AO1177="5",BH1177,0),2)</f>
        <v>0</v>
      </c>
      <c r="Z1177" s="25">
        <f>ROUND(IF(AO1177="1",BF1177,0),2)</f>
        <v>0</v>
      </c>
      <c r="AA1177" s="25">
        <f>ROUND(IF(AO1177="1",BG1177,0),2)</f>
        <v>0</v>
      </c>
      <c r="AB1177" s="25">
        <f>ROUND(IF(AO1177="7",BF1177,0),2)</f>
        <v>0</v>
      </c>
      <c r="AC1177" s="25">
        <f>ROUND(IF(AO1177="7",BG1177,0),2)</f>
        <v>0</v>
      </c>
      <c r="AD1177" s="25">
        <f>ROUND(IF(AO1177="2",BF1177,0),2)</f>
        <v>0</v>
      </c>
      <c r="AE1177" s="25">
        <f>ROUND(IF(AO1177="2",BG1177,0),2)</f>
        <v>0</v>
      </c>
      <c r="AF1177" s="25">
        <f>ROUND(IF(AO1177="0",BH1177,0),2)</f>
        <v>0</v>
      </c>
      <c r="AG1177" s="10" t="s">
        <v>1101</v>
      </c>
      <c r="AH1177" s="25">
        <f>IF(AL1177=0,K1177,0)</f>
        <v>0</v>
      </c>
      <c r="AI1177" s="25">
        <f>IF(AL1177=12,K1177,0)</f>
        <v>0</v>
      </c>
      <c r="AJ1177" s="25">
        <f>IF(AL1177=21,K1177,0)</f>
        <v>0</v>
      </c>
      <c r="AL1177" s="25">
        <v>21</v>
      </c>
      <c r="AM1177" s="25">
        <f>H1177*0.436266596</f>
        <v>0</v>
      </c>
      <c r="AN1177" s="25">
        <f>H1177*(1-0.436266596)</f>
        <v>0</v>
      </c>
      <c r="AO1177" s="27" t="s">
        <v>61</v>
      </c>
      <c r="AT1177" s="25">
        <f>ROUND(AU1177+AV1177,2)</f>
        <v>0</v>
      </c>
      <c r="AU1177" s="25">
        <f>ROUND(G1177*AM1177,2)</f>
        <v>0</v>
      </c>
      <c r="AV1177" s="25">
        <f>ROUND(G1177*AN1177,2)</f>
        <v>0</v>
      </c>
      <c r="AW1177" s="27" t="s">
        <v>1367</v>
      </c>
      <c r="AX1177" s="27" t="s">
        <v>1327</v>
      </c>
      <c r="AY1177" s="10" t="s">
        <v>1105</v>
      </c>
      <c r="BA1177" s="25">
        <f>AU1177+AV1177</f>
        <v>0</v>
      </c>
      <c r="BB1177" s="25">
        <f>H1177/(100-BC1177)*100</f>
        <v>0</v>
      </c>
      <c r="BC1177" s="25">
        <v>0</v>
      </c>
      <c r="BD1177" s="25">
        <f>M1177</f>
        <v>0.1295134</v>
      </c>
      <c r="BF1177" s="25">
        <f>G1177*AM1177</f>
        <v>0</v>
      </c>
      <c r="BG1177" s="25">
        <f>G1177*AN1177</f>
        <v>0</v>
      </c>
      <c r="BH1177" s="25">
        <f>G1177*H1177</f>
        <v>0</v>
      </c>
      <c r="BI1177" s="27" t="s">
        <v>65</v>
      </c>
      <c r="BJ1177" s="25">
        <v>712</v>
      </c>
      <c r="BU1177" s="25" t="e">
        <f>#REF!</f>
        <v>#REF!</v>
      </c>
      <c r="BV1177" s="4" t="s">
        <v>1386</v>
      </c>
    </row>
    <row r="1178" spans="1:74" ht="14.4" x14ac:dyDescent="0.3">
      <c r="A1178" s="28"/>
      <c r="D1178" s="29" t="s">
        <v>1368</v>
      </c>
      <c r="E1178" s="29" t="s">
        <v>1369</v>
      </c>
      <c r="G1178" s="30">
        <v>38.5</v>
      </c>
      <c r="H1178" s="63"/>
      <c r="N1178" s="31"/>
    </row>
    <row r="1179" spans="1:74" ht="14.4" x14ac:dyDescent="0.3">
      <c r="A1179" s="28"/>
      <c r="D1179" s="29" t="s">
        <v>1370</v>
      </c>
      <c r="E1179" s="29" t="s">
        <v>1371</v>
      </c>
      <c r="G1179" s="30">
        <v>8.9600000000000009</v>
      </c>
      <c r="H1179" s="63"/>
      <c r="N1179" s="31"/>
    </row>
    <row r="1180" spans="1:74" ht="14.4" x14ac:dyDescent="0.3">
      <c r="A1180" s="28"/>
      <c r="D1180" s="29" t="s">
        <v>1372</v>
      </c>
      <c r="E1180" s="29" t="s">
        <v>1373</v>
      </c>
      <c r="G1180" s="30">
        <v>1.28</v>
      </c>
      <c r="H1180" s="63"/>
      <c r="N1180" s="31"/>
    </row>
    <row r="1181" spans="1:74" ht="14.4" x14ac:dyDescent="0.3">
      <c r="A1181" s="28"/>
      <c r="D1181" s="29" t="s">
        <v>1374</v>
      </c>
      <c r="E1181" s="29" t="s">
        <v>1375</v>
      </c>
      <c r="G1181" s="30">
        <v>3.2</v>
      </c>
      <c r="H1181" s="63"/>
      <c r="N1181" s="31"/>
    </row>
    <row r="1182" spans="1:74" ht="14.4" x14ac:dyDescent="0.3">
      <c r="A1182" s="28"/>
      <c r="D1182" s="29" t="s">
        <v>1376</v>
      </c>
      <c r="E1182" s="29" t="s">
        <v>1377</v>
      </c>
      <c r="G1182" s="30">
        <v>1.8</v>
      </c>
      <c r="H1182" s="63"/>
      <c r="N1182" s="31"/>
    </row>
    <row r="1183" spans="1:74" ht="14.4" x14ac:dyDescent="0.3">
      <c r="A1183" s="2" t="s">
        <v>1387</v>
      </c>
      <c r="B1183" s="3" t="s">
        <v>1101</v>
      </c>
      <c r="C1183" s="3" t="s">
        <v>1388</v>
      </c>
      <c r="D1183" s="112" t="s">
        <v>1389</v>
      </c>
      <c r="E1183" s="109"/>
      <c r="F1183" s="3" t="s">
        <v>122</v>
      </c>
      <c r="G1183" s="25">
        <v>4</v>
      </c>
      <c r="H1183" s="62"/>
      <c r="I1183" s="25">
        <f>ROUND(G1183*AM1183,2)</f>
        <v>0</v>
      </c>
      <c r="J1183" s="25">
        <f>ROUND(G1183*AN1183,2)</f>
        <v>0</v>
      </c>
      <c r="K1183" s="25">
        <f>ROUND(G1183*H1183,2)</f>
        <v>0</v>
      </c>
      <c r="L1183" s="25">
        <v>1.25E-3</v>
      </c>
      <c r="M1183" s="25">
        <f>G1183*L1183</f>
        <v>5.0000000000000001E-3</v>
      </c>
      <c r="N1183" s="26"/>
      <c r="X1183" s="25">
        <f>ROUND(IF(AO1183="5",BH1183,0),2)</f>
        <v>0</v>
      </c>
      <c r="Z1183" s="25">
        <f>ROUND(IF(AO1183="1",BF1183,0),2)</f>
        <v>0</v>
      </c>
      <c r="AA1183" s="25">
        <f>ROUND(IF(AO1183="1",BG1183,0),2)</f>
        <v>0</v>
      </c>
      <c r="AB1183" s="25">
        <f>ROUND(IF(AO1183="7",BF1183,0),2)</f>
        <v>0</v>
      </c>
      <c r="AC1183" s="25">
        <f>ROUND(IF(AO1183="7",BG1183,0),2)</f>
        <v>0</v>
      </c>
      <c r="AD1183" s="25">
        <f>ROUND(IF(AO1183="2",BF1183,0),2)</f>
        <v>0</v>
      </c>
      <c r="AE1183" s="25">
        <f>ROUND(IF(AO1183="2",BG1183,0),2)</f>
        <v>0</v>
      </c>
      <c r="AF1183" s="25">
        <f>ROUND(IF(AO1183="0",BH1183,0),2)</f>
        <v>0</v>
      </c>
      <c r="AG1183" s="10" t="s">
        <v>1101</v>
      </c>
      <c r="AH1183" s="25">
        <f>IF(AL1183=0,K1183,0)</f>
        <v>0</v>
      </c>
      <c r="AI1183" s="25">
        <f>IF(AL1183=12,K1183,0)</f>
        <v>0</v>
      </c>
      <c r="AJ1183" s="25">
        <f>IF(AL1183=21,K1183,0)</f>
        <v>0</v>
      </c>
      <c r="AL1183" s="25">
        <v>21</v>
      </c>
      <c r="AM1183" s="25">
        <f>H1183*0</f>
        <v>0</v>
      </c>
      <c r="AN1183" s="25">
        <f>H1183*(1-0)</f>
        <v>0</v>
      </c>
      <c r="AO1183" s="27" t="s">
        <v>61</v>
      </c>
      <c r="AT1183" s="25">
        <f>ROUND(AU1183+AV1183,2)</f>
        <v>0</v>
      </c>
      <c r="AU1183" s="25">
        <f>ROUND(G1183*AM1183,2)</f>
        <v>0</v>
      </c>
      <c r="AV1183" s="25">
        <f>ROUND(G1183*AN1183,2)</f>
        <v>0</v>
      </c>
      <c r="AW1183" s="27" t="s">
        <v>1367</v>
      </c>
      <c r="AX1183" s="27" t="s">
        <v>1327</v>
      </c>
      <c r="AY1183" s="10" t="s">
        <v>1105</v>
      </c>
      <c r="BA1183" s="25">
        <f>AU1183+AV1183</f>
        <v>0</v>
      </c>
      <c r="BB1183" s="25">
        <f>H1183/(100-BC1183)*100</f>
        <v>0</v>
      </c>
      <c r="BC1183" s="25">
        <v>0</v>
      </c>
      <c r="BD1183" s="25">
        <f>M1183</f>
        <v>5.0000000000000001E-3</v>
      </c>
      <c r="BF1183" s="25">
        <f>G1183*AM1183</f>
        <v>0</v>
      </c>
      <c r="BG1183" s="25">
        <f>G1183*AN1183</f>
        <v>0</v>
      </c>
      <c r="BH1183" s="25">
        <f>G1183*H1183</f>
        <v>0</v>
      </c>
      <c r="BI1183" s="27" t="s">
        <v>65</v>
      </c>
      <c r="BJ1183" s="25">
        <v>712</v>
      </c>
      <c r="BU1183" s="25" t="e">
        <f>#REF!</f>
        <v>#REF!</v>
      </c>
      <c r="BV1183" s="4" t="s">
        <v>1389</v>
      </c>
    </row>
    <row r="1184" spans="1:74" ht="14.4" x14ac:dyDescent="0.3">
      <c r="A1184" s="28"/>
      <c r="D1184" s="29" t="s">
        <v>90</v>
      </c>
      <c r="E1184" s="29" t="s">
        <v>52</v>
      </c>
      <c r="G1184" s="30">
        <v>4</v>
      </c>
      <c r="H1184" s="63"/>
      <c r="N1184" s="31"/>
    </row>
    <row r="1185" spans="1:74" ht="14.4" x14ac:dyDescent="0.3">
      <c r="A1185" s="2" t="s">
        <v>1390</v>
      </c>
      <c r="B1185" s="3" t="s">
        <v>1101</v>
      </c>
      <c r="C1185" s="3" t="s">
        <v>1391</v>
      </c>
      <c r="D1185" s="112" t="s">
        <v>1392</v>
      </c>
      <c r="E1185" s="109"/>
      <c r="F1185" s="3" t="s">
        <v>122</v>
      </c>
      <c r="G1185" s="25">
        <v>4</v>
      </c>
      <c r="H1185" s="62"/>
      <c r="I1185" s="25">
        <f>ROUND(G1185*AM1185,2)</f>
        <v>0</v>
      </c>
      <c r="J1185" s="25">
        <f>ROUND(G1185*AN1185,2)</f>
        <v>0</v>
      </c>
      <c r="K1185" s="25">
        <f>ROUND(G1185*H1185,2)</f>
        <v>0</v>
      </c>
      <c r="L1185" s="25">
        <v>2.0999999999999999E-3</v>
      </c>
      <c r="M1185" s="25">
        <f>G1185*L1185</f>
        <v>8.3999999999999995E-3</v>
      </c>
      <c r="N1185" s="26"/>
      <c r="X1185" s="25">
        <f>ROUND(IF(AO1185="5",BH1185,0),2)</f>
        <v>0</v>
      </c>
      <c r="Z1185" s="25">
        <f>ROUND(IF(AO1185="1",BF1185,0),2)</f>
        <v>0</v>
      </c>
      <c r="AA1185" s="25">
        <f>ROUND(IF(AO1185="1",BG1185,0),2)</f>
        <v>0</v>
      </c>
      <c r="AB1185" s="25">
        <f>ROUND(IF(AO1185="7",BF1185,0),2)</f>
        <v>0</v>
      </c>
      <c r="AC1185" s="25">
        <f>ROUND(IF(AO1185="7",BG1185,0),2)</f>
        <v>0</v>
      </c>
      <c r="AD1185" s="25">
        <f>ROUND(IF(AO1185="2",BF1185,0),2)</f>
        <v>0</v>
      </c>
      <c r="AE1185" s="25">
        <f>ROUND(IF(AO1185="2",BG1185,0),2)</f>
        <v>0</v>
      </c>
      <c r="AF1185" s="25">
        <f>ROUND(IF(AO1185="0",BH1185,0),2)</f>
        <v>0</v>
      </c>
      <c r="AG1185" s="10" t="s">
        <v>1101</v>
      </c>
      <c r="AH1185" s="25">
        <f>IF(AL1185=0,K1185,0)</f>
        <v>0</v>
      </c>
      <c r="AI1185" s="25">
        <f>IF(AL1185=12,K1185,0)</f>
        <v>0</v>
      </c>
      <c r="AJ1185" s="25">
        <f>IF(AL1185=21,K1185,0)</f>
        <v>0</v>
      </c>
      <c r="AL1185" s="25">
        <v>21</v>
      </c>
      <c r="AM1185" s="25">
        <f>H1185*1</f>
        <v>0</v>
      </c>
      <c r="AN1185" s="25">
        <f>H1185*(1-1)</f>
        <v>0</v>
      </c>
      <c r="AO1185" s="27" t="s">
        <v>61</v>
      </c>
      <c r="AT1185" s="25">
        <f>ROUND(AU1185+AV1185,2)</f>
        <v>0</v>
      </c>
      <c r="AU1185" s="25">
        <f>ROUND(G1185*AM1185,2)</f>
        <v>0</v>
      </c>
      <c r="AV1185" s="25">
        <f>ROUND(G1185*AN1185,2)</f>
        <v>0</v>
      </c>
      <c r="AW1185" s="27" t="s">
        <v>1367</v>
      </c>
      <c r="AX1185" s="27" t="s">
        <v>1327</v>
      </c>
      <c r="AY1185" s="10" t="s">
        <v>1105</v>
      </c>
      <c r="BA1185" s="25">
        <f>AU1185+AV1185</f>
        <v>0</v>
      </c>
      <c r="BB1185" s="25">
        <f>H1185/(100-BC1185)*100</f>
        <v>0</v>
      </c>
      <c r="BC1185" s="25">
        <v>0</v>
      </c>
      <c r="BD1185" s="25">
        <f>M1185</f>
        <v>8.3999999999999995E-3</v>
      </c>
      <c r="BF1185" s="25">
        <f>G1185*AM1185</f>
        <v>0</v>
      </c>
      <c r="BG1185" s="25">
        <f>G1185*AN1185</f>
        <v>0</v>
      </c>
      <c r="BH1185" s="25">
        <f>G1185*H1185</f>
        <v>0</v>
      </c>
      <c r="BI1185" s="27" t="s">
        <v>576</v>
      </c>
      <c r="BJ1185" s="25">
        <v>712</v>
      </c>
      <c r="BU1185" s="25" t="e">
        <f>#REF!</f>
        <v>#REF!</v>
      </c>
      <c r="BV1185" s="4" t="s">
        <v>1392</v>
      </c>
    </row>
    <row r="1186" spans="1:74" ht="14.4" x14ac:dyDescent="0.3">
      <c r="A1186" s="28"/>
      <c r="D1186" s="29" t="s">
        <v>90</v>
      </c>
      <c r="E1186" s="29" t="s">
        <v>52</v>
      </c>
      <c r="G1186" s="30">
        <v>4</v>
      </c>
      <c r="H1186" s="63"/>
      <c r="N1186" s="31"/>
    </row>
    <row r="1187" spans="1:74" ht="14.4" x14ac:dyDescent="0.3">
      <c r="A1187" s="2" t="s">
        <v>1393</v>
      </c>
      <c r="B1187" s="3" t="s">
        <v>1101</v>
      </c>
      <c r="C1187" s="3" t="s">
        <v>1394</v>
      </c>
      <c r="D1187" s="112" t="s">
        <v>1395</v>
      </c>
      <c r="E1187" s="109"/>
      <c r="F1187" s="3" t="s">
        <v>122</v>
      </c>
      <c r="G1187" s="25">
        <v>4</v>
      </c>
      <c r="H1187" s="62"/>
      <c r="I1187" s="25">
        <f>ROUND(G1187*AM1187,2)</f>
        <v>0</v>
      </c>
      <c r="J1187" s="25">
        <f>ROUND(G1187*AN1187,2)</f>
        <v>0</v>
      </c>
      <c r="K1187" s="25">
        <f>ROUND(G1187*H1187,2)</f>
        <v>0</v>
      </c>
      <c r="L1187" s="25">
        <v>3.7499999999999999E-3</v>
      </c>
      <c r="M1187" s="25">
        <f>G1187*L1187</f>
        <v>1.4999999999999999E-2</v>
      </c>
      <c r="N1187" s="26"/>
      <c r="X1187" s="25">
        <f>ROUND(IF(AO1187="5",BH1187,0),2)</f>
        <v>0</v>
      </c>
      <c r="Z1187" s="25">
        <f>ROUND(IF(AO1187="1",BF1187,0),2)</f>
        <v>0</v>
      </c>
      <c r="AA1187" s="25">
        <f>ROUND(IF(AO1187="1",BG1187,0),2)</f>
        <v>0</v>
      </c>
      <c r="AB1187" s="25">
        <f>ROUND(IF(AO1187="7",BF1187,0),2)</f>
        <v>0</v>
      </c>
      <c r="AC1187" s="25">
        <f>ROUND(IF(AO1187="7",BG1187,0),2)</f>
        <v>0</v>
      </c>
      <c r="AD1187" s="25">
        <f>ROUND(IF(AO1187="2",BF1187,0),2)</f>
        <v>0</v>
      </c>
      <c r="AE1187" s="25">
        <f>ROUND(IF(AO1187="2",BG1187,0),2)</f>
        <v>0</v>
      </c>
      <c r="AF1187" s="25">
        <f>ROUND(IF(AO1187="0",BH1187,0),2)</f>
        <v>0</v>
      </c>
      <c r="AG1187" s="10" t="s">
        <v>1101</v>
      </c>
      <c r="AH1187" s="25">
        <f>IF(AL1187=0,K1187,0)</f>
        <v>0</v>
      </c>
      <c r="AI1187" s="25">
        <f>IF(AL1187=12,K1187,0)</f>
        <v>0</v>
      </c>
      <c r="AJ1187" s="25">
        <f>IF(AL1187=21,K1187,0)</f>
        <v>0</v>
      </c>
      <c r="AL1187" s="25">
        <v>21</v>
      </c>
      <c r="AM1187" s="25">
        <f>H1187*1</f>
        <v>0</v>
      </c>
      <c r="AN1187" s="25">
        <f>H1187*(1-1)</f>
        <v>0</v>
      </c>
      <c r="AO1187" s="27" t="s">
        <v>61</v>
      </c>
      <c r="AT1187" s="25">
        <f>ROUND(AU1187+AV1187,2)</f>
        <v>0</v>
      </c>
      <c r="AU1187" s="25">
        <f>ROUND(G1187*AM1187,2)</f>
        <v>0</v>
      </c>
      <c r="AV1187" s="25">
        <f>ROUND(G1187*AN1187,2)</f>
        <v>0</v>
      </c>
      <c r="AW1187" s="27" t="s">
        <v>1367</v>
      </c>
      <c r="AX1187" s="27" t="s">
        <v>1327</v>
      </c>
      <c r="AY1187" s="10" t="s">
        <v>1105</v>
      </c>
      <c r="BA1187" s="25">
        <f>AU1187+AV1187</f>
        <v>0</v>
      </c>
      <c r="BB1187" s="25">
        <f>H1187/(100-BC1187)*100</f>
        <v>0</v>
      </c>
      <c r="BC1187" s="25">
        <v>0</v>
      </c>
      <c r="BD1187" s="25">
        <f>M1187</f>
        <v>1.4999999999999999E-2</v>
      </c>
      <c r="BF1187" s="25">
        <f>G1187*AM1187</f>
        <v>0</v>
      </c>
      <c r="BG1187" s="25">
        <f>G1187*AN1187</f>
        <v>0</v>
      </c>
      <c r="BH1187" s="25">
        <f>G1187*H1187</f>
        <v>0</v>
      </c>
      <c r="BI1187" s="27" t="s">
        <v>65</v>
      </c>
      <c r="BJ1187" s="25">
        <v>712</v>
      </c>
      <c r="BU1187" s="25" t="e">
        <f>#REF!</f>
        <v>#REF!</v>
      </c>
      <c r="BV1187" s="4" t="s">
        <v>1395</v>
      </c>
    </row>
    <row r="1188" spans="1:74" ht="14.4" x14ac:dyDescent="0.3">
      <c r="A1188" s="28"/>
      <c r="D1188" s="29" t="s">
        <v>90</v>
      </c>
      <c r="E1188" s="29" t="s">
        <v>52</v>
      </c>
      <c r="G1188" s="30">
        <v>4</v>
      </c>
      <c r="H1188" s="63"/>
      <c r="N1188" s="31"/>
    </row>
    <row r="1189" spans="1:74" ht="14.4" x14ac:dyDescent="0.3">
      <c r="A1189" s="2" t="s">
        <v>1396</v>
      </c>
      <c r="B1189" s="3" t="s">
        <v>1101</v>
      </c>
      <c r="C1189" s="3" t="s">
        <v>1397</v>
      </c>
      <c r="D1189" s="112" t="s">
        <v>1398</v>
      </c>
      <c r="E1189" s="109"/>
      <c r="F1189" s="3" t="s">
        <v>122</v>
      </c>
      <c r="G1189" s="25">
        <v>4</v>
      </c>
      <c r="H1189" s="62"/>
      <c r="I1189" s="25">
        <f>ROUND(G1189*AM1189,2)</f>
        <v>0</v>
      </c>
      <c r="J1189" s="25">
        <f>ROUND(G1189*AN1189,2)</f>
        <v>0</v>
      </c>
      <c r="K1189" s="25">
        <f>ROUND(G1189*H1189,2)</f>
        <v>0</v>
      </c>
      <c r="L1189" s="25">
        <v>1E-3</v>
      </c>
      <c r="M1189" s="25">
        <f>G1189*L1189</f>
        <v>4.0000000000000001E-3</v>
      </c>
      <c r="N1189" s="26"/>
      <c r="X1189" s="25">
        <f>ROUND(IF(AO1189="5",BH1189,0),2)</f>
        <v>0</v>
      </c>
      <c r="Z1189" s="25">
        <f>ROUND(IF(AO1189="1",BF1189,0),2)</f>
        <v>0</v>
      </c>
      <c r="AA1189" s="25">
        <f>ROUND(IF(AO1189="1",BG1189,0),2)</f>
        <v>0</v>
      </c>
      <c r="AB1189" s="25">
        <f>ROUND(IF(AO1189="7",BF1189,0),2)</f>
        <v>0</v>
      </c>
      <c r="AC1189" s="25">
        <f>ROUND(IF(AO1189="7",BG1189,0),2)</f>
        <v>0</v>
      </c>
      <c r="AD1189" s="25">
        <f>ROUND(IF(AO1189="2",BF1189,0),2)</f>
        <v>0</v>
      </c>
      <c r="AE1189" s="25">
        <f>ROUND(IF(AO1189="2",BG1189,0),2)</f>
        <v>0</v>
      </c>
      <c r="AF1189" s="25">
        <f>ROUND(IF(AO1189="0",BH1189,0),2)</f>
        <v>0</v>
      </c>
      <c r="AG1189" s="10" t="s">
        <v>1101</v>
      </c>
      <c r="AH1189" s="25">
        <f>IF(AL1189=0,K1189,0)</f>
        <v>0</v>
      </c>
      <c r="AI1189" s="25">
        <f>IF(AL1189=12,K1189,0)</f>
        <v>0</v>
      </c>
      <c r="AJ1189" s="25">
        <f>IF(AL1189=21,K1189,0)</f>
        <v>0</v>
      </c>
      <c r="AL1189" s="25">
        <v>21</v>
      </c>
      <c r="AM1189" s="25">
        <f>H1189*0</f>
        <v>0</v>
      </c>
      <c r="AN1189" s="25">
        <f>H1189*(1-0)</f>
        <v>0</v>
      </c>
      <c r="AO1189" s="27" t="s">
        <v>61</v>
      </c>
      <c r="AT1189" s="25">
        <f>ROUND(AU1189+AV1189,2)</f>
        <v>0</v>
      </c>
      <c r="AU1189" s="25">
        <f>ROUND(G1189*AM1189,2)</f>
        <v>0</v>
      </c>
      <c r="AV1189" s="25">
        <f>ROUND(G1189*AN1189,2)</f>
        <v>0</v>
      </c>
      <c r="AW1189" s="27" t="s">
        <v>1367</v>
      </c>
      <c r="AX1189" s="27" t="s">
        <v>1327</v>
      </c>
      <c r="AY1189" s="10" t="s">
        <v>1105</v>
      </c>
      <c r="BA1189" s="25">
        <f>AU1189+AV1189</f>
        <v>0</v>
      </c>
      <c r="BB1189" s="25">
        <f>H1189/(100-BC1189)*100</f>
        <v>0</v>
      </c>
      <c r="BC1189" s="25">
        <v>0</v>
      </c>
      <c r="BD1189" s="25">
        <f>M1189</f>
        <v>4.0000000000000001E-3</v>
      </c>
      <c r="BF1189" s="25">
        <f>G1189*AM1189</f>
        <v>0</v>
      </c>
      <c r="BG1189" s="25">
        <f>G1189*AN1189</f>
        <v>0</v>
      </c>
      <c r="BH1189" s="25">
        <f>G1189*H1189</f>
        <v>0</v>
      </c>
      <c r="BI1189" s="27" t="s">
        <v>65</v>
      </c>
      <c r="BJ1189" s="25">
        <v>712</v>
      </c>
      <c r="BU1189" s="25" t="e">
        <f>#REF!</f>
        <v>#REF!</v>
      </c>
      <c r="BV1189" s="4" t="s">
        <v>1398</v>
      </c>
    </row>
    <row r="1190" spans="1:74" ht="14.4" x14ac:dyDescent="0.3">
      <c r="A1190" s="28"/>
      <c r="D1190" s="29" t="s">
        <v>90</v>
      </c>
      <c r="E1190" s="29" t="s">
        <v>52</v>
      </c>
      <c r="G1190" s="30">
        <v>4</v>
      </c>
      <c r="H1190" s="63"/>
      <c r="N1190" s="31"/>
    </row>
    <row r="1191" spans="1:74" ht="14.4" x14ac:dyDescent="0.3">
      <c r="A1191" s="2" t="s">
        <v>1399</v>
      </c>
      <c r="B1191" s="3" t="s">
        <v>1101</v>
      </c>
      <c r="C1191" s="3" t="s">
        <v>1400</v>
      </c>
      <c r="D1191" s="112" t="s">
        <v>1401</v>
      </c>
      <c r="E1191" s="109"/>
      <c r="F1191" s="3" t="s">
        <v>278</v>
      </c>
      <c r="G1191" s="25">
        <v>0.20544000000000001</v>
      </c>
      <c r="H1191" s="62"/>
      <c r="I1191" s="25">
        <f>ROUND(G1191*AM1191,2)</f>
        <v>0</v>
      </c>
      <c r="J1191" s="25">
        <f>ROUND(G1191*AN1191,2)</f>
        <v>0</v>
      </c>
      <c r="K1191" s="25">
        <f>ROUND(G1191*H1191,2)</f>
        <v>0</v>
      </c>
      <c r="L1191" s="25">
        <v>0</v>
      </c>
      <c r="M1191" s="25">
        <f>G1191*L1191</f>
        <v>0</v>
      </c>
      <c r="N1191" s="26"/>
      <c r="X1191" s="25">
        <f>ROUND(IF(AO1191="5",BH1191,0),2)</f>
        <v>0</v>
      </c>
      <c r="Z1191" s="25">
        <f>ROUND(IF(AO1191="1",BF1191,0),2)</f>
        <v>0</v>
      </c>
      <c r="AA1191" s="25">
        <f>ROUND(IF(AO1191="1",BG1191,0),2)</f>
        <v>0</v>
      </c>
      <c r="AB1191" s="25">
        <f>ROUND(IF(AO1191="7",BF1191,0),2)</f>
        <v>0</v>
      </c>
      <c r="AC1191" s="25">
        <f>ROUND(IF(AO1191="7",BG1191,0),2)</f>
        <v>0</v>
      </c>
      <c r="AD1191" s="25">
        <f>ROUND(IF(AO1191="2",BF1191,0),2)</f>
        <v>0</v>
      </c>
      <c r="AE1191" s="25">
        <f>ROUND(IF(AO1191="2",BG1191,0),2)</f>
        <v>0</v>
      </c>
      <c r="AF1191" s="25">
        <f>ROUND(IF(AO1191="0",BH1191,0),2)</f>
        <v>0</v>
      </c>
      <c r="AG1191" s="10" t="s">
        <v>1101</v>
      </c>
      <c r="AH1191" s="25">
        <f>IF(AL1191=0,K1191,0)</f>
        <v>0</v>
      </c>
      <c r="AI1191" s="25">
        <f>IF(AL1191=12,K1191,0)</f>
        <v>0</v>
      </c>
      <c r="AJ1191" s="25">
        <f>IF(AL1191=21,K1191,0)</f>
        <v>0</v>
      </c>
      <c r="AL1191" s="25">
        <v>21</v>
      </c>
      <c r="AM1191" s="25">
        <f>H1191*0</f>
        <v>0</v>
      </c>
      <c r="AN1191" s="25">
        <f>H1191*(1-0)</f>
        <v>0</v>
      </c>
      <c r="AO1191" s="27" t="s">
        <v>97</v>
      </c>
      <c r="AT1191" s="25">
        <f>ROUND(AU1191+AV1191,2)</f>
        <v>0</v>
      </c>
      <c r="AU1191" s="25">
        <f>ROUND(G1191*AM1191,2)</f>
        <v>0</v>
      </c>
      <c r="AV1191" s="25">
        <f>ROUND(G1191*AN1191,2)</f>
        <v>0</v>
      </c>
      <c r="AW1191" s="27" t="s">
        <v>1367</v>
      </c>
      <c r="AX1191" s="27" t="s">
        <v>1327</v>
      </c>
      <c r="AY1191" s="10" t="s">
        <v>1105</v>
      </c>
      <c r="BA1191" s="25">
        <f>AU1191+AV1191</f>
        <v>0</v>
      </c>
      <c r="BB1191" s="25">
        <f>H1191/(100-BC1191)*100</f>
        <v>0</v>
      </c>
      <c r="BC1191" s="25">
        <v>0</v>
      </c>
      <c r="BD1191" s="25">
        <f>M1191</f>
        <v>0</v>
      </c>
      <c r="BF1191" s="25">
        <f>G1191*AM1191</f>
        <v>0</v>
      </c>
      <c r="BG1191" s="25">
        <f>G1191*AN1191</f>
        <v>0</v>
      </c>
      <c r="BH1191" s="25">
        <f>G1191*H1191</f>
        <v>0</v>
      </c>
      <c r="BI1191" s="27" t="s">
        <v>65</v>
      </c>
      <c r="BJ1191" s="25">
        <v>712</v>
      </c>
      <c r="BU1191" s="25" t="e">
        <f>#REF!</f>
        <v>#REF!</v>
      </c>
      <c r="BV1191" s="4" t="s">
        <v>1401</v>
      </c>
    </row>
    <row r="1192" spans="1:74" ht="14.4" x14ac:dyDescent="0.3">
      <c r="A1192" s="28"/>
      <c r="D1192" s="29">
        <v>0.21</v>
      </c>
      <c r="E1192" s="29" t="s">
        <v>52</v>
      </c>
      <c r="G1192" s="30">
        <v>0.21</v>
      </c>
      <c r="H1192" s="63"/>
      <c r="N1192" s="31"/>
    </row>
    <row r="1193" spans="1:74" ht="14.4" x14ac:dyDescent="0.3">
      <c r="A1193" s="21" t="s">
        <v>52</v>
      </c>
      <c r="B1193" s="22" t="s">
        <v>1101</v>
      </c>
      <c r="C1193" s="22" t="s">
        <v>79</v>
      </c>
      <c r="D1193" s="170" t="s">
        <v>80</v>
      </c>
      <c r="E1193" s="171"/>
      <c r="F1193" s="23" t="s">
        <v>32</v>
      </c>
      <c r="G1193" s="23" t="s">
        <v>32</v>
      </c>
      <c r="H1193" s="64"/>
      <c r="I1193" s="1">
        <f>SUM(I1194:I1234)</f>
        <v>0</v>
      </c>
      <c r="J1193" s="1">
        <f>SUM(J1194:J1234)</f>
        <v>0</v>
      </c>
      <c r="K1193" s="1">
        <f>SUM(K1194:K1234)</f>
        <v>0</v>
      </c>
      <c r="L1193" s="10" t="s">
        <v>52</v>
      </c>
      <c r="M1193" s="1">
        <f>SUM(M1194:M1234)</f>
        <v>0.19073820000000002</v>
      </c>
      <c r="N1193" s="24"/>
      <c r="AG1193" s="10" t="s">
        <v>1101</v>
      </c>
      <c r="AQ1193" s="1">
        <f>SUM(AH1194:AH1234)</f>
        <v>0</v>
      </c>
      <c r="AR1193" s="1">
        <f>SUM(AI1194:AI1234)</f>
        <v>0</v>
      </c>
      <c r="AS1193" s="1">
        <f>SUM(AJ1194:AJ1234)</f>
        <v>0</v>
      </c>
    </row>
    <row r="1194" spans="1:74" ht="14.4" x14ac:dyDescent="0.3">
      <c r="A1194" s="2" t="s">
        <v>1402</v>
      </c>
      <c r="B1194" s="3" t="s">
        <v>1101</v>
      </c>
      <c r="C1194" s="3" t="s">
        <v>843</v>
      </c>
      <c r="D1194" s="112" t="s">
        <v>844</v>
      </c>
      <c r="E1194" s="109"/>
      <c r="F1194" s="3" t="s">
        <v>115</v>
      </c>
      <c r="G1194" s="25">
        <v>121.24</v>
      </c>
      <c r="H1194" s="62"/>
      <c r="I1194" s="25">
        <f>ROUND(G1194*AM1194,2)</f>
        <v>0</v>
      </c>
      <c r="J1194" s="25">
        <f>ROUND(G1194*AN1194,2)</f>
        <v>0</v>
      </c>
      <c r="K1194" s="25">
        <f>ROUND(G1194*H1194,2)</f>
        <v>0</v>
      </c>
      <c r="L1194" s="25">
        <v>0</v>
      </c>
      <c r="M1194" s="25">
        <f>G1194*L1194</f>
        <v>0</v>
      </c>
      <c r="N1194" s="26"/>
      <c r="X1194" s="25">
        <f>ROUND(IF(AO1194="5",BH1194,0),2)</f>
        <v>0</v>
      </c>
      <c r="Z1194" s="25">
        <f>ROUND(IF(AO1194="1",BF1194,0),2)</f>
        <v>0</v>
      </c>
      <c r="AA1194" s="25">
        <f>ROUND(IF(AO1194="1",BG1194,0),2)</f>
        <v>0</v>
      </c>
      <c r="AB1194" s="25">
        <f>ROUND(IF(AO1194="7",BF1194,0),2)</f>
        <v>0</v>
      </c>
      <c r="AC1194" s="25">
        <f>ROUND(IF(AO1194="7",BG1194,0),2)</f>
        <v>0</v>
      </c>
      <c r="AD1194" s="25">
        <f>ROUND(IF(AO1194="2",BF1194,0),2)</f>
        <v>0</v>
      </c>
      <c r="AE1194" s="25">
        <f>ROUND(IF(AO1194="2",BG1194,0),2)</f>
        <v>0</v>
      </c>
      <c r="AF1194" s="25">
        <f>ROUND(IF(AO1194="0",BH1194,0),2)</f>
        <v>0</v>
      </c>
      <c r="AG1194" s="10" t="s">
        <v>1101</v>
      </c>
      <c r="AH1194" s="25">
        <f>IF(AL1194=0,K1194,0)</f>
        <v>0</v>
      </c>
      <c r="AI1194" s="25">
        <f>IF(AL1194=12,K1194,0)</f>
        <v>0</v>
      </c>
      <c r="AJ1194" s="25">
        <f>IF(AL1194=21,K1194,0)</f>
        <v>0</v>
      </c>
      <c r="AL1194" s="25">
        <v>21</v>
      </c>
      <c r="AM1194" s="25">
        <f>H1194*0</f>
        <v>0</v>
      </c>
      <c r="AN1194" s="25">
        <f>H1194*(1-0)</f>
        <v>0</v>
      </c>
      <c r="AO1194" s="27" t="s">
        <v>61</v>
      </c>
      <c r="AT1194" s="25">
        <f>ROUND(AU1194+AV1194,2)</f>
        <v>0</v>
      </c>
      <c r="AU1194" s="25">
        <f>ROUND(G1194*AM1194,2)</f>
        <v>0</v>
      </c>
      <c r="AV1194" s="25">
        <f>ROUND(G1194*AN1194,2)</f>
        <v>0</v>
      </c>
      <c r="AW1194" s="27" t="s">
        <v>84</v>
      </c>
      <c r="AX1194" s="27" t="s">
        <v>1327</v>
      </c>
      <c r="AY1194" s="10" t="s">
        <v>1105</v>
      </c>
      <c r="BA1194" s="25">
        <f>AU1194+AV1194</f>
        <v>0</v>
      </c>
      <c r="BB1194" s="25">
        <f>H1194/(100-BC1194)*100</f>
        <v>0</v>
      </c>
      <c r="BC1194" s="25">
        <v>0</v>
      </c>
      <c r="BD1194" s="25">
        <f>M1194</f>
        <v>0</v>
      </c>
      <c r="BF1194" s="25">
        <f>G1194*AM1194</f>
        <v>0</v>
      </c>
      <c r="BG1194" s="25">
        <f>G1194*AN1194</f>
        <v>0</v>
      </c>
      <c r="BH1194" s="25">
        <f>G1194*H1194</f>
        <v>0</v>
      </c>
      <c r="BI1194" s="27" t="s">
        <v>65</v>
      </c>
      <c r="BJ1194" s="25">
        <v>713</v>
      </c>
      <c r="BU1194" s="25" t="e">
        <f>#REF!</f>
        <v>#REF!</v>
      </c>
      <c r="BV1194" s="4" t="s">
        <v>844</v>
      </c>
    </row>
    <row r="1195" spans="1:74" ht="14.4" x14ac:dyDescent="0.3">
      <c r="A1195" s="28"/>
      <c r="D1195" s="29" t="s">
        <v>1403</v>
      </c>
      <c r="E1195" s="29" t="s">
        <v>1404</v>
      </c>
      <c r="G1195" s="30">
        <v>15.56</v>
      </c>
      <c r="H1195" s="63"/>
      <c r="N1195" s="31"/>
    </row>
    <row r="1196" spans="1:74" ht="14.4" x14ac:dyDescent="0.3">
      <c r="A1196" s="28"/>
      <c r="D1196" s="29" t="s">
        <v>1405</v>
      </c>
      <c r="E1196" s="29" t="s">
        <v>377</v>
      </c>
      <c r="G1196" s="30">
        <v>7.13</v>
      </c>
      <c r="H1196" s="63"/>
      <c r="N1196" s="31"/>
    </row>
    <row r="1197" spans="1:74" ht="14.4" x14ac:dyDescent="0.3">
      <c r="A1197" s="28"/>
      <c r="D1197" s="29" t="s">
        <v>1406</v>
      </c>
      <c r="E1197" s="29" t="s">
        <v>375</v>
      </c>
      <c r="G1197" s="30">
        <v>5.17</v>
      </c>
      <c r="H1197" s="63"/>
      <c r="N1197" s="31"/>
    </row>
    <row r="1198" spans="1:74" ht="14.4" x14ac:dyDescent="0.3">
      <c r="A1198" s="28"/>
      <c r="D1198" s="29" t="s">
        <v>1352</v>
      </c>
      <c r="E1198" s="29" t="s">
        <v>363</v>
      </c>
      <c r="G1198" s="30">
        <v>6.78</v>
      </c>
      <c r="H1198" s="63"/>
      <c r="N1198" s="31"/>
    </row>
    <row r="1199" spans="1:74" ht="14.4" x14ac:dyDescent="0.3">
      <c r="A1199" s="28"/>
      <c r="D1199" s="29" t="s">
        <v>1407</v>
      </c>
      <c r="E1199" s="29" t="s">
        <v>366</v>
      </c>
      <c r="G1199" s="30">
        <v>86.6</v>
      </c>
      <c r="H1199" s="63"/>
      <c r="N1199" s="31"/>
    </row>
    <row r="1200" spans="1:74" ht="14.4" x14ac:dyDescent="0.3">
      <c r="A1200" s="2" t="s">
        <v>1408</v>
      </c>
      <c r="B1200" s="3" t="s">
        <v>1101</v>
      </c>
      <c r="C1200" s="3" t="s">
        <v>851</v>
      </c>
      <c r="D1200" s="112" t="s">
        <v>852</v>
      </c>
      <c r="E1200" s="109"/>
      <c r="F1200" s="3" t="s">
        <v>115</v>
      </c>
      <c r="G1200" s="25">
        <v>121.24</v>
      </c>
      <c r="H1200" s="62"/>
      <c r="I1200" s="25">
        <f>ROUND(G1200*AM1200,2)</f>
        <v>0</v>
      </c>
      <c r="J1200" s="25">
        <f>ROUND(G1200*AN1200,2)</f>
        <v>0</v>
      </c>
      <c r="K1200" s="25">
        <f>ROUND(G1200*H1200,2)</f>
        <v>0</v>
      </c>
      <c r="L1200" s="25">
        <v>0</v>
      </c>
      <c r="M1200" s="25">
        <f>G1200*L1200</f>
        <v>0</v>
      </c>
      <c r="N1200" s="26"/>
      <c r="X1200" s="25">
        <f>ROUND(IF(AO1200="5",BH1200,0),2)</f>
        <v>0</v>
      </c>
      <c r="Z1200" s="25">
        <f>ROUND(IF(AO1200="1",BF1200,0),2)</f>
        <v>0</v>
      </c>
      <c r="AA1200" s="25">
        <f>ROUND(IF(AO1200="1",BG1200,0),2)</f>
        <v>0</v>
      </c>
      <c r="AB1200" s="25">
        <f>ROUND(IF(AO1200="7",BF1200,0),2)</f>
        <v>0</v>
      </c>
      <c r="AC1200" s="25">
        <f>ROUND(IF(AO1200="7",BG1200,0),2)</f>
        <v>0</v>
      </c>
      <c r="AD1200" s="25">
        <f>ROUND(IF(AO1200="2",BF1200,0),2)</f>
        <v>0</v>
      </c>
      <c r="AE1200" s="25">
        <f>ROUND(IF(AO1200="2",BG1200,0),2)</f>
        <v>0</v>
      </c>
      <c r="AF1200" s="25">
        <f>ROUND(IF(AO1200="0",BH1200,0),2)</f>
        <v>0</v>
      </c>
      <c r="AG1200" s="10" t="s">
        <v>1101</v>
      </c>
      <c r="AH1200" s="25">
        <f>IF(AL1200=0,K1200,0)</f>
        <v>0</v>
      </c>
      <c r="AI1200" s="25">
        <f>IF(AL1200=12,K1200,0)</f>
        <v>0</v>
      </c>
      <c r="AJ1200" s="25">
        <f>IF(AL1200=21,K1200,0)</f>
        <v>0</v>
      </c>
      <c r="AL1200" s="25">
        <v>21</v>
      </c>
      <c r="AM1200" s="25">
        <f>H1200*1</f>
        <v>0</v>
      </c>
      <c r="AN1200" s="25">
        <f>H1200*(1-1)</f>
        <v>0</v>
      </c>
      <c r="AO1200" s="27" t="s">
        <v>61</v>
      </c>
      <c r="AT1200" s="25">
        <f>ROUND(AU1200+AV1200,2)</f>
        <v>0</v>
      </c>
      <c r="AU1200" s="25">
        <f>ROUND(G1200*AM1200,2)</f>
        <v>0</v>
      </c>
      <c r="AV1200" s="25">
        <f>ROUND(G1200*AN1200,2)</f>
        <v>0</v>
      </c>
      <c r="AW1200" s="27" t="s">
        <v>84</v>
      </c>
      <c r="AX1200" s="27" t="s">
        <v>1327</v>
      </c>
      <c r="AY1200" s="10" t="s">
        <v>1105</v>
      </c>
      <c r="BA1200" s="25">
        <f>AU1200+AV1200</f>
        <v>0</v>
      </c>
      <c r="BB1200" s="25">
        <f>H1200/(100-BC1200)*100</f>
        <v>0</v>
      </c>
      <c r="BC1200" s="25">
        <v>0</v>
      </c>
      <c r="BD1200" s="25">
        <f>M1200</f>
        <v>0</v>
      </c>
      <c r="BF1200" s="25">
        <f>G1200*AM1200</f>
        <v>0</v>
      </c>
      <c r="BG1200" s="25">
        <f>G1200*AN1200</f>
        <v>0</v>
      </c>
      <c r="BH1200" s="25">
        <f>G1200*H1200</f>
        <v>0</v>
      </c>
      <c r="BI1200" s="27" t="s">
        <v>576</v>
      </c>
      <c r="BJ1200" s="25">
        <v>713</v>
      </c>
      <c r="BU1200" s="25" t="e">
        <f>#REF!</f>
        <v>#REF!</v>
      </c>
      <c r="BV1200" s="4" t="s">
        <v>852</v>
      </c>
    </row>
    <row r="1201" spans="1:74" ht="14.4" x14ac:dyDescent="0.3">
      <c r="A1201" s="28"/>
      <c r="D1201" s="29" t="s">
        <v>1403</v>
      </c>
      <c r="E1201" s="29" t="s">
        <v>1404</v>
      </c>
      <c r="G1201" s="30">
        <v>15.56</v>
      </c>
      <c r="H1201" s="63"/>
      <c r="N1201" s="31"/>
    </row>
    <row r="1202" spans="1:74" ht="14.4" x14ac:dyDescent="0.3">
      <c r="A1202" s="28"/>
      <c r="D1202" s="29" t="s">
        <v>1405</v>
      </c>
      <c r="E1202" s="29" t="s">
        <v>377</v>
      </c>
      <c r="G1202" s="30">
        <v>7.13</v>
      </c>
      <c r="H1202" s="63"/>
      <c r="N1202" s="31"/>
    </row>
    <row r="1203" spans="1:74" ht="14.4" x14ac:dyDescent="0.3">
      <c r="A1203" s="28"/>
      <c r="D1203" s="29" t="s">
        <v>1406</v>
      </c>
      <c r="E1203" s="29" t="s">
        <v>375</v>
      </c>
      <c r="G1203" s="30">
        <v>5.17</v>
      </c>
      <c r="H1203" s="63"/>
      <c r="N1203" s="31"/>
    </row>
    <row r="1204" spans="1:74" ht="14.4" x14ac:dyDescent="0.3">
      <c r="A1204" s="28"/>
      <c r="D1204" s="29" t="s">
        <v>1352</v>
      </c>
      <c r="E1204" s="29" t="s">
        <v>363</v>
      </c>
      <c r="G1204" s="30">
        <v>6.78</v>
      </c>
      <c r="H1204" s="63"/>
      <c r="N1204" s="31"/>
    </row>
    <row r="1205" spans="1:74" ht="14.4" x14ac:dyDescent="0.3">
      <c r="A1205" s="28"/>
      <c r="D1205" s="29" t="s">
        <v>1407</v>
      </c>
      <c r="E1205" s="29" t="s">
        <v>366</v>
      </c>
      <c r="G1205" s="30">
        <v>86.6</v>
      </c>
      <c r="H1205" s="63"/>
      <c r="N1205" s="31"/>
    </row>
    <row r="1206" spans="1:74" ht="14.4" x14ac:dyDescent="0.3">
      <c r="A1206" s="2" t="s">
        <v>1409</v>
      </c>
      <c r="B1206" s="3" t="s">
        <v>1101</v>
      </c>
      <c r="C1206" s="3" t="s">
        <v>847</v>
      </c>
      <c r="D1206" s="112" t="s">
        <v>848</v>
      </c>
      <c r="E1206" s="109"/>
      <c r="F1206" s="3" t="s">
        <v>60</v>
      </c>
      <c r="G1206" s="25">
        <v>125.02</v>
      </c>
      <c r="H1206" s="62"/>
      <c r="I1206" s="25">
        <f>ROUND(G1206*AM1206,2)</f>
        <v>0</v>
      </c>
      <c r="J1206" s="25">
        <f>ROUND(G1206*AN1206,2)</f>
        <v>0</v>
      </c>
      <c r="K1206" s="25">
        <f>ROUND(G1206*H1206,2)</f>
        <v>0</v>
      </c>
      <c r="L1206" s="25">
        <v>1.0000000000000001E-5</v>
      </c>
      <c r="M1206" s="25">
        <f>G1206*L1206</f>
        <v>1.2502000000000001E-3</v>
      </c>
      <c r="N1206" s="26"/>
      <c r="X1206" s="25">
        <f>ROUND(IF(AO1206="5",BH1206,0),2)</f>
        <v>0</v>
      </c>
      <c r="Z1206" s="25">
        <f>ROUND(IF(AO1206="1",BF1206,0),2)</f>
        <v>0</v>
      </c>
      <c r="AA1206" s="25">
        <f>ROUND(IF(AO1206="1",BG1206,0),2)</f>
        <v>0</v>
      </c>
      <c r="AB1206" s="25">
        <f>ROUND(IF(AO1206="7",BF1206,0),2)</f>
        <v>0</v>
      </c>
      <c r="AC1206" s="25">
        <f>ROUND(IF(AO1206="7",BG1206,0),2)</f>
        <v>0</v>
      </c>
      <c r="AD1206" s="25">
        <f>ROUND(IF(AO1206="2",BF1206,0),2)</f>
        <v>0</v>
      </c>
      <c r="AE1206" s="25">
        <f>ROUND(IF(AO1206="2",BG1206,0),2)</f>
        <v>0</v>
      </c>
      <c r="AF1206" s="25">
        <f>ROUND(IF(AO1206="0",BH1206,0),2)</f>
        <v>0</v>
      </c>
      <c r="AG1206" s="10" t="s">
        <v>1101</v>
      </c>
      <c r="AH1206" s="25">
        <f>IF(AL1206=0,K1206,0)</f>
        <v>0</v>
      </c>
      <c r="AI1206" s="25">
        <f>IF(AL1206=12,K1206,0)</f>
        <v>0</v>
      </c>
      <c r="AJ1206" s="25">
        <f>IF(AL1206=21,K1206,0)</f>
        <v>0</v>
      </c>
      <c r="AL1206" s="25">
        <v>21</v>
      </c>
      <c r="AM1206" s="25">
        <f>H1206*0.211576595</f>
        <v>0</v>
      </c>
      <c r="AN1206" s="25">
        <f>H1206*(1-0.211576595)</f>
        <v>0</v>
      </c>
      <c r="AO1206" s="27" t="s">
        <v>61</v>
      </c>
      <c r="AT1206" s="25">
        <f>ROUND(AU1206+AV1206,2)</f>
        <v>0</v>
      </c>
      <c r="AU1206" s="25">
        <f>ROUND(G1206*AM1206,2)</f>
        <v>0</v>
      </c>
      <c r="AV1206" s="25">
        <f>ROUND(G1206*AN1206,2)</f>
        <v>0</v>
      </c>
      <c r="AW1206" s="27" t="s">
        <v>84</v>
      </c>
      <c r="AX1206" s="27" t="s">
        <v>1327</v>
      </c>
      <c r="AY1206" s="10" t="s">
        <v>1105</v>
      </c>
      <c r="BA1206" s="25">
        <f>AU1206+AV1206</f>
        <v>0</v>
      </c>
      <c r="BB1206" s="25">
        <f>H1206/(100-BC1206)*100</f>
        <v>0</v>
      </c>
      <c r="BC1206" s="25">
        <v>0</v>
      </c>
      <c r="BD1206" s="25">
        <f>M1206</f>
        <v>1.2502000000000001E-3</v>
      </c>
      <c r="BF1206" s="25">
        <f>G1206*AM1206</f>
        <v>0</v>
      </c>
      <c r="BG1206" s="25">
        <f>G1206*AN1206</f>
        <v>0</v>
      </c>
      <c r="BH1206" s="25">
        <f>G1206*H1206</f>
        <v>0</v>
      </c>
      <c r="BI1206" s="27" t="s">
        <v>65</v>
      </c>
      <c r="BJ1206" s="25">
        <v>713</v>
      </c>
      <c r="BU1206" s="25" t="e">
        <f>#REF!</f>
        <v>#REF!</v>
      </c>
      <c r="BV1206" s="4" t="s">
        <v>848</v>
      </c>
    </row>
    <row r="1207" spans="1:74" ht="14.4" x14ac:dyDescent="0.3">
      <c r="A1207" s="28"/>
      <c r="D1207" s="29" t="s">
        <v>386</v>
      </c>
      <c r="E1207" s="29" t="s">
        <v>377</v>
      </c>
      <c r="G1207" s="30">
        <v>2.76</v>
      </c>
      <c r="H1207" s="63"/>
      <c r="N1207" s="31"/>
    </row>
    <row r="1208" spans="1:74" ht="14.4" x14ac:dyDescent="0.3">
      <c r="A1208" s="28"/>
      <c r="D1208" s="29" t="s">
        <v>385</v>
      </c>
      <c r="E1208" s="29" t="s">
        <v>375</v>
      </c>
      <c r="G1208" s="30">
        <v>1.68</v>
      </c>
      <c r="H1208" s="63"/>
      <c r="N1208" s="31"/>
    </row>
    <row r="1209" spans="1:74" ht="14.4" x14ac:dyDescent="0.3">
      <c r="A1209" s="28"/>
      <c r="D1209" s="29" t="s">
        <v>391</v>
      </c>
      <c r="E1209" s="29" t="s">
        <v>363</v>
      </c>
      <c r="G1209" s="30">
        <v>2.73</v>
      </c>
      <c r="H1209" s="63"/>
      <c r="N1209" s="31"/>
    </row>
    <row r="1210" spans="1:74" ht="14.4" x14ac:dyDescent="0.3">
      <c r="A1210" s="28"/>
      <c r="D1210" s="29" t="s">
        <v>1292</v>
      </c>
      <c r="E1210" s="29" t="s">
        <v>366</v>
      </c>
      <c r="G1210" s="30">
        <v>117.85</v>
      </c>
      <c r="H1210" s="63"/>
      <c r="N1210" s="31"/>
    </row>
    <row r="1211" spans="1:74" ht="14.4" x14ac:dyDescent="0.3">
      <c r="A1211" s="2" t="s">
        <v>1410</v>
      </c>
      <c r="B1211" s="3" t="s">
        <v>1101</v>
      </c>
      <c r="C1211" s="3" t="s">
        <v>1411</v>
      </c>
      <c r="D1211" s="112" t="s">
        <v>1412</v>
      </c>
      <c r="E1211" s="109"/>
      <c r="F1211" s="3" t="s">
        <v>60</v>
      </c>
      <c r="G1211" s="25">
        <v>52.66</v>
      </c>
      <c r="H1211" s="62"/>
      <c r="I1211" s="25">
        <f>ROUND(G1211*AM1211,2)</f>
        <v>0</v>
      </c>
      <c r="J1211" s="25">
        <f>ROUND(G1211*AN1211,2)</f>
        <v>0</v>
      </c>
      <c r="K1211" s="25">
        <f>ROUND(G1211*H1211,2)</f>
        <v>0</v>
      </c>
      <c r="L1211" s="25">
        <v>1.7000000000000001E-4</v>
      </c>
      <c r="M1211" s="25">
        <f>G1211*L1211</f>
        <v>8.9522000000000004E-3</v>
      </c>
      <c r="N1211" s="26"/>
      <c r="X1211" s="25">
        <f>ROUND(IF(AO1211="5",BH1211,0),2)</f>
        <v>0</v>
      </c>
      <c r="Z1211" s="25">
        <f>ROUND(IF(AO1211="1",BF1211,0),2)</f>
        <v>0</v>
      </c>
      <c r="AA1211" s="25">
        <f>ROUND(IF(AO1211="1",BG1211,0),2)</f>
        <v>0</v>
      </c>
      <c r="AB1211" s="25">
        <f>ROUND(IF(AO1211="7",BF1211,0),2)</f>
        <v>0</v>
      </c>
      <c r="AC1211" s="25">
        <f>ROUND(IF(AO1211="7",BG1211,0),2)</f>
        <v>0</v>
      </c>
      <c r="AD1211" s="25">
        <f>ROUND(IF(AO1211="2",BF1211,0),2)</f>
        <v>0</v>
      </c>
      <c r="AE1211" s="25">
        <f>ROUND(IF(AO1211="2",BG1211,0),2)</f>
        <v>0</v>
      </c>
      <c r="AF1211" s="25">
        <f>ROUND(IF(AO1211="0",BH1211,0),2)</f>
        <v>0</v>
      </c>
      <c r="AG1211" s="10" t="s">
        <v>1101</v>
      </c>
      <c r="AH1211" s="25">
        <f>IF(AL1211=0,K1211,0)</f>
        <v>0</v>
      </c>
      <c r="AI1211" s="25">
        <f>IF(AL1211=12,K1211,0)</f>
        <v>0</v>
      </c>
      <c r="AJ1211" s="25">
        <f>IF(AL1211=21,K1211,0)</f>
        <v>0</v>
      </c>
      <c r="AL1211" s="25">
        <v>21</v>
      </c>
      <c r="AM1211" s="25">
        <f>H1211*0.260143817</f>
        <v>0</v>
      </c>
      <c r="AN1211" s="25">
        <f>H1211*(1-0.260143817)</f>
        <v>0</v>
      </c>
      <c r="AO1211" s="27" t="s">
        <v>61</v>
      </c>
      <c r="AT1211" s="25">
        <f>ROUND(AU1211+AV1211,2)</f>
        <v>0</v>
      </c>
      <c r="AU1211" s="25">
        <f>ROUND(G1211*AM1211,2)</f>
        <v>0</v>
      </c>
      <c r="AV1211" s="25">
        <f>ROUND(G1211*AN1211,2)</f>
        <v>0</v>
      </c>
      <c r="AW1211" s="27" t="s">
        <v>84</v>
      </c>
      <c r="AX1211" s="27" t="s">
        <v>1327</v>
      </c>
      <c r="AY1211" s="10" t="s">
        <v>1105</v>
      </c>
      <c r="BA1211" s="25">
        <f>AU1211+AV1211</f>
        <v>0</v>
      </c>
      <c r="BB1211" s="25">
        <f>H1211/(100-BC1211)*100</f>
        <v>0</v>
      </c>
      <c r="BC1211" s="25">
        <v>0</v>
      </c>
      <c r="BD1211" s="25">
        <f>M1211</f>
        <v>8.9522000000000004E-3</v>
      </c>
      <c r="BF1211" s="25">
        <f>G1211*AM1211</f>
        <v>0</v>
      </c>
      <c r="BG1211" s="25">
        <f>G1211*AN1211</f>
        <v>0</v>
      </c>
      <c r="BH1211" s="25">
        <f>G1211*H1211</f>
        <v>0</v>
      </c>
      <c r="BI1211" s="27" t="s">
        <v>65</v>
      </c>
      <c r="BJ1211" s="25">
        <v>713</v>
      </c>
      <c r="BU1211" s="25" t="e">
        <f>#REF!</f>
        <v>#REF!</v>
      </c>
      <c r="BV1211" s="4" t="s">
        <v>1412</v>
      </c>
    </row>
    <row r="1212" spans="1:74" ht="14.4" x14ac:dyDescent="0.3">
      <c r="A1212" s="28"/>
      <c r="D1212" s="29" t="s">
        <v>1368</v>
      </c>
      <c r="E1212" s="29" t="s">
        <v>1369</v>
      </c>
      <c r="G1212" s="30">
        <v>38.5</v>
      </c>
      <c r="H1212" s="63"/>
      <c r="N1212" s="31"/>
    </row>
    <row r="1213" spans="1:74" ht="14.4" x14ac:dyDescent="0.3">
      <c r="A1213" s="28"/>
      <c r="D1213" s="29" t="s">
        <v>1370</v>
      </c>
      <c r="E1213" s="29" t="s">
        <v>1371</v>
      </c>
      <c r="G1213" s="30">
        <v>8.9600000000000009</v>
      </c>
      <c r="H1213" s="63"/>
      <c r="N1213" s="31"/>
    </row>
    <row r="1214" spans="1:74" ht="14.4" x14ac:dyDescent="0.3">
      <c r="A1214" s="28"/>
      <c r="D1214" s="29" t="s">
        <v>1372</v>
      </c>
      <c r="E1214" s="29" t="s">
        <v>1373</v>
      </c>
      <c r="G1214" s="30">
        <v>1.28</v>
      </c>
      <c r="H1214" s="63"/>
      <c r="N1214" s="31"/>
    </row>
    <row r="1215" spans="1:74" ht="14.4" x14ac:dyDescent="0.3">
      <c r="A1215" s="28"/>
      <c r="D1215" s="29" t="s">
        <v>1374</v>
      </c>
      <c r="E1215" s="29" t="s">
        <v>1375</v>
      </c>
      <c r="G1215" s="30">
        <v>3.2</v>
      </c>
      <c r="H1215" s="63"/>
      <c r="N1215" s="31"/>
    </row>
    <row r="1216" spans="1:74" ht="14.4" x14ac:dyDescent="0.3">
      <c r="A1216" s="28"/>
      <c r="D1216" s="29" t="s">
        <v>1413</v>
      </c>
      <c r="E1216" s="29" t="s">
        <v>1377</v>
      </c>
      <c r="G1216" s="30">
        <v>0.72</v>
      </c>
      <c r="H1216" s="63"/>
      <c r="N1216" s="31"/>
    </row>
    <row r="1217" spans="1:74" ht="14.4" x14ac:dyDescent="0.3">
      <c r="A1217" s="2" t="s">
        <v>1414</v>
      </c>
      <c r="B1217" s="3" t="s">
        <v>1101</v>
      </c>
      <c r="C1217" s="3" t="s">
        <v>1415</v>
      </c>
      <c r="D1217" s="112" t="s">
        <v>1416</v>
      </c>
      <c r="E1217" s="109"/>
      <c r="F1217" s="3" t="s">
        <v>148</v>
      </c>
      <c r="G1217" s="25">
        <v>16.850999999999999</v>
      </c>
      <c r="H1217" s="62"/>
      <c r="I1217" s="25">
        <f>ROUND(G1217*AM1217,2)</f>
        <v>0</v>
      </c>
      <c r="J1217" s="25">
        <f>ROUND(G1217*AN1217,2)</f>
        <v>0</v>
      </c>
      <c r="K1217" s="25">
        <f>ROUND(G1217*H1217,2)</f>
        <v>0</v>
      </c>
      <c r="L1217" s="25">
        <v>5.0000000000000001E-3</v>
      </c>
      <c r="M1217" s="25">
        <f>G1217*L1217</f>
        <v>8.4254999999999997E-2</v>
      </c>
      <c r="N1217" s="26"/>
      <c r="X1217" s="25">
        <f>ROUND(IF(AO1217="5",BH1217,0),2)</f>
        <v>0</v>
      </c>
      <c r="Z1217" s="25">
        <f>ROUND(IF(AO1217="1",BF1217,0),2)</f>
        <v>0</v>
      </c>
      <c r="AA1217" s="25">
        <f>ROUND(IF(AO1217="1",BG1217,0),2)</f>
        <v>0</v>
      </c>
      <c r="AB1217" s="25">
        <f>ROUND(IF(AO1217="7",BF1217,0),2)</f>
        <v>0</v>
      </c>
      <c r="AC1217" s="25">
        <f>ROUND(IF(AO1217="7",BG1217,0),2)</f>
        <v>0</v>
      </c>
      <c r="AD1217" s="25">
        <f>ROUND(IF(AO1217="2",BF1217,0),2)</f>
        <v>0</v>
      </c>
      <c r="AE1217" s="25">
        <f>ROUND(IF(AO1217="2",BG1217,0),2)</f>
        <v>0</v>
      </c>
      <c r="AF1217" s="25">
        <f>ROUND(IF(AO1217="0",BH1217,0),2)</f>
        <v>0</v>
      </c>
      <c r="AG1217" s="10" t="s">
        <v>1101</v>
      </c>
      <c r="AH1217" s="25">
        <f>IF(AL1217=0,K1217,0)</f>
        <v>0</v>
      </c>
      <c r="AI1217" s="25">
        <f>IF(AL1217=12,K1217,0)</f>
        <v>0</v>
      </c>
      <c r="AJ1217" s="25">
        <f>IF(AL1217=21,K1217,0)</f>
        <v>0</v>
      </c>
      <c r="AL1217" s="25">
        <v>21</v>
      </c>
      <c r="AM1217" s="25">
        <f>H1217*1</f>
        <v>0</v>
      </c>
      <c r="AN1217" s="25">
        <f>H1217*(1-1)</f>
        <v>0</v>
      </c>
      <c r="AO1217" s="27" t="s">
        <v>61</v>
      </c>
      <c r="AT1217" s="25">
        <f>ROUND(AU1217+AV1217,2)</f>
        <v>0</v>
      </c>
      <c r="AU1217" s="25">
        <f>ROUND(G1217*AM1217,2)</f>
        <v>0</v>
      </c>
      <c r="AV1217" s="25">
        <f>ROUND(G1217*AN1217,2)</f>
        <v>0</v>
      </c>
      <c r="AW1217" s="27" t="s">
        <v>84</v>
      </c>
      <c r="AX1217" s="27" t="s">
        <v>1327</v>
      </c>
      <c r="AY1217" s="10" t="s">
        <v>1105</v>
      </c>
      <c r="BA1217" s="25">
        <f>AU1217+AV1217</f>
        <v>0</v>
      </c>
      <c r="BB1217" s="25">
        <f>H1217/(100-BC1217)*100</f>
        <v>0</v>
      </c>
      <c r="BC1217" s="25">
        <v>0</v>
      </c>
      <c r="BD1217" s="25">
        <f>M1217</f>
        <v>8.4254999999999997E-2</v>
      </c>
      <c r="BF1217" s="25">
        <f>G1217*AM1217</f>
        <v>0</v>
      </c>
      <c r="BG1217" s="25">
        <f>G1217*AN1217</f>
        <v>0</v>
      </c>
      <c r="BH1217" s="25">
        <f>G1217*H1217</f>
        <v>0</v>
      </c>
      <c r="BI1217" s="27" t="s">
        <v>576</v>
      </c>
      <c r="BJ1217" s="25">
        <v>713</v>
      </c>
      <c r="BU1217" s="25" t="e">
        <f>#REF!</f>
        <v>#REF!</v>
      </c>
      <c r="BV1217" s="4" t="s">
        <v>1416</v>
      </c>
    </row>
    <row r="1218" spans="1:74" ht="14.4" x14ac:dyDescent="0.3">
      <c r="A1218" s="28"/>
      <c r="D1218" s="29" t="s">
        <v>1417</v>
      </c>
      <c r="E1218" s="29" t="s">
        <v>1418</v>
      </c>
      <c r="G1218" s="30">
        <v>12.32</v>
      </c>
      <c r="H1218" s="63"/>
      <c r="N1218" s="31"/>
    </row>
    <row r="1219" spans="1:74" ht="14.4" x14ac:dyDescent="0.3">
      <c r="A1219" s="28"/>
      <c r="D1219" s="29" t="s">
        <v>1419</v>
      </c>
      <c r="E1219" s="29" t="s">
        <v>1420</v>
      </c>
      <c r="G1219" s="30">
        <v>2.867</v>
      </c>
      <c r="H1219" s="63"/>
      <c r="N1219" s="31"/>
    </row>
    <row r="1220" spans="1:74" ht="14.4" x14ac:dyDescent="0.3">
      <c r="A1220" s="28"/>
      <c r="D1220" s="29" t="s">
        <v>1421</v>
      </c>
      <c r="E1220" s="29" t="s">
        <v>1422</v>
      </c>
      <c r="G1220" s="30">
        <v>0.41</v>
      </c>
      <c r="H1220" s="63"/>
      <c r="N1220" s="31"/>
    </row>
    <row r="1221" spans="1:74" ht="14.4" x14ac:dyDescent="0.3">
      <c r="A1221" s="28"/>
      <c r="D1221" s="29" t="s">
        <v>1423</v>
      </c>
      <c r="E1221" s="29" t="s">
        <v>1424</v>
      </c>
      <c r="G1221" s="30">
        <v>1.024</v>
      </c>
      <c r="H1221" s="63"/>
      <c r="N1221" s="31"/>
    </row>
    <row r="1222" spans="1:74" ht="14.4" x14ac:dyDescent="0.3">
      <c r="A1222" s="28"/>
      <c r="D1222" s="29" t="s">
        <v>1425</v>
      </c>
      <c r="E1222" s="29" t="s">
        <v>1426</v>
      </c>
      <c r="G1222" s="30">
        <v>0.23</v>
      </c>
      <c r="H1222" s="63"/>
      <c r="N1222" s="31"/>
    </row>
    <row r="1223" spans="1:74" ht="14.4" x14ac:dyDescent="0.3">
      <c r="A1223" s="2" t="s">
        <v>1427</v>
      </c>
      <c r="B1223" s="3" t="s">
        <v>1101</v>
      </c>
      <c r="C1223" s="3" t="s">
        <v>835</v>
      </c>
      <c r="D1223" s="112" t="s">
        <v>836</v>
      </c>
      <c r="E1223" s="109"/>
      <c r="F1223" s="3" t="s">
        <v>60</v>
      </c>
      <c r="G1223" s="25">
        <v>125.04</v>
      </c>
      <c r="H1223" s="62"/>
      <c r="I1223" s="25">
        <f>ROUND(G1223*AM1223,2)</f>
        <v>0</v>
      </c>
      <c r="J1223" s="25">
        <f>ROUND(G1223*AN1223,2)</f>
        <v>0</v>
      </c>
      <c r="K1223" s="25">
        <f>ROUND(G1223*H1223,2)</f>
        <v>0</v>
      </c>
      <c r="L1223" s="25">
        <v>0</v>
      </c>
      <c r="M1223" s="25">
        <f>G1223*L1223</f>
        <v>0</v>
      </c>
      <c r="N1223" s="26"/>
      <c r="X1223" s="25">
        <f>ROUND(IF(AO1223="5",BH1223,0),2)</f>
        <v>0</v>
      </c>
      <c r="Z1223" s="25">
        <f>ROUND(IF(AO1223="1",BF1223,0),2)</f>
        <v>0</v>
      </c>
      <c r="AA1223" s="25">
        <f>ROUND(IF(AO1223="1",BG1223,0),2)</f>
        <v>0</v>
      </c>
      <c r="AB1223" s="25">
        <f>ROUND(IF(AO1223="7",BF1223,0),2)</f>
        <v>0</v>
      </c>
      <c r="AC1223" s="25">
        <f>ROUND(IF(AO1223="7",BG1223,0),2)</f>
        <v>0</v>
      </c>
      <c r="AD1223" s="25">
        <f>ROUND(IF(AO1223="2",BF1223,0),2)</f>
        <v>0</v>
      </c>
      <c r="AE1223" s="25">
        <f>ROUND(IF(AO1223="2",BG1223,0),2)</f>
        <v>0</v>
      </c>
      <c r="AF1223" s="25">
        <f>ROUND(IF(AO1223="0",BH1223,0),2)</f>
        <v>0</v>
      </c>
      <c r="AG1223" s="10" t="s">
        <v>1101</v>
      </c>
      <c r="AH1223" s="25">
        <f>IF(AL1223=0,K1223,0)</f>
        <v>0</v>
      </c>
      <c r="AI1223" s="25">
        <f>IF(AL1223=12,K1223,0)</f>
        <v>0</v>
      </c>
      <c r="AJ1223" s="25">
        <f>IF(AL1223=21,K1223,0)</f>
        <v>0</v>
      </c>
      <c r="AL1223" s="25">
        <v>21</v>
      </c>
      <c r="AM1223" s="25">
        <f>H1223*0</f>
        <v>0</v>
      </c>
      <c r="AN1223" s="25">
        <f>H1223*(1-0)</f>
        <v>0</v>
      </c>
      <c r="AO1223" s="27" t="s">
        <v>61</v>
      </c>
      <c r="AT1223" s="25">
        <f>ROUND(AU1223+AV1223,2)</f>
        <v>0</v>
      </c>
      <c r="AU1223" s="25">
        <f>ROUND(G1223*AM1223,2)</f>
        <v>0</v>
      </c>
      <c r="AV1223" s="25">
        <f>ROUND(G1223*AN1223,2)</f>
        <v>0</v>
      </c>
      <c r="AW1223" s="27" t="s">
        <v>84</v>
      </c>
      <c r="AX1223" s="27" t="s">
        <v>1327</v>
      </c>
      <c r="AY1223" s="10" t="s">
        <v>1105</v>
      </c>
      <c r="BA1223" s="25">
        <f>AU1223+AV1223</f>
        <v>0</v>
      </c>
      <c r="BB1223" s="25">
        <f>H1223/(100-BC1223)*100</f>
        <v>0</v>
      </c>
      <c r="BC1223" s="25">
        <v>0</v>
      </c>
      <c r="BD1223" s="25">
        <f>M1223</f>
        <v>0</v>
      </c>
      <c r="BF1223" s="25">
        <f>G1223*AM1223</f>
        <v>0</v>
      </c>
      <c r="BG1223" s="25">
        <f>G1223*AN1223</f>
        <v>0</v>
      </c>
      <c r="BH1223" s="25">
        <f>G1223*H1223</f>
        <v>0</v>
      </c>
      <c r="BI1223" s="27" t="s">
        <v>65</v>
      </c>
      <c r="BJ1223" s="25">
        <v>713</v>
      </c>
      <c r="BU1223" s="25" t="e">
        <f>#REF!</f>
        <v>#REF!</v>
      </c>
      <c r="BV1223" s="4" t="s">
        <v>836</v>
      </c>
    </row>
    <row r="1224" spans="1:74" ht="14.4" x14ac:dyDescent="0.3">
      <c r="A1224" s="28"/>
      <c r="D1224" s="29" t="s">
        <v>1292</v>
      </c>
      <c r="E1224" s="29" t="s">
        <v>366</v>
      </c>
      <c r="G1224" s="30">
        <v>117.85</v>
      </c>
      <c r="H1224" s="63"/>
      <c r="N1224" s="31"/>
    </row>
    <row r="1225" spans="1:74" ht="14.4" x14ac:dyDescent="0.3">
      <c r="A1225" s="28"/>
      <c r="D1225" s="29" t="s">
        <v>385</v>
      </c>
      <c r="E1225" s="29" t="s">
        <v>375</v>
      </c>
      <c r="G1225" s="30">
        <v>1.68</v>
      </c>
      <c r="H1225" s="63"/>
      <c r="N1225" s="31"/>
    </row>
    <row r="1226" spans="1:74" ht="14.4" x14ac:dyDescent="0.3">
      <c r="A1226" s="28"/>
      <c r="D1226" s="29" t="s">
        <v>1428</v>
      </c>
      <c r="E1226" s="29" t="s">
        <v>377</v>
      </c>
      <c r="G1226" s="30">
        <v>2.78</v>
      </c>
      <c r="H1226" s="63"/>
      <c r="N1226" s="31"/>
    </row>
    <row r="1227" spans="1:74" ht="14.4" x14ac:dyDescent="0.3">
      <c r="A1227" s="28"/>
      <c r="D1227" s="29" t="s">
        <v>391</v>
      </c>
      <c r="E1227" s="29" t="s">
        <v>363</v>
      </c>
      <c r="G1227" s="30">
        <v>2.73</v>
      </c>
      <c r="H1227" s="63"/>
      <c r="N1227" s="31"/>
    </row>
    <row r="1228" spans="1:74" ht="14.4" x14ac:dyDescent="0.3">
      <c r="A1228" s="2" t="s">
        <v>1429</v>
      </c>
      <c r="B1228" s="3" t="s">
        <v>1101</v>
      </c>
      <c r="C1228" s="3" t="s">
        <v>838</v>
      </c>
      <c r="D1228" s="112" t="s">
        <v>839</v>
      </c>
      <c r="E1228" s="109"/>
      <c r="F1228" s="3" t="s">
        <v>60</v>
      </c>
      <c r="G1228" s="25">
        <v>137.54400000000001</v>
      </c>
      <c r="H1228" s="62"/>
      <c r="I1228" s="25">
        <f>ROUND(G1228*AM1228,2)</f>
        <v>0</v>
      </c>
      <c r="J1228" s="25">
        <f>ROUND(G1228*AN1228,2)</f>
        <v>0</v>
      </c>
      <c r="K1228" s="25">
        <f>ROUND(G1228*H1228,2)</f>
        <v>0</v>
      </c>
      <c r="L1228" s="25">
        <v>6.9999999999999999E-4</v>
      </c>
      <c r="M1228" s="25">
        <f>G1228*L1228</f>
        <v>9.6280800000000014E-2</v>
      </c>
      <c r="N1228" s="26"/>
      <c r="X1228" s="25">
        <f>ROUND(IF(AO1228="5",BH1228,0),2)</f>
        <v>0</v>
      </c>
      <c r="Z1228" s="25">
        <f>ROUND(IF(AO1228="1",BF1228,0),2)</f>
        <v>0</v>
      </c>
      <c r="AA1228" s="25">
        <f>ROUND(IF(AO1228="1",BG1228,0),2)</f>
        <v>0</v>
      </c>
      <c r="AB1228" s="25">
        <f>ROUND(IF(AO1228="7",BF1228,0),2)</f>
        <v>0</v>
      </c>
      <c r="AC1228" s="25">
        <f>ROUND(IF(AO1228="7",BG1228,0),2)</f>
        <v>0</v>
      </c>
      <c r="AD1228" s="25">
        <f>ROUND(IF(AO1228="2",BF1228,0),2)</f>
        <v>0</v>
      </c>
      <c r="AE1228" s="25">
        <f>ROUND(IF(AO1228="2",BG1228,0),2)</f>
        <v>0</v>
      </c>
      <c r="AF1228" s="25">
        <f>ROUND(IF(AO1228="0",BH1228,0),2)</f>
        <v>0</v>
      </c>
      <c r="AG1228" s="10" t="s">
        <v>1101</v>
      </c>
      <c r="AH1228" s="25">
        <f>IF(AL1228=0,K1228,0)</f>
        <v>0</v>
      </c>
      <c r="AI1228" s="25">
        <f>IF(AL1228=12,K1228,0)</f>
        <v>0</v>
      </c>
      <c r="AJ1228" s="25">
        <f>IF(AL1228=21,K1228,0)</f>
        <v>0</v>
      </c>
      <c r="AL1228" s="25">
        <v>21</v>
      </c>
      <c r="AM1228" s="25">
        <f>H1228*1</f>
        <v>0</v>
      </c>
      <c r="AN1228" s="25">
        <f>H1228*(1-1)</f>
        <v>0</v>
      </c>
      <c r="AO1228" s="27" t="s">
        <v>61</v>
      </c>
      <c r="AT1228" s="25">
        <f>ROUND(AU1228+AV1228,2)</f>
        <v>0</v>
      </c>
      <c r="AU1228" s="25">
        <f>ROUND(G1228*AM1228,2)</f>
        <v>0</v>
      </c>
      <c r="AV1228" s="25">
        <f>ROUND(G1228*AN1228,2)</f>
        <v>0</v>
      </c>
      <c r="AW1228" s="27" t="s">
        <v>84</v>
      </c>
      <c r="AX1228" s="27" t="s">
        <v>1327</v>
      </c>
      <c r="AY1228" s="10" t="s">
        <v>1105</v>
      </c>
      <c r="BA1228" s="25">
        <f>AU1228+AV1228</f>
        <v>0</v>
      </c>
      <c r="BB1228" s="25">
        <f>H1228/(100-BC1228)*100</f>
        <v>0</v>
      </c>
      <c r="BC1228" s="25">
        <v>0</v>
      </c>
      <c r="BD1228" s="25">
        <f>M1228</f>
        <v>9.6280800000000014E-2</v>
      </c>
      <c r="BF1228" s="25">
        <f>G1228*AM1228</f>
        <v>0</v>
      </c>
      <c r="BG1228" s="25">
        <f>G1228*AN1228</f>
        <v>0</v>
      </c>
      <c r="BH1228" s="25">
        <f>G1228*H1228</f>
        <v>0</v>
      </c>
      <c r="BI1228" s="27" t="s">
        <v>576</v>
      </c>
      <c r="BJ1228" s="25">
        <v>713</v>
      </c>
      <c r="BU1228" s="25" t="e">
        <f>#REF!</f>
        <v>#REF!</v>
      </c>
      <c r="BV1228" s="4" t="s">
        <v>839</v>
      </c>
    </row>
    <row r="1229" spans="1:74" ht="14.4" x14ac:dyDescent="0.3">
      <c r="A1229" s="28"/>
      <c r="D1229" s="29" t="s">
        <v>1292</v>
      </c>
      <c r="E1229" s="29" t="s">
        <v>366</v>
      </c>
      <c r="G1229" s="30">
        <v>117.85</v>
      </c>
      <c r="H1229" s="63"/>
      <c r="N1229" s="31"/>
    </row>
    <row r="1230" spans="1:74" ht="14.4" x14ac:dyDescent="0.3">
      <c r="A1230" s="28"/>
      <c r="D1230" s="29" t="s">
        <v>385</v>
      </c>
      <c r="E1230" s="29" t="s">
        <v>375</v>
      </c>
      <c r="G1230" s="30">
        <v>1.68</v>
      </c>
      <c r="H1230" s="63"/>
      <c r="N1230" s="31"/>
    </row>
    <row r="1231" spans="1:74" ht="14.4" x14ac:dyDescent="0.3">
      <c r="A1231" s="28"/>
      <c r="D1231" s="29" t="s">
        <v>1428</v>
      </c>
      <c r="E1231" s="29" t="s">
        <v>377</v>
      </c>
      <c r="G1231" s="30">
        <v>2.78</v>
      </c>
      <c r="H1231" s="63"/>
      <c r="N1231" s="31"/>
    </row>
    <row r="1232" spans="1:74" ht="14.4" x14ac:dyDescent="0.3">
      <c r="A1232" s="28"/>
      <c r="D1232" s="29" t="s">
        <v>391</v>
      </c>
      <c r="E1232" s="29" t="s">
        <v>363</v>
      </c>
      <c r="G1232" s="30">
        <v>2.73</v>
      </c>
      <c r="H1232" s="63"/>
      <c r="N1232" s="31"/>
    </row>
    <row r="1233" spans="1:74" ht="14.4" x14ac:dyDescent="0.3">
      <c r="A1233" s="28"/>
      <c r="D1233" s="29" t="s">
        <v>1430</v>
      </c>
      <c r="E1233" s="29" t="s">
        <v>52</v>
      </c>
      <c r="G1233" s="30">
        <v>12.504</v>
      </c>
      <c r="H1233" s="63"/>
      <c r="N1233" s="31"/>
    </row>
    <row r="1234" spans="1:74" ht="14.4" x14ac:dyDescent="0.3">
      <c r="A1234" s="2" t="s">
        <v>1431</v>
      </c>
      <c r="B1234" s="3" t="s">
        <v>1101</v>
      </c>
      <c r="C1234" s="3" t="s">
        <v>855</v>
      </c>
      <c r="D1234" s="112" t="s">
        <v>856</v>
      </c>
      <c r="E1234" s="109"/>
      <c r="F1234" s="3" t="s">
        <v>278</v>
      </c>
      <c r="G1234" s="25">
        <v>0.19073999999999999</v>
      </c>
      <c r="H1234" s="62"/>
      <c r="I1234" s="25">
        <f>ROUND(G1234*AM1234,2)</f>
        <v>0</v>
      </c>
      <c r="J1234" s="25">
        <f>ROUND(G1234*AN1234,2)</f>
        <v>0</v>
      </c>
      <c r="K1234" s="25">
        <f>ROUND(G1234*H1234,2)</f>
        <v>0</v>
      </c>
      <c r="L1234" s="25">
        <v>0</v>
      </c>
      <c r="M1234" s="25">
        <f>G1234*L1234</f>
        <v>0</v>
      </c>
      <c r="N1234" s="26"/>
      <c r="X1234" s="25">
        <f>ROUND(IF(AO1234="5",BH1234,0),2)</f>
        <v>0</v>
      </c>
      <c r="Z1234" s="25">
        <f>ROUND(IF(AO1234="1",BF1234,0),2)</f>
        <v>0</v>
      </c>
      <c r="AA1234" s="25">
        <f>ROUND(IF(AO1234="1",BG1234,0),2)</f>
        <v>0</v>
      </c>
      <c r="AB1234" s="25">
        <f>ROUND(IF(AO1234="7",BF1234,0),2)</f>
        <v>0</v>
      </c>
      <c r="AC1234" s="25">
        <f>ROUND(IF(AO1234="7",BG1234,0),2)</f>
        <v>0</v>
      </c>
      <c r="AD1234" s="25">
        <f>ROUND(IF(AO1234="2",BF1234,0),2)</f>
        <v>0</v>
      </c>
      <c r="AE1234" s="25">
        <f>ROUND(IF(AO1234="2",BG1234,0),2)</f>
        <v>0</v>
      </c>
      <c r="AF1234" s="25">
        <f>ROUND(IF(AO1234="0",BH1234,0),2)</f>
        <v>0</v>
      </c>
      <c r="AG1234" s="10" t="s">
        <v>1101</v>
      </c>
      <c r="AH1234" s="25">
        <f>IF(AL1234=0,K1234,0)</f>
        <v>0</v>
      </c>
      <c r="AI1234" s="25">
        <f>IF(AL1234=12,K1234,0)</f>
        <v>0</v>
      </c>
      <c r="AJ1234" s="25">
        <f>IF(AL1234=21,K1234,0)</f>
        <v>0</v>
      </c>
      <c r="AL1234" s="25">
        <v>21</v>
      </c>
      <c r="AM1234" s="25">
        <f>H1234*0</f>
        <v>0</v>
      </c>
      <c r="AN1234" s="25">
        <f>H1234*(1-0)</f>
        <v>0</v>
      </c>
      <c r="AO1234" s="27" t="s">
        <v>97</v>
      </c>
      <c r="AT1234" s="25">
        <f>ROUND(AU1234+AV1234,2)</f>
        <v>0</v>
      </c>
      <c r="AU1234" s="25">
        <f>ROUND(G1234*AM1234,2)</f>
        <v>0</v>
      </c>
      <c r="AV1234" s="25">
        <f>ROUND(G1234*AN1234,2)</f>
        <v>0</v>
      </c>
      <c r="AW1234" s="27" t="s">
        <v>84</v>
      </c>
      <c r="AX1234" s="27" t="s">
        <v>1327</v>
      </c>
      <c r="AY1234" s="10" t="s">
        <v>1105</v>
      </c>
      <c r="BA1234" s="25">
        <f>AU1234+AV1234</f>
        <v>0</v>
      </c>
      <c r="BB1234" s="25">
        <f>H1234/(100-BC1234)*100</f>
        <v>0</v>
      </c>
      <c r="BC1234" s="25">
        <v>0</v>
      </c>
      <c r="BD1234" s="25">
        <f>M1234</f>
        <v>0</v>
      </c>
      <c r="BF1234" s="25">
        <f>G1234*AM1234</f>
        <v>0</v>
      </c>
      <c r="BG1234" s="25">
        <f>G1234*AN1234</f>
        <v>0</v>
      </c>
      <c r="BH1234" s="25">
        <f>G1234*H1234</f>
        <v>0</v>
      </c>
      <c r="BI1234" s="27" t="s">
        <v>65</v>
      </c>
      <c r="BJ1234" s="25">
        <v>713</v>
      </c>
      <c r="BU1234" s="25" t="e">
        <f>#REF!</f>
        <v>#REF!</v>
      </c>
      <c r="BV1234" s="4" t="s">
        <v>856</v>
      </c>
    </row>
    <row r="1235" spans="1:74" ht="14.4" x14ac:dyDescent="0.3">
      <c r="A1235" s="21" t="s">
        <v>52</v>
      </c>
      <c r="B1235" s="22" t="s">
        <v>1101</v>
      </c>
      <c r="C1235" s="22" t="s">
        <v>95</v>
      </c>
      <c r="D1235" s="170" t="s">
        <v>96</v>
      </c>
      <c r="E1235" s="171"/>
      <c r="F1235" s="23" t="s">
        <v>32</v>
      </c>
      <c r="G1235" s="23" t="s">
        <v>32</v>
      </c>
      <c r="H1235" s="64"/>
      <c r="I1235" s="1">
        <f>SUM(I1236:I1248)</f>
        <v>0</v>
      </c>
      <c r="J1235" s="1">
        <f>SUM(J1236:J1248)</f>
        <v>0</v>
      </c>
      <c r="K1235" s="1">
        <f>SUM(K1236:K1248)</f>
        <v>0</v>
      </c>
      <c r="L1235" s="10" t="s">
        <v>52</v>
      </c>
      <c r="M1235" s="1">
        <f>SUM(M1236:M1248)</f>
        <v>1.0539999999999999E-2</v>
      </c>
      <c r="N1235" s="24"/>
      <c r="AG1235" s="10" t="s">
        <v>1101</v>
      </c>
      <c r="AQ1235" s="1">
        <f>SUM(AH1236:AH1248)</f>
        <v>0</v>
      </c>
      <c r="AR1235" s="1">
        <f>SUM(AI1236:AI1248)</f>
        <v>0</v>
      </c>
      <c r="AS1235" s="1">
        <f>SUM(AJ1236:AJ1248)</f>
        <v>0</v>
      </c>
    </row>
    <row r="1236" spans="1:74" ht="14.4" x14ac:dyDescent="0.3">
      <c r="A1236" s="2" t="s">
        <v>1432</v>
      </c>
      <c r="B1236" s="3" t="s">
        <v>1101</v>
      </c>
      <c r="C1236" s="3" t="s">
        <v>858</v>
      </c>
      <c r="D1236" s="112" t="s">
        <v>859</v>
      </c>
      <c r="E1236" s="109"/>
      <c r="F1236" s="3" t="s">
        <v>860</v>
      </c>
      <c r="G1236" s="25">
        <v>8</v>
      </c>
      <c r="H1236" s="62"/>
      <c r="I1236" s="25">
        <f>ROUND(G1236*AM1236,2)</f>
        <v>0</v>
      </c>
      <c r="J1236" s="25">
        <f>ROUND(G1236*AN1236,2)</f>
        <v>0</v>
      </c>
      <c r="K1236" s="25">
        <f>ROUND(G1236*H1236,2)</f>
        <v>0</v>
      </c>
      <c r="L1236" s="25">
        <v>3.0000000000000001E-5</v>
      </c>
      <c r="M1236" s="25">
        <f>G1236*L1236</f>
        <v>2.4000000000000001E-4</v>
      </c>
      <c r="N1236" s="26"/>
      <c r="X1236" s="25">
        <f>ROUND(IF(AO1236="5",BH1236,0),2)</f>
        <v>0</v>
      </c>
      <c r="Z1236" s="25">
        <f>ROUND(IF(AO1236="1",BF1236,0),2)</f>
        <v>0</v>
      </c>
      <c r="AA1236" s="25">
        <f>ROUND(IF(AO1236="1",BG1236,0),2)</f>
        <v>0</v>
      </c>
      <c r="AB1236" s="25">
        <f>ROUND(IF(AO1236="7",BF1236,0),2)</f>
        <v>0</v>
      </c>
      <c r="AC1236" s="25">
        <f>ROUND(IF(AO1236="7",BG1236,0),2)</f>
        <v>0</v>
      </c>
      <c r="AD1236" s="25">
        <f>ROUND(IF(AO1236="2",BF1236,0),2)</f>
        <v>0</v>
      </c>
      <c r="AE1236" s="25">
        <f>ROUND(IF(AO1236="2",BG1236,0),2)</f>
        <v>0</v>
      </c>
      <c r="AF1236" s="25">
        <f>ROUND(IF(AO1236="0",BH1236,0),2)</f>
        <v>0</v>
      </c>
      <c r="AG1236" s="10" t="s">
        <v>1101</v>
      </c>
      <c r="AH1236" s="25">
        <f>IF(AL1236=0,K1236,0)</f>
        <v>0</v>
      </c>
      <c r="AI1236" s="25">
        <f>IF(AL1236=12,K1236,0)</f>
        <v>0</v>
      </c>
      <c r="AJ1236" s="25">
        <f>IF(AL1236=21,K1236,0)</f>
        <v>0</v>
      </c>
      <c r="AL1236" s="25">
        <v>21</v>
      </c>
      <c r="AM1236" s="25">
        <f>H1236*0.090349398</f>
        <v>0</v>
      </c>
      <c r="AN1236" s="25">
        <f>H1236*(1-0.090349398)</f>
        <v>0</v>
      </c>
      <c r="AO1236" s="27" t="s">
        <v>61</v>
      </c>
      <c r="AT1236" s="25">
        <f>ROUND(AU1236+AV1236,2)</f>
        <v>0</v>
      </c>
      <c r="AU1236" s="25">
        <f>ROUND(G1236*AM1236,2)</f>
        <v>0</v>
      </c>
      <c r="AV1236" s="25">
        <f>ROUND(G1236*AN1236,2)</f>
        <v>0</v>
      </c>
      <c r="AW1236" s="27" t="s">
        <v>101</v>
      </c>
      <c r="AX1236" s="27" t="s">
        <v>1433</v>
      </c>
      <c r="AY1236" s="10" t="s">
        <v>1105</v>
      </c>
      <c r="BA1236" s="25">
        <f>AU1236+AV1236</f>
        <v>0</v>
      </c>
      <c r="BB1236" s="25">
        <f>H1236/(100-BC1236)*100</f>
        <v>0</v>
      </c>
      <c r="BC1236" s="25">
        <v>0</v>
      </c>
      <c r="BD1236" s="25">
        <f>M1236</f>
        <v>2.4000000000000001E-4</v>
      </c>
      <c r="BF1236" s="25">
        <f>G1236*AM1236</f>
        <v>0</v>
      </c>
      <c r="BG1236" s="25">
        <f>G1236*AN1236</f>
        <v>0</v>
      </c>
      <c r="BH1236" s="25">
        <f>G1236*H1236</f>
        <v>0</v>
      </c>
      <c r="BI1236" s="27" t="s">
        <v>65</v>
      </c>
      <c r="BJ1236" s="25">
        <v>725</v>
      </c>
      <c r="BU1236" s="25" t="e">
        <f>#REF!</f>
        <v>#REF!</v>
      </c>
      <c r="BV1236" s="4" t="s">
        <v>859</v>
      </c>
    </row>
    <row r="1237" spans="1:74" ht="14.4" x14ac:dyDescent="0.3">
      <c r="A1237" s="28"/>
      <c r="D1237" s="29" t="s">
        <v>119</v>
      </c>
      <c r="E1237" s="29" t="s">
        <v>52</v>
      </c>
      <c r="G1237" s="30">
        <v>8</v>
      </c>
      <c r="H1237" s="63"/>
      <c r="N1237" s="31"/>
    </row>
    <row r="1238" spans="1:74" ht="14.4" x14ac:dyDescent="0.3">
      <c r="A1238" s="2" t="s">
        <v>1434</v>
      </c>
      <c r="B1238" s="3" t="s">
        <v>1101</v>
      </c>
      <c r="C1238" s="3" t="s">
        <v>878</v>
      </c>
      <c r="D1238" s="112" t="s">
        <v>1435</v>
      </c>
      <c r="E1238" s="109"/>
      <c r="F1238" s="3" t="s">
        <v>122</v>
      </c>
      <c r="G1238" s="25">
        <v>2</v>
      </c>
      <c r="H1238" s="62"/>
      <c r="I1238" s="25">
        <f>ROUND(G1238*AM1238,2)</f>
        <v>0</v>
      </c>
      <c r="J1238" s="25">
        <f>ROUND(G1238*AN1238,2)</f>
        <v>0</v>
      </c>
      <c r="K1238" s="25">
        <f>ROUND(G1238*H1238,2)</f>
        <v>0</v>
      </c>
      <c r="L1238" s="25">
        <v>5.0000000000000001E-4</v>
      </c>
      <c r="M1238" s="25">
        <f>G1238*L1238</f>
        <v>1E-3</v>
      </c>
      <c r="N1238" s="102"/>
      <c r="X1238" s="25">
        <f>ROUND(IF(AO1238="5",BH1238,0),2)</f>
        <v>0</v>
      </c>
      <c r="Z1238" s="25">
        <f>ROUND(IF(AO1238="1",BF1238,0),2)</f>
        <v>0</v>
      </c>
      <c r="AA1238" s="25">
        <f>ROUND(IF(AO1238="1",BG1238,0),2)</f>
        <v>0</v>
      </c>
      <c r="AB1238" s="25">
        <f>ROUND(IF(AO1238="7",BF1238,0),2)</f>
        <v>0</v>
      </c>
      <c r="AC1238" s="25">
        <f>ROUND(IF(AO1238="7",BG1238,0),2)</f>
        <v>0</v>
      </c>
      <c r="AD1238" s="25">
        <f>ROUND(IF(AO1238="2",BF1238,0),2)</f>
        <v>0</v>
      </c>
      <c r="AE1238" s="25">
        <f>ROUND(IF(AO1238="2",BG1238,0),2)</f>
        <v>0</v>
      </c>
      <c r="AF1238" s="25">
        <f>ROUND(IF(AO1238="0",BH1238,0),2)</f>
        <v>0</v>
      </c>
      <c r="AG1238" s="10" t="s">
        <v>1101</v>
      </c>
      <c r="AH1238" s="25">
        <f>IF(AL1238=0,K1238,0)</f>
        <v>0</v>
      </c>
      <c r="AI1238" s="25">
        <f>IF(AL1238=12,K1238,0)</f>
        <v>0</v>
      </c>
      <c r="AJ1238" s="25">
        <f>IF(AL1238=21,K1238,0)</f>
        <v>0</v>
      </c>
      <c r="AL1238" s="25">
        <v>21</v>
      </c>
      <c r="AM1238" s="25">
        <f>H1238*1</f>
        <v>0</v>
      </c>
      <c r="AN1238" s="25">
        <f>H1238*(1-1)</f>
        <v>0</v>
      </c>
      <c r="AO1238" s="27" t="s">
        <v>61</v>
      </c>
      <c r="AT1238" s="25">
        <f>ROUND(AU1238+AV1238,2)</f>
        <v>0</v>
      </c>
      <c r="AU1238" s="25">
        <f>ROUND(G1238*AM1238,2)</f>
        <v>0</v>
      </c>
      <c r="AV1238" s="25">
        <f>ROUND(G1238*AN1238,2)</f>
        <v>0</v>
      </c>
      <c r="AW1238" s="27" t="s">
        <v>101</v>
      </c>
      <c r="AX1238" s="27" t="s">
        <v>1433</v>
      </c>
      <c r="AY1238" s="10" t="s">
        <v>1105</v>
      </c>
      <c r="BA1238" s="25">
        <f>AU1238+AV1238</f>
        <v>0</v>
      </c>
      <c r="BB1238" s="25">
        <f>H1238/(100-BC1238)*100</f>
        <v>0</v>
      </c>
      <c r="BC1238" s="25">
        <v>0</v>
      </c>
      <c r="BD1238" s="25">
        <f>M1238</f>
        <v>1E-3</v>
      </c>
      <c r="BF1238" s="25">
        <f>G1238*AM1238</f>
        <v>0</v>
      </c>
      <c r="BG1238" s="25">
        <f>G1238*AN1238</f>
        <v>0</v>
      </c>
      <c r="BH1238" s="25">
        <f>G1238*H1238</f>
        <v>0</v>
      </c>
      <c r="BI1238" s="27" t="s">
        <v>576</v>
      </c>
      <c r="BJ1238" s="25">
        <v>725</v>
      </c>
      <c r="BU1238" s="25" t="e">
        <f>#REF!</f>
        <v>#REF!</v>
      </c>
      <c r="BV1238" s="4" t="s">
        <v>1435</v>
      </c>
    </row>
    <row r="1239" spans="1:74" ht="14.4" x14ac:dyDescent="0.3">
      <c r="A1239" s="28"/>
      <c r="D1239" s="29" t="s">
        <v>81</v>
      </c>
      <c r="E1239" s="29" t="s">
        <v>880</v>
      </c>
      <c r="G1239" s="30">
        <v>2</v>
      </c>
      <c r="H1239" s="63"/>
      <c r="N1239" s="31"/>
    </row>
    <row r="1240" spans="1:74" ht="14.4" x14ac:dyDescent="0.3">
      <c r="A1240" s="2" t="s">
        <v>1436</v>
      </c>
      <c r="B1240" s="3" t="s">
        <v>1101</v>
      </c>
      <c r="C1240" s="3" t="s">
        <v>874</v>
      </c>
      <c r="D1240" s="112" t="s">
        <v>875</v>
      </c>
      <c r="E1240" s="109"/>
      <c r="F1240" s="3" t="s">
        <v>122</v>
      </c>
      <c r="G1240" s="25">
        <v>2</v>
      </c>
      <c r="H1240" s="62"/>
      <c r="I1240" s="25">
        <f>ROUND(G1240*AM1240,2)</f>
        <v>0</v>
      </c>
      <c r="J1240" s="25">
        <f>ROUND(G1240*AN1240,2)</f>
        <v>0</v>
      </c>
      <c r="K1240" s="25">
        <f>ROUND(G1240*H1240,2)</f>
        <v>0</v>
      </c>
      <c r="L1240" s="25">
        <v>2E-3</v>
      </c>
      <c r="M1240" s="25">
        <f>G1240*L1240</f>
        <v>4.0000000000000001E-3</v>
      </c>
      <c r="N1240" s="102"/>
      <c r="X1240" s="25">
        <f>ROUND(IF(AO1240="5",BH1240,0),2)</f>
        <v>0</v>
      </c>
      <c r="Z1240" s="25">
        <f>ROUND(IF(AO1240="1",BF1240,0),2)</f>
        <v>0</v>
      </c>
      <c r="AA1240" s="25">
        <f>ROUND(IF(AO1240="1",BG1240,0),2)</f>
        <v>0</v>
      </c>
      <c r="AB1240" s="25">
        <f>ROUND(IF(AO1240="7",BF1240,0),2)</f>
        <v>0</v>
      </c>
      <c r="AC1240" s="25">
        <f>ROUND(IF(AO1240="7",BG1240,0),2)</f>
        <v>0</v>
      </c>
      <c r="AD1240" s="25">
        <f>ROUND(IF(AO1240="2",BF1240,0),2)</f>
        <v>0</v>
      </c>
      <c r="AE1240" s="25">
        <f>ROUND(IF(AO1240="2",BG1240,0),2)</f>
        <v>0</v>
      </c>
      <c r="AF1240" s="25">
        <f>ROUND(IF(AO1240="0",BH1240,0),2)</f>
        <v>0</v>
      </c>
      <c r="AG1240" s="10" t="s">
        <v>1101</v>
      </c>
      <c r="AH1240" s="25">
        <f>IF(AL1240=0,K1240,0)</f>
        <v>0</v>
      </c>
      <c r="AI1240" s="25">
        <f>IF(AL1240=12,K1240,0)</f>
        <v>0</v>
      </c>
      <c r="AJ1240" s="25">
        <f>IF(AL1240=21,K1240,0)</f>
        <v>0</v>
      </c>
      <c r="AL1240" s="25">
        <v>21</v>
      </c>
      <c r="AM1240" s="25">
        <f>H1240*1</f>
        <v>0</v>
      </c>
      <c r="AN1240" s="25">
        <f>H1240*(1-1)</f>
        <v>0</v>
      </c>
      <c r="AO1240" s="27" t="s">
        <v>61</v>
      </c>
      <c r="AT1240" s="25">
        <f>ROUND(AU1240+AV1240,2)</f>
        <v>0</v>
      </c>
      <c r="AU1240" s="25">
        <f>ROUND(G1240*AM1240,2)</f>
        <v>0</v>
      </c>
      <c r="AV1240" s="25">
        <f>ROUND(G1240*AN1240,2)</f>
        <v>0</v>
      </c>
      <c r="AW1240" s="27" t="s">
        <v>101</v>
      </c>
      <c r="AX1240" s="27" t="s">
        <v>1433</v>
      </c>
      <c r="AY1240" s="10" t="s">
        <v>1105</v>
      </c>
      <c r="BA1240" s="25">
        <f>AU1240+AV1240</f>
        <v>0</v>
      </c>
      <c r="BB1240" s="25">
        <f>H1240/(100-BC1240)*100</f>
        <v>0</v>
      </c>
      <c r="BC1240" s="25">
        <v>0</v>
      </c>
      <c r="BD1240" s="25">
        <f>M1240</f>
        <v>4.0000000000000001E-3</v>
      </c>
      <c r="BF1240" s="25">
        <f>G1240*AM1240</f>
        <v>0</v>
      </c>
      <c r="BG1240" s="25">
        <f>G1240*AN1240</f>
        <v>0</v>
      </c>
      <c r="BH1240" s="25">
        <f>G1240*H1240</f>
        <v>0</v>
      </c>
      <c r="BI1240" s="27" t="s">
        <v>576</v>
      </c>
      <c r="BJ1240" s="25">
        <v>725</v>
      </c>
      <c r="BU1240" s="25" t="e">
        <f>#REF!</f>
        <v>#REF!</v>
      </c>
      <c r="BV1240" s="4" t="s">
        <v>875</v>
      </c>
    </row>
    <row r="1241" spans="1:74" ht="14.4" x14ac:dyDescent="0.3">
      <c r="A1241" s="28"/>
      <c r="D1241" s="29" t="s">
        <v>81</v>
      </c>
      <c r="E1241" s="29" t="s">
        <v>876</v>
      </c>
      <c r="G1241" s="30">
        <v>2</v>
      </c>
      <c r="H1241" s="63"/>
      <c r="N1241" s="31"/>
    </row>
    <row r="1242" spans="1:74" ht="14.4" x14ac:dyDescent="0.3">
      <c r="A1242" s="2" t="s">
        <v>1437</v>
      </c>
      <c r="B1242" s="3" t="s">
        <v>1101</v>
      </c>
      <c r="C1242" s="3" t="s">
        <v>863</v>
      </c>
      <c r="D1242" s="112" t="s">
        <v>1438</v>
      </c>
      <c r="E1242" s="109"/>
      <c r="F1242" s="3" t="s">
        <v>860</v>
      </c>
      <c r="G1242" s="25">
        <v>1</v>
      </c>
      <c r="H1242" s="62"/>
      <c r="I1242" s="25">
        <f>ROUND(G1242*AM1242,2)</f>
        <v>0</v>
      </c>
      <c r="J1242" s="25">
        <f>ROUND(G1242*AN1242,2)</f>
        <v>0</v>
      </c>
      <c r="K1242" s="25">
        <f>ROUND(G1242*H1242,2)</f>
        <v>0</v>
      </c>
      <c r="L1242" s="25">
        <v>1.2999999999999999E-3</v>
      </c>
      <c r="M1242" s="25">
        <f>G1242*L1242</f>
        <v>1.2999999999999999E-3</v>
      </c>
      <c r="N1242" s="102"/>
      <c r="X1242" s="25">
        <f>ROUND(IF(AO1242="5",BH1242,0),2)</f>
        <v>0</v>
      </c>
      <c r="Z1242" s="25">
        <f>ROUND(IF(AO1242="1",BF1242,0),2)</f>
        <v>0</v>
      </c>
      <c r="AA1242" s="25">
        <f>ROUND(IF(AO1242="1",BG1242,0),2)</f>
        <v>0</v>
      </c>
      <c r="AB1242" s="25">
        <f>ROUND(IF(AO1242="7",BF1242,0),2)</f>
        <v>0</v>
      </c>
      <c r="AC1242" s="25">
        <f>ROUND(IF(AO1242="7",BG1242,0),2)</f>
        <v>0</v>
      </c>
      <c r="AD1242" s="25">
        <f>ROUND(IF(AO1242="2",BF1242,0),2)</f>
        <v>0</v>
      </c>
      <c r="AE1242" s="25">
        <f>ROUND(IF(AO1242="2",BG1242,0),2)</f>
        <v>0</v>
      </c>
      <c r="AF1242" s="25">
        <f>ROUND(IF(AO1242="0",BH1242,0),2)</f>
        <v>0</v>
      </c>
      <c r="AG1242" s="10" t="s">
        <v>1101</v>
      </c>
      <c r="AH1242" s="25">
        <f>IF(AL1242=0,K1242,0)</f>
        <v>0</v>
      </c>
      <c r="AI1242" s="25">
        <f>IF(AL1242=12,K1242,0)</f>
        <v>0</v>
      </c>
      <c r="AJ1242" s="25">
        <f>IF(AL1242=21,K1242,0)</f>
        <v>0</v>
      </c>
      <c r="AL1242" s="25">
        <v>21</v>
      </c>
      <c r="AM1242" s="25">
        <f>H1242*0.852395845</f>
        <v>0</v>
      </c>
      <c r="AN1242" s="25">
        <f>H1242*(1-0.852395845)</f>
        <v>0</v>
      </c>
      <c r="AO1242" s="27" t="s">
        <v>61</v>
      </c>
      <c r="AT1242" s="25">
        <f>ROUND(AU1242+AV1242,2)</f>
        <v>0</v>
      </c>
      <c r="AU1242" s="25">
        <f>ROUND(G1242*AM1242,2)</f>
        <v>0</v>
      </c>
      <c r="AV1242" s="25">
        <f>ROUND(G1242*AN1242,2)</f>
        <v>0</v>
      </c>
      <c r="AW1242" s="27" t="s">
        <v>101</v>
      </c>
      <c r="AX1242" s="27" t="s">
        <v>1433</v>
      </c>
      <c r="AY1242" s="10" t="s">
        <v>1105</v>
      </c>
      <c r="BA1242" s="25">
        <f>AU1242+AV1242</f>
        <v>0</v>
      </c>
      <c r="BB1242" s="25">
        <f>H1242/(100-BC1242)*100</f>
        <v>0</v>
      </c>
      <c r="BC1242" s="25">
        <v>0</v>
      </c>
      <c r="BD1242" s="25">
        <f>M1242</f>
        <v>1.2999999999999999E-3</v>
      </c>
      <c r="BF1242" s="25">
        <f>G1242*AM1242</f>
        <v>0</v>
      </c>
      <c r="BG1242" s="25">
        <f>G1242*AN1242</f>
        <v>0</v>
      </c>
      <c r="BH1242" s="25">
        <f>G1242*H1242</f>
        <v>0</v>
      </c>
      <c r="BI1242" s="27" t="s">
        <v>65</v>
      </c>
      <c r="BJ1242" s="25">
        <v>725</v>
      </c>
      <c r="BU1242" s="25" t="e">
        <f>#REF!</f>
        <v>#REF!</v>
      </c>
      <c r="BV1242" s="4" t="s">
        <v>1438</v>
      </c>
    </row>
    <row r="1243" spans="1:74" ht="14.4" x14ac:dyDescent="0.3">
      <c r="A1243" s="28"/>
      <c r="D1243" s="29" t="s">
        <v>57</v>
      </c>
      <c r="E1243" s="29" t="s">
        <v>865</v>
      </c>
      <c r="G1243" s="30">
        <v>1</v>
      </c>
      <c r="H1243" s="63"/>
      <c r="N1243" s="31"/>
    </row>
    <row r="1244" spans="1:74" ht="14.4" x14ac:dyDescent="0.3">
      <c r="A1244" s="2" t="s">
        <v>1439</v>
      </c>
      <c r="B1244" s="3" t="s">
        <v>1101</v>
      </c>
      <c r="C1244" s="3" t="s">
        <v>870</v>
      </c>
      <c r="D1244" s="112" t="s">
        <v>871</v>
      </c>
      <c r="E1244" s="109"/>
      <c r="F1244" s="3" t="s">
        <v>122</v>
      </c>
      <c r="G1244" s="25">
        <v>2</v>
      </c>
      <c r="H1244" s="62"/>
      <c r="I1244" s="25">
        <f>ROUND(G1244*AM1244,2)</f>
        <v>0</v>
      </c>
      <c r="J1244" s="25">
        <f>ROUND(G1244*AN1244,2)</f>
        <v>0</v>
      </c>
      <c r="K1244" s="25">
        <f>ROUND(G1244*H1244,2)</f>
        <v>0</v>
      </c>
      <c r="L1244" s="25">
        <v>1E-3</v>
      </c>
      <c r="M1244" s="25">
        <f>G1244*L1244</f>
        <v>2E-3</v>
      </c>
      <c r="N1244" s="102"/>
      <c r="X1244" s="25">
        <f>ROUND(IF(AO1244="5",BH1244,0),2)</f>
        <v>0</v>
      </c>
      <c r="Z1244" s="25">
        <f>ROUND(IF(AO1244="1",BF1244,0),2)</f>
        <v>0</v>
      </c>
      <c r="AA1244" s="25">
        <f>ROUND(IF(AO1244="1",BG1244,0),2)</f>
        <v>0</v>
      </c>
      <c r="AB1244" s="25">
        <f>ROUND(IF(AO1244="7",BF1244,0),2)</f>
        <v>0</v>
      </c>
      <c r="AC1244" s="25">
        <f>ROUND(IF(AO1244="7",BG1244,0),2)</f>
        <v>0</v>
      </c>
      <c r="AD1244" s="25">
        <f>ROUND(IF(AO1244="2",BF1244,0),2)</f>
        <v>0</v>
      </c>
      <c r="AE1244" s="25">
        <f>ROUND(IF(AO1244="2",BG1244,0),2)</f>
        <v>0</v>
      </c>
      <c r="AF1244" s="25">
        <f>ROUND(IF(AO1244="0",BH1244,0),2)</f>
        <v>0</v>
      </c>
      <c r="AG1244" s="10" t="s">
        <v>1101</v>
      </c>
      <c r="AH1244" s="25">
        <f>IF(AL1244=0,K1244,0)</f>
        <v>0</v>
      </c>
      <c r="AI1244" s="25">
        <f>IF(AL1244=12,K1244,0)</f>
        <v>0</v>
      </c>
      <c r="AJ1244" s="25">
        <f>IF(AL1244=21,K1244,0)</f>
        <v>0</v>
      </c>
      <c r="AL1244" s="25">
        <v>21</v>
      </c>
      <c r="AM1244" s="25">
        <f>H1244*1</f>
        <v>0</v>
      </c>
      <c r="AN1244" s="25">
        <f>H1244*(1-1)</f>
        <v>0</v>
      </c>
      <c r="AO1244" s="27" t="s">
        <v>61</v>
      </c>
      <c r="AT1244" s="25">
        <f>ROUND(AU1244+AV1244,2)</f>
        <v>0</v>
      </c>
      <c r="AU1244" s="25">
        <f>ROUND(G1244*AM1244,2)</f>
        <v>0</v>
      </c>
      <c r="AV1244" s="25">
        <f>ROUND(G1244*AN1244,2)</f>
        <v>0</v>
      </c>
      <c r="AW1244" s="27" t="s">
        <v>101</v>
      </c>
      <c r="AX1244" s="27" t="s">
        <v>1433</v>
      </c>
      <c r="AY1244" s="10" t="s">
        <v>1105</v>
      </c>
      <c r="BA1244" s="25">
        <f>AU1244+AV1244</f>
        <v>0</v>
      </c>
      <c r="BB1244" s="25">
        <f>H1244/(100-BC1244)*100</f>
        <v>0</v>
      </c>
      <c r="BC1244" s="25">
        <v>0</v>
      </c>
      <c r="BD1244" s="25">
        <f>M1244</f>
        <v>2E-3</v>
      </c>
      <c r="BF1244" s="25">
        <f>G1244*AM1244</f>
        <v>0</v>
      </c>
      <c r="BG1244" s="25">
        <f>G1244*AN1244</f>
        <v>0</v>
      </c>
      <c r="BH1244" s="25">
        <f>G1244*H1244</f>
        <v>0</v>
      </c>
      <c r="BI1244" s="27" t="s">
        <v>576</v>
      </c>
      <c r="BJ1244" s="25">
        <v>725</v>
      </c>
      <c r="BU1244" s="25" t="e">
        <f>#REF!</f>
        <v>#REF!</v>
      </c>
      <c r="BV1244" s="4" t="s">
        <v>871</v>
      </c>
    </row>
    <row r="1245" spans="1:74" ht="14.4" x14ac:dyDescent="0.3">
      <c r="A1245" s="28"/>
      <c r="D1245" s="29" t="s">
        <v>81</v>
      </c>
      <c r="E1245" s="29" t="s">
        <v>872</v>
      </c>
      <c r="G1245" s="30">
        <v>2</v>
      </c>
      <c r="H1245" s="63"/>
      <c r="N1245" s="31"/>
    </row>
    <row r="1246" spans="1:74" ht="14.4" x14ac:dyDescent="0.3">
      <c r="A1246" s="2" t="s">
        <v>1440</v>
      </c>
      <c r="B1246" s="3" t="s">
        <v>1101</v>
      </c>
      <c r="C1246" s="3" t="s">
        <v>867</v>
      </c>
      <c r="D1246" s="112" t="s">
        <v>868</v>
      </c>
      <c r="E1246" s="109"/>
      <c r="F1246" s="3" t="s">
        <v>122</v>
      </c>
      <c r="G1246" s="25">
        <v>1</v>
      </c>
      <c r="H1246" s="62"/>
      <c r="I1246" s="25">
        <f>ROUND(G1246*AM1246,2)</f>
        <v>0</v>
      </c>
      <c r="J1246" s="25">
        <f>ROUND(G1246*AN1246,2)</f>
        <v>0</v>
      </c>
      <c r="K1246" s="25">
        <f>ROUND(G1246*H1246,2)</f>
        <v>0</v>
      </c>
      <c r="L1246" s="25">
        <v>2E-3</v>
      </c>
      <c r="M1246" s="25">
        <f>G1246*L1246</f>
        <v>2E-3</v>
      </c>
      <c r="N1246" s="102"/>
      <c r="X1246" s="25">
        <f>ROUND(IF(AO1246="5",BH1246,0),2)</f>
        <v>0</v>
      </c>
      <c r="Z1246" s="25">
        <f>ROUND(IF(AO1246="1",BF1246,0),2)</f>
        <v>0</v>
      </c>
      <c r="AA1246" s="25">
        <f>ROUND(IF(AO1246="1",BG1246,0),2)</f>
        <v>0</v>
      </c>
      <c r="AB1246" s="25">
        <f>ROUND(IF(AO1246="7",BF1246,0),2)</f>
        <v>0</v>
      </c>
      <c r="AC1246" s="25">
        <f>ROUND(IF(AO1246="7",BG1246,0),2)</f>
        <v>0</v>
      </c>
      <c r="AD1246" s="25">
        <f>ROUND(IF(AO1246="2",BF1246,0),2)</f>
        <v>0</v>
      </c>
      <c r="AE1246" s="25">
        <f>ROUND(IF(AO1246="2",BG1246,0),2)</f>
        <v>0</v>
      </c>
      <c r="AF1246" s="25">
        <f>ROUND(IF(AO1246="0",BH1246,0),2)</f>
        <v>0</v>
      </c>
      <c r="AG1246" s="10" t="s">
        <v>1101</v>
      </c>
      <c r="AH1246" s="25">
        <f>IF(AL1246=0,K1246,0)</f>
        <v>0</v>
      </c>
      <c r="AI1246" s="25">
        <f>IF(AL1246=12,K1246,0)</f>
        <v>0</v>
      </c>
      <c r="AJ1246" s="25">
        <f>IF(AL1246=21,K1246,0)</f>
        <v>0</v>
      </c>
      <c r="AL1246" s="25">
        <v>21</v>
      </c>
      <c r="AM1246" s="25">
        <f>H1246*1</f>
        <v>0</v>
      </c>
      <c r="AN1246" s="25">
        <f>H1246*(1-1)</f>
        <v>0</v>
      </c>
      <c r="AO1246" s="27" t="s">
        <v>61</v>
      </c>
      <c r="AT1246" s="25">
        <f>ROUND(AU1246+AV1246,2)</f>
        <v>0</v>
      </c>
      <c r="AU1246" s="25">
        <f>ROUND(G1246*AM1246,2)</f>
        <v>0</v>
      </c>
      <c r="AV1246" s="25">
        <f>ROUND(G1246*AN1246,2)</f>
        <v>0</v>
      </c>
      <c r="AW1246" s="27" t="s">
        <v>101</v>
      </c>
      <c r="AX1246" s="27" t="s">
        <v>1433</v>
      </c>
      <c r="AY1246" s="10" t="s">
        <v>1105</v>
      </c>
      <c r="BA1246" s="25">
        <f>AU1246+AV1246</f>
        <v>0</v>
      </c>
      <c r="BB1246" s="25">
        <f>H1246/(100-BC1246)*100</f>
        <v>0</v>
      </c>
      <c r="BC1246" s="25">
        <v>0</v>
      </c>
      <c r="BD1246" s="25">
        <f>M1246</f>
        <v>2E-3</v>
      </c>
      <c r="BF1246" s="25">
        <f>G1246*AM1246</f>
        <v>0</v>
      </c>
      <c r="BG1246" s="25">
        <f>G1246*AN1246</f>
        <v>0</v>
      </c>
      <c r="BH1246" s="25">
        <f>G1246*H1246</f>
        <v>0</v>
      </c>
      <c r="BI1246" s="27" t="s">
        <v>576</v>
      </c>
      <c r="BJ1246" s="25">
        <v>725</v>
      </c>
      <c r="BU1246" s="25" t="e">
        <f>#REF!</f>
        <v>#REF!</v>
      </c>
      <c r="BV1246" s="4" t="s">
        <v>868</v>
      </c>
    </row>
    <row r="1247" spans="1:74" ht="14.4" x14ac:dyDescent="0.3">
      <c r="A1247" s="28"/>
      <c r="D1247" s="29" t="s">
        <v>57</v>
      </c>
      <c r="E1247" s="29" t="s">
        <v>1441</v>
      </c>
      <c r="G1247" s="30">
        <v>1</v>
      </c>
      <c r="H1247" s="63"/>
      <c r="N1247" s="31"/>
    </row>
    <row r="1248" spans="1:74" ht="14.4" x14ac:dyDescent="0.3">
      <c r="A1248" s="2" t="s">
        <v>1442</v>
      </c>
      <c r="B1248" s="3" t="s">
        <v>1101</v>
      </c>
      <c r="C1248" s="3" t="s">
        <v>882</v>
      </c>
      <c r="D1248" s="112" t="s">
        <v>883</v>
      </c>
      <c r="E1248" s="109"/>
      <c r="F1248" s="3" t="s">
        <v>278</v>
      </c>
      <c r="G1248" s="25">
        <v>1.0540000000000001E-2</v>
      </c>
      <c r="H1248" s="62"/>
      <c r="I1248" s="25">
        <f>ROUND(G1248*AM1248,2)</f>
        <v>0</v>
      </c>
      <c r="J1248" s="25">
        <f>ROUND(G1248*AN1248,2)</f>
        <v>0</v>
      </c>
      <c r="K1248" s="25">
        <f>ROUND(G1248*H1248,2)</f>
        <v>0</v>
      </c>
      <c r="L1248" s="25">
        <v>0</v>
      </c>
      <c r="M1248" s="25">
        <f>G1248*L1248</f>
        <v>0</v>
      </c>
      <c r="N1248" s="26"/>
      <c r="X1248" s="25">
        <f>ROUND(IF(AO1248="5",BH1248,0),2)</f>
        <v>0</v>
      </c>
      <c r="Z1248" s="25">
        <f>ROUND(IF(AO1248="1",BF1248,0),2)</f>
        <v>0</v>
      </c>
      <c r="AA1248" s="25">
        <f>ROUND(IF(AO1248="1",BG1248,0),2)</f>
        <v>0</v>
      </c>
      <c r="AB1248" s="25">
        <f>ROUND(IF(AO1248="7",BF1248,0),2)</f>
        <v>0</v>
      </c>
      <c r="AC1248" s="25">
        <f>ROUND(IF(AO1248="7",BG1248,0),2)</f>
        <v>0</v>
      </c>
      <c r="AD1248" s="25">
        <f>ROUND(IF(AO1248="2",BF1248,0),2)</f>
        <v>0</v>
      </c>
      <c r="AE1248" s="25">
        <f>ROUND(IF(AO1248="2",BG1248,0),2)</f>
        <v>0</v>
      </c>
      <c r="AF1248" s="25">
        <f>ROUND(IF(AO1248="0",BH1248,0),2)</f>
        <v>0</v>
      </c>
      <c r="AG1248" s="10" t="s">
        <v>1101</v>
      </c>
      <c r="AH1248" s="25">
        <f>IF(AL1248=0,K1248,0)</f>
        <v>0</v>
      </c>
      <c r="AI1248" s="25">
        <f>IF(AL1248=12,K1248,0)</f>
        <v>0</v>
      </c>
      <c r="AJ1248" s="25">
        <f>IF(AL1248=21,K1248,0)</f>
        <v>0</v>
      </c>
      <c r="AL1248" s="25">
        <v>21</v>
      </c>
      <c r="AM1248" s="25">
        <f>H1248*0</f>
        <v>0</v>
      </c>
      <c r="AN1248" s="25">
        <f>H1248*(1-0)</f>
        <v>0</v>
      </c>
      <c r="AO1248" s="27" t="s">
        <v>97</v>
      </c>
      <c r="AT1248" s="25">
        <f>ROUND(AU1248+AV1248,2)</f>
        <v>0</v>
      </c>
      <c r="AU1248" s="25">
        <f>ROUND(G1248*AM1248,2)</f>
        <v>0</v>
      </c>
      <c r="AV1248" s="25">
        <f>ROUND(G1248*AN1248,2)</f>
        <v>0</v>
      </c>
      <c r="AW1248" s="27" t="s">
        <v>101</v>
      </c>
      <c r="AX1248" s="27" t="s">
        <v>1433</v>
      </c>
      <c r="AY1248" s="10" t="s">
        <v>1105</v>
      </c>
      <c r="BA1248" s="25">
        <f>AU1248+AV1248</f>
        <v>0</v>
      </c>
      <c r="BB1248" s="25">
        <f>H1248/(100-BC1248)*100</f>
        <v>0</v>
      </c>
      <c r="BC1248" s="25">
        <v>0</v>
      </c>
      <c r="BD1248" s="25">
        <f>M1248</f>
        <v>0</v>
      </c>
      <c r="BF1248" s="25">
        <f>G1248*AM1248</f>
        <v>0</v>
      </c>
      <c r="BG1248" s="25">
        <f>G1248*AN1248</f>
        <v>0</v>
      </c>
      <c r="BH1248" s="25">
        <f>G1248*H1248</f>
        <v>0</v>
      </c>
      <c r="BI1248" s="27" t="s">
        <v>65</v>
      </c>
      <c r="BJ1248" s="25">
        <v>725</v>
      </c>
      <c r="BU1248" s="25" t="e">
        <f>#REF!</f>
        <v>#REF!</v>
      </c>
      <c r="BV1248" s="4" t="s">
        <v>883</v>
      </c>
    </row>
    <row r="1249" spans="1:74" ht="14.4" x14ac:dyDescent="0.3">
      <c r="A1249" s="21" t="s">
        <v>52</v>
      </c>
      <c r="B1249" s="22" t="s">
        <v>1101</v>
      </c>
      <c r="C1249" s="22" t="s">
        <v>1443</v>
      </c>
      <c r="D1249" s="170" t="s">
        <v>1444</v>
      </c>
      <c r="E1249" s="171"/>
      <c r="F1249" s="23" t="s">
        <v>32</v>
      </c>
      <c r="G1249" s="23" t="s">
        <v>32</v>
      </c>
      <c r="H1249" s="64"/>
      <c r="I1249" s="1">
        <f>SUM(I1250:I1252)</f>
        <v>0</v>
      </c>
      <c r="J1249" s="1">
        <f>SUM(J1250:J1252)</f>
        <v>0</v>
      </c>
      <c r="K1249" s="1">
        <f>SUM(K1250:K1252)</f>
        <v>0</v>
      </c>
      <c r="L1249" s="10" t="s">
        <v>52</v>
      </c>
      <c r="M1249" s="1">
        <f>SUM(M1250:M1252)</f>
        <v>0.13675199999999998</v>
      </c>
      <c r="N1249" s="24"/>
      <c r="AG1249" s="10" t="s">
        <v>1101</v>
      </c>
      <c r="AQ1249" s="1">
        <f>SUM(AH1250:AH1252)</f>
        <v>0</v>
      </c>
      <c r="AR1249" s="1">
        <f>SUM(AI1250:AI1252)</f>
        <v>0</v>
      </c>
      <c r="AS1249" s="1">
        <f>SUM(AJ1250:AJ1252)</f>
        <v>0</v>
      </c>
    </row>
    <row r="1250" spans="1:74" ht="14.4" x14ac:dyDescent="0.3">
      <c r="A1250" s="2" t="s">
        <v>1445</v>
      </c>
      <c r="B1250" s="3" t="s">
        <v>1101</v>
      </c>
      <c r="C1250" s="3" t="s">
        <v>1446</v>
      </c>
      <c r="D1250" s="112" t="s">
        <v>1447</v>
      </c>
      <c r="E1250" s="109"/>
      <c r="F1250" s="3" t="s">
        <v>60</v>
      </c>
      <c r="G1250" s="25">
        <v>1.68</v>
      </c>
      <c r="H1250" s="62"/>
      <c r="I1250" s="25">
        <f>ROUND(G1250*AM1250,2)</f>
        <v>0</v>
      </c>
      <c r="J1250" s="25">
        <f>ROUND(G1250*AN1250,2)</f>
        <v>0</v>
      </c>
      <c r="K1250" s="25">
        <f>ROUND(G1250*H1250,2)</f>
        <v>0</v>
      </c>
      <c r="L1250" s="25">
        <v>8.14E-2</v>
      </c>
      <c r="M1250" s="25">
        <f>G1250*L1250</f>
        <v>0.13675199999999998</v>
      </c>
      <c r="N1250" s="26"/>
      <c r="X1250" s="25">
        <f>ROUND(IF(AO1250="5",BH1250,0),2)</f>
        <v>0</v>
      </c>
      <c r="Z1250" s="25">
        <f>ROUND(IF(AO1250="1",BF1250,0),2)</f>
        <v>0</v>
      </c>
      <c r="AA1250" s="25">
        <f>ROUND(IF(AO1250="1",BG1250,0),2)</f>
        <v>0</v>
      </c>
      <c r="AB1250" s="25">
        <f>ROUND(IF(AO1250="7",BF1250,0),2)</f>
        <v>0</v>
      </c>
      <c r="AC1250" s="25">
        <f>ROUND(IF(AO1250="7",BG1250,0),2)</f>
        <v>0</v>
      </c>
      <c r="AD1250" s="25">
        <f>ROUND(IF(AO1250="2",BF1250,0),2)</f>
        <v>0</v>
      </c>
      <c r="AE1250" s="25">
        <f>ROUND(IF(AO1250="2",BG1250,0),2)</f>
        <v>0</v>
      </c>
      <c r="AF1250" s="25">
        <f>ROUND(IF(AO1250="0",BH1250,0),2)</f>
        <v>0</v>
      </c>
      <c r="AG1250" s="10" t="s">
        <v>1101</v>
      </c>
      <c r="AH1250" s="25">
        <f>IF(AL1250=0,K1250,0)</f>
        <v>0</v>
      </c>
      <c r="AI1250" s="25">
        <f>IF(AL1250=12,K1250,0)</f>
        <v>0</v>
      </c>
      <c r="AJ1250" s="25">
        <f>IF(AL1250=21,K1250,0)</f>
        <v>0</v>
      </c>
      <c r="AL1250" s="25">
        <v>21</v>
      </c>
      <c r="AM1250" s="25">
        <f>H1250*0.749814957</f>
        <v>0</v>
      </c>
      <c r="AN1250" s="25">
        <f>H1250*(1-0.749814957)</f>
        <v>0</v>
      </c>
      <c r="AO1250" s="27" t="s">
        <v>61</v>
      </c>
      <c r="AT1250" s="25">
        <f>ROUND(AU1250+AV1250,2)</f>
        <v>0</v>
      </c>
      <c r="AU1250" s="25">
        <f>ROUND(G1250*AM1250,2)</f>
        <v>0</v>
      </c>
      <c r="AV1250" s="25">
        <f>ROUND(G1250*AN1250,2)</f>
        <v>0</v>
      </c>
      <c r="AW1250" s="27" t="s">
        <v>1448</v>
      </c>
      <c r="AX1250" s="27" t="s">
        <v>1449</v>
      </c>
      <c r="AY1250" s="10" t="s">
        <v>1105</v>
      </c>
      <c r="BA1250" s="25">
        <f>AU1250+AV1250</f>
        <v>0</v>
      </c>
      <c r="BB1250" s="25">
        <f>H1250/(100-BC1250)*100</f>
        <v>0</v>
      </c>
      <c r="BC1250" s="25">
        <v>0</v>
      </c>
      <c r="BD1250" s="25">
        <f>M1250</f>
        <v>0.13675199999999998</v>
      </c>
      <c r="BF1250" s="25">
        <f>G1250*AM1250</f>
        <v>0</v>
      </c>
      <c r="BG1250" s="25">
        <f>G1250*AN1250</f>
        <v>0</v>
      </c>
      <c r="BH1250" s="25">
        <f>G1250*H1250</f>
        <v>0</v>
      </c>
      <c r="BI1250" s="27" t="s">
        <v>65</v>
      </c>
      <c r="BJ1250" s="25">
        <v>761</v>
      </c>
      <c r="BU1250" s="25" t="e">
        <f>#REF!</f>
        <v>#REF!</v>
      </c>
      <c r="BV1250" s="4" t="s">
        <v>1447</v>
      </c>
    </row>
    <row r="1251" spans="1:74" ht="14.4" x14ac:dyDescent="0.3">
      <c r="A1251" s="28"/>
      <c r="D1251" s="29" t="s">
        <v>1450</v>
      </c>
      <c r="E1251" s="29" t="s">
        <v>52</v>
      </c>
      <c r="G1251" s="30">
        <v>1.68</v>
      </c>
      <c r="H1251" s="63"/>
      <c r="N1251" s="31"/>
    </row>
    <row r="1252" spans="1:74" ht="14.4" x14ac:dyDescent="0.3">
      <c r="A1252" s="2" t="s">
        <v>1451</v>
      </c>
      <c r="B1252" s="3" t="s">
        <v>1101</v>
      </c>
      <c r="C1252" s="3" t="s">
        <v>1452</v>
      </c>
      <c r="D1252" s="112" t="s">
        <v>1453</v>
      </c>
      <c r="E1252" s="109"/>
      <c r="F1252" s="3" t="s">
        <v>278</v>
      </c>
      <c r="G1252" s="25">
        <v>0.13675000000000001</v>
      </c>
      <c r="H1252" s="62"/>
      <c r="I1252" s="25">
        <f>ROUND(G1252*AM1252,2)</f>
        <v>0</v>
      </c>
      <c r="J1252" s="25">
        <f>ROUND(G1252*AN1252,2)</f>
        <v>0</v>
      </c>
      <c r="K1252" s="25">
        <f>ROUND(G1252*H1252,2)</f>
        <v>0</v>
      </c>
      <c r="L1252" s="25">
        <v>0</v>
      </c>
      <c r="M1252" s="25">
        <f>G1252*L1252</f>
        <v>0</v>
      </c>
      <c r="N1252" s="26"/>
      <c r="X1252" s="25">
        <f>ROUND(IF(AO1252="5",BH1252,0),2)</f>
        <v>0</v>
      </c>
      <c r="Z1252" s="25">
        <f>ROUND(IF(AO1252="1",BF1252,0),2)</f>
        <v>0</v>
      </c>
      <c r="AA1252" s="25">
        <f>ROUND(IF(AO1252="1",BG1252,0),2)</f>
        <v>0</v>
      </c>
      <c r="AB1252" s="25">
        <f>ROUND(IF(AO1252="7",BF1252,0),2)</f>
        <v>0</v>
      </c>
      <c r="AC1252" s="25">
        <f>ROUND(IF(AO1252="7",BG1252,0),2)</f>
        <v>0</v>
      </c>
      <c r="AD1252" s="25">
        <f>ROUND(IF(AO1252="2",BF1252,0),2)</f>
        <v>0</v>
      </c>
      <c r="AE1252" s="25">
        <f>ROUND(IF(AO1252="2",BG1252,0),2)</f>
        <v>0</v>
      </c>
      <c r="AF1252" s="25">
        <f>ROUND(IF(AO1252="0",BH1252,0),2)</f>
        <v>0</v>
      </c>
      <c r="AG1252" s="10" t="s">
        <v>1101</v>
      </c>
      <c r="AH1252" s="25">
        <f>IF(AL1252=0,K1252,0)</f>
        <v>0</v>
      </c>
      <c r="AI1252" s="25">
        <f>IF(AL1252=12,K1252,0)</f>
        <v>0</v>
      </c>
      <c r="AJ1252" s="25">
        <f>IF(AL1252=21,K1252,0)</f>
        <v>0</v>
      </c>
      <c r="AL1252" s="25">
        <v>21</v>
      </c>
      <c r="AM1252" s="25">
        <f>H1252*0</f>
        <v>0</v>
      </c>
      <c r="AN1252" s="25">
        <f>H1252*(1-0)</f>
        <v>0</v>
      </c>
      <c r="AO1252" s="27" t="s">
        <v>97</v>
      </c>
      <c r="AT1252" s="25">
        <f>ROUND(AU1252+AV1252,2)</f>
        <v>0</v>
      </c>
      <c r="AU1252" s="25">
        <f>ROUND(G1252*AM1252,2)</f>
        <v>0</v>
      </c>
      <c r="AV1252" s="25">
        <f>ROUND(G1252*AN1252,2)</f>
        <v>0</v>
      </c>
      <c r="AW1252" s="27" t="s">
        <v>1448</v>
      </c>
      <c r="AX1252" s="27" t="s">
        <v>1449</v>
      </c>
      <c r="AY1252" s="10" t="s">
        <v>1105</v>
      </c>
      <c r="BA1252" s="25">
        <f>AU1252+AV1252</f>
        <v>0</v>
      </c>
      <c r="BB1252" s="25">
        <f>H1252/(100-BC1252)*100</f>
        <v>0</v>
      </c>
      <c r="BC1252" s="25">
        <v>0</v>
      </c>
      <c r="BD1252" s="25">
        <f>M1252</f>
        <v>0</v>
      </c>
      <c r="BF1252" s="25">
        <f>G1252*AM1252</f>
        <v>0</v>
      </c>
      <c r="BG1252" s="25">
        <f>G1252*AN1252</f>
        <v>0</v>
      </c>
      <c r="BH1252" s="25">
        <f>G1252*H1252</f>
        <v>0</v>
      </c>
      <c r="BI1252" s="27" t="s">
        <v>65</v>
      </c>
      <c r="BJ1252" s="25">
        <v>761</v>
      </c>
      <c r="BU1252" s="25" t="e">
        <f>#REF!</f>
        <v>#REF!</v>
      </c>
      <c r="BV1252" s="4" t="s">
        <v>1453</v>
      </c>
    </row>
    <row r="1253" spans="1:74" ht="14.4" x14ac:dyDescent="0.3">
      <c r="A1253" s="21" t="s">
        <v>52</v>
      </c>
      <c r="B1253" s="22" t="s">
        <v>1101</v>
      </c>
      <c r="C1253" s="22" t="s">
        <v>1454</v>
      </c>
      <c r="D1253" s="170" t="s">
        <v>1455</v>
      </c>
      <c r="E1253" s="171"/>
      <c r="F1253" s="23" t="s">
        <v>32</v>
      </c>
      <c r="G1253" s="23" t="s">
        <v>32</v>
      </c>
      <c r="H1253" s="64"/>
      <c r="I1253" s="1">
        <f>SUM(I1254:I1261)</f>
        <v>0</v>
      </c>
      <c r="J1253" s="1">
        <f>SUM(J1254:J1261)</f>
        <v>0</v>
      </c>
      <c r="K1253" s="1">
        <f>SUM(K1254:K1261)</f>
        <v>0</v>
      </c>
      <c r="L1253" s="10" t="s">
        <v>52</v>
      </c>
      <c r="M1253" s="1">
        <f>SUM(M1254:M1261)</f>
        <v>0.10659384</v>
      </c>
      <c r="N1253" s="24"/>
      <c r="AG1253" s="10" t="s">
        <v>1101</v>
      </c>
      <c r="AQ1253" s="1">
        <f>SUM(AH1254:AH1261)</f>
        <v>0</v>
      </c>
      <c r="AR1253" s="1">
        <f>SUM(AI1254:AI1261)</f>
        <v>0</v>
      </c>
      <c r="AS1253" s="1">
        <f>SUM(AJ1254:AJ1261)</f>
        <v>0</v>
      </c>
    </row>
    <row r="1254" spans="1:74" ht="14.4" x14ac:dyDescent="0.3">
      <c r="A1254" s="2" t="s">
        <v>1456</v>
      </c>
      <c r="B1254" s="3" t="s">
        <v>1101</v>
      </c>
      <c r="C1254" s="3" t="s">
        <v>1457</v>
      </c>
      <c r="D1254" s="112" t="s">
        <v>1458</v>
      </c>
      <c r="E1254" s="109"/>
      <c r="F1254" s="3" t="s">
        <v>60</v>
      </c>
      <c r="G1254" s="25">
        <v>8.6039999999999992</v>
      </c>
      <c r="H1254" s="62"/>
      <c r="I1254" s="25">
        <f>ROUND(G1254*AM1254,2)</f>
        <v>0</v>
      </c>
      <c r="J1254" s="25">
        <f>ROUND(G1254*AN1254,2)</f>
        <v>0</v>
      </c>
      <c r="K1254" s="25">
        <f>ROUND(G1254*H1254,2)</f>
        <v>0</v>
      </c>
      <c r="L1254" s="25">
        <v>1.7000000000000001E-4</v>
      </c>
      <c r="M1254" s="25">
        <f>G1254*L1254</f>
        <v>1.4626800000000001E-3</v>
      </c>
      <c r="N1254" s="26"/>
      <c r="X1254" s="25">
        <f>ROUND(IF(AO1254="5",BH1254,0),2)</f>
        <v>0</v>
      </c>
      <c r="Z1254" s="25">
        <f>ROUND(IF(AO1254="1",BF1254,0),2)</f>
        <v>0</v>
      </c>
      <c r="AA1254" s="25">
        <f>ROUND(IF(AO1254="1",BG1254,0),2)</f>
        <v>0</v>
      </c>
      <c r="AB1254" s="25">
        <f>ROUND(IF(AO1254="7",BF1254,0),2)</f>
        <v>0</v>
      </c>
      <c r="AC1254" s="25">
        <f>ROUND(IF(AO1254="7",BG1254,0),2)</f>
        <v>0</v>
      </c>
      <c r="AD1254" s="25">
        <f>ROUND(IF(AO1254="2",BF1254,0),2)</f>
        <v>0</v>
      </c>
      <c r="AE1254" s="25">
        <f>ROUND(IF(AO1254="2",BG1254,0),2)</f>
        <v>0</v>
      </c>
      <c r="AF1254" s="25">
        <f>ROUND(IF(AO1254="0",BH1254,0),2)</f>
        <v>0</v>
      </c>
      <c r="AG1254" s="10" t="s">
        <v>1101</v>
      </c>
      <c r="AH1254" s="25">
        <f>IF(AL1254=0,K1254,0)</f>
        <v>0</v>
      </c>
      <c r="AI1254" s="25">
        <f>IF(AL1254=12,K1254,0)</f>
        <v>0</v>
      </c>
      <c r="AJ1254" s="25">
        <f>IF(AL1254=21,K1254,0)</f>
        <v>0</v>
      </c>
      <c r="AL1254" s="25">
        <v>21</v>
      </c>
      <c r="AM1254" s="25">
        <f>H1254*0.024589673</f>
        <v>0</v>
      </c>
      <c r="AN1254" s="25">
        <f>H1254*(1-0.024589673)</f>
        <v>0</v>
      </c>
      <c r="AO1254" s="27" t="s">
        <v>61</v>
      </c>
      <c r="AT1254" s="25">
        <f>ROUND(AU1254+AV1254,2)</f>
        <v>0</v>
      </c>
      <c r="AU1254" s="25">
        <f>ROUND(G1254*AM1254,2)</f>
        <v>0</v>
      </c>
      <c r="AV1254" s="25">
        <f>ROUND(G1254*AN1254,2)</f>
        <v>0</v>
      </c>
      <c r="AW1254" s="27" t="s">
        <v>1459</v>
      </c>
      <c r="AX1254" s="27" t="s">
        <v>1449</v>
      </c>
      <c r="AY1254" s="10" t="s">
        <v>1105</v>
      </c>
      <c r="BA1254" s="25">
        <f>AU1254+AV1254</f>
        <v>0</v>
      </c>
      <c r="BB1254" s="25">
        <f>H1254/(100-BC1254)*100</f>
        <v>0</v>
      </c>
      <c r="BC1254" s="25">
        <v>0</v>
      </c>
      <c r="BD1254" s="25">
        <f>M1254</f>
        <v>1.4626800000000001E-3</v>
      </c>
      <c r="BF1254" s="25">
        <f>G1254*AM1254</f>
        <v>0</v>
      </c>
      <c r="BG1254" s="25">
        <f>G1254*AN1254</f>
        <v>0</v>
      </c>
      <c r="BH1254" s="25">
        <f>G1254*H1254</f>
        <v>0</v>
      </c>
      <c r="BI1254" s="27" t="s">
        <v>65</v>
      </c>
      <c r="BJ1254" s="25">
        <v>762</v>
      </c>
      <c r="BU1254" s="25" t="e">
        <f>#REF!</f>
        <v>#REF!</v>
      </c>
      <c r="BV1254" s="4" t="s">
        <v>1458</v>
      </c>
    </row>
    <row r="1255" spans="1:74" ht="14.4" x14ac:dyDescent="0.3">
      <c r="A1255" s="28"/>
      <c r="D1255" s="29" t="s">
        <v>1460</v>
      </c>
      <c r="E1255" s="29" t="s">
        <v>52</v>
      </c>
      <c r="G1255" s="30">
        <v>8.6039999999999992</v>
      </c>
      <c r="H1255" s="63"/>
      <c r="N1255" s="31"/>
    </row>
    <row r="1256" spans="1:74" ht="14.4" x14ac:dyDescent="0.3">
      <c r="A1256" s="2" t="s">
        <v>1461</v>
      </c>
      <c r="B1256" s="3" t="s">
        <v>1101</v>
      </c>
      <c r="C1256" s="3" t="s">
        <v>1462</v>
      </c>
      <c r="D1256" s="112" t="s">
        <v>1463</v>
      </c>
      <c r="E1256" s="109"/>
      <c r="F1256" s="3" t="s">
        <v>115</v>
      </c>
      <c r="G1256" s="25">
        <v>31.670999999999999</v>
      </c>
      <c r="H1256" s="62"/>
      <c r="I1256" s="25">
        <f>ROUND(G1256*AM1256,2)</f>
        <v>0</v>
      </c>
      <c r="J1256" s="25">
        <f>ROUND(G1256*AN1256,2)</f>
        <v>0</v>
      </c>
      <c r="K1256" s="25">
        <f>ROUND(G1256*H1256,2)</f>
        <v>0</v>
      </c>
      <c r="L1256" s="25">
        <v>1.32E-3</v>
      </c>
      <c r="M1256" s="25">
        <f>G1256*L1256</f>
        <v>4.1805719999999998E-2</v>
      </c>
      <c r="N1256" s="26"/>
      <c r="X1256" s="25">
        <f>ROUND(IF(AO1256="5",BH1256,0),2)</f>
        <v>0</v>
      </c>
      <c r="Z1256" s="25">
        <f>ROUND(IF(AO1256="1",BF1256,0),2)</f>
        <v>0</v>
      </c>
      <c r="AA1256" s="25">
        <f>ROUND(IF(AO1256="1",BG1256,0),2)</f>
        <v>0</v>
      </c>
      <c r="AB1256" s="25">
        <f>ROUND(IF(AO1256="7",BF1256,0),2)</f>
        <v>0</v>
      </c>
      <c r="AC1256" s="25">
        <f>ROUND(IF(AO1256="7",BG1256,0),2)</f>
        <v>0</v>
      </c>
      <c r="AD1256" s="25">
        <f>ROUND(IF(AO1256="2",BF1256,0),2)</f>
        <v>0</v>
      </c>
      <c r="AE1256" s="25">
        <f>ROUND(IF(AO1256="2",BG1256,0),2)</f>
        <v>0</v>
      </c>
      <c r="AF1256" s="25">
        <f>ROUND(IF(AO1256="0",BH1256,0),2)</f>
        <v>0</v>
      </c>
      <c r="AG1256" s="10" t="s">
        <v>1101</v>
      </c>
      <c r="AH1256" s="25">
        <f>IF(AL1256=0,K1256,0)</f>
        <v>0</v>
      </c>
      <c r="AI1256" s="25">
        <f>IF(AL1256=12,K1256,0)</f>
        <v>0</v>
      </c>
      <c r="AJ1256" s="25">
        <f>IF(AL1256=21,K1256,0)</f>
        <v>0</v>
      </c>
      <c r="AL1256" s="25">
        <v>21</v>
      </c>
      <c r="AM1256" s="25">
        <f>H1256*1</f>
        <v>0</v>
      </c>
      <c r="AN1256" s="25">
        <f>H1256*(1-1)</f>
        <v>0</v>
      </c>
      <c r="AO1256" s="27" t="s">
        <v>61</v>
      </c>
      <c r="AT1256" s="25">
        <f>ROUND(AU1256+AV1256,2)</f>
        <v>0</v>
      </c>
      <c r="AU1256" s="25">
        <f>ROUND(G1256*AM1256,2)</f>
        <v>0</v>
      </c>
      <c r="AV1256" s="25">
        <f>ROUND(G1256*AN1256,2)</f>
        <v>0</v>
      </c>
      <c r="AW1256" s="27" t="s">
        <v>1459</v>
      </c>
      <c r="AX1256" s="27" t="s">
        <v>1449</v>
      </c>
      <c r="AY1256" s="10" t="s">
        <v>1105</v>
      </c>
      <c r="BA1256" s="25">
        <f>AU1256+AV1256</f>
        <v>0</v>
      </c>
      <c r="BB1256" s="25">
        <f>H1256/(100-BC1256)*100</f>
        <v>0</v>
      </c>
      <c r="BC1256" s="25">
        <v>0</v>
      </c>
      <c r="BD1256" s="25">
        <f>M1256</f>
        <v>4.1805719999999998E-2</v>
      </c>
      <c r="BF1256" s="25">
        <f>G1256*AM1256</f>
        <v>0</v>
      </c>
      <c r="BG1256" s="25">
        <f>G1256*AN1256</f>
        <v>0</v>
      </c>
      <c r="BH1256" s="25">
        <f>G1256*H1256</f>
        <v>0</v>
      </c>
      <c r="BI1256" s="27" t="s">
        <v>576</v>
      </c>
      <c r="BJ1256" s="25">
        <v>762</v>
      </c>
      <c r="BU1256" s="25" t="e">
        <f>#REF!</f>
        <v>#REF!</v>
      </c>
      <c r="BV1256" s="4" t="s">
        <v>1463</v>
      </c>
    </row>
    <row r="1257" spans="1:74" ht="14.4" x14ac:dyDescent="0.3">
      <c r="A1257" s="28"/>
      <c r="D1257" s="29" t="s">
        <v>1464</v>
      </c>
      <c r="E1257" s="29" t="s">
        <v>52</v>
      </c>
      <c r="G1257" s="30">
        <v>27.54</v>
      </c>
      <c r="H1257" s="63"/>
      <c r="N1257" s="31"/>
    </row>
    <row r="1258" spans="1:74" ht="14.4" x14ac:dyDescent="0.3">
      <c r="A1258" s="28"/>
      <c r="D1258" s="29" t="s">
        <v>1465</v>
      </c>
      <c r="E1258" s="29" t="s">
        <v>52</v>
      </c>
      <c r="G1258" s="30">
        <v>4.1310000000000002</v>
      </c>
      <c r="H1258" s="63"/>
      <c r="N1258" s="31"/>
    </row>
    <row r="1259" spans="1:74" ht="14.4" x14ac:dyDescent="0.3">
      <c r="A1259" s="2" t="s">
        <v>1466</v>
      </c>
      <c r="B1259" s="3" t="s">
        <v>1101</v>
      </c>
      <c r="C1259" s="3" t="s">
        <v>1467</v>
      </c>
      <c r="D1259" s="112" t="s">
        <v>1468</v>
      </c>
      <c r="E1259" s="109"/>
      <c r="F1259" s="3" t="s">
        <v>60</v>
      </c>
      <c r="G1259" s="25">
        <v>8.6039999999999992</v>
      </c>
      <c r="H1259" s="62"/>
      <c r="I1259" s="25">
        <f>ROUND(G1259*AM1259,2)</f>
        <v>0</v>
      </c>
      <c r="J1259" s="25">
        <f>ROUND(G1259*AN1259,2)</f>
        <v>0</v>
      </c>
      <c r="K1259" s="25">
        <f>ROUND(G1259*H1259,2)</f>
        <v>0</v>
      </c>
      <c r="L1259" s="25">
        <v>7.3600000000000002E-3</v>
      </c>
      <c r="M1259" s="25">
        <f>G1259*L1259</f>
        <v>6.3325439999999997E-2</v>
      </c>
      <c r="N1259" s="26"/>
      <c r="X1259" s="25">
        <f>ROUND(IF(AO1259="5",BH1259,0),2)</f>
        <v>0</v>
      </c>
      <c r="Z1259" s="25">
        <f>ROUND(IF(AO1259="1",BF1259,0),2)</f>
        <v>0</v>
      </c>
      <c r="AA1259" s="25">
        <f>ROUND(IF(AO1259="1",BG1259,0),2)</f>
        <v>0</v>
      </c>
      <c r="AB1259" s="25">
        <f>ROUND(IF(AO1259="7",BF1259,0),2)</f>
        <v>0</v>
      </c>
      <c r="AC1259" s="25">
        <f>ROUND(IF(AO1259="7",BG1259,0),2)</f>
        <v>0</v>
      </c>
      <c r="AD1259" s="25">
        <f>ROUND(IF(AO1259="2",BF1259,0),2)</f>
        <v>0</v>
      </c>
      <c r="AE1259" s="25">
        <f>ROUND(IF(AO1259="2",BG1259,0),2)</f>
        <v>0</v>
      </c>
      <c r="AF1259" s="25">
        <f>ROUND(IF(AO1259="0",BH1259,0),2)</f>
        <v>0</v>
      </c>
      <c r="AG1259" s="10" t="s">
        <v>1101</v>
      </c>
      <c r="AH1259" s="25">
        <f>IF(AL1259=0,K1259,0)</f>
        <v>0</v>
      </c>
      <c r="AI1259" s="25">
        <f>IF(AL1259=12,K1259,0)</f>
        <v>0</v>
      </c>
      <c r="AJ1259" s="25">
        <f>IF(AL1259=21,K1259,0)</f>
        <v>0</v>
      </c>
      <c r="AL1259" s="25">
        <v>21</v>
      </c>
      <c r="AM1259" s="25">
        <f>H1259*1</f>
        <v>0</v>
      </c>
      <c r="AN1259" s="25">
        <f>H1259*(1-1)</f>
        <v>0</v>
      </c>
      <c r="AO1259" s="27" t="s">
        <v>61</v>
      </c>
      <c r="AT1259" s="25">
        <f>ROUND(AU1259+AV1259,2)</f>
        <v>0</v>
      </c>
      <c r="AU1259" s="25">
        <f>ROUND(G1259*AM1259,2)</f>
        <v>0</v>
      </c>
      <c r="AV1259" s="25">
        <f>ROUND(G1259*AN1259,2)</f>
        <v>0</v>
      </c>
      <c r="AW1259" s="27" t="s">
        <v>1459</v>
      </c>
      <c r="AX1259" s="27" t="s">
        <v>1449</v>
      </c>
      <c r="AY1259" s="10" t="s">
        <v>1105</v>
      </c>
      <c r="BA1259" s="25">
        <f>AU1259+AV1259</f>
        <v>0</v>
      </c>
      <c r="BB1259" s="25">
        <f>H1259/(100-BC1259)*100</f>
        <v>0</v>
      </c>
      <c r="BC1259" s="25">
        <v>0</v>
      </c>
      <c r="BD1259" s="25">
        <f>M1259</f>
        <v>6.3325439999999997E-2</v>
      </c>
      <c r="BF1259" s="25">
        <f>G1259*AM1259</f>
        <v>0</v>
      </c>
      <c r="BG1259" s="25">
        <f>G1259*AN1259</f>
        <v>0</v>
      </c>
      <c r="BH1259" s="25">
        <f>G1259*H1259</f>
        <v>0</v>
      </c>
      <c r="BI1259" s="27" t="s">
        <v>576</v>
      </c>
      <c r="BJ1259" s="25">
        <v>762</v>
      </c>
      <c r="BU1259" s="25" t="e">
        <f>#REF!</f>
        <v>#REF!</v>
      </c>
      <c r="BV1259" s="4" t="s">
        <v>1468</v>
      </c>
    </row>
    <row r="1260" spans="1:74" ht="14.4" x14ac:dyDescent="0.3">
      <c r="A1260" s="28"/>
      <c r="D1260" s="29" t="s">
        <v>1469</v>
      </c>
      <c r="E1260" s="29" t="s">
        <v>52</v>
      </c>
      <c r="G1260" s="30">
        <v>8.6039999999999992</v>
      </c>
      <c r="H1260" s="63"/>
      <c r="N1260" s="31"/>
    </row>
    <row r="1261" spans="1:74" ht="14.4" x14ac:dyDescent="0.3">
      <c r="A1261" s="2" t="s">
        <v>1470</v>
      </c>
      <c r="B1261" s="3" t="s">
        <v>1101</v>
      </c>
      <c r="C1261" s="3" t="s">
        <v>1471</v>
      </c>
      <c r="D1261" s="112" t="s">
        <v>1472</v>
      </c>
      <c r="E1261" s="109"/>
      <c r="F1261" s="3" t="s">
        <v>278</v>
      </c>
      <c r="G1261" s="25">
        <v>0.10659</v>
      </c>
      <c r="H1261" s="62"/>
      <c r="I1261" s="25">
        <f>ROUND(G1261*AM1261,2)</f>
        <v>0</v>
      </c>
      <c r="J1261" s="25">
        <f>ROUND(G1261*AN1261,2)</f>
        <v>0</v>
      </c>
      <c r="K1261" s="25">
        <f>ROUND(G1261*H1261,2)</f>
        <v>0</v>
      </c>
      <c r="L1261" s="25">
        <v>0</v>
      </c>
      <c r="M1261" s="25">
        <f>G1261*L1261</f>
        <v>0</v>
      </c>
      <c r="N1261" s="26"/>
      <c r="X1261" s="25">
        <f>ROUND(IF(AO1261="5",BH1261,0),2)</f>
        <v>0</v>
      </c>
      <c r="Z1261" s="25">
        <f>ROUND(IF(AO1261="1",BF1261,0),2)</f>
        <v>0</v>
      </c>
      <c r="AA1261" s="25">
        <f>ROUND(IF(AO1261="1",BG1261,0),2)</f>
        <v>0</v>
      </c>
      <c r="AB1261" s="25">
        <f>ROUND(IF(AO1261="7",BF1261,0),2)</f>
        <v>0</v>
      </c>
      <c r="AC1261" s="25">
        <f>ROUND(IF(AO1261="7",BG1261,0),2)</f>
        <v>0</v>
      </c>
      <c r="AD1261" s="25">
        <f>ROUND(IF(AO1261="2",BF1261,0),2)</f>
        <v>0</v>
      </c>
      <c r="AE1261" s="25">
        <f>ROUND(IF(AO1261="2",BG1261,0),2)</f>
        <v>0</v>
      </c>
      <c r="AF1261" s="25">
        <f>ROUND(IF(AO1261="0",BH1261,0),2)</f>
        <v>0</v>
      </c>
      <c r="AG1261" s="10" t="s">
        <v>1101</v>
      </c>
      <c r="AH1261" s="25">
        <f>IF(AL1261=0,K1261,0)</f>
        <v>0</v>
      </c>
      <c r="AI1261" s="25">
        <f>IF(AL1261=12,K1261,0)</f>
        <v>0</v>
      </c>
      <c r="AJ1261" s="25">
        <f>IF(AL1261=21,K1261,0)</f>
        <v>0</v>
      </c>
      <c r="AL1261" s="25">
        <v>21</v>
      </c>
      <c r="AM1261" s="25">
        <f>H1261*0</f>
        <v>0</v>
      </c>
      <c r="AN1261" s="25">
        <f>H1261*(1-0)</f>
        <v>0</v>
      </c>
      <c r="AO1261" s="27" t="s">
        <v>97</v>
      </c>
      <c r="AT1261" s="25">
        <f>ROUND(AU1261+AV1261,2)</f>
        <v>0</v>
      </c>
      <c r="AU1261" s="25">
        <f>ROUND(G1261*AM1261,2)</f>
        <v>0</v>
      </c>
      <c r="AV1261" s="25">
        <f>ROUND(G1261*AN1261,2)</f>
        <v>0</v>
      </c>
      <c r="AW1261" s="27" t="s">
        <v>1459</v>
      </c>
      <c r="AX1261" s="27" t="s">
        <v>1449</v>
      </c>
      <c r="AY1261" s="10" t="s">
        <v>1105</v>
      </c>
      <c r="BA1261" s="25">
        <f>AU1261+AV1261</f>
        <v>0</v>
      </c>
      <c r="BB1261" s="25">
        <f>H1261/(100-BC1261)*100</f>
        <v>0</v>
      </c>
      <c r="BC1261" s="25">
        <v>0</v>
      </c>
      <c r="BD1261" s="25">
        <f>M1261</f>
        <v>0</v>
      </c>
      <c r="BF1261" s="25">
        <f>G1261*AM1261</f>
        <v>0</v>
      </c>
      <c r="BG1261" s="25">
        <f>G1261*AN1261</f>
        <v>0</v>
      </c>
      <c r="BH1261" s="25">
        <f>G1261*H1261</f>
        <v>0</v>
      </c>
      <c r="BI1261" s="27" t="s">
        <v>65</v>
      </c>
      <c r="BJ1261" s="25">
        <v>762</v>
      </c>
      <c r="BU1261" s="25" t="e">
        <f>#REF!</f>
        <v>#REF!</v>
      </c>
      <c r="BV1261" s="4" t="s">
        <v>1472</v>
      </c>
    </row>
    <row r="1262" spans="1:74" ht="14.4" x14ac:dyDescent="0.3">
      <c r="A1262" s="21" t="s">
        <v>52</v>
      </c>
      <c r="B1262" s="22" t="s">
        <v>1101</v>
      </c>
      <c r="C1262" s="22" t="s">
        <v>324</v>
      </c>
      <c r="D1262" s="170" t="s">
        <v>325</v>
      </c>
      <c r="E1262" s="171"/>
      <c r="F1262" s="23" t="s">
        <v>32</v>
      </c>
      <c r="G1262" s="23" t="s">
        <v>32</v>
      </c>
      <c r="H1262" s="64"/>
      <c r="I1262" s="1">
        <f>SUM(I1263:I1296)</f>
        <v>0</v>
      </c>
      <c r="J1262" s="1">
        <f>SUM(J1263:J1296)</f>
        <v>0</v>
      </c>
      <c r="K1262" s="1">
        <f>SUM(K1263:K1296)</f>
        <v>0</v>
      </c>
      <c r="L1262" s="10" t="s">
        <v>52</v>
      </c>
      <c r="M1262" s="1">
        <f>SUM(M1263:M1296)</f>
        <v>0.47257400000000011</v>
      </c>
      <c r="N1262" s="24"/>
      <c r="AG1262" s="10" t="s">
        <v>1101</v>
      </c>
      <c r="AQ1262" s="1">
        <f>SUM(AH1263:AH1296)</f>
        <v>0</v>
      </c>
      <c r="AR1262" s="1">
        <f>SUM(AI1263:AI1296)</f>
        <v>0</v>
      </c>
      <c r="AS1262" s="1">
        <f>SUM(AJ1263:AJ1296)</f>
        <v>0</v>
      </c>
    </row>
    <row r="1263" spans="1:74" ht="14.4" x14ac:dyDescent="0.3">
      <c r="A1263" s="2" t="s">
        <v>1473</v>
      </c>
      <c r="B1263" s="3" t="s">
        <v>1101</v>
      </c>
      <c r="C1263" s="3" t="s">
        <v>1474</v>
      </c>
      <c r="D1263" s="112" t="s">
        <v>1475</v>
      </c>
      <c r="E1263" s="109"/>
      <c r="F1263" s="3" t="s">
        <v>122</v>
      </c>
      <c r="G1263" s="25">
        <v>3</v>
      </c>
      <c r="H1263" s="62"/>
      <c r="I1263" s="25">
        <f>ROUND(G1263*AM1263,2)</f>
        <v>0</v>
      </c>
      <c r="J1263" s="25">
        <f>ROUND(G1263*AN1263,2)</f>
        <v>0</v>
      </c>
      <c r="K1263" s="25">
        <f>ROUND(G1263*H1263,2)</f>
        <v>0</v>
      </c>
      <c r="L1263" s="25">
        <v>1.9000000000000001E-4</v>
      </c>
      <c r="M1263" s="25">
        <f>G1263*L1263</f>
        <v>5.6999999999999998E-4</v>
      </c>
      <c r="N1263" s="26"/>
      <c r="X1263" s="25">
        <f>ROUND(IF(AO1263="5",BH1263,0),2)</f>
        <v>0</v>
      </c>
      <c r="Z1263" s="25">
        <f>ROUND(IF(AO1263="1",BF1263,0),2)</f>
        <v>0</v>
      </c>
      <c r="AA1263" s="25">
        <f>ROUND(IF(AO1263="1",BG1263,0),2)</f>
        <v>0</v>
      </c>
      <c r="AB1263" s="25">
        <f>ROUND(IF(AO1263="7",BF1263,0),2)</f>
        <v>0</v>
      </c>
      <c r="AC1263" s="25">
        <f>ROUND(IF(AO1263="7",BG1263,0),2)</f>
        <v>0</v>
      </c>
      <c r="AD1263" s="25">
        <f>ROUND(IF(AO1263="2",BF1263,0),2)</f>
        <v>0</v>
      </c>
      <c r="AE1263" s="25">
        <f>ROUND(IF(AO1263="2",BG1263,0),2)</f>
        <v>0</v>
      </c>
      <c r="AF1263" s="25">
        <f>ROUND(IF(AO1263="0",BH1263,0),2)</f>
        <v>0</v>
      </c>
      <c r="AG1263" s="10" t="s">
        <v>1101</v>
      </c>
      <c r="AH1263" s="25">
        <f>IF(AL1263=0,K1263,0)</f>
        <v>0</v>
      </c>
      <c r="AI1263" s="25">
        <f>IF(AL1263=12,K1263,0)</f>
        <v>0</v>
      </c>
      <c r="AJ1263" s="25">
        <f>IF(AL1263=21,K1263,0)</f>
        <v>0</v>
      </c>
      <c r="AL1263" s="25">
        <v>21</v>
      </c>
      <c r="AM1263" s="25">
        <f>H1263*0.005837669</f>
        <v>0</v>
      </c>
      <c r="AN1263" s="25">
        <f>H1263*(1-0.005837669)</f>
        <v>0</v>
      </c>
      <c r="AO1263" s="27" t="s">
        <v>61</v>
      </c>
      <c r="AT1263" s="25">
        <f>ROUND(AU1263+AV1263,2)</f>
        <v>0</v>
      </c>
      <c r="AU1263" s="25">
        <f>ROUND(G1263*AM1263,2)</f>
        <v>0</v>
      </c>
      <c r="AV1263" s="25">
        <f>ROUND(G1263*AN1263,2)</f>
        <v>0</v>
      </c>
      <c r="AW1263" s="27" t="s">
        <v>329</v>
      </c>
      <c r="AX1263" s="27" t="s">
        <v>1449</v>
      </c>
      <c r="AY1263" s="10" t="s">
        <v>1105</v>
      </c>
      <c r="BA1263" s="25">
        <f>AU1263+AV1263</f>
        <v>0</v>
      </c>
      <c r="BB1263" s="25">
        <f>H1263/(100-BC1263)*100</f>
        <v>0</v>
      </c>
      <c r="BC1263" s="25">
        <v>0</v>
      </c>
      <c r="BD1263" s="25">
        <f>M1263</f>
        <v>5.6999999999999998E-4</v>
      </c>
      <c r="BF1263" s="25">
        <f>G1263*AM1263</f>
        <v>0</v>
      </c>
      <c r="BG1263" s="25">
        <f>G1263*AN1263</f>
        <v>0</v>
      </c>
      <c r="BH1263" s="25">
        <f>G1263*H1263</f>
        <v>0</v>
      </c>
      <c r="BI1263" s="27" t="s">
        <v>65</v>
      </c>
      <c r="BJ1263" s="25">
        <v>766</v>
      </c>
      <c r="BU1263" s="25" t="e">
        <f>#REF!</f>
        <v>#REF!</v>
      </c>
      <c r="BV1263" s="4" t="s">
        <v>1475</v>
      </c>
    </row>
    <row r="1264" spans="1:74" ht="14.4" x14ac:dyDescent="0.3">
      <c r="A1264" s="28"/>
      <c r="D1264" s="29" t="s">
        <v>87</v>
      </c>
      <c r="E1264" s="29" t="s">
        <v>52</v>
      </c>
      <c r="G1264" s="30">
        <v>3</v>
      </c>
      <c r="H1264" s="63"/>
      <c r="N1264" s="31"/>
    </row>
    <row r="1265" spans="1:74" ht="26.4" x14ac:dyDescent="0.3">
      <c r="A1265" s="2" t="s">
        <v>1476</v>
      </c>
      <c r="B1265" s="3" t="s">
        <v>1101</v>
      </c>
      <c r="C1265" s="3" t="s">
        <v>1477</v>
      </c>
      <c r="D1265" s="112" t="s">
        <v>1478</v>
      </c>
      <c r="E1265" s="109"/>
      <c r="F1265" s="3" t="s">
        <v>122</v>
      </c>
      <c r="G1265" s="25">
        <v>1</v>
      </c>
      <c r="H1265" s="62"/>
      <c r="I1265" s="25">
        <f>ROUND(G1265*AM1265,2)</f>
        <v>0</v>
      </c>
      <c r="J1265" s="25">
        <f>ROUND(G1265*AN1265,2)</f>
        <v>0</v>
      </c>
      <c r="K1265" s="25">
        <f>ROUND(G1265*H1265,2)</f>
        <v>0</v>
      </c>
      <c r="L1265" s="25">
        <v>0.183</v>
      </c>
      <c r="M1265" s="25">
        <f>G1265*L1265</f>
        <v>0.183</v>
      </c>
      <c r="N1265" s="102"/>
      <c r="X1265" s="25">
        <f>ROUND(IF(AO1265="5",BH1265,0),2)</f>
        <v>0</v>
      </c>
      <c r="Z1265" s="25">
        <f>ROUND(IF(AO1265="1",BF1265,0),2)</f>
        <v>0</v>
      </c>
      <c r="AA1265" s="25">
        <f>ROUND(IF(AO1265="1",BG1265,0),2)</f>
        <v>0</v>
      </c>
      <c r="AB1265" s="25">
        <f>ROUND(IF(AO1265="7",BF1265,0),2)</f>
        <v>0</v>
      </c>
      <c r="AC1265" s="25">
        <f>ROUND(IF(AO1265="7",BG1265,0),2)</f>
        <v>0</v>
      </c>
      <c r="AD1265" s="25">
        <f>ROUND(IF(AO1265="2",BF1265,0),2)</f>
        <v>0</v>
      </c>
      <c r="AE1265" s="25">
        <f>ROUND(IF(AO1265="2",BG1265,0),2)</f>
        <v>0</v>
      </c>
      <c r="AF1265" s="25">
        <f>ROUND(IF(AO1265="0",BH1265,0),2)</f>
        <v>0</v>
      </c>
      <c r="AG1265" s="10" t="s">
        <v>1101</v>
      </c>
      <c r="AH1265" s="25">
        <f>IF(AL1265=0,K1265,0)</f>
        <v>0</v>
      </c>
      <c r="AI1265" s="25">
        <f>IF(AL1265=12,K1265,0)</f>
        <v>0</v>
      </c>
      <c r="AJ1265" s="25">
        <f>IF(AL1265=21,K1265,0)</f>
        <v>0</v>
      </c>
      <c r="AL1265" s="25">
        <v>21</v>
      </c>
      <c r="AM1265" s="25">
        <f>H1265*1</f>
        <v>0</v>
      </c>
      <c r="AN1265" s="25">
        <f>H1265*(1-1)</f>
        <v>0</v>
      </c>
      <c r="AO1265" s="27" t="s">
        <v>61</v>
      </c>
      <c r="AT1265" s="25">
        <f>ROUND(AU1265+AV1265,2)</f>
        <v>0</v>
      </c>
      <c r="AU1265" s="25">
        <f>ROUND(G1265*AM1265,2)</f>
        <v>0</v>
      </c>
      <c r="AV1265" s="25">
        <f>ROUND(G1265*AN1265,2)</f>
        <v>0</v>
      </c>
      <c r="AW1265" s="27" t="s">
        <v>329</v>
      </c>
      <c r="AX1265" s="27" t="s">
        <v>1449</v>
      </c>
      <c r="AY1265" s="10" t="s">
        <v>1105</v>
      </c>
      <c r="BA1265" s="25">
        <f>AU1265+AV1265</f>
        <v>0</v>
      </c>
      <c r="BB1265" s="25">
        <f>H1265/(100-BC1265)*100</f>
        <v>0</v>
      </c>
      <c r="BC1265" s="25">
        <v>0</v>
      </c>
      <c r="BD1265" s="25">
        <f>M1265</f>
        <v>0.183</v>
      </c>
      <c r="BF1265" s="25">
        <f>G1265*AM1265</f>
        <v>0</v>
      </c>
      <c r="BG1265" s="25">
        <f>G1265*AN1265</f>
        <v>0</v>
      </c>
      <c r="BH1265" s="25">
        <f>G1265*H1265</f>
        <v>0</v>
      </c>
      <c r="BI1265" s="27" t="s">
        <v>576</v>
      </c>
      <c r="BJ1265" s="25">
        <v>766</v>
      </c>
      <c r="BU1265" s="25" t="e">
        <f>#REF!</f>
        <v>#REF!</v>
      </c>
      <c r="BV1265" s="4" t="s">
        <v>1478</v>
      </c>
    </row>
    <row r="1266" spans="1:74" ht="14.4" x14ac:dyDescent="0.3">
      <c r="A1266" s="28"/>
      <c r="D1266" s="29" t="s">
        <v>57</v>
      </c>
      <c r="E1266" s="29" t="s">
        <v>52</v>
      </c>
      <c r="G1266" s="30">
        <v>1</v>
      </c>
      <c r="H1266" s="63"/>
      <c r="N1266" s="31"/>
    </row>
    <row r="1267" spans="1:74" ht="14.4" x14ac:dyDescent="0.3">
      <c r="A1267" s="2" t="s">
        <v>1479</v>
      </c>
      <c r="B1267" s="3" t="s">
        <v>1101</v>
      </c>
      <c r="C1267" s="3" t="s">
        <v>1480</v>
      </c>
      <c r="D1267" s="112" t="s">
        <v>1481</v>
      </c>
      <c r="E1267" s="109"/>
      <c r="F1267" s="3" t="s">
        <v>122</v>
      </c>
      <c r="G1267" s="25">
        <v>1</v>
      </c>
      <c r="H1267" s="62"/>
      <c r="I1267" s="25">
        <f>ROUND(G1267*AM1267,2)</f>
        <v>0</v>
      </c>
      <c r="J1267" s="25">
        <f>ROUND(G1267*AN1267,2)</f>
        <v>0</v>
      </c>
      <c r="K1267" s="25">
        <f>ROUND(G1267*H1267,2)</f>
        <v>0</v>
      </c>
      <c r="L1267" s="25">
        <v>2.5000000000000001E-2</v>
      </c>
      <c r="M1267" s="25">
        <f>G1267*L1267</f>
        <v>2.5000000000000001E-2</v>
      </c>
      <c r="N1267" s="102"/>
      <c r="X1267" s="25">
        <f>ROUND(IF(AO1267="5",BH1267,0),2)</f>
        <v>0</v>
      </c>
      <c r="Z1267" s="25">
        <f>ROUND(IF(AO1267="1",BF1267,0),2)</f>
        <v>0</v>
      </c>
      <c r="AA1267" s="25">
        <f>ROUND(IF(AO1267="1",BG1267,0),2)</f>
        <v>0</v>
      </c>
      <c r="AB1267" s="25">
        <f>ROUND(IF(AO1267="7",BF1267,0),2)</f>
        <v>0</v>
      </c>
      <c r="AC1267" s="25">
        <f>ROUND(IF(AO1267="7",BG1267,0),2)</f>
        <v>0</v>
      </c>
      <c r="AD1267" s="25">
        <f>ROUND(IF(AO1267="2",BF1267,0),2)</f>
        <v>0</v>
      </c>
      <c r="AE1267" s="25">
        <f>ROUND(IF(AO1267="2",BG1267,0),2)</f>
        <v>0</v>
      </c>
      <c r="AF1267" s="25">
        <f>ROUND(IF(AO1267="0",BH1267,0),2)</f>
        <v>0</v>
      </c>
      <c r="AG1267" s="10" t="s">
        <v>1101</v>
      </c>
      <c r="AH1267" s="25">
        <f>IF(AL1267=0,K1267,0)</f>
        <v>0</v>
      </c>
      <c r="AI1267" s="25">
        <f>IF(AL1267=12,K1267,0)</f>
        <v>0</v>
      </c>
      <c r="AJ1267" s="25">
        <f>IF(AL1267=21,K1267,0)</f>
        <v>0</v>
      </c>
      <c r="AL1267" s="25">
        <v>21</v>
      </c>
      <c r="AM1267" s="25">
        <f>H1267*1</f>
        <v>0</v>
      </c>
      <c r="AN1267" s="25">
        <f>H1267*(1-1)</f>
        <v>0</v>
      </c>
      <c r="AO1267" s="27" t="s">
        <v>61</v>
      </c>
      <c r="AT1267" s="25">
        <f>ROUND(AU1267+AV1267,2)</f>
        <v>0</v>
      </c>
      <c r="AU1267" s="25">
        <f>ROUND(G1267*AM1267,2)</f>
        <v>0</v>
      </c>
      <c r="AV1267" s="25">
        <f>ROUND(G1267*AN1267,2)</f>
        <v>0</v>
      </c>
      <c r="AW1267" s="27" t="s">
        <v>329</v>
      </c>
      <c r="AX1267" s="27" t="s">
        <v>1449</v>
      </c>
      <c r="AY1267" s="10" t="s">
        <v>1105</v>
      </c>
      <c r="BA1267" s="25">
        <f>AU1267+AV1267</f>
        <v>0</v>
      </c>
      <c r="BB1267" s="25">
        <f>H1267/(100-BC1267)*100</f>
        <v>0</v>
      </c>
      <c r="BC1267" s="25">
        <v>0</v>
      </c>
      <c r="BD1267" s="25">
        <f>M1267</f>
        <v>2.5000000000000001E-2</v>
      </c>
      <c r="BF1267" s="25">
        <f>G1267*AM1267</f>
        <v>0</v>
      </c>
      <c r="BG1267" s="25">
        <f>G1267*AN1267</f>
        <v>0</v>
      </c>
      <c r="BH1267" s="25">
        <f>G1267*H1267</f>
        <v>0</v>
      </c>
      <c r="BI1267" s="27" t="s">
        <v>576</v>
      </c>
      <c r="BJ1267" s="25">
        <v>766</v>
      </c>
      <c r="BU1267" s="25" t="e">
        <f>#REF!</f>
        <v>#REF!</v>
      </c>
      <c r="BV1267" s="4" t="s">
        <v>1481</v>
      </c>
    </row>
    <row r="1268" spans="1:74" ht="14.4" x14ac:dyDescent="0.3">
      <c r="A1268" s="28"/>
      <c r="D1268" s="29" t="s">
        <v>57</v>
      </c>
      <c r="E1268" s="29" t="s">
        <v>52</v>
      </c>
      <c r="G1268" s="30">
        <v>1</v>
      </c>
      <c r="H1268" s="63"/>
      <c r="N1268" s="31"/>
    </row>
    <row r="1269" spans="1:74" ht="14.4" x14ac:dyDescent="0.3">
      <c r="A1269" s="2" t="s">
        <v>1482</v>
      </c>
      <c r="B1269" s="3" t="s">
        <v>1101</v>
      </c>
      <c r="C1269" s="3" t="s">
        <v>1483</v>
      </c>
      <c r="D1269" s="112" t="s">
        <v>1484</v>
      </c>
      <c r="E1269" s="109"/>
      <c r="F1269" s="3" t="s">
        <v>860</v>
      </c>
      <c r="G1269" s="25">
        <v>1</v>
      </c>
      <c r="H1269" s="62"/>
      <c r="I1269" s="25">
        <f>ROUND(G1269*AM1269,2)</f>
        <v>0</v>
      </c>
      <c r="J1269" s="25">
        <f>ROUND(G1269*AN1269,2)</f>
        <v>0</v>
      </c>
      <c r="K1269" s="25">
        <f>ROUND(G1269*H1269,2)</f>
        <v>0</v>
      </c>
      <c r="L1269" s="25">
        <v>1.8499999999999999E-2</v>
      </c>
      <c r="M1269" s="25">
        <f>G1269*L1269</f>
        <v>1.8499999999999999E-2</v>
      </c>
      <c r="N1269" s="102"/>
      <c r="X1269" s="25">
        <f>ROUND(IF(AO1269="5",BH1269,0),2)</f>
        <v>0</v>
      </c>
      <c r="Z1269" s="25">
        <f>ROUND(IF(AO1269="1",BF1269,0),2)</f>
        <v>0</v>
      </c>
      <c r="AA1269" s="25">
        <f>ROUND(IF(AO1269="1",BG1269,0),2)</f>
        <v>0</v>
      </c>
      <c r="AB1269" s="25">
        <f>ROUND(IF(AO1269="7",BF1269,0),2)</f>
        <v>0</v>
      </c>
      <c r="AC1269" s="25">
        <f>ROUND(IF(AO1269="7",BG1269,0),2)</f>
        <v>0</v>
      </c>
      <c r="AD1269" s="25">
        <f>ROUND(IF(AO1269="2",BF1269,0),2)</f>
        <v>0</v>
      </c>
      <c r="AE1269" s="25">
        <f>ROUND(IF(AO1269="2",BG1269,0),2)</f>
        <v>0</v>
      </c>
      <c r="AF1269" s="25">
        <f>ROUND(IF(AO1269="0",BH1269,0),2)</f>
        <v>0</v>
      </c>
      <c r="AG1269" s="10" t="s">
        <v>1101</v>
      </c>
      <c r="AH1269" s="25">
        <f>IF(AL1269=0,K1269,0)</f>
        <v>0</v>
      </c>
      <c r="AI1269" s="25">
        <f>IF(AL1269=12,K1269,0)</f>
        <v>0</v>
      </c>
      <c r="AJ1269" s="25">
        <f>IF(AL1269=21,K1269,0)</f>
        <v>0</v>
      </c>
      <c r="AL1269" s="25">
        <v>21</v>
      </c>
      <c r="AM1269" s="25">
        <f>H1269*1</f>
        <v>0</v>
      </c>
      <c r="AN1269" s="25">
        <f>H1269*(1-1)</f>
        <v>0</v>
      </c>
      <c r="AO1269" s="27" t="s">
        <v>61</v>
      </c>
      <c r="AT1269" s="25">
        <f>ROUND(AU1269+AV1269,2)</f>
        <v>0</v>
      </c>
      <c r="AU1269" s="25">
        <f>ROUND(G1269*AM1269,2)</f>
        <v>0</v>
      </c>
      <c r="AV1269" s="25">
        <f>ROUND(G1269*AN1269,2)</f>
        <v>0</v>
      </c>
      <c r="AW1269" s="27" t="s">
        <v>329</v>
      </c>
      <c r="AX1269" s="27" t="s">
        <v>1449</v>
      </c>
      <c r="AY1269" s="10" t="s">
        <v>1105</v>
      </c>
      <c r="BA1269" s="25">
        <f>AU1269+AV1269</f>
        <v>0</v>
      </c>
      <c r="BB1269" s="25">
        <f>H1269/(100-BC1269)*100</f>
        <v>0</v>
      </c>
      <c r="BC1269" s="25">
        <v>0</v>
      </c>
      <c r="BD1269" s="25">
        <f>M1269</f>
        <v>1.8499999999999999E-2</v>
      </c>
      <c r="BF1269" s="25">
        <f>G1269*AM1269</f>
        <v>0</v>
      </c>
      <c r="BG1269" s="25">
        <f>G1269*AN1269</f>
        <v>0</v>
      </c>
      <c r="BH1269" s="25">
        <f>G1269*H1269</f>
        <v>0</v>
      </c>
      <c r="BI1269" s="27" t="s">
        <v>576</v>
      </c>
      <c r="BJ1269" s="25">
        <v>766</v>
      </c>
      <c r="BU1269" s="25" t="e">
        <f>#REF!</f>
        <v>#REF!</v>
      </c>
      <c r="BV1269" s="4" t="s">
        <v>1484</v>
      </c>
    </row>
    <row r="1270" spans="1:74" ht="14.4" x14ac:dyDescent="0.3">
      <c r="A1270" s="28"/>
      <c r="D1270" s="29" t="s">
        <v>57</v>
      </c>
      <c r="E1270" s="29" t="s">
        <v>52</v>
      </c>
      <c r="G1270" s="30">
        <v>1</v>
      </c>
      <c r="H1270" s="63"/>
      <c r="N1270" s="31"/>
    </row>
    <row r="1271" spans="1:74" ht="14.4" x14ac:dyDescent="0.3">
      <c r="A1271" s="2" t="s">
        <v>1485</v>
      </c>
      <c r="B1271" s="3" t="s">
        <v>1101</v>
      </c>
      <c r="C1271" s="3" t="s">
        <v>899</v>
      </c>
      <c r="D1271" s="112" t="s">
        <v>900</v>
      </c>
      <c r="E1271" s="109"/>
      <c r="F1271" s="3" t="s">
        <v>122</v>
      </c>
      <c r="G1271" s="25">
        <v>3</v>
      </c>
      <c r="H1271" s="62"/>
      <c r="I1271" s="25">
        <f>ROUND(G1271*AM1271,2)</f>
        <v>0</v>
      </c>
      <c r="J1271" s="25">
        <f>ROUND(G1271*AN1271,2)</f>
        <v>0</v>
      </c>
      <c r="K1271" s="25">
        <f>ROUND(G1271*H1271,2)</f>
        <v>0</v>
      </c>
      <c r="L1271" s="25">
        <v>0</v>
      </c>
      <c r="M1271" s="25">
        <f>G1271*L1271</f>
        <v>0</v>
      </c>
      <c r="N1271" s="26"/>
      <c r="X1271" s="25">
        <f>ROUND(IF(AO1271="5",BH1271,0),2)</f>
        <v>0</v>
      </c>
      <c r="Z1271" s="25">
        <f>ROUND(IF(AO1271="1",BF1271,0),2)</f>
        <v>0</v>
      </c>
      <c r="AA1271" s="25">
        <f>ROUND(IF(AO1271="1",BG1271,0),2)</f>
        <v>0</v>
      </c>
      <c r="AB1271" s="25">
        <f>ROUND(IF(AO1271="7",BF1271,0),2)</f>
        <v>0</v>
      </c>
      <c r="AC1271" s="25">
        <f>ROUND(IF(AO1271="7",BG1271,0),2)</f>
        <v>0</v>
      </c>
      <c r="AD1271" s="25">
        <f>ROUND(IF(AO1271="2",BF1271,0),2)</f>
        <v>0</v>
      </c>
      <c r="AE1271" s="25">
        <f>ROUND(IF(AO1271="2",BG1271,0),2)</f>
        <v>0</v>
      </c>
      <c r="AF1271" s="25">
        <f>ROUND(IF(AO1271="0",BH1271,0),2)</f>
        <v>0</v>
      </c>
      <c r="AG1271" s="10" t="s">
        <v>1101</v>
      </c>
      <c r="AH1271" s="25">
        <f>IF(AL1271=0,K1271,0)</f>
        <v>0</v>
      </c>
      <c r="AI1271" s="25">
        <f>IF(AL1271=12,K1271,0)</f>
        <v>0</v>
      </c>
      <c r="AJ1271" s="25">
        <f>IF(AL1271=21,K1271,0)</f>
        <v>0</v>
      </c>
      <c r="AL1271" s="25">
        <v>21</v>
      </c>
      <c r="AM1271" s="25">
        <f>H1271*0</f>
        <v>0</v>
      </c>
      <c r="AN1271" s="25">
        <f>H1271*(1-0)</f>
        <v>0</v>
      </c>
      <c r="AO1271" s="27" t="s">
        <v>61</v>
      </c>
      <c r="AT1271" s="25">
        <f>ROUND(AU1271+AV1271,2)</f>
        <v>0</v>
      </c>
      <c r="AU1271" s="25">
        <f>ROUND(G1271*AM1271,2)</f>
        <v>0</v>
      </c>
      <c r="AV1271" s="25">
        <f>ROUND(G1271*AN1271,2)</f>
        <v>0</v>
      </c>
      <c r="AW1271" s="27" t="s">
        <v>329</v>
      </c>
      <c r="AX1271" s="27" t="s">
        <v>1449</v>
      </c>
      <c r="AY1271" s="10" t="s">
        <v>1105</v>
      </c>
      <c r="BA1271" s="25">
        <f>AU1271+AV1271</f>
        <v>0</v>
      </c>
      <c r="BB1271" s="25">
        <f>H1271/(100-BC1271)*100</f>
        <v>0</v>
      </c>
      <c r="BC1271" s="25">
        <v>0</v>
      </c>
      <c r="BD1271" s="25">
        <f>M1271</f>
        <v>0</v>
      </c>
      <c r="BF1271" s="25">
        <f>G1271*AM1271</f>
        <v>0</v>
      </c>
      <c r="BG1271" s="25">
        <f>G1271*AN1271</f>
        <v>0</v>
      </c>
      <c r="BH1271" s="25">
        <f>G1271*H1271</f>
        <v>0</v>
      </c>
      <c r="BI1271" s="27" t="s">
        <v>65</v>
      </c>
      <c r="BJ1271" s="25">
        <v>766</v>
      </c>
      <c r="BU1271" s="25" t="e">
        <f>#REF!</f>
        <v>#REF!</v>
      </c>
      <c r="BV1271" s="4" t="s">
        <v>900</v>
      </c>
    </row>
    <row r="1272" spans="1:74" ht="14.4" x14ac:dyDescent="0.3">
      <c r="A1272" s="28"/>
      <c r="D1272" s="29" t="s">
        <v>87</v>
      </c>
      <c r="E1272" s="29" t="s">
        <v>52</v>
      </c>
      <c r="G1272" s="30">
        <v>3</v>
      </c>
      <c r="H1272" s="63"/>
      <c r="N1272" s="31"/>
    </row>
    <row r="1273" spans="1:74" ht="26.4" x14ac:dyDescent="0.3">
      <c r="A1273" s="2" t="s">
        <v>1486</v>
      </c>
      <c r="B1273" s="3" t="s">
        <v>1101</v>
      </c>
      <c r="C1273" s="3" t="s">
        <v>911</v>
      </c>
      <c r="D1273" s="112" t="s">
        <v>912</v>
      </c>
      <c r="E1273" s="109"/>
      <c r="F1273" s="3" t="s">
        <v>122</v>
      </c>
      <c r="G1273" s="25">
        <v>1</v>
      </c>
      <c r="H1273" s="62"/>
      <c r="I1273" s="25">
        <f>ROUND(G1273*AM1273,2)</f>
        <v>0</v>
      </c>
      <c r="J1273" s="25">
        <f>ROUND(G1273*AN1273,2)</f>
        <v>0</v>
      </c>
      <c r="K1273" s="25">
        <f>ROUND(G1273*H1273,2)</f>
        <v>0</v>
      </c>
      <c r="L1273" s="25">
        <v>1.9E-2</v>
      </c>
      <c r="M1273" s="25">
        <f>G1273*L1273</f>
        <v>1.9E-2</v>
      </c>
      <c r="N1273" s="102"/>
      <c r="X1273" s="25">
        <f>ROUND(IF(AO1273="5",BH1273,0),2)</f>
        <v>0</v>
      </c>
      <c r="Z1273" s="25">
        <f>ROUND(IF(AO1273="1",BF1273,0),2)</f>
        <v>0</v>
      </c>
      <c r="AA1273" s="25">
        <f>ROUND(IF(AO1273="1",BG1273,0),2)</f>
        <v>0</v>
      </c>
      <c r="AB1273" s="25">
        <f>ROUND(IF(AO1273="7",BF1273,0),2)</f>
        <v>0</v>
      </c>
      <c r="AC1273" s="25">
        <f>ROUND(IF(AO1273="7",BG1273,0),2)</f>
        <v>0</v>
      </c>
      <c r="AD1273" s="25">
        <f>ROUND(IF(AO1273="2",BF1273,0),2)</f>
        <v>0</v>
      </c>
      <c r="AE1273" s="25">
        <f>ROUND(IF(AO1273="2",BG1273,0),2)</f>
        <v>0</v>
      </c>
      <c r="AF1273" s="25">
        <f>ROUND(IF(AO1273="0",BH1273,0),2)</f>
        <v>0</v>
      </c>
      <c r="AG1273" s="10" t="s">
        <v>1101</v>
      </c>
      <c r="AH1273" s="25">
        <f>IF(AL1273=0,K1273,0)</f>
        <v>0</v>
      </c>
      <c r="AI1273" s="25">
        <f>IF(AL1273=12,K1273,0)</f>
        <v>0</v>
      </c>
      <c r="AJ1273" s="25">
        <f>IF(AL1273=21,K1273,0)</f>
        <v>0</v>
      </c>
      <c r="AL1273" s="25">
        <v>21</v>
      </c>
      <c r="AM1273" s="25">
        <f>H1273*1</f>
        <v>0</v>
      </c>
      <c r="AN1273" s="25">
        <f>H1273*(1-1)</f>
        <v>0</v>
      </c>
      <c r="AO1273" s="27" t="s">
        <v>61</v>
      </c>
      <c r="AT1273" s="25">
        <f>ROUND(AU1273+AV1273,2)</f>
        <v>0</v>
      </c>
      <c r="AU1273" s="25">
        <f>ROUND(G1273*AM1273,2)</f>
        <v>0</v>
      </c>
      <c r="AV1273" s="25">
        <f>ROUND(G1273*AN1273,2)</f>
        <v>0</v>
      </c>
      <c r="AW1273" s="27" t="s">
        <v>329</v>
      </c>
      <c r="AX1273" s="27" t="s">
        <v>1449</v>
      </c>
      <c r="AY1273" s="10" t="s">
        <v>1105</v>
      </c>
      <c r="BA1273" s="25">
        <f>AU1273+AV1273</f>
        <v>0</v>
      </c>
      <c r="BB1273" s="25">
        <f>H1273/(100-BC1273)*100</f>
        <v>0</v>
      </c>
      <c r="BC1273" s="25">
        <v>0</v>
      </c>
      <c r="BD1273" s="25">
        <f>M1273</f>
        <v>1.9E-2</v>
      </c>
      <c r="BF1273" s="25">
        <f>G1273*AM1273</f>
        <v>0</v>
      </c>
      <c r="BG1273" s="25">
        <f>G1273*AN1273</f>
        <v>0</v>
      </c>
      <c r="BH1273" s="25">
        <f>G1273*H1273</f>
        <v>0</v>
      </c>
      <c r="BI1273" s="27" t="s">
        <v>576</v>
      </c>
      <c r="BJ1273" s="25">
        <v>766</v>
      </c>
      <c r="BU1273" s="25" t="e">
        <f>#REF!</f>
        <v>#REF!</v>
      </c>
      <c r="BV1273" s="4" t="s">
        <v>912</v>
      </c>
    </row>
    <row r="1274" spans="1:74" ht="14.4" x14ac:dyDescent="0.3">
      <c r="A1274" s="28"/>
      <c r="D1274" s="29" t="s">
        <v>57</v>
      </c>
      <c r="E1274" s="29" t="s">
        <v>52</v>
      </c>
      <c r="G1274" s="30">
        <v>1</v>
      </c>
      <c r="H1274" s="63"/>
      <c r="N1274" s="31"/>
    </row>
    <row r="1275" spans="1:74" ht="26.4" x14ac:dyDescent="0.3">
      <c r="A1275" s="2" t="s">
        <v>1487</v>
      </c>
      <c r="B1275" s="3" t="s">
        <v>1101</v>
      </c>
      <c r="C1275" s="3" t="s">
        <v>908</v>
      </c>
      <c r="D1275" s="112" t="s">
        <v>909</v>
      </c>
      <c r="E1275" s="109"/>
      <c r="F1275" s="3" t="s">
        <v>122</v>
      </c>
      <c r="G1275" s="25">
        <v>1</v>
      </c>
      <c r="H1275" s="62"/>
      <c r="I1275" s="25">
        <f>ROUND(G1275*AM1275,2)</f>
        <v>0</v>
      </c>
      <c r="J1275" s="25">
        <f>ROUND(G1275*AN1275,2)</f>
        <v>0</v>
      </c>
      <c r="K1275" s="25">
        <f>ROUND(G1275*H1275,2)</f>
        <v>0</v>
      </c>
      <c r="L1275" s="25">
        <v>1.9E-2</v>
      </c>
      <c r="M1275" s="25">
        <f>G1275*L1275</f>
        <v>1.9E-2</v>
      </c>
      <c r="N1275" s="102"/>
      <c r="X1275" s="25">
        <f>ROUND(IF(AO1275="5",BH1275,0),2)</f>
        <v>0</v>
      </c>
      <c r="Z1275" s="25">
        <f>ROUND(IF(AO1275="1",BF1275,0),2)</f>
        <v>0</v>
      </c>
      <c r="AA1275" s="25">
        <f>ROUND(IF(AO1275="1",BG1275,0),2)</f>
        <v>0</v>
      </c>
      <c r="AB1275" s="25">
        <f>ROUND(IF(AO1275="7",BF1275,0),2)</f>
        <v>0</v>
      </c>
      <c r="AC1275" s="25">
        <f>ROUND(IF(AO1275="7",BG1275,0),2)</f>
        <v>0</v>
      </c>
      <c r="AD1275" s="25">
        <f>ROUND(IF(AO1275="2",BF1275,0),2)</f>
        <v>0</v>
      </c>
      <c r="AE1275" s="25">
        <f>ROUND(IF(AO1275="2",BG1275,0),2)</f>
        <v>0</v>
      </c>
      <c r="AF1275" s="25">
        <f>ROUND(IF(AO1275="0",BH1275,0),2)</f>
        <v>0</v>
      </c>
      <c r="AG1275" s="10" t="s">
        <v>1101</v>
      </c>
      <c r="AH1275" s="25">
        <f>IF(AL1275=0,K1275,0)</f>
        <v>0</v>
      </c>
      <c r="AI1275" s="25">
        <f>IF(AL1275=12,K1275,0)</f>
        <v>0</v>
      </c>
      <c r="AJ1275" s="25">
        <f>IF(AL1275=21,K1275,0)</f>
        <v>0</v>
      </c>
      <c r="AL1275" s="25">
        <v>21</v>
      </c>
      <c r="AM1275" s="25">
        <f>H1275*1</f>
        <v>0</v>
      </c>
      <c r="AN1275" s="25">
        <f>H1275*(1-1)</f>
        <v>0</v>
      </c>
      <c r="AO1275" s="27" t="s">
        <v>61</v>
      </c>
      <c r="AT1275" s="25">
        <f>ROUND(AU1275+AV1275,2)</f>
        <v>0</v>
      </c>
      <c r="AU1275" s="25">
        <f>ROUND(G1275*AM1275,2)</f>
        <v>0</v>
      </c>
      <c r="AV1275" s="25">
        <f>ROUND(G1275*AN1275,2)</f>
        <v>0</v>
      </c>
      <c r="AW1275" s="27" t="s">
        <v>329</v>
      </c>
      <c r="AX1275" s="27" t="s">
        <v>1449</v>
      </c>
      <c r="AY1275" s="10" t="s">
        <v>1105</v>
      </c>
      <c r="BA1275" s="25">
        <f>AU1275+AV1275</f>
        <v>0</v>
      </c>
      <c r="BB1275" s="25">
        <f>H1275/(100-BC1275)*100</f>
        <v>0</v>
      </c>
      <c r="BC1275" s="25">
        <v>0</v>
      </c>
      <c r="BD1275" s="25">
        <f>M1275</f>
        <v>1.9E-2</v>
      </c>
      <c r="BF1275" s="25">
        <f>G1275*AM1275</f>
        <v>0</v>
      </c>
      <c r="BG1275" s="25">
        <f>G1275*AN1275</f>
        <v>0</v>
      </c>
      <c r="BH1275" s="25">
        <f>G1275*H1275</f>
        <v>0</v>
      </c>
      <c r="BI1275" s="27" t="s">
        <v>576</v>
      </c>
      <c r="BJ1275" s="25">
        <v>766</v>
      </c>
      <c r="BU1275" s="25" t="e">
        <f>#REF!</f>
        <v>#REF!</v>
      </c>
      <c r="BV1275" s="4" t="s">
        <v>909</v>
      </c>
    </row>
    <row r="1276" spans="1:74" ht="14.4" x14ac:dyDescent="0.3">
      <c r="A1276" s="28"/>
      <c r="D1276" s="29" t="s">
        <v>57</v>
      </c>
      <c r="E1276" s="29" t="s">
        <v>52</v>
      </c>
      <c r="G1276" s="30">
        <v>1</v>
      </c>
      <c r="H1276" s="63"/>
      <c r="N1276" s="31"/>
    </row>
    <row r="1277" spans="1:74" ht="26.4" x14ac:dyDescent="0.3">
      <c r="A1277" s="2" t="s">
        <v>1488</v>
      </c>
      <c r="B1277" s="3" t="s">
        <v>1101</v>
      </c>
      <c r="C1277" s="3" t="s">
        <v>908</v>
      </c>
      <c r="D1277" s="112" t="s">
        <v>1489</v>
      </c>
      <c r="E1277" s="109"/>
      <c r="F1277" s="3" t="s">
        <v>122</v>
      </c>
      <c r="G1277" s="25">
        <v>1</v>
      </c>
      <c r="H1277" s="62"/>
      <c r="I1277" s="25">
        <f>ROUND(G1277*AM1277,2)</f>
        <v>0</v>
      </c>
      <c r="J1277" s="25">
        <f>ROUND(G1277*AN1277,2)</f>
        <v>0</v>
      </c>
      <c r="K1277" s="25">
        <f>ROUND(G1277*H1277,2)</f>
        <v>0</v>
      </c>
      <c r="L1277" s="25">
        <v>1.9E-2</v>
      </c>
      <c r="M1277" s="25">
        <f>G1277*L1277</f>
        <v>1.9E-2</v>
      </c>
      <c r="N1277" s="102"/>
      <c r="X1277" s="25">
        <f>ROUND(IF(AO1277="5",BH1277,0),2)</f>
        <v>0</v>
      </c>
      <c r="Z1277" s="25">
        <f>ROUND(IF(AO1277="1",BF1277,0),2)</f>
        <v>0</v>
      </c>
      <c r="AA1277" s="25">
        <f>ROUND(IF(AO1277="1",BG1277,0),2)</f>
        <v>0</v>
      </c>
      <c r="AB1277" s="25">
        <f>ROUND(IF(AO1277="7",BF1277,0),2)</f>
        <v>0</v>
      </c>
      <c r="AC1277" s="25">
        <f>ROUND(IF(AO1277="7",BG1277,0),2)</f>
        <v>0</v>
      </c>
      <c r="AD1277" s="25">
        <f>ROUND(IF(AO1277="2",BF1277,0),2)</f>
        <v>0</v>
      </c>
      <c r="AE1277" s="25">
        <f>ROUND(IF(AO1277="2",BG1277,0),2)</f>
        <v>0</v>
      </c>
      <c r="AF1277" s="25">
        <f>ROUND(IF(AO1277="0",BH1277,0),2)</f>
        <v>0</v>
      </c>
      <c r="AG1277" s="10" t="s">
        <v>1101</v>
      </c>
      <c r="AH1277" s="25">
        <f>IF(AL1277=0,K1277,0)</f>
        <v>0</v>
      </c>
      <c r="AI1277" s="25">
        <f>IF(AL1277=12,K1277,0)</f>
        <v>0</v>
      </c>
      <c r="AJ1277" s="25">
        <f>IF(AL1277=21,K1277,0)</f>
        <v>0</v>
      </c>
      <c r="AL1277" s="25">
        <v>21</v>
      </c>
      <c r="AM1277" s="25">
        <f>H1277*1</f>
        <v>0</v>
      </c>
      <c r="AN1277" s="25">
        <f>H1277*(1-1)</f>
        <v>0</v>
      </c>
      <c r="AO1277" s="27" t="s">
        <v>61</v>
      </c>
      <c r="AT1277" s="25">
        <f>ROUND(AU1277+AV1277,2)</f>
        <v>0</v>
      </c>
      <c r="AU1277" s="25">
        <f>ROUND(G1277*AM1277,2)</f>
        <v>0</v>
      </c>
      <c r="AV1277" s="25">
        <f>ROUND(G1277*AN1277,2)</f>
        <v>0</v>
      </c>
      <c r="AW1277" s="27" t="s">
        <v>329</v>
      </c>
      <c r="AX1277" s="27" t="s">
        <v>1449</v>
      </c>
      <c r="AY1277" s="10" t="s">
        <v>1105</v>
      </c>
      <c r="BA1277" s="25">
        <f>AU1277+AV1277</f>
        <v>0</v>
      </c>
      <c r="BB1277" s="25">
        <f>H1277/(100-BC1277)*100</f>
        <v>0</v>
      </c>
      <c r="BC1277" s="25">
        <v>0</v>
      </c>
      <c r="BD1277" s="25">
        <f>M1277</f>
        <v>1.9E-2</v>
      </c>
      <c r="BF1277" s="25">
        <f>G1277*AM1277</f>
        <v>0</v>
      </c>
      <c r="BG1277" s="25">
        <f>G1277*AN1277</f>
        <v>0</v>
      </c>
      <c r="BH1277" s="25">
        <f>G1277*H1277</f>
        <v>0</v>
      </c>
      <c r="BI1277" s="27" t="s">
        <v>576</v>
      </c>
      <c r="BJ1277" s="25">
        <v>766</v>
      </c>
      <c r="BU1277" s="25" t="e">
        <f>#REF!</f>
        <v>#REF!</v>
      </c>
      <c r="BV1277" s="4" t="s">
        <v>1489</v>
      </c>
    </row>
    <row r="1278" spans="1:74" ht="14.4" x14ac:dyDescent="0.3">
      <c r="A1278" s="28"/>
      <c r="D1278" s="29" t="s">
        <v>57</v>
      </c>
      <c r="E1278" s="29" t="s">
        <v>52</v>
      </c>
      <c r="G1278" s="30">
        <v>1</v>
      </c>
      <c r="H1278" s="63"/>
      <c r="N1278" s="31"/>
    </row>
    <row r="1279" spans="1:74" ht="14.4" x14ac:dyDescent="0.3">
      <c r="A1279" s="2" t="s">
        <v>1490</v>
      </c>
      <c r="B1279" s="3" t="s">
        <v>1101</v>
      </c>
      <c r="C1279" s="3" t="s">
        <v>885</v>
      </c>
      <c r="D1279" s="112" t="s">
        <v>886</v>
      </c>
      <c r="E1279" s="109"/>
      <c r="F1279" s="3" t="s">
        <v>122</v>
      </c>
      <c r="G1279" s="25">
        <v>6</v>
      </c>
      <c r="H1279" s="62"/>
      <c r="I1279" s="25">
        <f>ROUND(G1279*AM1279,2)</f>
        <v>0</v>
      </c>
      <c r="J1279" s="25">
        <f>ROUND(G1279*AN1279,2)</f>
        <v>0</v>
      </c>
      <c r="K1279" s="25">
        <f>ROUND(G1279*H1279,2)</f>
        <v>0</v>
      </c>
      <c r="L1279" s="25">
        <v>0</v>
      </c>
      <c r="M1279" s="25">
        <f>G1279*L1279</f>
        <v>0</v>
      </c>
      <c r="N1279" s="26"/>
      <c r="X1279" s="25">
        <f>ROUND(IF(AO1279="5",BH1279,0),2)</f>
        <v>0</v>
      </c>
      <c r="Z1279" s="25">
        <f>ROUND(IF(AO1279="1",BF1279,0),2)</f>
        <v>0</v>
      </c>
      <c r="AA1279" s="25">
        <f>ROUND(IF(AO1279="1",BG1279,0),2)</f>
        <v>0</v>
      </c>
      <c r="AB1279" s="25">
        <f>ROUND(IF(AO1279="7",BF1279,0),2)</f>
        <v>0</v>
      </c>
      <c r="AC1279" s="25">
        <f>ROUND(IF(AO1279="7",BG1279,0),2)</f>
        <v>0</v>
      </c>
      <c r="AD1279" s="25">
        <f>ROUND(IF(AO1279="2",BF1279,0),2)</f>
        <v>0</v>
      </c>
      <c r="AE1279" s="25">
        <f>ROUND(IF(AO1279="2",BG1279,0),2)</f>
        <v>0</v>
      </c>
      <c r="AF1279" s="25">
        <f>ROUND(IF(AO1279="0",BH1279,0),2)</f>
        <v>0</v>
      </c>
      <c r="AG1279" s="10" t="s">
        <v>1101</v>
      </c>
      <c r="AH1279" s="25">
        <f>IF(AL1279=0,K1279,0)</f>
        <v>0</v>
      </c>
      <c r="AI1279" s="25">
        <f>IF(AL1279=12,K1279,0)</f>
        <v>0</v>
      </c>
      <c r="AJ1279" s="25">
        <f>IF(AL1279=21,K1279,0)</f>
        <v>0</v>
      </c>
      <c r="AL1279" s="25">
        <v>21</v>
      </c>
      <c r="AM1279" s="25">
        <f>H1279*0</f>
        <v>0</v>
      </c>
      <c r="AN1279" s="25">
        <f>H1279*(1-0)</f>
        <v>0</v>
      </c>
      <c r="AO1279" s="27" t="s">
        <v>61</v>
      </c>
      <c r="AT1279" s="25">
        <f>ROUND(AU1279+AV1279,2)</f>
        <v>0</v>
      </c>
      <c r="AU1279" s="25">
        <f>ROUND(G1279*AM1279,2)</f>
        <v>0</v>
      </c>
      <c r="AV1279" s="25">
        <f>ROUND(G1279*AN1279,2)</f>
        <v>0</v>
      </c>
      <c r="AW1279" s="27" t="s">
        <v>329</v>
      </c>
      <c r="AX1279" s="27" t="s">
        <v>1449</v>
      </c>
      <c r="AY1279" s="10" t="s">
        <v>1105</v>
      </c>
      <c r="BA1279" s="25">
        <f>AU1279+AV1279</f>
        <v>0</v>
      </c>
      <c r="BB1279" s="25">
        <f>H1279/(100-BC1279)*100</f>
        <v>0</v>
      </c>
      <c r="BC1279" s="25">
        <v>0</v>
      </c>
      <c r="BD1279" s="25">
        <f>M1279</f>
        <v>0</v>
      </c>
      <c r="BF1279" s="25">
        <f>G1279*AM1279</f>
        <v>0</v>
      </c>
      <c r="BG1279" s="25">
        <f>G1279*AN1279</f>
        <v>0</v>
      </c>
      <c r="BH1279" s="25">
        <f>G1279*H1279</f>
        <v>0</v>
      </c>
      <c r="BI1279" s="27" t="s">
        <v>65</v>
      </c>
      <c r="BJ1279" s="25">
        <v>766</v>
      </c>
      <c r="BU1279" s="25" t="e">
        <f>#REF!</f>
        <v>#REF!</v>
      </c>
      <c r="BV1279" s="4" t="s">
        <v>886</v>
      </c>
    </row>
    <row r="1280" spans="1:74" ht="14.4" x14ac:dyDescent="0.3">
      <c r="A1280" s="28"/>
      <c r="D1280" s="29" t="s">
        <v>106</v>
      </c>
      <c r="E1280" s="29" t="s">
        <v>52</v>
      </c>
      <c r="G1280" s="30">
        <v>6</v>
      </c>
      <c r="H1280" s="63"/>
      <c r="N1280" s="31"/>
    </row>
    <row r="1281" spans="1:74" ht="26.4" x14ac:dyDescent="0.3">
      <c r="A1281" s="2" t="s">
        <v>1491</v>
      </c>
      <c r="B1281" s="3" t="s">
        <v>1101</v>
      </c>
      <c r="C1281" s="3" t="s">
        <v>896</v>
      </c>
      <c r="D1281" s="112" t="s">
        <v>1492</v>
      </c>
      <c r="E1281" s="109"/>
      <c r="F1281" s="3" t="s">
        <v>122</v>
      </c>
      <c r="G1281" s="25">
        <v>1</v>
      </c>
      <c r="H1281" s="62"/>
      <c r="I1281" s="25">
        <f>ROUND(G1281*AM1281,2)</f>
        <v>0</v>
      </c>
      <c r="J1281" s="25">
        <f>ROUND(G1281*AN1281,2)</f>
        <v>0</v>
      </c>
      <c r="K1281" s="25">
        <f>ROUND(G1281*H1281,2)</f>
        <v>0</v>
      </c>
      <c r="L1281" s="25">
        <v>2.1000000000000001E-2</v>
      </c>
      <c r="M1281" s="25">
        <f>G1281*L1281</f>
        <v>2.1000000000000001E-2</v>
      </c>
      <c r="N1281" s="102"/>
      <c r="X1281" s="25">
        <f>ROUND(IF(AO1281="5",BH1281,0),2)</f>
        <v>0</v>
      </c>
      <c r="Z1281" s="25">
        <f>ROUND(IF(AO1281="1",BF1281,0),2)</f>
        <v>0</v>
      </c>
      <c r="AA1281" s="25">
        <f>ROUND(IF(AO1281="1",BG1281,0),2)</f>
        <v>0</v>
      </c>
      <c r="AB1281" s="25">
        <f>ROUND(IF(AO1281="7",BF1281,0),2)</f>
        <v>0</v>
      </c>
      <c r="AC1281" s="25">
        <f>ROUND(IF(AO1281="7",BG1281,0),2)</f>
        <v>0</v>
      </c>
      <c r="AD1281" s="25">
        <f>ROUND(IF(AO1281="2",BF1281,0),2)</f>
        <v>0</v>
      </c>
      <c r="AE1281" s="25">
        <f>ROUND(IF(AO1281="2",BG1281,0),2)</f>
        <v>0</v>
      </c>
      <c r="AF1281" s="25">
        <f>ROUND(IF(AO1281="0",BH1281,0),2)</f>
        <v>0</v>
      </c>
      <c r="AG1281" s="10" t="s">
        <v>1101</v>
      </c>
      <c r="AH1281" s="25">
        <f>IF(AL1281=0,K1281,0)</f>
        <v>0</v>
      </c>
      <c r="AI1281" s="25">
        <f>IF(AL1281=12,K1281,0)</f>
        <v>0</v>
      </c>
      <c r="AJ1281" s="25">
        <f>IF(AL1281=21,K1281,0)</f>
        <v>0</v>
      </c>
      <c r="AL1281" s="25">
        <v>21</v>
      </c>
      <c r="AM1281" s="25">
        <f>H1281*1</f>
        <v>0</v>
      </c>
      <c r="AN1281" s="25">
        <f>H1281*(1-1)</f>
        <v>0</v>
      </c>
      <c r="AO1281" s="27" t="s">
        <v>61</v>
      </c>
      <c r="AT1281" s="25">
        <f>ROUND(AU1281+AV1281,2)</f>
        <v>0</v>
      </c>
      <c r="AU1281" s="25">
        <f>ROUND(G1281*AM1281,2)</f>
        <v>0</v>
      </c>
      <c r="AV1281" s="25">
        <f>ROUND(G1281*AN1281,2)</f>
        <v>0</v>
      </c>
      <c r="AW1281" s="27" t="s">
        <v>329</v>
      </c>
      <c r="AX1281" s="27" t="s">
        <v>1449</v>
      </c>
      <c r="AY1281" s="10" t="s">
        <v>1105</v>
      </c>
      <c r="BA1281" s="25">
        <f>AU1281+AV1281</f>
        <v>0</v>
      </c>
      <c r="BB1281" s="25">
        <f>H1281/(100-BC1281)*100</f>
        <v>0</v>
      </c>
      <c r="BC1281" s="25">
        <v>0</v>
      </c>
      <c r="BD1281" s="25">
        <f>M1281</f>
        <v>2.1000000000000001E-2</v>
      </c>
      <c r="BF1281" s="25">
        <f>G1281*AM1281</f>
        <v>0</v>
      </c>
      <c r="BG1281" s="25">
        <f>G1281*AN1281</f>
        <v>0</v>
      </c>
      <c r="BH1281" s="25">
        <f>G1281*H1281</f>
        <v>0</v>
      </c>
      <c r="BI1281" s="27" t="s">
        <v>576</v>
      </c>
      <c r="BJ1281" s="25">
        <v>766</v>
      </c>
      <c r="BU1281" s="25" t="e">
        <f>#REF!</f>
        <v>#REF!</v>
      </c>
      <c r="BV1281" s="4" t="s">
        <v>1492</v>
      </c>
    </row>
    <row r="1282" spans="1:74" ht="14.4" x14ac:dyDescent="0.3">
      <c r="A1282" s="28"/>
      <c r="D1282" s="29" t="s">
        <v>57</v>
      </c>
      <c r="E1282" s="29" t="s">
        <v>52</v>
      </c>
      <c r="G1282" s="30">
        <v>1</v>
      </c>
      <c r="H1282" s="63"/>
      <c r="N1282" s="31"/>
    </row>
    <row r="1283" spans="1:74" ht="26.4" x14ac:dyDescent="0.3">
      <c r="A1283" s="2" t="s">
        <v>1493</v>
      </c>
      <c r="B1283" s="3" t="s">
        <v>1101</v>
      </c>
      <c r="C1283" s="3" t="s">
        <v>1494</v>
      </c>
      <c r="D1283" s="112" t="s">
        <v>1495</v>
      </c>
      <c r="E1283" s="109"/>
      <c r="F1283" s="3" t="s">
        <v>122</v>
      </c>
      <c r="G1283" s="25">
        <v>1</v>
      </c>
      <c r="H1283" s="62"/>
      <c r="I1283" s="25">
        <f>ROUND(G1283*AM1283,2)</f>
        <v>0</v>
      </c>
      <c r="J1283" s="25">
        <f>ROUND(G1283*AN1283,2)</f>
        <v>0</v>
      </c>
      <c r="K1283" s="25">
        <f>ROUND(G1283*H1283,2)</f>
        <v>0</v>
      </c>
      <c r="L1283" s="25">
        <v>2.1000000000000001E-2</v>
      </c>
      <c r="M1283" s="25">
        <f>G1283*L1283</f>
        <v>2.1000000000000001E-2</v>
      </c>
      <c r="N1283" s="102"/>
      <c r="X1283" s="25">
        <f>ROUND(IF(AO1283="5",BH1283,0),2)</f>
        <v>0</v>
      </c>
      <c r="Z1283" s="25">
        <f>ROUND(IF(AO1283="1",BF1283,0),2)</f>
        <v>0</v>
      </c>
      <c r="AA1283" s="25">
        <f>ROUND(IF(AO1283="1",BG1283,0),2)</f>
        <v>0</v>
      </c>
      <c r="AB1283" s="25">
        <f>ROUND(IF(AO1283="7",BF1283,0),2)</f>
        <v>0</v>
      </c>
      <c r="AC1283" s="25">
        <f>ROUND(IF(AO1283="7",BG1283,0),2)</f>
        <v>0</v>
      </c>
      <c r="AD1283" s="25">
        <f>ROUND(IF(AO1283="2",BF1283,0),2)</f>
        <v>0</v>
      </c>
      <c r="AE1283" s="25">
        <f>ROUND(IF(AO1283="2",BG1283,0),2)</f>
        <v>0</v>
      </c>
      <c r="AF1283" s="25">
        <f>ROUND(IF(AO1283="0",BH1283,0),2)</f>
        <v>0</v>
      </c>
      <c r="AG1283" s="10" t="s">
        <v>1101</v>
      </c>
      <c r="AH1283" s="25">
        <f>IF(AL1283=0,K1283,0)</f>
        <v>0</v>
      </c>
      <c r="AI1283" s="25">
        <f>IF(AL1283=12,K1283,0)</f>
        <v>0</v>
      </c>
      <c r="AJ1283" s="25">
        <f>IF(AL1283=21,K1283,0)</f>
        <v>0</v>
      </c>
      <c r="AL1283" s="25">
        <v>21</v>
      </c>
      <c r="AM1283" s="25">
        <f>H1283*1</f>
        <v>0</v>
      </c>
      <c r="AN1283" s="25">
        <f>H1283*(1-1)</f>
        <v>0</v>
      </c>
      <c r="AO1283" s="27" t="s">
        <v>61</v>
      </c>
      <c r="AT1283" s="25">
        <f>ROUND(AU1283+AV1283,2)</f>
        <v>0</v>
      </c>
      <c r="AU1283" s="25">
        <f>ROUND(G1283*AM1283,2)</f>
        <v>0</v>
      </c>
      <c r="AV1283" s="25">
        <f>ROUND(G1283*AN1283,2)</f>
        <v>0</v>
      </c>
      <c r="AW1283" s="27" t="s">
        <v>329</v>
      </c>
      <c r="AX1283" s="27" t="s">
        <v>1449</v>
      </c>
      <c r="AY1283" s="10" t="s">
        <v>1105</v>
      </c>
      <c r="BA1283" s="25">
        <f>AU1283+AV1283</f>
        <v>0</v>
      </c>
      <c r="BB1283" s="25">
        <f>H1283/(100-BC1283)*100</f>
        <v>0</v>
      </c>
      <c r="BC1283" s="25">
        <v>0</v>
      </c>
      <c r="BD1283" s="25">
        <f>M1283</f>
        <v>2.1000000000000001E-2</v>
      </c>
      <c r="BF1283" s="25">
        <f>G1283*AM1283</f>
        <v>0</v>
      </c>
      <c r="BG1283" s="25">
        <f>G1283*AN1283</f>
        <v>0</v>
      </c>
      <c r="BH1283" s="25">
        <f>G1283*H1283</f>
        <v>0</v>
      </c>
      <c r="BI1283" s="27" t="s">
        <v>576</v>
      </c>
      <c r="BJ1283" s="25">
        <v>766</v>
      </c>
      <c r="BU1283" s="25" t="e">
        <f>#REF!</f>
        <v>#REF!</v>
      </c>
      <c r="BV1283" s="4" t="s">
        <v>1495</v>
      </c>
    </row>
    <row r="1284" spans="1:74" ht="14.4" x14ac:dyDescent="0.3">
      <c r="A1284" s="28"/>
      <c r="D1284" s="29" t="s">
        <v>57</v>
      </c>
      <c r="E1284" s="29" t="s">
        <v>52</v>
      </c>
      <c r="G1284" s="30">
        <v>1</v>
      </c>
      <c r="H1284" s="63"/>
      <c r="N1284" s="31"/>
    </row>
    <row r="1285" spans="1:74" ht="26.4" x14ac:dyDescent="0.3">
      <c r="A1285" s="2" t="s">
        <v>1496</v>
      </c>
      <c r="B1285" s="3" t="s">
        <v>1101</v>
      </c>
      <c r="C1285" s="3" t="s">
        <v>889</v>
      </c>
      <c r="D1285" s="112" t="s">
        <v>1497</v>
      </c>
      <c r="E1285" s="109"/>
      <c r="F1285" s="3" t="s">
        <v>122</v>
      </c>
      <c r="G1285" s="25">
        <v>1</v>
      </c>
      <c r="H1285" s="62"/>
      <c r="I1285" s="25">
        <f>ROUND(G1285*AM1285,2)</f>
        <v>0</v>
      </c>
      <c r="J1285" s="25">
        <f>ROUND(G1285*AN1285,2)</f>
        <v>0</v>
      </c>
      <c r="K1285" s="25">
        <f>ROUND(G1285*H1285,2)</f>
        <v>0</v>
      </c>
      <c r="L1285" s="25">
        <v>2.3E-2</v>
      </c>
      <c r="M1285" s="25">
        <f>G1285*L1285</f>
        <v>2.3E-2</v>
      </c>
      <c r="N1285" s="102"/>
      <c r="X1285" s="25">
        <f>ROUND(IF(AO1285="5",BH1285,0),2)</f>
        <v>0</v>
      </c>
      <c r="Z1285" s="25">
        <f>ROUND(IF(AO1285="1",BF1285,0),2)</f>
        <v>0</v>
      </c>
      <c r="AA1285" s="25">
        <f>ROUND(IF(AO1285="1",BG1285,0),2)</f>
        <v>0</v>
      </c>
      <c r="AB1285" s="25">
        <f>ROUND(IF(AO1285="7",BF1285,0),2)</f>
        <v>0</v>
      </c>
      <c r="AC1285" s="25">
        <f>ROUND(IF(AO1285="7",BG1285,0),2)</f>
        <v>0</v>
      </c>
      <c r="AD1285" s="25">
        <f>ROUND(IF(AO1285="2",BF1285,0),2)</f>
        <v>0</v>
      </c>
      <c r="AE1285" s="25">
        <f>ROUND(IF(AO1285="2",BG1285,0),2)</f>
        <v>0</v>
      </c>
      <c r="AF1285" s="25">
        <f>ROUND(IF(AO1285="0",BH1285,0),2)</f>
        <v>0</v>
      </c>
      <c r="AG1285" s="10" t="s">
        <v>1101</v>
      </c>
      <c r="AH1285" s="25">
        <f>IF(AL1285=0,K1285,0)</f>
        <v>0</v>
      </c>
      <c r="AI1285" s="25">
        <f>IF(AL1285=12,K1285,0)</f>
        <v>0</v>
      </c>
      <c r="AJ1285" s="25">
        <f>IF(AL1285=21,K1285,0)</f>
        <v>0</v>
      </c>
      <c r="AL1285" s="25">
        <v>21</v>
      </c>
      <c r="AM1285" s="25">
        <f>H1285*1</f>
        <v>0</v>
      </c>
      <c r="AN1285" s="25">
        <f>H1285*(1-1)</f>
        <v>0</v>
      </c>
      <c r="AO1285" s="27" t="s">
        <v>61</v>
      </c>
      <c r="AT1285" s="25">
        <f>ROUND(AU1285+AV1285,2)</f>
        <v>0</v>
      </c>
      <c r="AU1285" s="25">
        <f>ROUND(G1285*AM1285,2)</f>
        <v>0</v>
      </c>
      <c r="AV1285" s="25">
        <f>ROUND(G1285*AN1285,2)</f>
        <v>0</v>
      </c>
      <c r="AW1285" s="27" t="s">
        <v>329</v>
      </c>
      <c r="AX1285" s="27" t="s">
        <v>1449</v>
      </c>
      <c r="AY1285" s="10" t="s">
        <v>1105</v>
      </c>
      <c r="BA1285" s="25">
        <f>AU1285+AV1285</f>
        <v>0</v>
      </c>
      <c r="BB1285" s="25">
        <f>H1285/(100-BC1285)*100</f>
        <v>0</v>
      </c>
      <c r="BC1285" s="25">
        <v>0</v>
      </c>
      <c r="BD1285" s="25">
        <f>M1285</f>
        <v>2.3E-2</v>
      </c>
      <c r="BF1285" s="25">
        <f>G1285*AM1285</f>
        <v>0</v>
      </c>
      <c r="BG1285" s="25">
        <f>G1285*AN1285</f>
        <v>0</v>
      </c>
      <c r="BH1285" s="25">
        <f>G1285*H1285</f>
        <v>0</v>
      </c>
      <c r="BI1285" s="27" t="s">
        <v>576</v>
      </c>
      <c r="BJ1285" s="25">
        <v>766</v>
      </c>
      <c r="BU1285" s="25" t="e">
        <f>#REF!</f>
        <v>#REF!</v>
      </c>
      <c r="BV1285" s="4" t="s">
        <v>1497</v>
      </c>
    </row>
    <row r="1286" spans="1:74" ht="14.4" x14ac:dyDescent="0.3">
      <c r="A1286" s="28"/>
      <c r="D1286" s="29" t="s">
        <v>57</v>
      </c>
      <c r="E1286" s="29" t="s">
        <v>1316</v>
      </c>
      <c r="G1286" s="30">
        <v>1</v>
      </c>
      <c r="H1286" s="63"/>
      <c r="N1286" s="31"/>
    </row>
    <row r="1287" spans="1:74" ht="26.4" x14ac:dyDescent="0.3">
      <c r="A1287" s="2" t="s">
        <v>1498</v>
      </c>
      <c r="B1287" s="3" t="s">
        <v>1101</v>
      </c>
      <c r="C1287" s="3" t="s">
        <v>1499</v>
      </c>
      <c r="D1287" s="112" t="s">
        <v>1500</v>
      </c>
      <c r="E1287" s="109"/>
      <c r="F1287" s="3" t="s">
        <v>122</v>
      </c>
      <c r="G1287" s="25">
        <v>1</v>
      </c>
      <c r="H1287" s="62"/>
      <c r="I1287" s="25">
        <f>ROUND(G1287*AM1287,2)</f>
        <v>0</v>
      </c>
      <c r="J1287" s="25">
        <f>ROUND(G1287*AN1287,2)</f>
        <v>0</v>
      </c>
      <c r="K1287" s="25">
        <f>ROUND(G1287*H1287,2)</f>
        <v>0</v>
      </c>
      <c r="L1287" s="25">
        <v>2.9000000000000001E-2</v>
      </c>
      <c r="M1287" s="25">
        <f>G1287*L1287</f>
        <v>2.9000000000000001E-2</v>
      </c>
      <c r="N1287" s="102"/>
      <c r="X1287" s="25">
        <f>ROUND(IF(AO1287="5",BH1287,0),2)</f>
        <v>0</v>
      </c>
      <c r="Z1287" s="25">
        <f>ROUND(IF(AO1287="1",BF1287,0),2)</f>
        <v>0</v>
      </c>
      <c r="AA1287" s="25">
        <f>ROUND(IF(AO1287="1",BG1287,0),2)</f>
        <v>0</v>
      </c>
      <c r="AB1287" s="25">
        <f>ROUND(IF(AO1287="7",BF1287,0),2)</f>
        <v>0</v>
      </c>
      <c r="AC1287" s="25">
        <f>ROUND(IF(AO1287="7",BG1287,0),2)</f>
        <v>0</v>
      </c>
      <c r="AD1287" s="25">
        <f>ROUND(IF(AO1287="2",BF1287,0),2)</f>
        <v>0</v>
      </c>
      <c r="AE1287" s="25">
        <f>ROUND(IF(AO1287="2",BG1287,0),2)</f>
        <v>0</v>
      </c>
      <c r="AF1287" s="25">
        <f>ROUND(IF(AO1287="0",BH1287,0),2)</f>
        <v>0</v>
      </c>
      <c r="AG1287" s="10" t="s">
        <v>1101</v>
      </c>
      <c r="AH1287" s="25">
        <f>IF(AL1287=0,K1287,0)</f>
        <v>0</v>
      </c>
      <c r="AI1287" s="25">
        <f>IF(AL1287=12,K1287,0)</f>
        <v>0</v>
      </c>
      <c r="AJ1287" s="25">
        <f>IF(AL1287=21,K1287,0)</f>
        <v>0</v>
      </c>
      <c r="AL1287" s="25">
        <v>21</v>
      </c>
      <c r="AM1287" s="25">
        <f>H1287*1</f>
        <v>0</v>
      </c>
      <c r="AN1287" s="25">
        <f>H1287*(1-1)</f>
        <v>0</v>
      </c>
      <c r="AO1287" s="27" t="s">
        <v>61</v>
      </c>
      <c r="AT1287" s="25">
        <f>ROUND(AU1287+AV1287,2)</f>
        <v>0</v>
      </c>
      <c r="AU1287" s="25">
        <f>ROUND(G1287*AM1287,2)</f>
        <v>0</v>
      </c>
      <c r="AV1287" s="25">
        <f>ROUND(G1287*AN1287,2)</f>
        <v>0</v>
      </c>
      <c r="AW1287" s="27" t="s">
        <v>329</v>
      </c>
      <c r="AX1287" s="27" t="s">
        <v>1449</v>
      </c>
      <c r="AY1287" s="10" t="s">
        <v>1105</v>
      </c>
      <c r="BA1287" s="25">
        <f>AU1287+AV1287</f>
        <v>0</v>
      </c>
      <c r="BB1287" s="25">
        <f>H1287/(100-BC1287)*100</f>
        <v>0</v>
      </c>
      <c r="BC1287" s="25">
        <v>0</v>
      </c>
      <c r="BD1287" s="25">
        <f>M1287</f>
        <v>2.9000000000000001E-2</v>
      </c>
      <c r="BF1287" s="25">
        <f>G1287*AM1287</f>
        <v>0</v>
      </c>
      <c r="BG1287" s="25">
        <f>G1287*AN1287</f>
        <v>0</v>
      </c>
      <c r="BH1287" s="25">
        <f>G1287*H1287</f>
        <v>0</v>
      </c>
      <c r="BI1287" s="27" t="s">
        <v>576</v>
      </c>
      <c r="BJ1287" s="25">
        <v>766</v>
      </c>
      <c r="BU1287" s="25" t="e">
        <f>#REF!</f>
        <v>#REF!</v>
      </c>
      <c r="BV1287" s="4" t="s">
        <v>1500</v>
      </c>
    </row>
    <row r="1288" spans="1:74" ht="14.4" x14ac:dyDescent="0.3">
      <c r="A1288" s="28"/>
      <c r="D1288" s="29" t="s">
        <v>57</v>
      </c>
      <c r="E1288" s="29" t="s">
        <v>1312</v>
      </c>
      <c r="G1288" s="30">
        <v>1</v>
      </c>
      <c r="H1288" s="63"/>
      <c r="N1288" s="31"/>
    </row>
    <row r="1289" spans="1:74" ht="26.4" x14ac:dyDescent="0.3">
      <c r="A1289" s="2" t="s">
        <v>1501</v>
      </c>
      <c r="B1289" s="3" t="s">
        <v>1101</v>
      </c>
      <c r="C1289" s="3" t="s">
        <v>1502</v>
      </c>
      <c r="D1289" s="112" t="s">
        <v>1503</v>
      </c>
      <c r="E1289" s="109"/>
      <c r="F1289" s="3" t="s">
        <v>122</v>
      </c>
      <c r="G1289" s="25">
        <v>1</v>
      </c>
      <c r="H1289" s="62"/>
      <c r="I1289" s="25">
        <f>ROUND(G1289*AM1289,2)</f>
        <v>0</v>
      </c>
      <c r="J1289" s="25">
        <f>ROUND(G1289*AN1289,2)</f>
        <v>0</v>
      </c>
      <c r="K1289" s="25">
        <f>ROUND(G1289*H1289,2)</f>
        <v>0</v>
      </c>
      <c r="L1289" s="25">
        <v>2.3E-2</v>
      </c>
      <c r="M1289" s="25">
        <f>G1289*L1289</f>
        <v>2.3E-2</v>
      </c>
      <c r="N1289" s="102"/>
      <c r="X1289" s="25">
        <f>ROUND(IF(AO1289="5",BH1289,0),2)</f>
        <v>0</v>
      </c>
      <c r="Z1289" s="25">
        <f>ROUND(IF(AO1289="1",BF1289,0),2)</f>
        <v>0</v>
      </c>
      <c r="AA1289" s="25">
        <f>ROUND(IF(AO1289="1",BG1289,0),2)</f>
        <v>0</v>
      </c>
      <c r="AB1289" s="25">
        <f>ROUND(IF(AO1289="7",BF1289,0),2)</f>
        <v>0</v>
      </c>
      <c r="AC1289" s="25">
        <f>ROUND(IF(AO1289="7",BG1289,0),2)</f>
        <v>0</v>
      </c>
      <c r="AD1289" s="25">
        <f>ROUND(IF(AO1289="2",BF1289,0),2)</f>
        <v>0</v>
      </c>
      <c r="AE1289" s="25">
        <f>ROUND(IF(AO1289="2",BG1289,0),2)</f>
        <v>0</v>
      </c>
      <c r="AF1289" s="25">
        <f>ROUND(IF(AO1289="0",BH1289,0),2)</f>
        <v>0</v>
      </c>
      <c r="AG1289" s="10" t="s">
        <v>1101</v>
      </c>
      <c r="AH1289" s="25">
        <f>IF(AL1289=0,K1289,0)</f>
        <v>0</v>
      </c>
      <c r="AI1289" s="25">
        <f>IF(AL1289=12,K1289,0)</f>
        <v>0</v>
      </c>
      <c r="AJ1289" s="25">
        <f>IF(AL1289=21,K1289,0)</f>
        <v>0</v>
      </c>
      <c r="AL1289" s="25">
        <v>21</v>
      </c>
      <c r="AM1289" s="25">
        <f>H1289*1</f>
        <v>0</v>
      </c>
      <c r="AN1289" s="25">
        <f>H1289*(1-1)</f>
        <v>0</v>
      </c>
      <c r="AO1289" s="27" t="s">
        <v>61</v>
      </c>
      <c r="AT1289" s="25">
        <f>ROUND(AU1289+AV1289,2)</f>
        <v>0</v>
      </c>
      <c r="AU1289" s="25">
        <f>ROUND(G1289*AM1289,2)</f>
        <v>0</v>
      </c>
      <c r="AV1289" s="25">
        <f>ROUND(G1289*AN1289,2)</f>
        <v>0</v>
      </c>
      <c r="AW1289" s="27" t="s">
        <v>329</v>
      </c>
      <c r="AX1289" s="27" t="s">
        <v>1449</v>
      </c>
      <c r="AY1289" s="10" t="s">
        <v>1105</v>
      </c>
      <c r="BA1289" s="25">
        <f>AU1289+AV1289</f>
        <v>0</v>
      </c>
      <c r="BB1289" s="25">
        <f>H1289/(100-BC1289)*100</f>
        <v>0</v>
      </c>
      <c r="BC1289" s="25">
        <v>0</v>
      </c>
      <c r="BD1289" s="25">
        <f>M1289</f>
        <v>2.3E-2</v>
      </c>
      <c r="BF1289" s="25">
        <f>G1289*AM1289</f>
        <v>0</v>
      </c>
      <c r="BG1289" s="25">
        <f>G1289*AN1289</f>
        <v>0</v>
      </c>
      <c r="BH1289" s="25">
        <f>G1289*H1289</f>
        <v>0</v>
      </c>
      <c r="BI1289" s="27" t="s">
        <v>576</v>
      </c>
      <c r="BJ1289" s="25">
        <v>766</v>
      </c>
      <c r="BU1289" s="25" t="e">
        <f>#REF!</f>
        <v>#REF!</v>
      </c>
      <c r="BV1289" s="4" t="s">
        <v>1503</v>
      </c>
    </row>
    <row r="1290" spans="1:74" ht="14.4" x14ac:dyDescent="0.3">
      <c r="A1290" s="28"/>
      <c r="D1290" s="29" t="s">
        <v>57</v>
      </c>
      <c r="E1290" s="29" t="s">
        <v>1307</v>
      </c>
      <c r="G1290" s="30">
        <v>1</v>
      </c>
      <c r="H1290" s="63"/>
      <c r="N1290" s="31"/>
    </row>
    <row r="1291" spans="1:74" ht="26.4" x14ac:dyDescent="0.3">
      <c r="A1291" s="2" t="s">
        <v>1504</v>
      </c>
      <c r="B1291" s="3" t="s">
        <v>1101</v>
      </c>
      <c r="C1291" s="3" t="s">
        <v>1505</v>
      </c>
      <c r="D1291" s="112" t="s">
        <v>1506</v>
      </c>
      <c r="E1291" s="109"/>
      <c r="F1291" s="3" t="s">
        <v>122</v>
      </c>
      <c r="G1291" s="25">
        <v>1</v>
      </c>
      <c r="H1291" s="62"/>
      <c r="I1291" s="25">
        <f>ROUND(G1291*AM1291,2)</f>
        <v>0</v>
      </c>
      <c r="J1291" s="25">
        <f>ROUND(G1291*AN1291,2)</f>
        <v>0</v>
      </c>
      <c r="K1291" s="25">
        <f>ROUND(G1291*H1291,2)</f>
        <v>0</v>
      </c>
      <c r="L1291" s="25">
        <v>2.9000000000000001E-2</v>
      </c>
      <c r="M1291" s="25">
        <f>G1291*L1291</f>
        <v>2.9000000000000001E-2</v>
      </c>
      <c r="N1291" s="102"/>
      <c r="X1291" s="25">
        <f>ROUND(IF(AO1291="5",BH1291,0),2)</f>
        <v>0</v>
      </c>
      <c r="Z1291" s="25">
        <f>ROUND(IF(AO1291="1",BF1291,0),2)</f>
        <v>0</v>
      </c>
      <c r="AA1291" s="25">
        <f>ROUND(IF(AO1291="1",BG1291,0),2)</f>
        <v>0</v>
      </c>
      <c r="AB1291" s="25">
        <f>ROUND(IF(AO1291="7",BF1291,0),2)</f>
        <v>0</v>
      </c>
      <c r="AC1291" s="25">
        <f>ROUND(IF(AO1291="7",BG1291,0),2)</f>
        <v>0</v>
      </c>
      <c r="AD1291" s="25">
        <f>ROUND(IF(AO1291="2",BF1291,0),2)</f>
        <v>0</v>
      </c>
      <c r="AE1291" s="25">
        <f>ROUND(IF(AO1291="2",BG1291,0),2)</f>
        <v>0</v>
      </c>
      <c r="AF1291" s="25">
        <f>ROUND(IF(AO1291="0",BH1291,0),2)</f>
        <v>0</v>
      </c>
      <c r="AG1291" s="10" t="s">
        <v>1101</v>
      </c>
      <c r="AH1291" s="25">
        <f>IF(AL1291=0,K1291,0)</f>
        <v>0</v>
      </c>
      <c r="AI1291" s="25">
        <f>IF(AL1291=12,K1291,0)</f>
        <v>0</v>
      </c>
      <c r="AJ1291" s="25">
        <f>IF(AL1291=21,K1291,0)</f>
        <v>0</v>
      </c>
      <c r="AL1291" s="25">
        <v>21</v>
      </c>
      <c r="AM1291" s="25">
        <f>H1291*1</f>
        <v>0</v>
      </c>
      <c r="AN1291" s="25">
        <f>H1291*(1-1)</f>
        <v>0</v>
      </c>
      <c r="AO1291" s="27" t="s">
        <v>61</v>
      </c>
      <c r="AT1291" s="25">
        <f>ROUND(AU1291+AV1291,2)</f>
        <v>0</v>
      </c>
      <c r="AU1291" s="25">
        <f>ROUND(G1291*AM1291,2)</f>
        <v>0</v>
      </c>
      <c r="AV1291" s="25">
        <f>ROUND(G1291*AN1291,2)</f>
        <v>0</v>
      </c>
      <c r="AW1291" s="27" t="s">
        <v>329</v>
      </c>
      <c r="AX1291" s="27" t="s">
        <v>1449</v>
      </c>
      <c r="AY1291" s="10" t="s">
        <v>1105</v>
      </c>
      <c r="BA1291" s="25">
        <f>AU1291+AV1291</f>
        <v>0</v>
      </c>
      <c r="BB1291" s="25">
        <f>H1291/(100-BC1291)*100</f>
        <v>0</v>
      </c>
      <c r="BC1291" s="25">
        <v>0</v>
      </c>
      <c r="BD1291" s="25">
        <f>M1291</f>
        <v>2.9000000000000001E-2</v>
      </c>
      <c r="BF1291" s="25">
        <f>G1291*AM1291</f>
        <v>0</v>
      </c>
      <c r="BG1291" s="25">
        <f>G1291*AN1291</f>
        <v>0</v>
      </c>
      <c r="BH1291" s="25">
        <f>G1291*H1291</f>
        <v>0</v>
      </c>
      <c r="BI1291" s="27" t="s">
        <v>576</v>
      </c>
      <c r="BJ1291" s="25">
        <v>766</v>
      </c>
      <c r="BU1291" s="25" t="e">
        <f>#REF!</f>
        <v>#REF!</v>
      </c>
      <c r="BV1291" s="4" t="s">
        <v>1506</v>
      </c>
    </row>
    <row r="1292" spans="1:74" ht="14.4" x14ac:dyDescent="0.3">
      <c r="A1292" s="28"/>
      <c r="D1292" s="29" t="s">
        <v>57</v>
      </c>
      <c r="E1292" s="29" t="s">
        <v>1308</v>
      </c>
      <c r="G1292" s="30">
        <v>1</v>
      </c>
      <c r="H1292" s="63"/>
      <c r="N1292" s="31"/>
    </row>
    <row r="1293" spans="1:74" ht="26.4" x14ac:dyDescent="0.3">
      <c r="A1293" s="2" t="s">
        <v>1507</v>
      </c>
      <c r="B1293" s="3" t="s">
        <v>1101</v>
      </c>
      <c r="C1293" s="3" t="s">
        <v>1508</v>
      </c>
      <c r="D1293" s="112" t="s">
        <v>1509</v>
      </c>
      <c r="E1293" s="109"/>
      <c r="F1293" s="3" t="s">
        <v>115</v>
      </c>
      <c r="G1293" s="25">
        <v>4.2</v>
      </c>
      <c r="H1293" s="62"/>
      <c r="I1293" s="25">
        <f>ROUND(G1293*AM1293,2)</f>
        <v>0</v>
      </c>
      <c r="J1293" s="25">
        <f>ROUND(G1293*AN1293,2)</f>
        <v>0</v>
      </c>
      <c r="K1293" s="25">
        <f>ROUND(G1293*H1293,2)</f>
        <v>0</v>
      </c>
      <c r="L1293" s="25">
        <v>1.0120000000000001E-2</v>
      </c>
      <c r="M1293" s="25">
        <f>G1293*L1293</f>
        <v>4.2504000000000007E-2</v>
      </c>
      <c r="N1293" s="26"/>
      <c r="X1293" s="25">
        <f>ROUND(IF(AO1293="5",BH1293,0),2)</f>
        <v>0</v>
      </c>
      <c r="Z1293" s="25">
        <f>ROUND(IF(AO1293="1",BF1293,0),2)</f>
        <v>0</v>
      </c>
      <c r="AA1293" s="25">
        <f>ROUND(IF(AO1293="1",BG1293,0),2)</f>
        <v>0</v>
      </c>
      <c r="AB1293" s="25">
        <f>ROUND(IF(AO1293="7",BF1293,0),2)</f>
        <v>0</v>
      </c>
      <c r="AC1293" s="25">
        <f>ROUND(IF(AO1293="7",BG1293,0),2)</f>
        <v>0</v>
      </c>
      <c r="AD1293" s="25">
        <f>ROUND(IF(AO1293="2",BF1293,0),2)</f>
        <v>0</v>
      </c>
      <c r="AE1293" s="25">
        <f>ROUND(IF(AO1293="2",BG1293,0),2)</f>
        <v>0</v>
      </c>
      <c r="AF1293" s="25">
        <f>ROUND(IF(AO1293="0",BH1293,0),2)</f>
        <v>0</v>
      </c>
      <c r="AG1293" s="10" t="s">
        <v>1101</v>
      </c>
      <c r="AH1293" s="25">
        <f>IF(AL1293=0,K1293,0)</f>
        <v>0</v>
      </c>
      <c r="AI1293" s="25">
        <f>IF(AL1293=12,K1293,0)</f>
        <v>0</v>
      </c>
      <c r="AJ1293" s="25">
        <f>IF(AL1293=21,K1293,0)</f>
        <v>0</v>
      </c>
      <c r="AL1293" s="25">
        <v>21</v>
      </c>
      <c r="AM1293" s="25">
        <f>H1293*0.637631976</f>
        <v>0</v>
      </c>
      <c r="AN1293" s="25">
        <f>H1293*(1-0.637631976)</f>
        <v>0</v>
      </c>
      <c r="AO1293" s="27" t="s">
        <v>61</v>
      </c>
      <c r="AT1293" s="25">
        <f>ROUND(AU1293+AV1293,2)</f>
        <v>0</v>
      </c>
      <c r="AU1293" s="25">
        <f>ROUND(G1293*AM1293,2)</f>
        <v>0</v>
      </c>
      <c r="AV1293" s="25">
        <f>ROUND(G1293*AN1293,2)</f>
        <v>0</v>
      </c>
      <c r="AW1293" s="27" t="s">
        <v>329</v>
      </c>
      <c r="AX1293" s="27" t="s">
        <v>1449</v>
      </c>
      <c r="AY1293" s="10" t="s">
        <v>1105</v>
      </c>
      <c r="BA1293" s="25">
        <f>AU1293+AV1293</f>
        <v>0</v>
      </c>
      <c r="BB1293" s="25">
        <f>H1293/(100-BC1293)*100</f>
        <v>0</v>
      </c>
      <c r="BC1293" s="25">
        <v>0</v>
      </c>
      <c r="BD1293" s="25">
        <f>M1293</f>
        <v>4.2504000000000007E-2</v>
      </c>
      <c r="BF1293" s="25">
        <f>G1293*AM1293</f>
        <v>0</v>
      </c>
      <c r="BG1293" s="25">
        <f>G1293*AN1293</f>
        <v>0</v>
      </c>
      <c r="BH1293" s="25">
        <f>G1293*H1293</f>
        <v>0</v>
      </c>
      <c r="BI1293" s="27" t="s">
        <v>65</v>
      </c>
      <c r="BJ1293" s="25">
        <v>766</v>
      </c>
      <c r="BU1293" s="25" t="e">
        <f>#REF!</f>
        <v>#REF!</v>
      </c>
      <c r="BV1293" s="4" t="s">
        <v>1509</v>
      </c>
    </row>
    <row r="1294" spans="1:74" ht="14.4" x14ac:dyDescent="0.3">
      <c r="A1294" s="28"/>
      <c r="D1294" s="29" t="s">
        <v>1510</v>
      </c>
      <c r="E1294" s="29" t="s">
        <v>335</v>
      </c>
      <c r="G1294" s="30">
        <v>3.1</v>
      </c>
      <c r="H1294" s="63"/>
      <c r="N1294" s="31"/>
    </row>
    <row r="1295" spans="1:74" ht="14.4" x14ac:dyDescent="0.3">
      <c r="A1295" s="28"/>
      <c r="D1295" s="29" t="s">
        <v>1511</v>
      </c>
      <c r="E1295" s="29" t="s">
        <v>361</v>
      </c>
      <c r="G1295" s="30">
        <v>1.1000000000000001</v>
      </c>
      <c r="H1295" s="63"/>
      <c r="N1295" s="31"/>
    </row>
    <row r="1296" spans="1:74" ht="14.4" x14ac:dyDescent="0.3">
      <c r="A1296" s="2" t="s">
        <v>1512</v>
      </c>
      <c r="B1296" s="3" t="s">
        <v>1101</v>
      </c>
      <c r="C1296" s="3" t="s">
        <v>918</v>
      </c>
      <c r="D1296" s="112" t="s">
        <v>919</v>
      </c>
      <c r="E1296" s="109"/>
      <c r="F1296" s="3" t="s">
        <v>278</v>
      </c>
      <c r="G1296" s="25">
        <v>0.47256999999999999</v>
      </c>
      <c r="H1296" s="62"/>
      <c r="I1296" s="25">
        <f>ROUND(G1296*AM1296,2)</f>
        <v>0</v>
      </c>
      <c r="J1296" s="25">
        <f>ROUND(G1296*AN1296,2)</f>
        <v>0</v>
      </c>
      <c r="K1296" s="25">
        <f>ROUND(G1296*H1296,2)</f>
        <v>0</v>
      </c>
      <c r="L1296" s="25">
        <v>0</v>
      </c>
      <c r="M1296" s="25">
        <f>G1296*L1296</f>
        <v>0</v>
      </c>
      <c r="N1296" s="26"/>
      <c r="X1296" s="25">
        <f>ROUND(IF(AO1296="5",BH1296,0),2)</f>
        <v>0</v>
      </c>
      <c r="Z1296" s="25">
        <f>ROUND(IF(AO1296="1",BF1296,0),2)</f>
        <v>0</v>
      </c>
      <c r="AA1296" s="25">
        <f>ROUND(IF(AO1296="1",BG1296,0),2)</f>
        <v>0</v>
      </c>
      <c r="AB1296" s="25">
        <f>ROUND(IF(AO1296="7",BF1296,0),2)</f>
        <v>0</v>
      </c>
      <c r="AC1296" s="25">
        <f>ROUND(IF(AO1296="7",BG1296,0),2)</f>
        <v>0</v>
      </c>
      <c r="AD1296" s="25">
        <f>ROUND(IF(AO1296="2",BF1296,0),2)</f>
        <v>0</v>
      </c>
      <c r="AE1296" s="25">
        <f>ROUND(IF(AO1296="2",BG1296,0),2)</f>
        <v>0</v>
      </c>
      <c r="AF1296" s="25">
        <f>ROUND(IF(AO1296="0",BH1296,0),2)</f>
        <v>0</v>
      </c>
      <c r="AG1296" s="10" t="s">
        <v>1101</v>
      </c>
      <c r="AH1296" s="25">
        <f>IF(AL1296=0,K1296,0)</f>
        <v>0</v>
      </c>
      <c r="AI1296" s="25">
        <f>IF(AL1296=12,K1296,0)</f>
        <v>0</v>
      </c>
      <c r="AJ1296" s="25">
        <f>IF(AL1296=21,K1296,0)</f>
        <v>0</v>
      </c>
      <c r="AL1296" s="25">
        <v>21</v>
      </c>
      <c r="AM1296" s="25">
        <f>H1296*0</f>
        <v>0</v>
      </c>
      <c r="AN1296" s="25">
        <f>H1296*(1-0)</f>
        <v>0</v>
      </c>
      <c r="AO1296" s="27" t="s">
        <v>97</v>
      </c>
      <c r="AT1296" s="25">
        <f>ROUND(AU1296+AV1296,2)</f>
        <v>0</v>
      </c>
      <c r="AU1296" s="25">
        <f>ROUND(G1296*AM1296,2)</f>
        <v>0</v>
      </c>
      <c r="AV1296" s="25">
        <f>ROUND(G1296*AN1296,2)</f>
        <v>0</v>
      </c>
      <c r="AW1296" s="27" t="s">
        <v>329</v>
      </c>
      <c r="AX1296" s="27" t="s">
        <v>1449</v>
      </c>
      <c r="AY1296" s="10" t="s">
        <v>1105</v>
      </c>
      <c r="BA1296" s="25">
        <f>AU1296+AV1296</f>
        <v>0</v>
      </c>
      <c r="BB1296" s="25">
        <f>H1296/(100-BC1296)*100</f>
        <v>0</v>
      </c>
      <c r="BC1296" s="25">
        <v>0</v>
      </c>
      <c r="BD1296" s="25">
        <f>M1296</f>
        <v>0</v>
      </c>
      <c r="BF1296" s="25">
        <f>G1296*AM1296</f>
        <v>0</v>
      </c>
      <c r="BG1296" s="25">
        <f>G1296*AN1296</f>
        <v>0</v>
      </c>
      <c r="BH1296" s="25">
        <f>G1296*H1296</f>
        <v>0</v>
      </c>
      <c r="BI1296" s="27" t="s">
        <v>65</v>
      </c>
      <c r="BJ1296" s="25">
        <v>766</v>
      </c>
      <c r="BU1296" s="25" t="e">
        <f>#REF!</f>
        <v>#REF!</v>
      </c>
      <c r="BV1296" s="4" t="s">
        <v>919</v>
      </c>
    </row>
    <row r="1297" spans="1:74" ht="14.4" x14ac:dyDescent="0.3">
      <c r="A1297" s="21" t="s">
        <v>52</v>
      </c>
      <c r="B1297" s="22" t="s">
        <v>1101</v>
      </c>
      <c r="C1297" s="22" t="s">
        <v>921</v>
      </c>
      <c r="D1297" s="170" t="s">
        <v>922</v>
      </c>
      <c r="E1297" s="171"/>
      <c r="F1297" s="23" t="s">
        <v>32</v>
      </c>
      <c r="G1297" s="23" t="s">
        <v>32</v>
      </c>
      <c r="H1297" s="64"/>
      <c r="I1297" s="1">
        <f>SUM(I1298:I1324)</f>
        <v>0</v>
      </c>
      <c r="J1297" s="1">
        <f>SUM(J1298:J1324)</f>
        <v>0</v>
      </c>
      <c r="K1297" s="1">
        <f>SUM(K1298:K1324)</f>
        <v>0</v>
      </c>
      <c r="L1297" s="10" t="s">
        <v>52</v>
      </c>
      <c r="M1297" s="1">
        <f>SUM(M1298:M1324)</f>
        <v>2.5840860999999999</v>
      </c>
      <c r="N1297" s="24"/>
      <c r="AG1297" s="10" t="s">
        <v>1101</v>
      </c>
      <c r="AQ1297" s="1">
        <f>SUM(AH1298:AH1324)</f>
        <v>0</v>
      </c>
      <c r="AR1297" s="1">
        <f>SUM(AI1298:AI1324)</f>
        <v>0</v>
      </c>
      <c r="AS1297" s="1">
        <f>SUM(AJ1298:AJ1324)</f>
        <v>0</v>
      </c>
    </row>
    <row r="1298" spans="1:74" ht="26.4" x14ac:dyDescent="0.3">
      <c r="A1298" s="2" t="s">
        <v>1513</v>
      </c>
      <c r="B1298" s="3" t="s">
        <v>1101</v>
      </c>
      <c r="C1298" s="3" t="s">
        <v>1514</v>
      </c>
      <c r="D1298" s="112" t="s">
        <v>1515</v>
      </c>
      <c r="E1298" s="109"/>
      <c r="F1298" s="3" t="s">
        <v>60</v>
      </c>
      <c r="G1298" s="25">
        <v>16.13</v>
      </c>
      <c r="H1298" s="62"/>
      <c r="I1298" s="25">
        <f>ROUND(G1298*AM1298,2)</f>
        <v>0</v>
      </c>
      <c r="J1298" s="25">
        <f>ROUND(G1298*AN1298,2)</f>
        <v>0</v>
      </c>
      <c r="K1298" s="25">
        <f>ROUND(G1298*H1298,2)</f>
        <v>0</v>
      </c>
      <c r="L1298" s="25">
        <v>6.4700000000000001E-3</v>
      </c>
      <c r="M1298" s="25">
        <f>G1298*L1298</f>
        <v>0.1043611</v>
      </c>
      <c r="N1298" s="26"/>
      <c r="X1298" s="25">
        <f>ROUND(IF(AO1298="5",BH1298,0),2)</f>
        <v>0</v>
      </c>
      <c r="Z1298" s="25">
        <f>ROUND(IF(AO1298="1",BF1298,0),2)</f>
        <v>0</v>
      </c>
      <c r="AA1298" s="25">
        <f>ROUND(IF(AO1298="1",BG1298,0),2)</f>
        <v>0</v>
      </c>
      <c r="AB1298" s="25">
        <f>ROUND(IF(AO1298="7",BF1298,0),2)</f>
        <v>0</v>
      </c>
      <c r="AC1298" s="25">
        <f>ROUND(IF(AO1298="7",BG1298,0),2)</f>
        <v>0</v>
      </c>
      <c r="AD1298" s="25">
        <f>ROUND(IF(AO1298="2",BF1298,0),2)</f>
        <v>0</v>
      </c>
      <c r="AE1298" s="25">
        <f>ROUND(IF(AO1298="2",BG1298,0),2)</f>
        <v>0</v>
      </c>
      <c r="AF1298" s="25">
        <f>ROUND(IF(AO1298="0",BH1298,0),2)</f>
        <v>0</v>
      </c>
      <c r="AG1298" s="10" t="s">
        <v>1101</v>
      </c>
      <c r="AH1298" s="25">
        <f>IF(AL1298=0,K1298,0)</f>
        <v>0</v>
      </c>
      <c r="AI1298" s="25">
        <f>IF(AL1298=12,K1298,0)</f>
        <v>0</v>
      </c>
      <c r="AJ1298" s="25">
        <f>IF(AL1298=21,K1298,0)</f>
        <v>0</v>
      </c>
      <c r="AL1298" s="25">
        <v>21</v>
      </c>
      <c r="AM1298" s="25">
        <f>H1298*0.554518409</f>
        <v>0</v>
      </c>
      <c r="AN1298" s="25">
        <f>H1298*(1-0.554518409)</f>
        <v>0</v>
      </c>
      <c r="AO1298" s="27" t="s">
        <v>61</v>
      </c>
      <c r="AT1298" s="25">
        <f>ROUND(AU1298+AV1298,2)</f>
        <v>0</v>
      </c>
      <c r="AU1298" s="25">
        <f>ROUND(G1298*AM1298,2)</f>
        <v>0</v>
      </c>
      <c r="AV1298" s="25">
        <f>ROUND(G1298*AN1298,2)</f>
        <v>0</v>
      </c>
      <c r="AW1298" s="27" t="s">
        <v>926</v>
      </c>
      <c r="AX1298" s="27" t="s">
        <v>1449</v>
      </c>
      <c r="AY1298" s="10" t="s">
        <v>1105</v>
      </c>
      <c r="BA1298" s="25">
        <f>AU1298+AV1298</f>
        <v>0</v>
      </c>
      <c r="BB1298" s="25">
        <f>H1298/(100-BC1298)*100</f>
        <v>0</v>
      </c>
      <c r="BC1298" s="25">
        <v>0</v>
      </c>
      <c r="BD1298" s="25">
        <f>M1298</f>
        <v>0.1043611</v>
      </c>
      <c r="BF1298" s="25">
        <f>G1298*AM1298</f>
        <v>0</v>
      </c>
      <c r="BG1298" s="25">
        <f>G1298*AN1298</f>
        <v>0</v>
      </c>
      <c r="BH1298" s="25">
        <f>G1298*H1298</f>
        <v>0</v>
      </c>
      <c r="BI1298" s="27" t="s">
        <v>65</v>
      </c>
      <c r="BJ1298" s="25">
        <v>767</v>
      </c>
      <c r="BU1298" s="25" t="e">
        <f>#REF!</f>
        <v>#REF!</v>
      </c>
      <c r="BV1298" s="4" t="s">
        <v>1515</v>
      </c>
    </row>
    <row r="1299" spans="1:74" ht="14.4" x14ac:dyDescent="0.3">
      <c r="A1299" s="28"/>
      <c r="D1299" s="29" t="s">
        <v>1516</v>
      </c>
      <c r="E1299" s="29" t="s">
        <v>335</v>
      </c>
      <c r="G1299" s="30">
        <v>16.13</v>
      </c>
      <c r="H1299" s="63"/>
      <c r="N1299" s="31"/>
    </row>
    <row r="1300" spans="1:74" ht="14.4" x14ac:dyDescent="0.3">
      <c r="A1300" s="2" t="s">
        <v>1517</v>
      </c>
      <c r="B1300" s="3" t="s">
        <v>1101</v>
      </c>
      <c r="C1300" s="3" t="s">
        <v>1518</v>
      </c>
      <c r="D1300" s="112" t="s">
        <v>1519</v>
      </c>
      <c r="E1300" s="109"/>
      <c r="F1300" s="3" t="s">
        <v>1520</v>
      </c>
      <c r="G1300" s="25">
        <v>2064</v>
      </c>
      <c r="H1300" s="62"/>
      <c r="I1300" s="25">
        <f>ROUND(G1300*AM1300,2)</f>
        <v>0</v>
      </c>
      <c r="J1300" s="25">
        <f>ROUND(G1300*AN1300,2)</f>
        <v>0</v>
      </c>
      <c r="K1300" s="25">
        <f>ROUND(G1300*H1300,2)</f>
        <v>0</v>
      </c>
      <c r="L1300" s="25">
        <v>5.0000000000000002E-5</v>
      </c>
      <c r="M1300" s="25">
        <f>G1300*L1300</f>
        <v>0.1032</v>
      </c>
      <c r="N1300" s="26"/>
      <c r="X1300" s="25">
        <f>ROUND(IF(AO1300="5",BH1300,0),2)</f>
        <v>0</v>
      </c>
      <c r="Z1300" s="25">
        <f>ROUND(IF(AO1300="1",BF1300,0),2)</f>
        <v>0</v>
      </c>
      <c r="AA1300" s="25">
        <f>ROUND(IF(AO1300="1",BG1300,0),2)</f>
        <v>0</v>
      </c>
      <c r="AB1300" s="25">
        <f>ROUND(IF(AO1300="7",BF1300,0),2)</f>
        <v>0</v>
      </c>
      <c r="AC1300" s="25">
        <f>ROUND(IF(AO1300="7",BG1300,0),2)</f>
        <v>0</v>
      </c>
      <c r="AD1300" s="25">
        <f>ROUND(IF(AO1300="2",BF1300,0),2)</f>
        <v>0</v>
      </c>
      <c r="AE1300" s="25">
        <f>ROUND(IF(AO1300="2",BG1300,0),2)</f>
        <v>0</v>
      </c>
      <c r="AF1300" s="25">
        <f>ROUND(IF(AO1300="0",BH1300,0),2)</f>
        <v>0</v>
      </c>
      <c r="AG1300" s="10" t="s">
        <v>1101</v>
      </c>
      <c r="AH1300" s="25">
        <f>IF(AL1300=0,K1300,0)</f>
        <v>0</v>
      </c>
      <c r="AI1300" s="25">
        <f>IF(AL1300=12,K1300,0)</f>
        <v>0</v>
      </c>
      <c r="AJ1300" s="25">
        <f>IF(AL1300=21,K1300,0)</f>
        <v>0</v>
      </c>
      <c r="AL1300" s="25">
        <v>21</v>
      </c>
      <c r="AM1300" s="25">
        <f>H1300*0.255889724</f>
        <v>0</v>
      </c>
      <c r="AN1300" s="25">
        <f>H1300*(1-0.255889724)</f>
        <v>0</v>
      </c>
      <c r="AO1300" s="27" t="s">
        <v>61</v>
      </c>
      <c r="AT1300" s="25">
        <f>ROUND(AU1300+AV1300,2)</f>
        <v>0</v>
      </c>
      <c r="AU1300" s="25">
        <f>ROUND(G1300*AM1300,2)</f>
        <v>0</v>
      </c>
      <c r="AV1300" s="25">
        <f>ROUND(G1300*AN1300,2)</f>
        <v>0</v>
      </c>
      <c r="AW1300" s="27" t="s">
        <v>926</v>
      </c>
      <c r="AX1300" s="27" t="s">
        <v>1449</v>
      </c>
      <c r="AY1300" s="10" t="s">
        <v>1105</v>
      </c>
      <c r="BA1300" s="25">
        <f>AU1300+AV1300</f>
        <v>0</v>
      </c>
      <c r="BB1300" s="25">
        <f>H1300/(100-BC1300)*100</f>
        <v>0</v>
      </c>
      <c r="BC1300" s="25">
        <v>0</v>
      </c>
      <c r="BD1300" s="25">
        <f>M1300</f>
        <v>0.1032</v>
      </c>
      <c r="BF1300" s="25">
        <f>G1300*AM1300</f>
        <v>0</v>
      </c>
      <c r="BG1300" s="25">
        <f>G1300*AN1300</f>
        <v>0</v>
      </c>
      <c r="BH1300" s="25">
        <f>G1300*H1300</f>
        <v>0</v>
      </c>
      <c r="BI1300" s="27" t="s">
        <v>65</v>
      </c>
      <c r="BJ1300" s="25">
        <v>767</v>
      </c>
      <c r="BU1300" s="25" t="e">
        <f>#REF!</f>
        <v>#REF!</v>
      </c>
      <c r="BV1300" s="4" t="s">
        <v>1519</v>
      </c>
    </row>
    <row r="1301" spans="1:74" ht="14.4" x14ac:dyDescent="0.3">
      <c r="A1301" s="28"/>
      <c r="D1301" s="29" t="s">
        <v>1521</v>
      </c>
      <c r="E1301" s="29" t="s">
        <v>52</v>
      </c>
      <c r="G1301" s="30">
        <v>2064</v>
      </c>
      <c r="H1301" s="63"/>
      <c r="N1301" s="31"/>
    </row>
    <row r="1302" spans="1:74" ht="14.4" x14ac:dyDescent="0.3">
      <c r="A1302" s="2" t="s">
        <v>1522</v>
      </c>
      <c r="B1302" s="3" t="s">
        <v>1101</v>
      </c>
      <c r="C1302" s="3" t="s">
        <v>1523</v>
      </c>
      <c r="D1302" s="112" t="s">
        <v>1524</v>
      </c>
      <c r="E1302" s="109"/>
      <c r="F1302" s="3" t="s">
        <v>1520</v>
      </c>
      <c r="G1302" s="25">
        <v>150.5</v>
      </c>
      <c r="H1302" s="62"/>
      <c r="I1302" s="25">
        <f>ROUND(G1302*AM1302,2)</f>
        <v>0</v>
      </c>
      <c r="J1302" s="25">
        <f>ROUND(G1302*AN1302,2)</f>
        <v>0</v>
      </c>
      <c r="K1302" s="25">
        <f>ROUND(G1302*H1302,2)</f>
        <v>0</v>
      </c>
      <c r="L1302" s="25">
        <v>5.0000000000000002E-5</v>
      </c>
      <c r="M1302" s="25">
        <f>G1302*L1302</f>
        <v>7.5250000000000004E-3</v>
      </c>
      <c r="N1302" s="26"/>
      <c r="X1302" s="25">
        <f>ROUND(IF(AO1302="5",BH1302,0),2)</f>
        <v>0</v>
      </c>
      <c r="Z1302" s="25">
        <f>ROUND(IF(AO1302="1",BF1302,0),2)</f>
        <v>0</v>
      </c>
      <c r="AA1302" s="25">
        <f>ROUND(IF(AO1302="1",BG1302,0),2)</f>
        <v>0</v>
      </c>
      <c r="AB1302" s="25">
        <f>ROUND(IF(AO1302="7",BF1302,0),2)</f>
        <v>0</v>
      </c>
      <c r="AC1302" s="25">
        <f>ROUND(IF(AO1302="7",BG1302,0),2)</f>
        <v>0</v>
      </c>
      <c r="AD1302" s="25">
        <f>ROUND(IF(AO1302="2",BF1302,0),2)</f>
        <v>0</v>
      </c>
      <c r="AE1302" s="25">
        <f>ROUND(IF(AO1302="2",BG1302,0),2)</f>
        <v>0</v>
      </c>
      <c r="AF1302" s="25">
        <f>ROUND(IF(AO1302="0",BH1302,0),2)</f>
        <v>0</v>
      </c>
      <c r="AG1302" s="10" t="s">
        <v>1101</v>
      </c>
      <c r="AH1302" s="25">
        <f>IF(AL1302=0,K1302,0)</f>
        <v>0</v>
      </c>
      <c r="AI1302" s="25">
        <f>IF(AL1302=12,K1302,0)</f>
        <v>0</v>
      </c>
      <c r="AJ1302" s="25">
        <f>IF(AL1302=21,K1302,0)</f>
        <v>0</v>
      </c>
      <c r="AL1302" s="25">
        <v>21</v>
      </c>
      <c r="AM1302" s="25">
        <f>H1302*0.201779313</f>
        <v>0</v>
      </c>
      <c r="AN1302" s="25">
        <f>H1302*(1-0.201779313)</f>
        <v>0</v>
      </c>
      <c r="AO1302" s="27" t="s">
        <v>61</v>
      </c>
      <c r="AT1302" s="25">
        <f>ROUND(AU1302+AV1302,2)</f>
        <v>0</v>
      </c>
      <c r="AU1302" s="25">
        <f>ROUND(G1302*AM1302,2)</f>
        <v>0</v>
      </c>
      <c r="AV1302" s="25">
        <f>ROUND(G1302*AN1302,2)</f>
        <v>0</v>
      </c>
      <c r="AW1302" s="27" t="s">
        <v>926</v>
      </c>
      <c r="AX1302" s="27" t="s">
        <v>1449</v>
      </c>
      <c r="AY1302" s="10" t="s">
        <v>1105</v>
      </c>
      <c r="BA1302" s="25">
        <f>AU1302+AV1302</f>
        <v>0</v>
      </c>
      <c r="BB1302" s="25">
        <f>H1302/(100-BC1302)*100</f>
        <v>0</v>
      </c>
      <c r="BC1302" s="25">
        <v>0</v>
      </c>
      <c r="BD1302" s="25">
        <f>M1302</f>
        <v>7.5250000000000004E-3</v>
      </c>
      <c r="BF1302" s="25">
        <f>G1302*AM1302</f>
        <v>0</v>
      </c>
      <c r="BG1302" s="25">
        <f>G1302*AN1302</f>
        <v>0</v>
      </c>
      <c r="BH1302" s="25">
        <f>G1302*H1302</f>
        <v>0</v>
      </c>
      <c r="BI1302" s="27" t="s">
        <v>65</v>
      </c>
      <c r="BJ1302" s="25">
        <v>767</v>
      </c>
      <c r="BU1302" s="25" t="e">
        <f>#REF!</f>
        <v>#REF!</v>
      </c>
      <c r="BV1302" s="4" t="s">
        <v>1524</v>
      </c>
    </row>
    <row r="1303" spans="1:74" ht="14.4" x14ac:dyDescent="0.3">
      <c r="A1303" s="28"/>
      <c r="D1303" s="29" t="s">
        <v>1525</v>
      </c>
      <c r="E1303" s="29" t="s">
        <v>52</v>
      </c>
      <c r="G1303" s="30">
        <v>150.5</v>
      </c>
      <c r="H1303" s="63"/>
      <c r="N1303" s="31"/>
    </row>
    <row r="1304" spans="1:74" ht="14.4" x14ac:dyDescent="0.3">
      <c r="A1304" s="2" t="s">
        <v>1526</v>
      </c>
      <c r="B1304" s="3" t="s">
        <v>1101</v>
      </c>
      <c r="C1304" s="3" t="s">
        <v>1527</v>
      </c>
      <c r="D1304" s="112" t="s">
        <v>1528</v>
      </c>
      <c r="E1304" s="109"/>
      <c r="F1304" s="3" t="s">
        <v>278</v>
      </c>
      <c r="G1304" s="25">
        <v>2.3E-2</v>
      </c>
      <c r="H1304" s="62"/>
      <c r="I1304" s="25">
        <f>ROUND(G1304*AM1304,2)</f>
        <v>0</v>
      </c>
      <c r="J1304" s="25">
        <f>ROUND(G1304*AN1304,2)</f>
        <v>0</v>
      </c>
      <c r="K1304" s="25">
        <f>ROUND(G1304*H1304,2)</f>
        <v>0</v>
      </c>
      <c r="L1304" s="25">
        <v>1</v>
      </c>
      <c r="M1304" s="25">
        <f>G1304*L1304</f>
        <v>2.3E-2</v>
      </c>
      <c r="N1304" s="26"/>
      <c r="X1304" s="25">
        <f>ROUND(IF(AO1304="5",BH1304,0),2)</f>
        <v>0</v>
      </c>
      <c r="Z1304" s="25">
        <f>ROUND(IF(AO1304="1",BF1304,0),2)</f>
        <v>0</v>
      </c>
      <c r="AA1304" s="25">
        <f>ROUND(IF(AO1304="1",BG1304,0),2)</f>
        <v>0</v>
      </c>
      <c r="AB1304" s="25">
        <f>ROUND(IF(AO1304="7",BF1304,0),2)</f>
        <v>0</v>
      </c>
      <c r="AC1304" s="25">
        <f>ROUND(IF(AO1304="7",BG1304,0),2)</f>
        <v>0</v>
      </c>
      <c r="AD1304" s="25">
        <f>ROUND(IF(AO1304="2",BF1304,0),2)</f>
        <v>0</v>
      </c>
      <c r="AE1304" s="25">
        <f>ROUND(IF(AO1304="2",BG1304,0),2)</f>
        <v>0</v>
      </c>
      <c r="AF1304" s="25">
        <f>ROUND(IF(AO1304="0",BH1304,0),2)</f>
        <v>0</v>
      </c>
      <c r="AG1304" s="10" t="s">
        <v>1101</v>
      </c>
      <c r="AH1304" s="25">
        <f>IF(AL1304=0,K1304,0)</f>
        <v>0</v>
      </c>
      <c r="AI1304" s="25">
        <f>IF(AL1304=12,K1304,0)</f>
        <v>0</v>
      </c>
      <c r="AJ1304" s="25">
        <f>IF(AL1304=21,K1304,0)</f>
        <v>0</v>
      </c>
      <c r="AL1304" s="25">
        <v>21</v>
      </c>
      <c r="AM1304" s="25">
        <f>H1304*1</f>
        <v>0</v>
      </c>
      <c r="AN1304" s="25">
        <f>H1304*(1-1)</f>
        <v>0</v>
      </c>
      <c r="AO1304" s="27" t="s">
        <v>61</v>
      </c>
      <c r="AT1304" s="25">
        <f>ROUND(AU1304+AV1304,2)</f>
        <v>0</v>
      </c>
      <c r="AU1304" s="25">
        <f>ROUND(G1304*AM1304,2)</f>
        <v>0</v>
      </c>
      <c r="AV1304" s="25">
        <f>ROUND(G1304*AN1304,2)</f>
        <v>0</v>
      </c>
      <c r="AW1304" s="27" t="s">
        <v>926</v>
      </c>
      <c r="AX1304" s="27" t="s">
        <v>1449</v>
      </c>
      <c r="AY1304" s="10" t="s">
        <v>1105</v>
      </c>
      <c r="BA1304" s="25">
        <f>AU1304+AV1304</f>
        <v>0</v>
      </c>
      <c r="BB1304" s="25">
        <f>H1304/(100-BC1304)*100</f>
        <v>0</v>
      </c>
      <c r="BC1304" s="25">
        <v>0</v>
      </c>
      <c r="BD1304" s="25">
        <f>M1304</f>
        <v>2.3E-2</v>
      </c>
      <c r="BF1304" s="25">
        <f>G1304*AM1304</f>
        <v>0</v>
      </c>
      <c r="BG1304" s="25">
        <f>G1304*AN1304</f>
        <v>0</v>
      </c>
      <c r="BH1304" s="25">
        <f>G1304*H1304</f>
        <v>0</v>
      </c>
      <c r="BI1304" s="27" t="s">
        <v>576</v>
      </c>
      <c r="BJ1304" s="25">
        <v>767</v>
      </c>
      <c r="BU1304" s="25" t="e">
        <f>#REF!</f>
        <v>#REF!</v>
      </c>
      <c r="BV1304" s="4" t="s">
        <v>1528</v>
      </c>
    </row>
    <row r="1305" spans="1:74" ht="14.4" x14ac:dyDescent="0.3">
      <c r="A1305" s="28"/>
      <c r="D1305" s="29" t="s">
        <v>1529</v>
      </c>
      <c r="E1305" s="29" t="s">
        <v>52</v>
      </c>
      <c r="G1305" s="30">
        <v>2.3E-2</v>
      </c>
      <c r="H1305" s="63"/>
      <c r="N1305" s="31"/>
    </row>
    <row r="1306" spans="1:74" ht="14.4" x14ac:dyDescent="0.3">
      <c r="A1306" s="2" t="s">
        <v>1530</v>
      </c>
      <c r="B1306" s="3" t="s">
        <v>1101</v>
      </c>
      <c r="C1306" s="3" t="s">
        <v>1531</v>
      </c>
      <c r="D1306" s="112" t="s">
        <v>1532</v>
      </c>
      <c r="E1306" s="109"/>
      <c r="F1306" s="3" t="s">
        <v>278</v>
      </c>
      <c r="G1306" s="25">
        <v>3.1E-2</v>
      </c>
      <c r="H1306" s="62"/>
      <c r="I1306" s="25">
        <f>ROUND(G1306*AM1306,2)</f>
        <v>0</v>
      </c>
      <c r="J1306" s="25">
        <f>ROUND(G1306*AN1306,2)</f>
        <v>0</v>
      </c>
      <c r="K1306" s="25">
        <f>ROUND(G1306*H1306,2)</f>
        <v>0</v>
      </c>
      <c r="L1306" s="25">
        <v>1</v>
      </c>
      <c r="M1306" s="25">
        <f>G1306*L1306</f>
        <v>3.1E-2</v>
      </c>
      <c r="N1306" s="26"/>
      <c r="X1306" s="25">
        <f>ROUND(IF(AO1306="5",BH1306,0),2)</f>
        <v>0</v>
      </c>
      <c r="Z1306" s="25">
        <f>ROUND(IF(AO1306="1",BF1306,0),2)</f>
        <v>0</v>
      </c>
      <c r="AA1306" s="25">
        <f>ROUND(IF(AO1306="1",BG1306,0),2)</f>
        <v>0</v>
      </c>
      <c r="AB1306" s="25">
        <f>ROUND(IF(AO1306="7",BF1306,0),2)</f>
        <v>0</v>
      </c>
      <c r="AC1306" s="25">
        <f>ROUND(IF(AO1306="7",BG1306,0),2)</f>
        <v>0</v>
      </c>
      <c r="AD1306" s="25">
        <f>ROUND(IF(AO1306="2",BF1306,0),2)</f>
        <v>0</v>
      </c>
      <c r="AE1306" s="25">
        <f>ROUND(IF(AO1306="2",BG1306,0),2)</f>
        <v>0</v>
      </c>
      <c r="AF1306" s="25">
        <f>ROUND(IF(AO1306="0",BH1306,0),2)</f>
        <v>0</v>
      </c>
      <c r="AG1306" s="10" t="s">
        <v>1101</v>
      </c>
      <c r="AH1306" s="25">
        <f>IF(AL1306=0,K1306,0)</f>
        <v>0</v>
      </c>
      <c r="AI1306" s="25">
        <f>IF(AL1306=12,K1306,0)</f>
        <v>0</v>
      </c>
      <c r="AJ1306" s="25">
        <f>IF(AL1306=21,K1306,0)</f>
        <v>0</v>
      </c>
      <c r="AL1306" s="25">
        <v>21</v>
      </c>
      <c r="AM1306" s="25">
        <f>H1306*1</f>
        <v>0</v>
      </c>
      <c r="AN1306" s="25">
        <f>H1306*(1-1)</f>
        <v>0</v>
      </c>
      <c r="AO1306" s="27" t="s">
        <v>61</v>
      </c>
      <c r="AT1306" s="25">
        <f>ROUND(AU1306+AV1306,2)</f>
        <v>0</v>
      </c>
      <c r="AU1306" s="25">
        <f>ROUND(G1306*AM1306,2)</f>
        <v>0</v>
      </c>
      <c r="AV1306" s="25">
        <f>ROUND(G1306*AN1306,2)</f>
        <v>0</v>
      </c>
      <c r="AW1306" s="27" t="s">
        <v>926</v>
      </c>
      <c r="AX1306" s="27" t="s">
        <v>1449</v>
      </c>
      <c r="AY1306" s="10" t="s">
        <v>1105</v>
      </c>
      <c r="BA1306" s="25">
        <f>AU1306+AV1306</f>
        <v>0</v>
      </c>
      <c r="BB1306" s="25">
        <f>H1306/(100-BC1306)*100</f>
        <v>0</v>
      </c>
      <c r="BC1306" s="25">
        <v>0</v>
      </c>
      <c r="BD1306" s="25">
        <f>M1306</f>
        <v>3.1E-2</v>
      </c>
      <c r="BF1306" s="25">
        <f>G1306*AM1306</f>
        <v>0</v>
      </c>
      <c r="BG1306" s="25">
        <f>G1306*AN1306</f>
        <v>0</v>
      </c>
      <c r="BH1306" s="25">
        <f>G1306*H1306</f>
        <v>0</v>
      </c>
      <c r="BI1306" s="27" t="s">
        <v>576</v>
      </c>
      <c r="BJ1306" s="25">
        <v>767</v>
      </c>
      <c r="BU1306" s="25" t="e">
        <f>#REF!</f>
        <v>#REF!</v>
      </c>
      <c r="BV1306" s="4" t="s">
        <v>1532</v>
      </c>
    </row>
    <row r="1307" spans="1:74" ht="14.4" x14ac:dyDescent="0.3">
      <c r="A1307" s="28"/>
      <c r="D1307" s="29" t="s">
        <v>1533</v>
      </c>
      <c r="E1307" s="29" t="s">
        <v>1534</v>
      </c>
      <c r="G1307" s="30">
        <v>2.1000000000000001E-2</v>
      </c>
      <c r="H1307" s="63"/>
      <c r="N1307" s="31"/>
    </row>
    <row r="1308" spans="1:74" ht="14.4" x14ac:dyDescent="0.3">
      <c r="A1308" s="28"/>
      <c r="D1308" s="29" t="s">
        <v>1535</v>
      </c>
      <c r="E1308" s="29" t="s">
        <v>1536</v>
      </c>
      <c r="G1308" s="30">
        <v>0.01</v>
      </c>
      <c r="H1308" s="63"/>
      <c r="N1308" s="31"/>
    </row>
    <row r="1309" spans="1:74" ht="14.4" x14ac:dyDescent="0.3">
      <c r="A1309" s="2" t="s">
        <v>1537</v>
      </c>
      <c r="B1309" s="3" t="s">
        <v>1101</v>
      </c>
      <c r="C1309" s="3" t="s">
        <v>1538</v>
      </c>
      <c r="D1309" s="112" t="s">
        <v>1539</v>
      </c>
      <c r="E1309" s="109"/>
      <c r="F1309" s="3" t="s">
        <v>278</v>
      </c>
      <c r="G1309" s="25">
        <v>0.39300000000000002</v>
      </c>
      <c r="H1309" s="62"/>
      <c r="I1309" s="25">
        <f>ROUND(G1309*AM1309,2)</f>
        <v>0</v>
      </c>
      <c r="J1309" s="25">
        <f>ROUND(G1309*AN1309,2)</f>
        <v>0</v>
      </c>
      <c r="K1309" s="25">
        <f>ROUND(G1309*H1309,2)</f>
        <v>0</v>
      </c>
      <c r="L1309" s="25">
        <v>1</v>
      </c>
      <c r="M1309" s="25">
        <f>G1309*L1309</f>
        <v>0.39300000000000002</v>
      </c>
      <c r="N1309" s="26"/>
      <c r="X1309" s="25">
        <f>ROUND(IF(AO1309="5",BH1309,0),2)</f>
        <v>0</v>
      </c>
      <c r="Z1309" s="25">
        <f>ROUND(IF(AO1309="1",BF1309,0),2)</f>
        <v>0</v>
      </c>
      <c r="AA1309" s="25">
        <f>ROUND(IF(AO1309="1",BG1309,0),2)</f>
        <v>0</v>
      </c>
      <c r="AB1309" s="25">
        <f>ROUND(IF(AO1309="7",BF1309,0),2)</f>
        <v>0</v>
      </c>
      <c r="AC1309" s="25">
        <f>ROUND(IF(AO1309="7",BG1309,0),2)</f>
        <v>0</v>
      </c>
      <c r="AD1309" s="25">
        <f>ROUND(IF(AO1309="2",BF1309,0),2)</f>
        <v>0</v>
      </c>
      <c r="AE1309" s="25">
        <f>ROUND(IF(AO1309="2",BG1309,0),2)</f>
        <v>0</v>
      </c>
      <c r="AF1309" s="25">
        <f>ROUND(IF(AO1309="0",BH1309,0),2)</f>
        <v>0</v>
      </c>
      <c r="AG1309" s="10" t="s">
        <v>1101</v>
      </c>
      <c r="AH1309" s="25">
        <f>IF(AL1309=0,K1309,0)</f>
        <v>0</v>
      </c>
      <c r="AI1309" s="25">
        <f>IF(AL1309=12,K1309,0)</f>
        <v>0</v>
      </c>
      <c r="AJ1309" s="25">
        <f>IF(AL1309=21,K1309,0)</f>
        <v>0</v>
      </c>
      <c r="AL1309" s="25">
        <v>21</v>
      </c>
      <c r="AM1309" s="25">
        <f>H1309*1</f>
        <v>0</v>
      </c>
      <c r="AN1309" s="25">
        <f>H1309*(1-1)</f>
        <v>0</v>
      </c>
      <c r="AO1309" s="27" t="s">
        <v>61</v>
      </c>
      <c r="AT1309" s="25">
        <f>ROUND(AU1309+AV1309,2)</f>
        <v>0</v>
      </c>
      <c r="AU1309" s="25">
        <f>ROUND(G1309*AM1309,2)</f>
        <v>0</v>
      </c>
      <c r="AV1309" s="25">
        <f>ROUND(G1309*AN1309,2)</f>
        <v>0</v>
      </c>
      <c r="AW1309" s="27" t="s">
        <v>926</v>
      </c>
      <c r="AX1309" s="27" t="s">
        <v>1449</v>
      </c>
      <c r="AY1309" s="10" t="s">
        <v>1105</v>
      </c>
      <c r="BA1309" s="25">
        <f>AU1309+AV1309</f>
        <v>0</v>
      </c>
      <c r="BB1309" s="25">
        <f>H1309/(100-BC1309)*100</f>
        <v>0</v>
      </c>
      <c r="BC1309" s="25">
        <v>0</v>
      </c>
      <c r="BD1309" s="25">
        <f>M1309</f>
        <v>0.39300000000000002</v>
      </c>
      <c r="BF1309" s="25">
        <f>G1309*AM1309</f>
        <v>0</v>
      </c>
      <c r="BG1309" s="25">
        <f>G1309*AN1309</f>
        <v>0</v>
      </c>
      <c r="BH1309" s="25">
        <f>G1309*H1309</f>
        <v>0</v>
      </c>
      <c r="BI1309" s="27" t="s">
        <v>576</v>
      </c>
      <c r="BJ1309" s="25">
        <v>767</v>
      </c>
      <c r="BU1309" s="25" t="e">
        <f>#REF!</f>
        <v>#REF!</v>
      </c>
      <c r="BV1309" s="4" t="s">
        <v>1539</v>
      </c>
    </row>
    <row r="1310" spans="1:74" ht="14.4" x14ac:dyDescent="0.3">
      <c r="A1310" s="28"/>
      <c r="D1310" s="29" t="s">
        <v>1540</v>
      </c>
      <c r="E1310" s="29" t="s">
        <v>52</v>
      </c>
      <c r="G1310" s="30">
        <v>0.39300000000000002</v>
      </c>
      <c r="H1310" s="63"/>
      <c r="N1310" s="31"/>
    </row>
    <row r="1311" spans="1:74" ht="14.4" x14ac:dyDescent="0.3">
      <c r="A1311" s="2" t="s">
        <v>1541</v>
      </c>
      <c r="B1311" s="3" t="s">
        <v>1101</v>
      </c>
      <c r="C1311" s="3" t="s">
        <v>1132</v>
      </c>
      <c r="D1311" s="112" t="s">
        <v>1133</v>
      </c>
      <c r="E1311" s="109"/>
      <c r="F1311" s="3" t="s">
        <v>278</v>
      </c>
      <c r="G1311" s="25">
        <v>0.10100000000000001</v>
      </c>
      <c r="H1311" s="62"/>
      <c r="I1311" s="25">
        <f>ROUND(G1311*AM1311,2)</f>
        <v>0</v>
      </c>
      <c r="J1311" s="25">
        <f>ROUND(G1311*AN1311,2)</f>
        <v>0</v>
      </c>
      <c r="K1311" s="25">
        <f>ROUND(G1311*H1311,2)</f>
        <v>0</v>
      </c>
      <c r="L1311" s="25">
        <v>1</v>
      </c>
      <c r="M1311" s="25">
        <f>G1311*L1311</f>
        <v>0.10100000000000001</v>
      </c>
      <c r="N1311" s="26"/>
      <c r="X1311" s="25">
        <f>ROUND(IF(AO1311="5",BH1311,0),2)</f>
        <v>0</v>
      </c>
      <c r="Z1311" s="25">
        <f>ROUND(IF(AO1311="1",BF1311,0),2)</f>
        <v>0</v>
      </c>
      <c r="AA1311" s="25">
        <f>ROUND(IF(AO1311="1",BG1311,0),2)</f>
        <v>0</v>
      </c>
      <c r="AB1311" s="25">
        <f>ROUND(IF(AO1311="7",BF1311,0),2)</f>
        <v>0</v>
      </c>
      <c r="AC1311" s="25">
        <f>ROUND(IF(AO1311="7",BG1311,0),2)</f>
        <v>0</v>
      </c>
      <c r="AD1311" s="25">
        <f>ROUND(IF(AO1311="2",BF1311,0),2)</f>
        <v>0</v>
      </c>
      <c r="AE1311" s="25">
        <f>ROUND(IF(AO1311="2",BG1311,0),2)</f>
        <v>0</v>
      </c>
      <c r="AF1311" s="25">
        <f>ROUND(IF(AO1311="0",BH1311,0),2)</f>
        <v>0</v>
      </c>
      <c r="AG1311" s="10" t="s">
        <v>1101</v>
      </c>
      <c r="AH1311" s="25">
        <f>IF(AL1311=0,K1311,0)</f>
        <v>0</v>
      </c>
      <c r="AI1311" s="25">
        <f>IF(AL1311=12,K1311,0)</f>
        <v>0</v>
      </c>
      <c r="AJ1311" s="25">
        <f>IF(AL1311=21,K1311,0)</f>
        <v>0</v>
      </c>
      <c r="AL1311" s="25">
        <v>21</v>
      </c>
      <c r="AM1311" s="25">
        <f>H1311*1</f>
        <v>0</v>
      </c>
      <c r="AN1311" s="25">
        <f>H1311*(1-1)</f>
        <v>0</v>
      </c>
      <c r="AO1311" s="27" t="s">
        <v>61</v>
      </c>
      <c r="AT1311" s="25">
        <f>ROUND(AU1311+AV1311,2)</f>
        <v>0</v>
      </c>
      <c r="AU1311" s="25">
        <f>ROUND(G1311*AM1311,2)</f>
        <v>0</v>
      </c>
      <c r="AV1311" s="25">
        <f>ROUND(G1311*AN1311,2)</f>
        <v>0</v>
      </c>
      <c r="AW1311" s="27" t="s">
        <v>926</v>
      </c>
      <c r="AX1311" s="27" t="s">
        <v>1449</v>
      </c>
      <c r="AY1311" s="10" t="s">
        <v>1105</v>
      </c>
      <c r="BA1311" s="25">
        <f>AU1311+AV1311</f>
        <v>0</v>
      </c>
      <c r="BB1311" s="25">
        <f>H1311/(100-BC1311)*100</f>
        <v>0</v>
      </c>
      <c r="BC1311" s="25">
        <v>0</v>
      </c>
      <c r="BD1311" s="25">
        <f>M1311</f>
        <v>0.10100000000000001</v>
      </c>
      <c r="BF1311" s="25">
        <f>G1311*AM1311</f>
        <v>0</v>
      </c>
      <c r="BG1311" s="25">
        <f>G1311*AN1311</f>
        <v>0</v>
      </c>
      <c r="BH1311" s="25">
        <f>G1311*H1311</f>
        <v>0</v>
      </c>
      <c r="BI1311" s="27" t="s">
        <v>576</v>
      </c>
      <c r="BJ1311" s="25">
        <v>767</v>
      </c>
      <c r="BU1311" s="25" t="e">
        <f>#REF!</f>
        <v>#REF!</v>
      </c>
      <c r="BV1311" s="4" t="s">
        <v>1133</v>
      </c>
    </row>
    <row r="1312" spans="1:74" ht="14.4" x14ac:dyDescent="0.3">
      <c r="A1312" s="28"/>
      <c r="D1312" s="29" t="s">
        <v>1542</v>
      </c>
      <c r="E1312" s="29" t="s">
        <v>52</v>
      </c>
      <c r="G1312" s="30">
        <v>0.10100000000000001</v>
      </c>
      <c r="H1312" s="63"/>
      <c r="N1312" s="31"/>
    </row>
    <row r="1313" spans="1:74" ht="14.4" x14ac:dyDescent="0.3">
      <c r="A1313" s="2" t="s">
        <v>1543</v>
      </c>
      <c r="B1313" s="3" t="s">
        <v>1101</v>
      </c>
      <c r="C1313" s="3" t="s">
        <v>1544</v>
      </c>
      <c r="D1313" s="112" t="s">
        <v>1545</v>
      </c>
      <c r="E1313" s="109"/>
      <c r="F1313" s="3" t="s">
        <v>278</v>
      </c>
      <c r="G1313" s="25">
        <v>0.08</v>
      </c>
      <c r="H1313" s="62"/>
      <c r="I1313" s="25">
        <f>ROUND(G1313*AM1313,2)</f>
        <v>0</v>
      </c>
      <c r="J1313" s="25">
        <f>ROUND(G1313*AN1313,2)</f>
        <v>0</v>
      </c>
      <c r="K1313" s="25">
        <f>ROUND(G1313*H1313,2)</f>
        <v>0</v>
      </c>
      <c r="L1313" s="25">
        <v>1</v>
      </c>
      <c r="M1313" s="25">
        <f>G1313*L1313</f>
        <v>0.08</v>
      </c>
      <c r="N1313" s="26"/>
      <c r="X1313" s="25">
        <f>ROUND(IF(AO1313="5",BH1313,0),2)</f>
        <v>0</v>
      </c>
      <c r="Z1313" s="25">
        <f>ROUND(IF(AO1313="1",BF1313,0),2)</f>
        <v>0</v>
      </c>
      <c r="AA1313" s="25">
        <f>ROUND(IF(AO1313="1",BG1313,0),2)</f>
        <v>0</v>
      </c>
      <c r="AB1313" s="25">
        <f>ROUND(IF(AO1313="7",BF1313,0),2)</f>
        <v>0</v>
      </c>
      <c r="AC1313" s="25">
        <f>ROUND(IF(AO1313="7",BG1313,0),2)</f>
        <v>0</v>
      </c>
      <c r="AD1313" s="25">
        <f>ROUND(IF(AO1313="2",BF1313,0),2)</f>
        <v>0</v>
      </c>
      <c r="AE1313" s="25">
        <f>ROUND(IF(AO1313="2",BG1313,0),2)</f>
        <v>0</v>
      </c>
      <c r="AF1313" s="25">
        <f>ROUND(IF(AO1313="0",BH1313,0),2)</f>
        <v>0</v>
      </c>
      <c r="AG1313" s="10" t="s">
        <v>1101</v>
      </c>
      <c r="AH1313" s="25">
        <f>IF(AL1313=0,K1313,0)</f>
        <v>0</v>
      </c>
      <c r="AI1313" s="25">
        <f>IF(AL1313=12,K1313,0)</f>
        <v>0</v>
      </c>
      <c r="AJ1313" s="25">
        <f>IF(AL1313=21,K1313,0)</f>
        <v>0</v>
      </c>
      <c r="AL1313" s="25">
        <v>21</v>
      </c>
      <c r="AM1313" s="25">
        <f>H1313*1</f>
        <v>0</v>
      </c>
      <c r="AN1313" s="25">
        <f>H1313*(1-1)</f>
        <v>0</v>
      </c>
      <c r="AO1313" s="27" t="s">
        <v>61</v>
      </c>
      <c r="AT1313" s="25">
        <f>ROUND(AU1313+AV1313,2)</f>
        <v>0</v>
      </c>
      <c r="AU1313" s="25">
        <f>ROUND(G1313*AM1313,2)</f>
        <v>0</v>
      </c>
      <c r="AV1313" s="25">
        <f>ROUND(G1313*AN1313,2)</f>
        <v>0</v>
      </c>
      <c r="AW1313" s="27" t="s">
        <v>926</v>
      </c>
      <c r="AX1313" s="27" t="s">
        <v>1449</v>
      </c>
      <c r="AY1313" s="10" t="s">
        <v>1105</v>
      </c>
      <c r="BA1313" s="25">
        <f>AU1313+AV1313</f>
        <v>0</v>
      </c>
      <c r="BB1313" s="25">
        <f>H1313/(100-BC1313)*100</f>
        <v>0</v>
      </c>
      <c r="BC1313" s="25">
        <v>0</v>
      </c>
      <c r="BD1313" s="25">
        <f>M1313</f>
        <v>0.08</v>
      </c>
      <c r="BF1313" s="25">
        <f>G1313*AM1313</f>
        <v>0</v>
      </c>
      <c r="BG1313" s="25">
        <f>G1313*AN1313</f>
        <v>0</v>
      </c>
      <c r="BH1313" s="25">
        <f>G1313*H1313</f>
        <v>0</v>
      </c>
      <c r="BI1313" s="27" t="s">
        <v>576</v>
      </c>
      <c r="BJ1313" s="25">
        <v>767</v>
      </c>
      <c r="BU1313" s="25" t="e">
        <f>#REF!</f>
        <v>#REF!</v>
      </c>
      <c r="BV1313" s="4" t="s">
        <v>1545</v>
      </c>
    </row>
    <row r="1314" spans="1:74" ht="14.4" x14ac:dyDescent="0.3">
      <c r="A1314" s="28"/>
      <c r="D1314" s="29" t="s">
        <v>1546</v>
      </c>
      <c r="E1314" s="29" t="s">
        <v>1547</v>
      </c>
      <c r="G1314" s="30">
        <v>0.08</v>
      </c>
      <c r="H1314" s="63"/>
      <c r="N1314" s="31"/>
    </row>
    <row r="1315" spans="1:74" ht="14.4" x14ac:dyDescent="0.3">
      <c r="A1315" s="2" t="s">
        <v>1548</v>
      </c>
      <c r="B1315" s="3" t="s">
        <v>1101</v>
      </c>
      <c r="C1315" s="3" t="s">
        <v>1549</v>
      </c>
      <c r="D1315" s="112" t="s">
        <v>1550</v>
      </c>
      <c r="E1315" s="109"/>
      <c r="F1315" s="3" t="s">
        <v>278</v>
      </c>
      <c r="G1315" s="25">
        <v>1.7410000000000001</v>
      </c>
      <c r="H1315" s="62"/>
      <c r="I1315" s="25">
        <f>ROUND(G1315*AM1315,2)</f>
        <v>0</v>
      </c>
      <c r="J1315" s="25">
        <f>ROUND(G1315*AN1315,2)</f>
        <v>0</v>
      </c>
      <c r="K1315" s="25">
        <f>ROUND(G1315*H1315,2)</f>
        <v>0</v>
      </c>
      <c r="L1315" s="25">
        <v>1</v>
      </c>
      <c r="M1315" s="25">
        <f>G1315*L1315</f>
        <v>1.7410000000000001</v>
      </c>
      <c r="N1315" s="26"/>
      <c r="X1315" s="25">
        <f>ROUND(IF(AO1315="5",BH1315,0),2)</f>
        <v>0</v>
      </c>
      <c r="Z1315" s="25">
        <f>ROUND(IF(AO1315="1",BF1315,0),2)</f>
        <v>0</v>
      </c>
      <c r="AA1315" s="25">
        <f>ROUND(IF(AO1315="1",BG1315,0),2)</f>
        <v>0</v>
      </c>
      <c r="AB1315" s="25">
        <f>ROUND(IF(AO1315="7",BF1315,0),2)</f>
        <v>0</v>
      </c>
      <c r="AC1315" s="25">
        <f>ROUND(IF(AO1315="7",BG1315,0),2)</f>
        <v>0</v>
      </c>
      <c r="AD1315" s="25">
        <f>ROUND(IF(AO1315="2",BF1315,0),2)</f>
        <v>0</v>
      </c>
      <c r="AE1315" s="25">
        <f>ROUND(IF(AO1315="2",BG1315,0),2)</f>
        <v>0</v>
      </c>
      <c r="AF1315" s="25">
        <f>ROUND(IF(AO1315="0",BH1315,0),2)</f>
        <v>0</v>
      </c>
      <c r="AG1315" s="10" t="s">
        <v>1101</v>
      </c>
      <c r="AH1315" s="25">
        <f>IF(AL1315=0,K1315,0)</f>
        <v>0</v>
      </c>
      <c r="AI1315" s="25">
        <f>IF(AL1315=12,K1315,0)</f>
        <v>0</v>
      </c>
      <c r="AJ1315" s="25">
        <f>IF(AL1315=21,K1315,0)</f>
        <v>0</v>
      </c>
      <c r="AL1315" s="25">
        <v>21</v>
      </c>
      <c r="AM1315" s="25">
        <f>H1315*1</f>
        <v>0</v>
      </c>
      <c r="AN1315" s="25">
        <f>H1315*(1-1)</f>
        <v>0</v>
      </c>
      <c r="AO1315" s="27" t="s">
        <v>61</v>
      </c>
      <c r="AT1315" s="25">
        <f>ROUND(AU1315+AV1315,2)</f>
        <v>0</v>
      </c>
      <c r="AU1315" s="25">
        <f>ROUND(G1315*AM1315,2)</f>
        <v>0</v>
      </c>
      <c r="AV1315" s="25">
        <f>ROUND(G1315*AN1315,2)</f>
        <v>0</v>
      </c>
      <c r="AW1315" s="27" t="s">
        <v>926</v>
      </c>
      <c r="AX1315" s="27" t="s">
        <v>1449</v>
      </c>
      <c r="AY1315" s="10" t="s">
        <v>1105</v>
      </c>
      <c r="BA1315" s="25">
        <f>AU1315+AV1315</f>
        <v>0</v>
      </c>
      <c r="BB1315" s="25">
        <f>H1315/(100-BC1315)*100</f>
        <v>0</v>
      </c>
      <c r="BC1315" s="25">
        <v>0</v>
      </c>
      <c r="BD1315" s="25">
        <f>M1315</f>
        <v>1.7410000000000001</v>
      </c>
      <c r="BF1315" s="25">
        <f>G1315*AM1315</f>
        <v>0</v>
      </c>
      <c r="BG1315" s="25">
        <f>G1315*AN1315</f>
        <v>0</v>
      </c>
      <c r="BH1315" s="25">
        <f>G1315*H1315</f>
        <v>0</v>
      </c>
      <c r="BI1315" s="27" t="s">
        <v>576</v>
      </c>
      <c r="BJ1315" s="25">
        <v>767</v>
      </c>
      <c r="BU1315" s="25" t="e">
        <f>#REF!</f>
        <v>#REF!</v>
      </c>
      <c r="BV1315" s="4" t="s">
        <v>1550</v>
      </c>
    </row>
    <row r="1316" spans="1:74" ht="14.4" x14ac:dyDescent="0.3">
      <c r="A1316" s="28"/>
      <c r="D1316" s="29" t="s">
        <v>1551</v>
      </c>
      <c r="E1316" s="29" t="s">
        <v>1552</v>
      </c>
      <c r="G1316" s="30">
        <v>1.59</v>
      </c>
      <c r="H1316" s="63"/>
      <c r="N1316" s="31"/>
    </row>
    <row r="1317" spans="1:74" ht="14.4" x14ac:dyDescent="0.3">
      <c r="A1317" s="28"/>
      <c r="D1317" s="29" t="s">
        <v>1553</v>
      </c>
      <c r="E1317" s="29" t="s">
        <v>1554</v>
      </c>
      <c r="G1317" s="30">
        <v>0.151</v>
      </c>
      <c r="H1317" s="63"/>
      <c r="N1317" s="31"/>
    </row>
    <row r="1318" spans="1:74" ht="14.4" x14ac:dyDescent="0.3">
      <c r="A1318" s="2" t="s">
        <v>1555</v>
      </c>
      <c r="B1318" s="3" t="s">
        <v>1101</v>
      </c>
      <c r="C1318" s="3" t="s">
        <v>1556</v>
      </c>
      <c r="D1318" s="112" t="s">
        <v>1557</v>
      </c>
      <c r="E1318" s="109"/>
      <c r="F1318" s="3" t="s">
        <v>1520</v>
      </c>
      <c r="G1318" s="25">
        <v>150.5</v>
      </c>
      <c r="H1318" s="62"/>
      <c r="I1318" s="25">
        <f>ROUND(G1318*AM1318,2)</f>
        <v>0</v>
      </c>
      <c r="J1318" s="25">
        <f>ROUND(G1318*AN1318,2)</f>
        <v>0</v>
      </c>
      <c r="K1318" s="25">
        <f>ROUND(G1318*H1318,2)</f>
        <v>0</v>
      </c>
      <c r="L1318" s="25">
        <v>0</v>
      </c>
      <c r="M1318" s="25">
        <f>G1318*L1318</f>
        <v>0</v>
      </c>
      <c r="N1318" s="26"/>
      <c r="X1318" s="25">
        <f>ROUND(IF(AO1318="5",BH1318,0),2)</f>
        <v>0</v>
      </c>
      <c r="Z1318" s="25">
        <f>ROUND(IF(AO1318="1",BF1318,0),2)</f>
        <v>0</v>
      </c>
      <c r="AA1318" s="25">
        <f>ROUND(IF(AO1318="1",BG1318,0),2)</f>
        <v>0</v>
      </c>
      <c r="AB1318" s="25">
        <f>ROUND(IF(AO1318="7",BF1318,0),2)</f>
        <v>0</v>
      </c>
      <c r="AC1318" s="25">
        <f>ROUND(IF(AO1318="7",BG1318,0),2)</f>
        <v>0</v>
      </c>
      <c r="AD1318" s="25">
        <f>ROUND(IF(AO1318="2",BF1318,0),2)</f>
        <v>0</v>
      </c>
      <c r="AE1318" s="25">
        <f>ROUND(IF(AO1318="2",BG1318,0),2)</f>
        <v>0</v>
      </c>
      <c r="AF1318" s="25">
        <f>ROUND(IF(AO1318="0",BH1318,0),2)</f>
        <v>0</v>
      </c>
      <c r="AG1318" s="10" t="s">
        <v>1101</v>
      </c>
      <c r="AH1318" s="25">
        <f>IF(AL1318=0,K1318,0)</f>
        <v>0</v>
      </c>
      <c r="AI1318" s="25">
        <f>IF(AL1318=12,K1318,0)</f>
        <v>0</v>
      </c>
      <c r="AJ1318" s="25">
        <f>IF(AL1318=21,K1318,0)</f>
        <v>0</v>
      </c>
      <c r="AL1318" s="25">
        <v>21</v>
      </c>
      <c r="AM1318" s="25">
        <f>H1318*0</f>
        <v>0</v>
      </c>
      <c r="AN1318" s="25">
        <f>H1318*(1-0)</f>
        <v>0</v>
      </c>
      <c r="AO1318" s="27" t="s">
        <v>61</v>
      </c>
      <c r="AT1318" s="25">
        <f>ROUND(AU1318+AV1318,2)</f>
        <v>0</v>
      </c>
      <c r="AU1318" s="25">
        <f>ROUND(G1318*AM1318,2)</f>
        <v>0</v>
      </c>
      <c r="AV1318" s="25">
        <f>ROUND(G1318*AN1318,2)</f>
        <v>0</v>
      </c>
      <c r="AW1318" s="27" t="s">
        <v>926</v>
      </c>
      <c r="AX1318" s="27" t="s">
        <v>1449</v>
      </c>
      <c r="AY1318" s="10" t="s">
        <v>1105</v>
      </c>
      <c r="BA1318" s="25">
        <f>AU1318+AV1318</f>
        <v>0</v>
      </c>
      <c r="BB1318" s="25">
        <f>H1318/(100-BC1318)*100</f>
        <v>0</v>
      </c>
      <c r="BC1318" s="25">
        <v>0</v>
      </c>
      <c r="BD1318" s="25">
        <f>M1318</f>
        <v>0</v>
      </c>
      <c r="BF1318" s="25">
        <f>G1318*AM1318</f>
        <v>0</v>
      </c>
      <c r="BG1318" s="25">
        <f>G1318*AN1318</f>
        <v>0</v>
      </c>
      <c r="BH1318" s="25">
        <f>G1318*H1318</f>
        <v>0</v>
      </c>
      <c r="BI1318" s="27" t="s">
        <v>65</v>
      </c>
      <c r="BJ1318" s="25">
        <v>767</v>
      </c>
      <c r="BU1318" s="25" t="e">
        <f>#REF!</f>
        <v>#REF!</v>
      </c>
      <c r="BV1318" s="4" t="s">
        <v>1557</v>
      </c>
    </row>
    <row r="1319" spans="1:74" ht="14.4" x14ac:dyDescent="0.3">
      <c r="A1319" s="28"/>
      <c r="D1319" s="29" t="s">
        <v>1525</v>
      </c>
      <c r="E1319" s="29" t="s">
        <v>52</v>
      </c>
      <c r="G1319" s="30">
        <v>150.5</v>
      </c>
      <c r="H1319" s="63"/>
      <c r="N1319" s="31"/>
    </row>
    <row r="1320" spans="1:74" ht="14.4" x14ac:dyDescent="0.3">
      <c r="A1320" s="2" t="s">
        <v>1558</v>
      </c>
      <c r="B1320" s="3" t="s">
        <v>1101</v>
      </c>
      <c r="C1320" s="3" t="s">
        <v>1559</v>
      </c>
      <c r="D1320" s="112" t="s">
        <v>1560</v>
      </c>
      <c r="E1320" s="109"/>
      <c r="F1320" s="3" t="s">
        <v>1520</v>
      </c>
      <c r="G1320" s="25">
        <v>2064</v>
      </c>
      <c r="H1320" s="62"/>
      <c r="I1320" s="25">
        <f>ROUND(G1320*AM1320,2)</f>
        <v>0</v>
      </c>
      <c r="J1320" s="25">
        <f>ROUND(G1320*AN1320,2)</f>
        <v>0</v>
      </c>
      <c r="K1320" s="25">
        <f>ROUND(G1320*H1320,2)</f>
        <v>0</v>
      </c>
      <c r="L1320" s="25">
        <v>0</v>
      </c>
      <c r="M1320" s="25">
        <f>G1320*L1320</f>
        <v>0</v>
      </c>
      <c r="N1320" s="26"/>
      <c r="X1320" s="25">
        <f>ROUND(IF(AO1320="5",BH1320,0),2)</f>
        <v>0</v>
      </c>
      <c r="Z1320" s="25">
        <f>ROUND(IF(AO1320="1",BF1320,0),2)</f>
        <v>0</v>
      </c>
      <c r="AA1320" s="25">
        <f>ROUND(IF(AO1320="1",BG1320,0),2)</f>
        <v>0</v>
      </c>
      <c r="AB1320" s="25">
        <f>ROUND(IF(AO1320="7",BF1320,0),2)</f>
        <v>0</v>
      </c>
      <c r="AC1320" s="25">
        <f>ROUND(IF(AO1320="7",BG1320,0),2)</f>
        <v>0</v>
      </c>
      <c r="AD1320" s="25">
        <f>ROUND(IF(AO1320="2",BF1320,0),2)</f>
        <v>0</v>
      </c>
      <c r="AE1320" s="25">
        <f>ROUND(IF(AO1320="2",BG1320,0),2)</f>
        <v>0</v>
      </c>
      <c r="AF1320" s="25">
        <f>ROUND(IF(AO1320="0",BH1320,0),2)</f>
        <v>0</v>
      </c>
      <c r="AG1320" s="10" t="s">
        <v>1101</v>
      </c>
      <c r="AH1320" s="25">
        <f>IF(AL1320=0,K1320,0)</f>
        <v>0</v>
      </c>
      <c r="AI1320" s="25">
        <f>IF(AL1320=12,K1320,0)</f>
        <v>0</v>
      </c>
      <c r="AJ1320" s="25">
        <f>IF(AL1320=21,K1320,0)</f>
        <v>0</v>
      </c>
      <c r="AL1320" s="25">
        <v>21</v>
      </c>
      <c r="AM1320" s="25">
        <f>H1320*0</f>
        <v>0</v>
      </c>
      <c r="AN1320" s="25">
        <f>H1320*(1-0)</f>
        <v>0</v>
      </c>
      <c r="AO1320" s="27" t="s">
        <v>61</v>
      </c>
      <c r="AT1320" s="25">
        <f>ROUND(AU1320+AV1320,2)</f>
        <v>0</v>
      </c>
      <c r="AU1320" s="25">
        <f>ROUND(G1320*AM1320,2)</f>
        <v>0</v>
      </c>
      <c r="AV1320" s="25">
        <f>ROUND(G1320*AN1320,2)</f>
        <v>0</v>
      </c>
      <c r="AW1320" s="27" t="s">
        <v>926</v>
      </c>
      <c r="AX1320" s="27" t="s">
        <v>1449</v>
      </c>
      <c r="AY1320" s="10" t="s">
        <v>1105</v>
      </c>
      <c r="BA1320" s="25">
        <f>AU1320+AV1320</f>
        <v>0</v>
      </c>
      <c r="BB1320" s="25">
        <f>H1320/(100-BC1320)*100</f>
        <v>0</v>
      </c>
      <c r="BC1320" s="25">
        <v>0</v>
      </c>
      <c r="BD1320" s="25">
        <f>M1320</f>
        <v>0</v>
      </c>
      <c r="BF1320" s="25">
        <f>G1320*AM1320</f>
        <v>0</v>
      </c>
      <c r="BG1320" s="25">
        <f>G1320*AN1320</f>
        <v>0</v>
      </c>
      <c r="BH1320" s="25">
        <f>G1320*H1320</f>
        <v>0</v>
      </c>
      <c r="BI1320" s="27" t="s">
        <v>65</v>
      </c>
      <c r="BJ1320" s="25">
        <v>767</v>
      </c>
      <c r="BU1320" s="25" t="e">
        <f>#REF!</f>
        <v>#REF!</v>
      </c>
      <c r="BV1320" s="4" t="s">
        <v>1560</v>
      </c>
    </row>
    <row r="1321" spans="1:74" ht="14.4" x14ac:dyDescent="0.3">
      <c r="A1321" s="28"/>
      <c r="D1321" s="29" t="s">
        <v>1521</v>
      </c>
      <c r="E1321" s="29" t="s">
        <v>52</v>
      </c>
      <c r="G1321" s="30">
        <v>2064</v>
      </c>
      <c r="H1321" s="63"/>
      <c r="N1321" s="31"/>
    </row>
    <row r="1322" spans="1:74" ht="14.4" x14ac:dyDescent="0.3">
      <c r="A1322" s="2" t="s">
        <v>1561</v>
      </c>
      <c r="B1322" s="3" t="s">
        <v>1101</v>
      </c>
      <c r="C1322" s="3" t="s">
        <v>1562</v>
      </c>
      <c r="D1322" s="112" t="s">
        <v>1563</v>
      </c>
      <c r="E1322" s="109"/>
      <c r="F1322" s="3" t="s">
        <v>860</v>
      </c>
      <c r="G1322" s="25">
        <v>1</v>
      </c>
      <c r="H1322" s="62"/>
      <c r="I1322" s="25">
        <f>ROUND(G1322*AM1322,2)</f>
        <v>0</v>
      </c>
      <c r="J1322" s="25">
        <f>ROUND(G1322*AN1322,2)</f>
        <v>0</v>
      </c>
      <c r="K1322" s="25">
        <f>ROUND(G1322*H1322,2)</f>
        <v>0</v>
      </c>
      <c r="L1322" s="25">
        <v>0</v>
      </c>
      <c r="M1322" s="25">
        <f>G1322*L1322</f>
        <v>0</v>
      </c>
      <c r="N1322" s="102"/>
      <c r="X1322" s="25">
        <f>ROUND(IF(AO1322="5",BH1322,0),2)</f>
        <v>0</v>
      </c>
      <c r="Z1322" s="25">
        <f>ROUND(IF(AO1322="1",BF1322,0),2)</f>
        <v>0</v>
      </c>
      <c r="AA1322" s="25">
        <f>ROUND(IF(AO1322="1",BG1322,0),2)</f>
        <v>0</v>
      </c>
      <c r="AB1322" s="25">
        <f>ROUND(IF(AO1322="7",BF1322,0),2)</f>
        <v>0</v>
      </c>
      <c r="AC1322" s="25">
        <f>ROUND(IF(AO1322="7",BG1322,0),2)</f>
        <v>0</v>
      </c>
      <c r="AD1322" s="25">
        <f>ROUND(IF(AO1322="2",BF1322,0),2)</f>
        <v>0</v>
      </c>
      <c r="AE1322" s="25">
        <f>ROUND(IF(AO1322="2",BG1322,0),2)</f>
        <v>0</v>
      </c>
      <c r="AF1322" s="25">
        <f>ROUND(IF(AO1322="0",BH1322,0),2)</f>
        <v>0</v>
      </c>
      <c r="AG1322" s="10" t="s">
        <v>1101</v>
      </c>
      <c r="AH1322" s="25">
        <f>IF(AL1322=0,K1322,0)</f>
        <v>0</v>
      </c>
      <c r="AI1322" s="25">
        <f>IF(AL1322=12,K1322,0)</f>
        <v>0</v>
      </c>
      <c r="AJ1322" s="25">
        <f>IF(AL1322=21,K1322,0)</f>
        <v>0</v>
      </c>
      <c r="AL1322" s="25">
        <v>21</v>
      </c>
      <c r="AM1322" s="25">
        <f>H1322*0.705882353</f>
        <v>0</v>
      </c>
      <c r="AN1322" s="25">
        <f>H1322*(1-0.705882353)</f>
        <v>0</v>
      </c>
      <c r="AO1322" s="27" t="s">
        <v>61</v>
      </c>
      <c r="AT1322" s="25">
        <f>ROUND(AU1322+AV1322,2)</f>
        <v>0</v>
      </c>
      <c r="AU1322" s="25">
        <f>ROUND(G1322*AM1322,2)</f>
        <v>0</v>
      </c>
      <c r="AV1322" s="25">
        <f>ROUND(G1322*AN1322,2)</f>
        <v>0</v>
      </c>
      <c r="AW1322" s="27" t="s">
        <v>926</v>
      </c>
      <c r="AX1322" s="27" t="s">
        <v>1449</v>
      </c>
      <c r="AY1322" s="10" t="s">
        <v>1105</v>
      </c>
      <c r="BA1322" s="25">
        <f>AU1322+AV1322</f>
        <v>0</v>
      </c>
      <c r="BB1322" s="25">
        <f>H1322/(100-BC1322)*100</f>
        <v>0</v>
      </c>
      <c r="BC1322" s="25">
        <v>0</v>
      </c>
      <c r="BD1322" s="25">
        <f>M1322</f>
        <v>0</v>
      </c>
      <c r="BF1322" s="25">
        <f>G1322*AM1322</f>
        <v>0</v>
      </c>
      <c r="BG1322" s="25">
        <f>G1322*AN1322</f>
        <v>0</v>
      </c>
      <c r="BH1322" s="25">
        <f>G1322*H1322</f>
        <v>0</v>
      </c>
      <c r="BI1322" s="27" t="s">
        <v>65</v>
      </c>
      <c r="BJ1322" s="25">
        <v>767</v>
      </c>
      <c r="BU1322" s="25" t="e">
        <f>#REF!</f>
        <v>#REF!</v>
      </c>
      <c r="BV1322" s="4" t="s">
        <v>1563</v>
      </c>
    </row>
    <row r="1323" spans="1:74" ht="14.4" x14ac:dyDescent="0.3">
      <c r="A1323" s="28"/>
      <c r="D1323" s="29" t="s">
        <v>57</v>
      </c>
      <c r="E1323" s="29" t="s">
        <v>52</v>
      </c>
      <c r="G1323" s="30">
        <v>1</v>
      </c>
      <c r="H1323" s="63"/>
      <c r="N1323" s="31"/>
    </row>
    <row r="1324" spans="1:74" ht="14.4" x14ac:dyDescent="0.3">
      <c r="A1324" s="2" t="s">
        <v>1564</v>
      </c>
      <c r="B1324" s="3" t="s">
        <v>1101</v>
      </c>
      <c r="C1324" s="3" t="s">
        <v>930</v>
      </c>
      <c r="D1324" s="112" t="s">
        <v>931</v>
      </c>
      <c r="E1324" s="109"/>
      <c r="F1324" s="3" t="s">
        <v>278</v>
      </c>
      <c r="G1324" s="25">
        <v>2.5840900000000002</v>
      </c>
      <c r="H1324" s="62"/>
      <c r="I1324" s="25">
        <f>ROUND(G1324*AM1324,2)</f>
        <v>0</v>
      </c>
      <c r="J1324" s="25">
        <f>ROUND(G1324*AN1324,2)</f>
        <v>0</v>
      </c>
      <c r="K1324" s="25">
        <f>ROUND(G1324*H1324,2)</f>
        <v>0</v>
      </c>
      <c r="L1324" s="25">
        <v>0</v>
      </c>
      <c r="M1324" s="25">
        <f>G1324*L1324</f>
        <v>0</v>
      </c>
      <c r="N1324" s="26"/>
      <c r="X1324" s="25">
        <f>ROUND(IF(AO1324="5",BH1324,0),2)</f>
        <v>0</v>
      </c>
      <c r="Z1324" s="25">
        <f>ROUND(IF(AO1324="1",BF1324,0),2)</f>
        <v>0</v>
      </c>
      <c r="AA1324" s="25">
        <f>ROUND(IF(AO1324="1",BG1324,0),2)</f>
        <v>0</v>
      </c>
      <c r="AB1324" s="25">
        <f>ROUND(IF(AO1324="7",BF1324,0),2)</f>
        <v>0</v>
      </c>
      <c r="AC1324" s="25">
        <f>ROUND(IF(AO1324="7",BG1324,0),2)</f>
        <v>0</v>
      </c>
      <c r="AD1324" s="25">
        <f>ROUND(IF(AO1324="2",BF1324,0),2)</f>
        <v>0</v>
      </c>
      <c r="AE1324" s="25">
        <f>ROUND(IF(AO1324="2",BG1324,0),2)</f>
        <v>0</v>
      </c>
      <c r="AF1324" s="25">
        <f>ROUND(IF(AO1324="0",BH1324,0),2)</f>
        <v>0</v>
      </c>
      <c r="AG1324" s="10" t="s">
        <v>1101</v>
      </c>
      <c r="AH1324" s="25">
        <f>IF(AL1324=0,K1324,0)</f>
        <v>0</v>
      </c>
      <c r="AI1324" s="25">
        <f>IF(AL1324=12,K1324,0)</f>
        <v>0</v>
      </c>
      <c r="AJ1324" s="25">
        <f>IF(AL1324=21,K1324,0)</f>
        <v>0</v>
      </c>
      <c r="AL1324" s="25">
        <v>21</v>
      </c>
      <c r="AM1324" s="25">
        <f>H1324*0</f>
        <v>0</v>
      </c>
      <c r="AN1324" s="25">
        <f>H1324*(1-0)</f>
        <v>0</v>
      </c>
      <c r="AO1324" s="27" t="s">
        <v>97</v>
      </c>
      <c r="AT1324" s="25">
        <f>ROUND(AU1324+AV1324,2)</f>
        <v>0</v>
      </c>
      <c r="AU1324" s="25">
        <f>ROUND(G1324*AM1324,2)</f>
        <v>0</v>
      </c>
      <c r="AV1324" s="25">
        <f>ROUND(G1324*AN1324,2)</f>
        <v>0</v>
      </c>
      <c r="AW1324" s="27" t="s">
        <v>926</v>
      </c>
      <c r="AX1324" s="27" t="s">
        <v>1449</v>
      </c>
      <c r="AY1324" s="10" t="s">
        <v>1105</v>
      </c>
      <c r="BA1324" s="25">
        <f>AU1324+AV1324</f>
        <v>0</v>
      </c>
      <c r="BB1324" s="25">
        <f>H1324/(100-BC1324)*100</f>
        <v>0</v>
      </c>
      <c r="BC1324" s="25">
        <v>0</v>
      </c>
      <c r="BD1324" s="25">
        <f>M1324</f>
        <v>0</v>
      </c>
      <c r="BF1324" s="25">
        <f>G1324*AM1324</f>
        <v>0</v>
      </c>
      <c r="BG1324" s="25">
        <f>G1324*AN1324</f>
        <v>0</v>
      </c>
      <c r="BH1324" s="25">
        <f>G1324*H1324</f>
        <v>0</v>
      </c>
      <c r="BI1324" s="27" t="s">
        <v>65</v>
      </c>
      <c r="BJ1324" s="25">
        <v>767</v>
      </c>
      <c r="BU1324" s="25" t="e">
        <f>#REF!</f>
        <v>#REF!</v>
      </c>
      <c r="BV1324" s="4" t="s">
        <v>931</v>
      </c>
    </row>
    <row r="1325" spans="1:74" ht="14.4" x14ac:dyDescent="0.3">
      <c r="A1325" s="28"/>
      <c r="D1325" s="29" t="s">
        <v>1565</v>
      </c>
      <c r="E1325" s="29" t="s">
        <v>52</v>
      </c>
      <c r="G1325" s="30">
        <v>1.2430000000000001</v>
      </c>
      <c r="H1325" s="63"/>
      <c r="N1325" s="31"/>
    </row>
    <row r="1326" spans="1:74" ht="14.4" x14ac:dyDescent="0.3">
      <c r="A1326" s="21" t="s">
        <v>52</v>
      </c>
      <c r="B1326" s="22" t="s">
        <v>1101</v>
      </c>
      <c r="C1326" s="22" t="s">
        <v>932</v>
      </c>
      <c r="D1326" s="170" t="s">
        <v>933</v>
      </c>
      <c r="E1326" s="171"/>
      <c r="F1326" s="23" t="s">
        <v>32</v>
      </c>
      <c r="G1326" s="23" t="s">
        <v>32</v>
      </c>
      <c r="H1326" s="64"/>
      <c r="I1326" s="1">
        <f>SUM(I1327:I1393)</f>
        <v>0</v>
      </c>
      <c r="J1326" s="1">
        <f>SUM(J1327:J1393)</f>
        <v>0</v>
      </c>
      <c r="K1326" s="1">
        <f>SUM(K1327:K1393)</f>
        <v>0</v>
      </c>
      <c r="L1326" s="10" t="s">
        <v>52</v>
      </c>
      <c r="M1326" s="1">
        <f>SUM(M1327:M1393)</f>
        <v>4.2751896700000005</v>
      </c>
      <c r="N1326" s="24"/>
      <c r="AG1326" s="10" t="s">
        <v>1101</v>
      </c>
      <c r="AQ1326" s="1">
        <f>SUM(AH1327:AH1393)</f>
        <v>0</v>
      </c>
      <c r="AR1326" s="1">
        <f>SUM(AI1327:AI1393)</f>
        <v>0</v>
      </c>
      <c r="AS1326" s="1">
        <f>SUM(AJ1327:AJ1393)</f>
        <v>0</v>
      </c>
    </row>
    <row r="1327" spans="1:74" ht="14.4" x14ac:dyDescent="0.3">
      <c r="A1327" s="2" t="s">
        <v>1566</v>
      </c>
      <c r="B1327" s="3" t="s">
        <v>1101</v>
      </c>
      <c r="C1327" s="3" t="s">
        <v>935</v>
      </c>
      <c r="D1327" s="112" t="s">
        <v>1567</v>
      </c>
      <c r="E1327" s="109"/>
      <c r="F1327" s="3" t="s">
        <v>60</v>
      </c>
      <c r="G1327" s="25">
        <v>133.03</v>
      </c>
      <c r="H1327" s="62"/>
      <c r="I1327" s="25">
        <f>ROUND(G1327*AM1327,2)</f>
        <v>0</v>
      </c>
      <c r="J1327" s="25">
        <f>ROUND(G1327*AN1327,2)</f>
        <v>0</v>
      </c>
      <c r="K1327" s="25">
        <f>ROUND(G1327*H1327,2)</f>
        <v>0</v>
      </c>
      <c r="L1327" s="25">
        <v>6.9300000000000004E-3</v>
      </c>
      <c r="M1327" s="25">
        <f>G1327*L1327</f>
        <v>0.92189790000000005</v>
      </c>
      <c r="N1327" s="26"/>
      <c r="X1327" s="25">
        <f>ROUND(IF(AO1327="5",BH1327,0),2)</f>
        <v>0</v>
      </c>
      <c r="Z1327" s="25">
        <f>ROUND(IF(AO1327="1",BF1327,0),2)</f>
        <v>0</v>
      </c>
      <c r="AA1327" s="25">
        <f>ROUND(IF(AO1327="1",BG1327,0),2)</f>
        <v>0</v>
      </c>
      <c r="AB1327" s="25">
        <f>ROUND(IF(AO1327="7",BF1327,0),2)</f>
        <v>0</v>
      </c>
      <c r="AC1327" s="25">
        <f>ROUND(IF(AO1327="7",BG1327,0),2)</f>
        <v>0</v>
      </c>
      <c r="AD1327" s="25">
        <f>ROUND(IF(AO1327="2",BF1327,0),2)</f>
        <v>0</v>
      </c>
      <c r="AE1327" s="25">
        <f>ROUND(IF(AO1327="2",BG1327,0),2)</f>
        <v>0</v>
      </c>
      <c r="AF1327" s="25">
        <f>ROUND(IF(AO1327="0",BH1327,0),2)</f>
        <v>0</v>
      </c>
      <c r="AG1327" s="10" t="s">
        <v>1101</v>
      </c>
      <c r="AH1327" s="25">
        <f>IF(AL1327=0,K1327,0)</f>
        <v>0</v>
      </c>
      <c r="AI1327" s="25">
        <f>IF(AL1327=12,K1327,0)</f>
        <v>0</v>
      </c>
      <c r="AJ1327" s="25">
        <f>IF(AL1327=21,K1327,0)</f>
        <v>0</v>
      </c>
      <c r="AL1327" s="25">
        <v>21</v>
      </c>
      <c r="AM1327" s="25">
        <f>H1327*0.218135909</f>
        <v>0</v>
      </c>
      <c r="AN1327" s="25">
        <f>H1327*(1-0.218135909)</f>
        <v>0</v>
      </c>
      <c r="AO1327" s="27" t="s">
        <v>61</v>
      </c>
      <c r="AT1327" s="25">
        <f>ROUND(AU1327+AV1327,2)</f>
        <v>0</v>
      </c>
      <c r="AU1327" s="25">
        <f>ROUND(G1327*AM1327,2)</f>
        <v>0</v>
      </c>
      <c r="AV1327" s="25">
        <f>ROUND(G1327*AN1327,2)</f>
        <v>0</v>
      </c>
      <c r="AW1327" s="27" t="s">
        <v>937</v>
      </c>
      <c r="AX1327" s="27" t="s">
        <v>1568</v>
      </c>
      <c r="AY1327" s="10" t="s">
        <v>1105</v>
      </c>
      <c r="BA1327" s="25">
        <f>AU1327+AV1327</f>
        <v>0</v>
      </c>
      <c r="BB1327" s="25">
        <f>H1327/(100-BC1327)*100</f>
        <v>0</v>
      </c>
      <c r="BC1327" s="25">
        <v>0</v>
      </c>
      <c r="BD1327" s="25">
        <f>M1327</f>
        <v>0.92189790000000005</v>
      </c>
      <c r="BF1327" s="25">
        <f>G1327*AM1327</f>
        <v>0</v>
      </c>
      <c r="BG1327" s="25">
        <f>G1327*AN1327</f>
        <v>0</v>
      </c>
      <c r="BH1327" s="25">
        <f>G1327*H1327</f>
        <v>0</v>
      </c>
      <c r="BI1327" s="27" t="s">
        <v>65</v>
      </c>
      <c r="BJ1327" s="25">
        <v>771</v>
      </c>
      <c r="BU1327" s="25" t="e">
        <f>#REF!</f>
        <v>#REF!</v>
      </c>
      <c r="BV1327" s="4" t="s">
        <v>1567</v>
      </c>
    </row>
    <row r="1328" spans="1:74" ht="14.4" x14ac:dyDescent="0.3">
      <c r="A1328" s="28"/>
      <c r="D1328" s="29" t="s">
        <v>1287</v>
      </c>
      <c r="E1328" s="29" t="s">
        <v>1288</v>
      </c>
      <c r="G1328" s="30">
        <v>102.51</v>
      </c>
      <c r="H1328" s="63"/>
      <c r="N1328" s="31"/>
    </row>
    <row r="1329" spans="1:74" ht="14.4" x14ac:dyDescent="0.3">
      <c r="A1329" s="28"/>
      <c r="D1329" s="29" t="s">
        <v>381</v>
      </c>
      <c r="E1329" s="29" t="s">
        <v>361</v>
      </c>
      <c r="G1329" s="30">
        <v>9.35</v>
      </c>
      <c r="H1329" s="63"/>
      <c r="N1329" s="31"/>
    </row>
    <row r="1330" spans="1:74" ht="14.4" x14ac:dyDescent="0.3">
      <c r="A1330" s="28"/>
      <c r="D1330" s="29" t="s">
        <v>1289</v>
      </c>
      <c r="E1330" s="29" t="s">
        <v>370</v>
      </c>
      <c r="G1330" s="30">
        <v>8.24</v>
      </c>
      <c r="H1330" s="63"/>
      <c r="N1330" s="31"/>
    </row>
    <row r="1331" spans="1:74" ht="14.4" x14ac:dyDescent="0.3">
      <c r="A1331" s="28"/>
      <c r="D1331" s="29" t="s">
        <v>1569</v>
      </c>
      <c r="E1331" s="29" t="s">
        <v>363</v>
      </c>
      <c r="G1331" s="30">
        <v>2.79</v>
      </c>
      <c r="H1331" s="63"/>
      <c r="N1331" s="31"/>
    </row>
    <row r="1332" spans="1:74" ht="14.4" x14ac:dyDescent="0.3">
      <c r="A1332" s="28"/>
      <c r="D1332" s="29" t="s">
        <v>1290</v>
      </c>
      <c r="E1332" s="29" t="s">
        <v>373</v>
      </c>
      <c r="G1332" s="30">
        <v>5.7</v>
      </c>
      <c r="H1332" s="63"/>
      <c r="N1332" s="31"/>
    </row>
    <row r="1333" spans="1:74" ht="14.4" x14ac:dyDescent="0.3">
      <c r="A1333" s="28"/>
      <c r="D1333" s="29" t="s">
        <v>385</v>
      </c>
      <c r="E1333" s="29" t="s">
        <v>375</v>
      </c>
      <c r="G1333" s="30">
        <v>1.68</v>
      </c>
      <c r="H1333" s="63"/>
      <c r="N1333" s="31"/>
    </row>
    <row r="1334" spans="1:74" ht="14.4" x14ac:dyDescent="0.3">
      <c r="A1334" s="28"/>
      <c r="D1334" s="29" t="s">
        <v>386</v>
      </c>
      <c r="E1334" s="29" t="s">
        <v>377</v>
      </c>
      <c r="G1334" s="30">
        <v>2.76</v>
      </c>
      <c r="H1334" s="63"/>
      <c r="N1334" s="31"/>
    </row>
    <row r="1335" spans="1:74" ht="14.4" x14ac:dyDescent="0.3">
      <c r="A1335" s="2" t="s">
        <v>1570</v>
      </c>
      <c r="B1335" s="3" t="s">
        <v>1101</v>
      </c>
      <c r="C1335" s="3" t="s">
        <v>940</v>
      </c>
      <c r="D1335" s="112" t="s">
        <v>941</v>
      </c>
      <c r="E1335" s="109"/>
      <c r="F1335" s="3" t="s">
        <v>60</v>
      </c>
      <c r="G1335" s="25">
        <v>160.40145000000001</v>
      </c>
      <c r="H1335" s="62"/>
      <c r="I1335" s="25">
        <f>ROUND(G1335*AM1335,2)</f>
        <v>0</v>
      </c>
      <c r="J1335" s="25">
        <f>ROUND(G1335*AN1335,2)</f>
        <v>0</v>
      </c>
      <c r="K1335" s="25">
        <f>ROUND(G1335*H1335,2)</f>
        <v>0</v>
      </c>
      <c r="L1335" s="25">
        <v>1.8200000000000001E-2</v>
      </c>
      <c r="M1335" s="25">
        <f>G1335*L1335</f>
        <v>2.9193063900000005</v>
      </c>
      <c r="N1335" s="26"/>
      <c r="X1335" s="25">
        <f>ROUND(IF(AO1335="5",BH1335,0),2)</f>
        <v>0</v>
      </c>
      <c r="Z1335" s="25">
        <f>ROUND(IF(AO1335="1",BF1335,0),2)</f>
        <v>0</v>
      </c>
      <c r="AA1335" s="25">
        <f>ROUND(IF(AO1335="1",BG1335,0),2)</f>
        <v>0</v>
      </c>
      <c r="AB1335" s="25">
        <f>ROUND(IF(AO1335="7",BF1335,0),2)</f>
        <v>0</v>
      </c>
      <c r="AC1335" s="25">
        <f>ROUND(IF(AO1335="7",BG1335,0),2)</f>
        <v>0</v>
      </c>
      <c r="AD1335" s="25">
        <f>ROUND(IF(AO1335="2",BF1335,0),2)</f>
        <v>0</v>
      </c>
      <c r="AE1335" s="25">
        <f>ROUND(IF(AO1335="2",BG1335,0),2)</f>
        <v>0</v>
      </c>
      <c r="AF1335" s="25">
        <f>ROUND(IF(AO1335="0",BH1335,0),2)</f>
        <v>0</v>
      </c>
      <c r="AG1335" s="10" t="s">
        <v>1101</v>
      </c>
      <c r="AH1335" s="25">
        <f>IF(AL1335=0,K1335,0)</f>
        <v>0</v>
      </c>
      <c r="AI1335" s="25">
        <f>IF(AL1335=12,K1335,0)</f>
        <v>0</v>
      </c>
      <c r="AJ1335" s="25">
        <f>IF(AL1335=21,K1335,0)</f>
        <v>0</v>
      </c>
      <c r="AL1335" s="25">
        <v>21</v>
      </c>
      <c r="AM1335" s="25">
        <f>H1335*1</f>
        <v>0</v>
      </c>
      <c r="AN1335" s="25">
        <f>H1335*(1-1)</f>
        <v>0</v>
      </c>
      <c r="AO1335" s="27" t="s">
        <v>61</v>
      </c>
      <c r="AT1335" s="25">
        <f>ROUND(AU1335+AV1335,2)</f>
        <v>0</v>
      </c>
      <c r="AU1335" s="25">
        <f>ROUND(G1335*AM1335,2)</f>
        <v>0</v>
      </c>
      <c r="AV1335" s="25">
        <f>ROUND(G1335*AN1335,2)</f>
        <v>0</v>
      </c>
      <c r="AW1335" s="27" t="s">
        <v>937</v>
      </c>
      <c r="AX1335" s="27" t="s">
        <v>1568</v>
      </c>
      <c r="AY1335" s="10" t="s">
        <v>1105</v>
      </c>
      <c r="BA1335" s="25">
        <f>AU1335+AV1335</f>
        <v>0</v>
      </c>
      <c r="BB1335" s="25">
        <f>H1335/(100-BC1335)*100</f>
        <v>0</v>
      </c>
      <c r="BC1335" s="25">
        <v>0</v>
      </c>
      <c r="BD1335" s="25">
        <f>M1335</f>
        <v>2.9193063900000005</v>
      </c>
      <c r="BF1335" s="25">
        <f>G1335*AM1335</f>
        <v>0</v>
      </c>
      <c r="BG1335" s="25">
        <f>G1335*AN1335</f>
        <v>0</v>
      </c>
      <c r="BH1335" s="25">
        <f>G1335*H1335</f>
        <v>0</v>
      </c>
      <c r="BI1335" s="27" t="s">
        <v>576</v>
      </c>
      <c r="BJ1335" s="25">
        <v>771</v>
      </c>
      <c r="BU1335" s="25" t="e">
        <f>#REF!</f>
        <v>#REF!</v>
      </c>
      <c r="BV1335" s="4" t="s">
        <v>941</v>
      </c>
    </row>
    <row r="1336" spans="1:74" ht="14.4" x14ac:dyDescent="0.3">
      <c r="A1336" s="28"/>
      <c r="D1336" s="29" t="s">
        <v>1287</v>
      </c>
      <c r="E1336" s="29" t="s">
        <v>1288</v>
      </c>
      <c r="G1336" s="30">
        <v>102.51</v>
      </c>
      <c r="H1336" s="63"/>
      <c r="N1336" s="31"/>
    </row>
    <row r="1337" spans="1:74" ht="14.4" x14ac:dyDescent="0.3">
      <c r="A1337" s="28"/>
      <c r="D1337" s="29" t="s">
        <v>381</v>
      </c>
      <c r="E1337" s="29" t="s">
        <v>361</v>
      </c>
      <c r="G1337" s="30">
        <v>9.35</v>
      </c>
      <c r="H1337" s="63"/>
      <c r="N1337" s="31"/>
    </row>
    <row r="1338" spans="1:74" ht="14.4" x14ac:dyDescent="0.3">
      <c r="A1338" s="28"/>
      <c r="D1338" s="29" t="s">
        <v>1289</v>
      </c>
      <c r="E1338" s="29" t="s">
        <v>370</v>
      </c>
      <c r="G1338" s="30">
        <v>8.24</v>
      </c>
      <c r="H1338" s="63"/>
      <c r="N1338" s="31"/>
    </row>
    <row r="1339" spans="1:74" ht="14.4" x14ac:dyDescent="0.3">
      <c r="A1339" s="28"/>
      <c r="D1339" s="29" t="s">
        <v>1569</v>
      </c>
      <c r="E1339" s="29" t="s">
        <v>363</v>
      </c>
      <c r="G1339" s="30">
        <v>2.79</v>
      </c>
      <c r="H1339" s="63"/>
      <c r="N1339" s="31"/>
    </row>
    <row r="1340" spans="1:74" ht="14.4" x14ac:dyDescent="0.3">
      <c r="A1340" s="28"/>
      <c r="D1340" s="29" t="s">
        <v>1290</v>
      </c>
      <c r="E1340" s="29" t="s">
        <v>373</v>
      </c>
      <c r="G1340" s="30">
        <v>5.7</v>
      </c>
      <c r="H1340" s="63"/>
      <c r="N1340" s="31"/>
    </row>
    <row r="1341" spans="1:74" ht="14.4" x14ac:dyDescent="0.3">
      <c r="A1341" s="28"/>
      <c r="D1341" s="29" t="s">
        <v>385</v>
      </c>
      <c r="E1341" s="29" t="s">
        <v>375</v>
      </c>
      <c r="G1341" s="30">
        <v>1.68</v>
      </c>
      <c r="H1341" s="63"/>
      <c r="N1341" s="31"/>
    </row>
    <row r="1342" spans="1:74" ht="14.4" x14ac:dyDescent="0.3">
      <c r="A1342" s="28"/>
      <c r="D1342" s="29" t="s">
        <v>386</v>
      </c>
      <c r="E1342" s="29" t="s">
        <v>377</v>
      </c>
      <c r="G1342" s="30">
        <v>2.76</v>
      </c>
      <c r="H1342" s="63"/>
      <c r="N1342" s="31"/>
    </row>
    <row r="1343" spans="1:74" ht="14.4" x14ac:dyDescent="0.3">
      <c r="A1343" s="28"/>
      <c r="D1343" s="29" t="s">
        <v>1571</v>
      </c>
      <c r="E1343" s="29" t="s">
        <v>1572</v>
      </c>
      <c r="G1343" s="30">
        <v>6.54</v>
      </c>
      <c r="H1343" s="63"/>
      <c r="N1343" s="31"/>
    </row>
    <row r="1344" spans="1:74" ht="14.4" x14ac:dyDescent="0.3">
      <c r="A1344" s="28"/>
      <c r="D1344" s="29" t="s">
        <v>1573</v>
      </c>
      <c r="E1344" s="29" t="s">
        <v>1574</v>
      </c>
      <c r="G1344" s="30">
        <v>1.321</v>
      </c>
      <c r="H1344" s="63"/>
      <c r="N1344" s="31"/>
    </row>
    <row r="1345" spans="1:74" ht="14.4" x14ac:dyDescent="0.3">
      <c r="A1345" s="28"/>
      <c r="D1345" s="29" t="s">
        <v>1575</v>
      </c>
      <c r="E1345" s="29" t="s">
        <v>1576</v>
      </c>
      <c r="G1345" s="30">
        <v>0.59799999999999998</v>
      </c>
      <c r="H1345" s="63"/>
      <c r="N1345" s="31"/>
    </row>
    <row r="1346" spans="1:74" ht="14.4" x14ac:dyDescent="0.3">
      <c r="A1346" s="28"/>
      <c r="D1346" s="29" t="s">
        <v>1577</v>
      </c>
      <c r="E1346" s="29" t="s">
        <v>1578</v>
      </c>
      <c r="G1346" s="30">
        <v>0.81299999999999994</v>
      </c>
      <c r="H1346" s="63"/>
      <c r="N1346" s="31"/>
    </row>
    <row r="1347" spans="1:74" ht="14.4" x14ac:dyDescent="0.3">
      <c r="A1347" s="28"/>
      <c r="D1347" s="29" t="s">
        <v>1579</v>
      </c>
      <c r="E1347" s="29" t="s">
        <v>1578</v>
      </c>
      <c r="G1347" s="30">
        <v>1.2315</v>
      </c>
      <c r="H1347" s="63"/>
      <c r="N1347" s="31"/>
    </row>
    <row r="1348" spans="1:74" ht="14.4" x14ac:dyDescent="0.3">
      <c r="A1348" s="28"/>
      <c r="D1348" s="29" t="s">
        <v>1580</v>
      </c>
      <c r="E1348" s="29" t="s">
        <v>1578</v>
      </c>
      <c r="G1348" s="30">
        <v>2.286</v>
      </c>
      <c r="H1348" s="63"/>
      <c r="N1348" s="31"/>
    </row>
    <row r="1349" spans="1:74" ht="14.4" x14ac:dyDescent="0.3">
      <c r="A1349" s="28"/>
      <c r="D1349" s="29" t="s">
        <v>1581</v>
      </c>
      <c r="E1349" s="29" t="s">
        <v>1578</v>
      </c>
      <c r="G1349" s="30">
        <v>0</v>
      </c>
      <c r="H1349" s="63"/>
      <c r="N1349" s="31"/>
    </row>
    <row r="1350" spans="1:74" ht="14.4" x14ac:dyDescent="0.3">
      <c r="A1350" s="28"/>
      <c r="D1350" s="29" t="s">
        <v>1582</v>
      </c>
      <c r="E1350" s="29" t="s">
        <v>52</v>
      </c>
      <c r="G1350" s="30">
        <v>14.581950000000001</v>
      </c>
      <c r="H1350" s="63"/>
      <c r="N1350" s="31"/>
    </row>
    <row r="1351" spans="1:74" ht="14.4" x14ac:dyDescent="0.3">
      <c r="A1351" s="2" t="s">
        <v>1583</v>
      </c>
      <c r="B1351" s="3" t="s">
        <v>1101</v>
      </c>
      <c r="C1351" s="3" t="s">
        <v>962</v>
      </c>
      <c r="D1351" s="112" t="s">
        <v>963</v>
      </c>
      <c r="E1351" s="109"/>
      <c r="F1351" s="3" t="s">
        <v>115</v>
      </c>
      <c r="G1351" s="25">
        <v>8.4589999999999996</v>
      </c>
      <c r="H1351" s="62"/>
      <c r="I1351" s="25">
        <f>ROUND(G1351*AM1351,2)</f>
        <v>0</v>
      </c>
      <c r="J1351" s="25">
        <f>ROUND(G1351*AN1351,2)</f>
        <v>0</v>
      </c>
      <c r="K1351" s="25">
        <f>ROUND(G1351*H1351,2)</f>
        <v>0</v>
      </c>
      <c r="L1351" s="25">
        <v>3.2000000000000003E-4</v>
      </c>
      <c r="M1351" s="25">
        <f>G1351*L1351</f>
        <v>2.70688E-3</v>
      </c>
      <c r="N1351" s="26"/>
      <c r="X1351" s="25">
        <f>ROUND(IF(AO1351="5",BH1351,0),2)</f>
        <v>0</v>
      </c>
      <c r="Z1351" s="25">
        <f>ROUND(IF(AO1351="1",BF1351,0),2)</f>
        <v>0</v>
      </c>
      <c r="AA1351" s="25">
        <f>ROUND(IF(AO1351="1",BG1351,0),2)</f>
        <v>0</v>
      </c>
      <c r="AB1351" s="25">
        <f>ROUND(IF(AO1351="7",BF1351,0),2)</f>
        <v>0</v>
      </c>
      <c r="AC1351" s="25">
        <f>ROUND(IF(AO1351="7",BG1351,0),2)</f>
        <v>0</v>
      </c>
      <c r="AD1351" s="25">
        <f>ROUND(IF(AO1351="2",BF1351,0),2)</f>
        <v>0</v>
      </c>
      <c r="AE1351" s="25">
        <f>ROUND(IF(AO1351="2",BG1351,0),2)</f>
        <v>0</v>
      </c>
      <c r="AF1351" s="25">
        <f>ROUND(IF(AO1351="0",BH1351,0),2)</f>
        <v>0</v>
      </c>
      <c r="AG1351" s="10" t="s">
        <v>1101</v>
      </c>
      <c r="AH1351" s="25">
        <f>IF(AL1351=0,K1351,0)</f>
        <v>0</v>
      </c>
      <c r="AI1351" s="25">
        <f>IF(AL1351=12,K1351,0)</f>
        <v>0</v>
      </c>
      <c r="AJ1351" s="25">
        <f>IF(AL1351=21,K1351,0)</f>
        <v>0</v>
      </c>
      <c r="AL1351" s="25">
        <v>21</v>
      </c>
      <c r="AM1351" s="25">
        <f>H1351*0.088409525</f>
        <v>0</v>
      </c>
      <c r="AN1351" s="25">
        <f>H1351*(1-0.088409525)</f>
        <v>0</v>
      </c>
      <c r="AO1351" s="27" t="s">
        <v>61</v>
      </c>
      <c r="AT1351" s="25">
        <f>ROUND(AU1351+AV1351,2)</f>
        <v>0</v>
      </c>
      <c r="AU1351" s="25">
        <f>ROUND(G1351*AM1351,2)</f>
        <v>0</v>
      </c>
      <c r="AV1351" s="25">
        <f>ROUND(G1351*AN1351,2)</f>
        <v>0</v>
      </c>
      <c r="AW1351" s="27" t="s">
        <v>937</v>
      </c>
      <c r="AX1351" s="27" t="s">
        <v>1568</v>
      </c>
      <c r="AY1351" s="10" t="s">
        <v>1105</v>
      </c>
      <c r="BA1351" s="25">
        <f>AU1351+AV1351</f>
        <v>0</v>
      </c>
      <c r="BB1351" s="25">
        <f>H1351/(100-BC1351)*100</f>
        <v>0</v>
      </c>
      <c r="BC1351" s="25">
        <v>0</v>
      </c>
      <c r="BD1351" s="25">
        <f>M1351</f>
        <v>2.70688E-3</v>
      </c>
      <c r="BF1351" s="25">
        <f>G1351*AM1351</f>
        <v>0</v>
      </c>
      <c r="BG1351" s="25">
        <f>G1351*AN1351</f>
        <v>0</v>
      </c>
      <c r="BH1351" s="25">
        <f>G1351*H1351</f>
        <v>0</v>
      </c>
      <c r="BI1351" s="27" t="s">
        <v>65</v>
      </c>
      <c r="BJ1351" s="25">
        <v>771</v>
      </c>
      <c r="BU1351" s="25" t="e">
        <f>#REF!</f>
        <v>#REF!</v>
      </c>
      <c r="BV1351" s="4" t="s">
        <v>963</v>
      </c>
    </row>
    <row r="1352" spans="1:74" ht="14.4" x14ac:dyDescent="0.3">
      <c r="A1352" s="28"/>
      <c r="D1352" s="29" t="s">
        <v>1571</v>
      </c>
      <c r="E1352" s="29" t="s">
        <v>1572</v>
      </c>
      <c r="G1352" s="30">
        <v>6.54</v>
      </c>
      <c r="H1352" s="63"/>
      <c r="N1352" s="31"/>
    </row>
    <row r="1353" spans="1:74" ht="14.4" x14ac:dyDescent="0.3">
      <c r="A1353" s="28"/>
      <c r="D1353" s="29" t="s">
        <v>1573</v>
      </c>
      <c r="E1353" s="29" t="s">
        <v>1574</v>
      </c>
      <c r="G1353" s="30">
        <v>1.321</v>
      </c>
      <c r="H1353" s="63"/>
      <c r="N1353" s="31"/>
    </row>
    <row r="1354" spans="1:74" ht="14.4" x14ac:dyDescent="0.3">
      <c r="A1354" s="28"/>
      <c r="D1354" s="29" t="s">
        <v>1575</v>
      </c>
      <c r="E1354" s="29" t="s">
        <v>1576</v>
      </c>
      <c r="G1354" s="30">
        <v>0.59799999999999998</v>
      </c>
      <c r="H1354" s="63"/>
      <c r="N1354" s="31"/>
    </row>
    <row r="1355" spans="1:74" ht="14.4" x14ac:dyDescent="0.3">
      <c r="A1355" s="2" t="s">
        <v>1584</v>
      </c>
      <c r="B1355" s="3" t="s">
        <v>1101</v>
      </c>
      <c r="C1355" s="3" t="s">
        <v>946</v>
      </c>
      <c r="D1355" s="112" t="s">
        <v>947</v>
      </c>
      <c r="E1355" s="109"/>
      <c r="F1355" s="3" t="s">
        <v>60</v>
      </c>
      <c r="G1355" s="25">
        <v>119.03</v>
      </c>
      <c r="H1355" s="62"/>
      <c r="I1355" s="25">
        <f>ROUND(G1355*AM1355,2)</f>
        <v>0</v>
      </c>
      <c r="J1355" s="25">
        <f>ROUND(G1355*AN1355,2)</f>
        <v>0</v>
      </c>
      <c r="K1355" s="25">
        <f>ROUND(G1355*H1355,2)</f>
        <v>0</v>
      </c>
      <c r="L1355" s="25">
        <v>8.0000000000000004E-4</v>
      </c>
      <c r="M1355" s="25">
        <f>G1355*L1355</f>
        <v>9.5224000000000003E-2</v>
      </c>
      <c r="N1355" s="26"/>
      <c r="X1355" s="25">
        <f>ROUND(IF(AO1355="5",BH1355,0),2)</f>
        <v>0</v>
      </c>
      <c r="Z1355" s="25">
        <f>ROUND(IF(AO1355="1",BF1355,0),2)</f>
        <v>0</v>
      </c>
      <c r="AA1355" s="25">
        <f>ROUND(IF(AO1355="1",BG1355,0),2)</f>
        <v>0</v>
      </c>
      <c r="AB1355" s="25">
        <f>ROUND(IF(AO1355="7",BF1355,0),2)</f>
        <v>0</v>
      </c>
      <c r="AC1355" s="25">
        <f>ROUND(IF(AO1355="7",BG1355,0),2)</f>
        <v>0</v>
      </c>
      <c r="AD1355" s="25">
        <f>ROUND(IF(AO1355="2",BF1355,0),2)</f>
        <v>0</v>
      </c>
      <c r="AE1355" s="25">
        <f>ROUND(IF(AO1355="2",BG1355,0),2)</f>
        <v>0</v>
      </c>
      <c r="AF1355" s="25">
        <f>ROUND(IF(AO1355="0",BH1355,0),2)</f>
        <v>0</v>
      </c>
      <c r="AG1355" s="10" t="s">
        <v>1101</v>
      </c>
      <c r="AH1355" s="25">
        <f>IF(AL1355=0,K1355,0)</f>
        <v>0</v>
      </c>
      <c r="AI1355" s="25">
        <f>IF(AL1355=12,K1355,0)</f>
        <v>0</v>
      </c>
      <c r="AJ1355" s="25">
        <f>IF(AL1355=21,K1355,0)</f>
        <v>0</v>
      </c>
      <c r="AL1355" s="25">
        <v>21</v>
      </c>
      <c r="AM1355" s="25">
        <f>H1355*1</f>
        <v>0</v>
      </c>
      <c r="AN1355" s="25">
        <f>H1355*(1-1)</f>
        <v>0</v>
      </c>
      <c r="AO1355" s="27" t="s">
        <v>61</v>
      </c>
      <c r="AT1355" s="25">
        <f>ROUND(AU1355+AV1355,2)</f>
        <v>0</v>
      </c>
      <c r="AU1355" s="25">
        <f>ROUND(G1355*AM1355,2)</f>
        <v>0</v>
      </c>
      <c r="AV1355" s="25">
        <f>ROUND(G1355*AN1355,2)</f>
        <v>0</v>
      </c>
      <c r="AW1355" s="27" t="s">
        <v>937</v>
      </c>
      <c r="AX1355" s="27" t="s">
        <v>1568</v>
      </c>
      <c r="AY1355" s="10" t="s">
        <v>1105</v>
      </c>
      <c r="BA1355" s="25">
        <f>AU1355+AV1355</f>
        <v>0</v>
      </c>
      <c r="BB1355" s="25">
        <f>H1355/(100-BC1355)*100</f>
        <v>0</v>
      </c>
      <c r="BC1355" s="25">
        <v>0</v>
      </c>
      <c r="BD1355" s="25">
        <f>M1355</f>
        <v>9.5224000000000003E-2</v>
      </c>
      <c r="BF1355" s="25">
        <f>G1355*AM1355</f>
        <v>0</v>
      </c>
      <c r="BG1355" s="25">
        <f>G1355*AN1355</f>
        <v>0</v>
      </c>
      <c r="BH1355" s="25">
        <f>G1355*H1355</f>
        <v>0</v>
      </c>
      <c r="BI1355" s="27" t="s">
        <v>65</v>
      </c>
      <c r="BJ1355" s="25">
        <v>771</v>
      </c>
      <c r="BU1355" s="25" t="e">
        <f>#REF!</f>
        <v>#REF!</v>
      </c>
      <c r="BV1355" s="4" t="s">
        <v>947</v>
      </c>
    </row>
    <row r="1356" spans="1:74" ht="14.4" x14ac:dyDescent="0.3">
      <c r="A1356" s="28"/>
      <c r="D1356" s="29" t="s">
        <v>381</v>
      </c>
      <c r="E1356" s="29" t="s">
        <v>361</v>
      </c>
      <c r="G1356" s="30">
        <v>9.35</v>
      </c>
      <c r="H1356" s="63"/>
      <c r="N1356" s="31"/>
    </row>
    <row r="1357" spans="1:74" ht="14.4" x14ac:dyDescent="0.3">
      <c r="A1357" s="28"/>
      <c r="D1357" s="29" t="s">
        <v>391</v>
      </c>
      <c r="E1357" s="29" t="s">
        <v>363</v>
      </c>
      <c r="G1357" s="30">
        <v>2.73</v>
      </c>
      <c r="H1357" s="63"/>
      <c r="N1357" s="31"/>
    </row>
    <row r="1358" spans="1:74" ht="14.4" x14ac:dyDescent="0.3">
      <c r="A1358" s="28"/>
      <c r="D1358" s="29" t="s">
        <v>385</v>
      </c>
      <c r="E1358" s="29" t="s">
        <v>375</v>
      </c>
      <c r="G1358" s="30">
        <v>1.68</v>
      </c>
      <c r="H1358" s="63"/>
      <c r="N1358" s="31"/>
    </row>
    <row r="1359" spans="1:74" ht="14.4" x14ac:dyDescent="0.3">
      <c r="A1359" s="28"/>
      <c r="D1359" s="29" t="s">
        <v>386</v>
      </c>
      <c r="E1359" s="29" t="s">
        <v>377</v>
      </c>
      <c r="G1359" s="30">
        <v>2.76</v>
      </c>
      <c r="H1359" s="63"/>
      <c r="N1359" s="31"/>
    </row>
    <row r="1360" spans="1:74" ht="14.4" x14ac:dyDescent="0.3">
      <c r="A1360" s="28"/>
      <c r="D1360" s="29" t="s">
        <v>1287</v>
      </c>
      <c r="E1360" s="29" t="s">
        <v>1288</v>
      </c>
      <c r="G1360" s="30">
        <v>102.51</v>
      </c>
      <c r="H1360" s="63"/>
      <c r="N1360" s="31"/>
    </row>
    <row r="1361" spans="1:74" ht="14.4" x14ac:dyDescent="0.3">
      <c r="A1361" s="2" t="s">
        <v>1585</v>
      </c>
      <c r="B1361" s="3" t="s">
        <v>1101</v>
      </c>
      <c r="C1361" s="3" t="s">
        <v>949</v>
      </c>
      <c r="D1361" s="112" t="s">
        <v>950</v>
      </c>
      <c r="E1361" s="109"/>
      <c r="F1361" s="3" t="s">
        <v>115</v>
      </c>
      <c r="G1361" s="25">
        <v>164.72499999999999</v>
      </c>
      <c r="H1361" s="62"/>
      <c r="I1361" s="25">
        <f>ROUND(G1361*AM1361,2)</f>
        <v>0</v>
      </c>
      <c r="J1361" s="25">
        <f>ROUND(G1361*AN1361,2)</f>
        <v>0</v>
      </c>
      <c r="K1361" s="25">
        <f>ROUND(G1361*H1361,2)</f>
        <v>0</v>
      </c>
      <c r="L1361" s="25">
        <v>4.0000000000000003E-5</v>
      </c>
      <c r="M1361" s="25">
        <f>G1361*L1361</f>
        <v>6.5890000000000002E-3</v>
      </c>
      <c r="N1361" s="26"/>
      <c r="X1361" s="25">
        <f>ROUND(IF(AO1361="5",BH1361,0),2)</f>
        <v>0</v>
      </c>
      <c r="Z1361" s="25">
        <f>ROUND(IF(AO1361="1",BF1361,0),2)</f>
        <v>0</v>
      </c>
      <c r="AA1361" s="25">
        <f>ROUND(IF(AO1361="1",BG1361,0),2)</f>
        <v>0</v>
      </c>
      <c r="AB1361" s="25">
        <f>ROUND(IF(AO1361="7",BF1361,0),2)</f>
        <v>0</v>
      </c>
      <c r="AC1361" s="25">
        <f>ROUND(IF(AO1361="7",BG1361,0),2)</f>
        <v>0</v>
      </c>
      <c r="AD1361" s="25">
        <f>ROUND(IF(AO1361="2",BF1361,0),2)</f>
        <v>0</v>
      </c>
      <c r="AE1361" s="25">
        <f>ROUND(IF(AO1361="2",BG1361,0),2)</f>
        <v>0</v>
      </c>
      <c r="AF1361" s="25">
        <f>ROUND(IF(AO1361="0",BH1361,0),2)</f>
        <v>0</v>
      </c>
      <c r="AG1361" s="10" t="s">
        <v>1101</v>
      </c>
      <c r="AH1361" s="25">
        <f>IF(AL1361=0,K1361,0)</f>
        <v>0</v>
      </c>
      <c r="AI1361" s="25">
        <f>IF(AL1361=12,K1361,0)</f>
        <v>0</v>
      </c>
      <c r="AJ1361" s="25">
        <f>IF(AL1361=21,K1361,0)</f>
        <v>0</v>
      </c>
      <c r="AL1361" s="25">
        <v>21</v>
      </c>
      <c r="AM1361" s="25">
        <f>H1361*0.500126954</f>
        <v>0</v>
      </c>
      <c r="AN1361" s="25">
        <f>H1361*(1-0.500126954)</f>
        <v>0</v>
      </c>
      <c r="AO1361" s="27" t="s">
        <v>61</v>
      </c>
      <c r="AT1361" s="25">
        <f>ROUND(AU1361+AV1361,2)</f>
        <v>0</v>
      </c>
      <c r="AU1361" s="25">
        <f>ROUND(G1361*AM1361,2)</f>
        <v>0</v>
      </c>
      <c r="AV1361" s="25">
        <f>ROUND(G1361*AN1361,2)</f>
        <v>0</v>
      </c>
      <c r="AW1361" s="27" t="s">
        <v>937</v>
      </c>
      <c r="AX1361" s="27" t="s">
        <v>1568</v>
      </c>
      <c r="AY1361" s="10" t="s">
        <v>1105</v>
      </c>
      <c r="BA1361" s="25">
        <f>AU1361+AV1361</f>
        <v>0</v>
      </c>
      <c r="BB1361" s="25">
        <f>H1361/(100-BC1361)*100</f>
        <v>0</v>
      </c>
      <c r="BC1361" s="25">
        <v>0</v>
      </c>
      <c r="BD1361" s="25">
        <f>M1361</f>
        <v>6.5890000000000002E-3</v>
      </c>
      <c r="BF1361" s="25">
        <f>G1361*AM1361</f>
        <v>0</v>
      </c>
      <c r="BG1361" s="25">
        <f>G1361*AN1361</f>
        <v>0</v>
      </c>
      <c r="BH1361" s="25">
        <f>G1361*H1361</f>
        <v>0</v>
      </c>
      <c r="BI1361" s="27" t="s">
        <v>65</v>
      </c>
      <c r="BJ1361" s="25">
        <v>771</v>
      </c>
      <c r="BU1361" s="25" t="e">
        <f>#REF!</f>
        <v>#REF!</v>
      </c>
      <c r="BV1361" s="4" t="s">
        <v>950</v>
      </c>
    </row>
    <row r="1362" spans="1:74" ht="14.4" x14ac:dyDescent="0.3">
      <c r="A1362" s="28"/>
      <c r="D1362" s="29" t="s">
        <v>1279</v>
      </c>
      <c r="E1362" s="29" t="s">
        <v>1586</v>
      </c>
      <c r="G1362" s="30">
        <v>3.2</v>
      </c>
      <c r="H1362" s="63"/>
      <c r="N1362" s="31"/>
    </row>
    <row r="1363" spans="1:74" ht="14.4" x14ac:dyDescent="0.3">
      <c r="A1363" s="28"/>
      <c r="D1363" s="29" t="s">
        <v>1587</v>
      </c>
      <c r="E1363" s="29" t="s">
        <v>1175</v>
      </c>
      <c r="G1363" s="30">
        <v>2.16</v>
      </c>
      <c r="H1363" s="63"/>
      <c r="N1363" s="31"/>
    </row>
    <row r="1364" spans="1:74" ht="14.4" x14ac:dyDescent="0.3">
      <c r="A1364" s="28"/>
      <c r="D1364" s="29" t="s">
        <v>1588</v>
      </c>
      <c r="E1364" s="29" t="s">
        <v>1175</v>
      </c>
      <c r="G1364" s="30">
        <v>3.26</v>
      </c>
      <c r="H1364" s="63"/>
      <c r="N1364" s="31"/>
    </row>
    <row r="1365" spans="1:74" ht="14.4" x14ac:dyDescent="0.3">
      <c r="A1365" s="28"/>
      <c r="D1365" s="29" t="s">
        <v>1589</v>
      </c>
      <c r="E1365" s="29" t="s">
        <v>1175</v>
      </c>
      <c r="G1365" s="30">
        <v>4.0049999999999999</v>
      </c>
      <c r="H1365" s="63"/>
      <c r="N1365" s="31"/>
    </row>
    <row r="1366" spans="1:74" ht="14.4" x14ac:dyDescent="0.3">
      <c r="A1366" s="28"/>
      <c r="D1366" s="29" t="s">
        <v>1590</v>
      </c>
      <c r="E1366" s="29" t="s">
        <v>1175</v>
      </c>
      <c r="G1366" s="30">
        <v>4.2050000000000001</v>
      </c>
      <c r="H1366" s="63"/>
      <c r="N1366" s="31"/>
    </row>
    <row r="1367" spans="1:74" ht="14.4" x14ac:dyDescent="0.3">
      <c r="A1367" s="28"/>
      <c r="D1367" s="29" t="s">
        <v>1591</v>
      </c>
      <c r="E1367" s="29" t="s">
        <v>1175</v>
      </c>
      <c r="G1367" s="30">
        <v>5.76</v>
      </c>
      <c r="H1367" s="63"/>
      <c r="N1367" s="31"/>
    </row>
    <row r="1368" spans="1:74" ht="14.4" x14ac:dyDescent="0.3">
      <c r="A1368" s="28"/>
      <c r="D1368" s="29" t="s">
        <v>1592</v>
      </c>
      <c r="E1368" s="29" t="s">
        <v>1175</v>
      </c>
      <c r="G1368" s="30">
        <v>6.3</v>
      </c>
      <c r="H1368" s="63"/>
      <c r="N1368" s="31"/>
    </row>
    <row r="1369" spans="1:74" ht="14.4" x14ac:dyDescent="0.3">
      <c r="A1369" s="28"/>
      <c r="D1369" s="29" t="s">
        <v>1593</v>
      </c>
      <c r="E1369" s="29" t="s">
        <v>1175</v>
      </c>
      <c r="G1369" s="30">
        <v>3.18</v>
      </c>
      <c r="H1369" s="63"/>
      <c r="N1369" s="31"/>
    </row>
    <row r="1370" spans="1:74" ht="14.4" x14ac:dyDescent="0.3">
      <c r="A1370" s="28"/>
      <c r="D1370" s="29" t="s">
        <v>1594</v>
      </c>
      <c r="E1370" s="29" t="s">
        <v>1175</v>
      </c>
      <c r="G1370" s="30">
        <v>4.4749999999999996</v>
      </c>
      <c r="H1370" s="63"/>
      <c r="N1370" s="31"/>
    </row>
    <row r="1371" spans="1:74" ht="14.4" x14ac:dyDescent="0.3">
      <c r="A1371" s="28"/>
      <c r="D1371" s="29" t="s">
        <v>1595</v>
      </c>
      <c r="E1371" s="29" t="s">
        <v>1175</v>
      </c>
      <c r="G1371" s="30">
        <v>2.86</v>
      </c>
      <c r="H1371" s="63"/>
      <c r="N1371" s="31"/>
    </row>
    <row r="1372" spans="1:74" ht="14.4" x14ac:dyDescent="0.3">
      <c r="A1372" s="28"/>
      <c r="D1372" s="29" t="s">
        <v>1596</v>
      </c>
      <c r="E1372" s="29" t="s">
        <v>363</v>
      </c>
      <c r="G1372" s="30">
        <v>5.98</v>
      </c>
      <c r="H1372" s="63"/>
      <c r="N1372" s="31"/>
    </row>
    <row r="1373" spans="1:74" ht="14.4" x14ac:dyDescent="0.3">
      <c r="A1373" s="28"/>
      <c r="D1373" s="29" t="s">
        <v>1353</v>
      </c>
      <c r="E1373" s="29" t="s">
        <v>373</v>
      </c>
      <c r="G1373" s="30">
        <v>5.83</v>
      </c>
      <c r="H1373" s="63"/>
      <c r="N1373" s="31"/>
    </row>
    <row r="1374" spans="1:74" ht="14.4" x14ac:dyDescent="0.3">
      <c r="A1374" s="28"/>
      <c r="D1374" s="29" t="s">
        <v>1354</v>
      </c>
      <c r="E1374" s="29" t="s">
        <v>375</v>
      </c>
      <c r="G1374" s="30">
        <v>4.43</v>
      </c>
      <c r="H1374" s="63"/>
      <c r="N1374" s="31"/>
    </row>
    <row r="1375" spans="1:74" ht="14.4" x14ac:dyDescent="0.3">
      <c r="A1375" s="28"/>
      <c r="D1375" s="29" t="s">
        <v>1355</v>
      </c>
      <c r="E1375" s="29" t="s">
        <v>377</v>
      </c>
      <c r="G1375" s="30">
        <v>6.33</v>
      </c>
      <c r="H1375" s="63"/>
      <c r="N1375" s="31"/>
    </row>
    <row r="1376" spans="1:74" ht="14.4" x14ac:dyDescent="0.3">
      <c r="A1376" s="28"/>
      <c r="D1376" s="29" t="s">
        <v>1597</v>
      </c>
      <c r="E1376" s="29" t="s">
        <v>370</v>
      </c>
      <c r="G1376" s="30">
        <v>7.74</v>
      </c>
      <c r="H1376" s="63"/>
      <c r="N1376" s="31"/>
    </row>
    <row r="1377" spans="1:74" ht="14.4" x14ac:dyDescent="0.3">
      <c r="A1377" s="28"/>
      <c r="D1377" s="29" t="s">
        <v>1341</v>
      </c>
      <c r="E1377" s="29" t="s">
        <v>366</v>
      </c>
      <c r="G1377" s="30">
        <v>81.7</v>
      </c>
      <c r="H1377" s="63"/>
      <c r="N1377" s="31"/>
    </row>
    <row r="1378" spans="1:74" ht="14.4" x14ac:dyDescent="0.3">
      <c r="A1378" s="28"/>
      <c r="D1378" s="29" t="s">
        <v>1598</v>
      </c>
      <c r="E1378" s="29" t="s">
        <v>361</v>
      </c>
      <c r="G1378" s="30">
        <v>13.31</v>
      </c>
      <c r="H1378" s="63"/>
      <c r="N1378" s="31"/>
    </row>
    <row r="1379" spans="1:74" ht="14.4" x14ac:dyDescent="0.3">
      <c r="A1379" s="2" t="s">
        <v>1599</v>
      </c>
      <c r="B1379" s="3" t="s">
        <v>1101</v>
      </c>
      <c r="C1379" s="3" t="s">
        <v>959</v>
      </c>
      <c r="D1379" s="112" t="s">
        <v>960</v>
      </c>
      <c r="E1379" s="109"/>
      <c r="F1379" s="3" t="s">
        <v>60</v>
      </c>
      <c r="G1379" s="25">
        <v>7.23</v>
      </c>
      <c r="H1379" s="62"/>
      <c r="I1379" s="25">
        <f>ROUND(G1379*AM1379,2)</f>
        <v>0</v>
      </c>
      <c r="J1379" s="25">
        <f>ROUND(G1379*AN1379,2)</f>
        <v>0</v>
      </c>
      <c r="K1379" s="25">
        <f>ROUND(G1379*H1379,2)</f>
        <v>0</v>
      </c>
      <c r="L1379" s="25">
        <v>0</v>
      </c>
      <c r="M1379" s="25">
        <f>G1379*L1379</f>
        <v>0</v>
      </c>
      <c r="N1379" s="26"/>
      <c r="X1379" s="25">
        <f>ROUND(IF(AO1379="5",BH1379,0),2)</f>
        <v>0</v>
      </c>
      <c r="Z1379" s="25">
        <f>ROUND(IF(AO1379="1",BF1379,0),2)</f>
        <v>0</v>
      </c>
      <c r="AA1379" s="25">
        <f>ROUND(IF(AO1379="1",BG1379,0),2)</f>
        <v>0</v>
      </c>
      <c r="AB1379" s="25">
        <f>ROUND(IF(AO1379="7",BF1379,0),2)</f>
        <v>0</v>
      </c>
      <c r="AC1379" s="25">
        <f>ROUND(IF(AO1379="7",BG1379,0),2)</f>
        <v>0</v>
      </c>
      <c r="AD1379" s="25">
        <f>ROUND(IF(AO1379="2",BF1379,0),2)</f>
        <v>0</v>
      </c>
      <c r="AE1379" s="25">
        <f>ROUND(IF(AO1379="2",BG1379,0),2)</f>
        <v>0</v>
      </c>
      <c r="AF1379" s="25">
        <f>ROUND(IF(AO1379="0",BH1379,0),2)</f>
        <v>0</v>
      </c>
      <c r="AG1379" s="10" t="s">
        <v>1101</v>
      </c>
      <c r="AH1379" s="25">
        <f>IF(AL1379=0,K1379,0)</f>
        <v>0</v>
      </c>
      <c r="AI1379" s="25">
        <f>IF(AL1379=12,K1379,0)</f>
        <v>0</v>
      </c>
      <c r="AJ1379" s="25">
        <f>IF(AL1379=21,K1379,0)</f>
        <v>0</v>
      </c>
      <c r="AL1379" s="25">
        <v>21</v>
      </c>
      <c r="AM1379" s="25">
        <f>H1379*0</f>
        <v>0</v>
      </c>
      <c r="AN1379" s="25">
        <f>H1379*(1-0)</f>
        <v>0</v>
      </c>
      <c r="AO1379" s="27" t="s">
        <v>61</v>
      </c>
      <c r="AT1379" s="25">
        <f>ROUND(AU1379+AV1379,2)</f>
        <v>0</v>
      </c>
      <c r="AU1379" s="25">
        <f>ROUND(G1379*AM1379,2)</f>
        <v>0</v>
      </c>
      <c r="AV1379" s="25">
        <f>ROUND(G1379*AN1379,2)</f>
        <v>0</v>
      </c>
      <c r="AW1379" s="27" t="s">
        <v>937</v>
      </c>
      <c r="AX1379" s="27" t="s">
        <v>1568</v>
      </c>
      <c r="AY1379" s="10" t="s">
        <v>1105</v>
      </c>
      <c r="BA1379" s="25">
        <f>AU1379+AV1379</f>
        <v>0</v>
      </c>
      <c r="BB1379" s="25">
        <f>H1379/(100-BC1379)*100</f>
        <v>0</v>
      </c>
      <c r="BC1379" s="25">
        <v>0</v>
      </c>
      <c r="BD1379" s="25">
        <f>M1379</f>
        <v>0</v>
      </c>
      <c r="BF1379" s="25">
        <f>G1379*AM1379</f>
        <v>0</v>
      </c>
      <c r="BG1379" s="25">
        <f>G1379*AN1379</f>
        <v>0</v>
      </c>
      <c r="BH1379" s="25">
        <f>G1379*H1379</f>
        <v>0</v>
      </c>
      <c r="BI1379" s="27" t="s">
        <v>65</v>
      </c>
      <c r="BJ1379" s="25">
        <v>771</v>
      </c>
      <c r="BU1379" s="25" t="e">
        <f>#REF!</f>
        <v>#REF!</v>
      </c>
      <c r="BV1379" s="4" t="s">
        <v>960</v>
      </c>
    </row>
    <row r="1380" spans="1:74" ht="14.4" x14ac:dyDescent="0.3">
      <c r="A1380" s="28"/>
      <c r="D1380" s="29" t="s">
        <v>1569</v>
      </c>
      <c r="E1380" s="29" t="s">
        <v>363</v>
      </c>
      <c r="G1380" s="30">
        <v>2.79</v>
      </c>
      <c r="H1380" s="63"/>
      <c r="N1380" s="31"/>
    </row>
    <row r="1381" spans="1:74" ht="14.4" x14ac:dyDescent="0.3">
      <c r="A1381" s="28"/>
      <c r="D1381" s="29" t="s">
        <v>385</v>
      </c>
      <c r="E1381" s="29" t="s">
        <v>375</v>
      </c>
      <c r="G1381" s="30">
        <v>1.68</v>
      </c>
      <c r="H1381" s="63"/>
      <c r="N1381" s="31"/>
    </row>
    <row r="1382" spans="1:74" ht="14.4" x14ac:dyDescent="0.3">
      <c r="A1382" s="28"/>
      <c r="D1382" s="29" t="s">
        <v>386</v>
      </c>
      <c r="E1382" s="29" t="s">
        <v>377</v>
      </c>
      <c r="G1382" s="30">
        <v>2.76</v>
      </c>
      <c r="H1382" s="63"/>
      <c r="N1382" s="31"/>
    </row>
    <row r="1383" spans="1:74" ht="14.4" x14ac:dyDescent="0.3">
      <c r="A1383" s="2" t="s">
        <v>1600</v>
      </c>
      <c r="B1383" s="3" t="s">
        <v>1101</v>
      </c>
      <c r="C1383" s="3" t="s">
        <v>976</v>
      </c>
      <c r="D1383" s="112" t="s">
        <v>1601</v>
      </c>
      <c r="E1383" s="109"/>
      <c r="F1383" s="3" t="s">
        <v>115</v>
      </c>
      <c r="G1383" s="25">
        <v>36.204999999999998</v>
      </c>
      <c r="H1383" s="62"/>
      <c r="I1383" s="25">
        <f>ROUND(G1383*AM1383,2)</f>
        <v>0</v>
      </c>
      <c r="J1383" s="25">
        <f>ROUND(G1383*AN1383,2)</f>
        <v>0</v>
      </c>
      <c r="K1383" s="25">
        <f>ROUND(G1383*H1383,2)</f>
        <v>0</v>
      </c>
      <c r="L1383" s="25">
        <v>9.1000000000000004E-3</v>
      </c>
      <c r="M1383" s="25">
        <f>G1383*L1383</f>
        <v>0.32946550000000002</v>
      </c>
      <c r="N1383" s="26"/>
      <c r="X1383" s="25">
        <f>ROUND(IF(AO1383="5",BH1383,0),2)</f>
        <v>0</v>
      </c>
      <c r="Z1383" s="25">
        <f>ROUND(IF(AO1383="1",BF1383,0),2)</f>
        <v>0</v>
      </c>
      <c r="AA1383" s="25">
        <f>ROUND(IF(AO1383="1",BG1383,0),2)</f>
        <v>0</v>
      </c>
      <c r="AB1383" s="25">
        <f>ROUND(IF(AO1383="7",BF1383,0),2)</f>
        <v>0</v>
      </c>
      <c r="AC1383" s="25">
        <f>ROUND(IF(AO1383="7",BG1383,0),2)</f>
        <v>0</v>
      </c>
      <c r="AD1383" s="25">
        <f>ROUND(IF(AO1383="2",BF1383,0),2)</f>
        <v>0</v>
      </c>
      <c r="AE1383" s="25">
        <f>ROUND(IF(AO1383="2",BG1383,0),2)</f>
        <v>0</v>
      </c>
      <c r="AF1383" s="25">
        <f>ROUND(IF(AO1383="0",BH1383,0),2)</f>
        <v>0</v>
      </c>
      <c r="AG1383" s="10" t="s">
        <v>1101</v>
      </c>
      <c r="AH1383" s="25">
        <f>IF(AL1383=0,K1383,0)</f>
        <v>0</v>
      </c>
      <c r="AI1383" s="25">
        <f>IF(AL1383=12,K1383,0)</f>
        <v>0</v>
      </c>
      <c r="AJ1383" s="25">
        <f>IF(AL1383=21,K1383,0)</f>
        <v>0</v>
      </c>
      <c r="AL1383" s="25">
        <v>21</v>
      </c>
      <c r="AM1383" s="25">
        <f>H1383*0.07402141</f>
        <v>0</v>
      </c>
      <c r="AN1383" s="25">
        <f>H1383*(1-0.07402141)</f>
        <v>0</v>
      </c>
      <c r="AO1383" s="27" t="s">
        <v>61</v>
      </c>
      <c r="AT1383" s="25">
        <f>ROUND(AU1383+AV1383,2)</f>
        <v>0</v>
      </c>
      <c r="AU1383" s="25">
        <f>ROUND(G1383*AM1383,2)</f>
        <v>0</v>
      </c>
      <c r="AV1383" s="25">
        <f>ROUND(G1383*AN1383,2)</f>
        <v>0</v>
      </c>
      <c r="AW1383" s="27" t="s">
        <v>937</v>
      </c>
      <c r="AX1383" s="27" t="s">
        <v>1568</v>
      </c>
      <c r="AY1383" s="10" t="s">
        <v>1105</v>
      </c>
      <c r="BA1383" s="25">
        <f>AU1383+AV1383</f>
        <v>0</v>
      </c>
      <c r="BB1383" s="25">
        <f>H1383/(100-BC1383)*100</f>
        <v>0</v>
      </c>
      <c r="BC1383" s="25">
        <v>0</v>
      </c>
      <c r="BD1383" s="25">
        <f>M1383</f>
        <v>0.32946550000000002</v>
      </c>
      <c r="BF1383" s="25">
        <f>G1383*AM1383</f>
        <v>0</v>
      </c>
      <c r="BG1383" s="25">
        <f>G1383*AN1383</f>
        <v>0</v>
      </c>
      <c r="BH1383" s="25">
        <f>G1383*H1383</f>
        <v>0</v>
      </c>
      <c r="BI1383" s="27" t="s">
        <v>65</v>
      </c>
      <c r="BJ1383" s="25">
        <v>771</v>
      </c>
      <c r="BU1383" s="25" t="e">
        <f>#REF!</f>
        <v>#REF!</v>
      </c>
      <c r="BV1383" s="4" t="s">
        <v>1601</v>
      </c>
    </row>
    <row r="1384" spans="1:74" ht="14.4" x14ac:dyDescent="0.3">
      <c r="A1384" s="28"/>
      <c r="D1384" s="29" t="s">
        <v>1587</v>
      </c>
      <c r="E1384" s="29" t="s">
        <v>1175</v>
      </c>
      <c r="G1384" s="30">
        <v>2.16</v>
      </c>
      <c r="H1384" s="63"/>
      <c r="N1384" s="31"/>
    </row>
    <row r="1385" spans="1:74" ht="14.4" x14ac:dyDescent="0.3">
      <c r="A1385" s="28"/>
      <c r="D1385" s="29" t="s">
        <v>1588</v>
      </c>
      <c r="E1385" s="29" t="s">
        <v>1175</v>
      </c>
      <c r="G1385" s="30">
        <v>3.26</v>
      </c>
      <c r="H1385" s="63"/>
      <c r="N1385" s="31"/>
    </row>
    <row r="1386" spans="1:74" ht="14.4" x14ac:dyDescent="0.3">
      <c r="A1386" s="28"/>
      <c r="D1386" s="29" t="s">
        <v>1589</v>
      </c>
      <c r="E1386" s="29" t="s">
        <v>1175</v>
      </c>
      <c r="G1386" s="30">
        <v>4.0049999999999999</v>
      </c>
      <c r="H1386" s="63"/>
      <c r="N1386" s="31"/>
    </row>
    <row r="1387" spans="1:74" ht="14.4" x14ac:dyDescent="0.3">
      <c r="A1387" s="28"/>
      <c r="D1387" s="29" t="s">
        <v>1590</v>
      </c>
      <c r="E1387" s="29" t="s">
        <v>1175</v>
      </c>
      <c r="G1387" s="30">
        <v>4.2050000000000001</v>
      </c>
      <c r="H1387" s="63"/>
      <c r="N1387" s="31"/>
    </row>
    <row r="1388" spans="1:74" ht="14.4" x14ac:dyDescent="0.3">
      <c r="A1388" s="28"/>
      <c r="D1388" s="29" t="s">
        <v>1591</v>
      </c>
      <c r="E1388" s="29" t="s">
        <v>1175</v>
      </c>
      <c r="G1388" s="30">
        <v>5.76</v>
      </c>
      <c r="H1388" s="63"/>
      <c r="N1388" s="31"/>
    </row>
    <row r="1389" spans="1:74" ht="14.4" x14ac:dyDescent="0.3">
      <c r="A1389" s="28"/>
      <c r="D1389" s="29" t="s">
        <v>1592</v>
      </c>
      <c r="E1389" s="29" t="s">
        <v>1175</v>
      </c>
      <c r="G1389" s="30">
        <v>6.3</v>
      </c>
      <c r="H1389" s="63"/>
      <c r="N1389" s="31"/>
    </row>
    <row r="1390" spans="1:74" ht="14.4" x14ac:dyDescent="0.3">
      <c r="A1390" s="28"/>
      <c r="D1390" s="29" t="s">
        <v>1593</v>
      </c>
      <c r="E1390" s="29" t="s">
        <v>1175</v>
      </c>
      <c r="G1390" s="30">
        <v>3.18</v>
      </c>
      <c r="H1390" s="63"/>
      <c r="N1390" s="31"/>
    </row>
    <row r="1391" spans="1:74" ht="14.4" x14ac:dyDescent="0.3">
      <c r="A1391" s="28"/>
      <c r="D1391" s="29" t="s">
        <v>1594</v>
      </c>
      <c r="E1391" s="29" t="s">
        <v>1175</v>
      </c>
      <c r="G1391" s="30">
        <v>4.4749999999999996</v>
      </c>
      <c r="H1391" s="63"/>
      <c r="N1391" s="31"/>
    </row>
    <row r="1392" spans="1:74" ht="14.4" x14ac:dyDescent="0.3">
      <c r="A1392" s="28"/>
      <c r="D1392" s="29" t="s">
        <v>1595</v>
      </c>
      <c r="E1392" s="29" t="s">
        <v>1175</v>
      </c>
      <c r="G1392" s="30">
        <v>2.86</v>
      </c>
      <c r="H1392" s="63"/>
      <c r="N1392" s="31"/>
    </row>
    <row r="1393" spans="1:74" ht="14.4" x14ac:dyDescent="0.3">
      <c r="A1393" s="2" t="s">
        <v>1602</v>
      </c>
      <c r="B1393" s="3" t="s">
        <v>1101</v>
      </c>
      <c r="C1393" s="3" t="s">
        <v>981</v>
      </c>
      <c r="D1393" s="112" t="s">
        <v>982</v>
      </c>
      <c r="E1393" s="109"/>
      <c r="F1393" s="3" t="s">
        <v>278</v>
      </c>
      <c r="G1393" s="25">
        <v>4.2751900000000003</v>
      </c>
      <c r="H1393" s="62"/>
      <c r="I1393" s="25">
        <f>ROUND(G1393*AM1393,2)</f>
        <v>0</v>
      </c>
      <c r="J1393" s="25">
        <f>ROUND(G1393*AN1393,2)</f>
        <v>0</v>
      </c>
      <c r="K1393" s="25">
        <f>ROUND(G1393*H1393,2)</f>
        <v>0</v>
      </c>
      <c r="L1393" s="25">
        <v>0</v>
      </c>
      <c r="M1393" s="25">
        <f>G1393*L1393</f>
        <v>0</v>
      </c>
      <c r="N1393" s="26"/>
      <c r="X1393" s="25">
        <f>ROUND(IF(AO1393="5",BH1393,0),2)</f>
        <v>0</v>
      </c>
      <c r="Z1393" s="25">
        <f>ROUND(IF(AO1393="1",BF1393,0),2)</f>
        <v>0</v>
      </c>
      <c r="AA1393" s="25">
        <f>ROUND(IF(AO1393="1",BG1393,0),2)</f>
        <v>0</v>
      </c>
      <c r="AB1393" s="25">
        <f>ROUND(IF(AO1393="7",BF1393,0),2)</f>
        <v>0</v>
      </c>
      <c r="AC1393" s="25">
        <f>ROUND(IF(AO1393="7",BG1393,0),2)</f>
        <v>0</v>
      </c>
      <c r="AD1393" s="25">
        <f>ROUND(IF(AO1393="2",BF1393,0),2)</f>
        <v>0</v>
      </c>
      <c r="AE1393" s="25">
        <f>ROUND(IF(AO1393="2",BG1393,0),2)</f>
        <v>0</v>
      </c>
      <c r="AF1393" s="25">
        <f>ROUND(IF(AO1393="0",BH1393,0),2)</f>
        <v>0</v>
      </c>
      <c r="AG1393" s="10" t="s">
        <v>1101</v>
      </c>
      <c r="AH1393" s="25">
        <f>IF(AL1393=0,K1393,0)</f>
        <v>0</v>
      </c>
      <c r="AI1393" s="25">
        <f>IF(AL1393=12,K1393,0)</f>
        <v>0</v>
      </c>
      <c r="AJ1393" s="25">
        <f>IF(AL1393=21,K1393,0)</f>
        <v>0</v>
      </c>
      <c r="AL1393" s="25">
        <v>21</v>
      </c>
      <c r="AM1393" s="25">
        <f>H1393*0</f>
        <v>0</v>
      </c>
      <c r="AN1393" s="25">
        <f>H1393*(1-0)</f>
        <v>0</v>
      </c>
      <c r="AO1393" s="27" t="s">
        <v>97</v>
      </c>
      <c r="AT1393" s="25">
        <f>ROUND(AU1393+AV1393,2)</f>
        <v>0</v>
      </c>
      <c r="AU1393" s="25">
        <f>ROUND(G1393*AM1393,2)</f>
        <v>0</v>
      </c>
      <c r="AV1393" s="25">
        <f>ROUND(G1393*AN1393,2)</f>
        <v>0</v>
      </c>
      <c r="AW1393" s="27" t="s">
        <v>937</v>
      </c>
      <c r="AX1393" s="27" t="s">
        <v>1568</v>
      </c>
      <c r="AY1393" s="10" t="s">
        <v>1105</v>
      </c>
      <c r="BA1393" s="25">
        <f>AU1393+AV1393</f>
        <v>0</v>
      </c>
      <c r="BB1393" s="25">
        <f>H1393/(100-BC1393)*100</f>
        <v>0</v>
      </c>
      <c r="BC1393" s="25">
        <v>0</v>
      </c>
      <c r="BD1393" s="25">
        <f>M1393</f>
        <v>0</v>
      </c>
      <c r="BF1393" s="25">
        <f>G1393*AM1393</f>
        <v>0</v>
      </c>
      <c r="BG1393" s="25">
        <f>G1393*AN1393</f>
        <v>0</v>
      </c>
      <c r="BH1393" s="25">
        <f>G1393*H1393</f>
        <v>0</v>
      </c>
      <c r="BI1393" s="27" t="s">
        <v>65</v>
      </c>
      <c r="BJ1393" s="25">
        <v>771</v>
      </c>
      <c r="BU1393" s="25" t="e">
        <f>#REF!</f>
        <v>#REF!</v>
      </c>
      <c r="BV1393" s="4" t="s">
        <v>982</v>
      </c>
    </row>
    <row r="1394" spans="1:74" ht="14.4" x14ac:dyDescent="0.3">
      <c r="A1394" s="21" t="s">
        <v>52</v>
      </c>
      <c r="B1394" s="22" t="s">
        <v>1101</v>
      </c>
      <c r="C1394" s="22" t="s">
        <v>104</v>
      </c>
      <c r="D1394" s="170" t="s">
        <v>105</v>
      </c>
      <c r="E1394" s="171"/>
      <c r="F1394" s="23" t="s">
        <v>32</v>
      </c>
      <c r="G1394" s="23" t="s">
        <v>32</v>
      </c>
      <c r="H1394" s="64"/>
      <c r="I1394" s="1">
        <f>SUM(I1395:I1407)</f>
        <v>0</v>
      </c>
      <c r="J1394" s="1">
        <f>SUM(J1395:J1407)</f>
        <v>0</v>
      </c>
      <c r="K1394" s="1">
        <f>SUM(K1395:K1407)</f>
        <v>0</v>
      </c>
      <c r="L1394" s="10" t="s">
        <v>52</v>
      </c>
      <c r="M1394" s="1">
        <f>SUM(M1395:M1407)</f>
        <v>8.6831799999999987E-2</v>
      </c>
      <c r="N1394" s="24"/>
      <c r="AG1394" s="10" t="s">
        <v>1101</v>
      </c>
      <c r="AQ1394" s="1">
        <f>SUM(AH1395:AH1407)</f>
        <v>0</v>
      </c>
      <c r="AR1394" s="1">
        <f>SUM(AI1395:AI1407)</f>
        <v>0</v>
      </c>
      <c r="AS1394" s="1">
        <f>SUM(AJ1395:AJ1407)</f>
        <v>0</v>
      </c>
    </row>
    <row r="1395" spans="1:74" ht="14.4" x14ac:dyDescent="0.3">
      <c r="A1395" s="2" t="s">
        <v>1603</v>
      </c>
      <c r="B1395" s="3" t="s">
        <v>1101</v>
      </c>
      <c r="C1395" s="3" t="s">
        <v>1604</v>
      </c>
      <c r="D1395" s="112" t="s">
        <v>1605</v>
      </c>
      <c r="E1395" s="109"/>
      <c r="F1395" s="3" t="s">
        <v>115</v>
      </c>
      <c r="G1395" s="25">
        <v>3.5</v>
      </c>
      <c r="H1395" s="62"/>
      <c r="I1395" s="25">
        <f>ROUND(G1395*AM1395,2)</f>
        <v>0</v>
      </c>
      <c r="J1395" s="25">
        <f>ROUND(G1395*AN1395,2)</f>
        <v>0</v>
      </c>
      <c r="K1395" s="25">
        <f>ROUND(G1395*H1395,2)</f>
        <v>0</v>
      </c>
      <c r="L1395" s="25">
        <v>3.5E-4</v>
      </c>
      <c r="M1395" s="25">
        <f>G1395*L1395</f>
        <v>1.225E-3</v>
      </c>
      <c r="N1395" s="26"/>
      <c r="X1395" s="25">
        <f>ROUND(IF(AO1395="5",BH1395,0),2)</f>
        <v>0</v>
      </c>
      <c r="Z1395" s="25">
        <f>ROUND(IF(AO1395="1",BF1395,0),2)</f>
        <v>0</v>
      </c>
      <c r="AA1395" s="25">
        <f>ROUND(IF(AO1395="1",BG1395,0),2)</f>
        <v>0</v>
      </c>
      <c r="AB1395" s="25">
        <f>ROUND(IF(AO1395="7",BF1395,0),2)</f>
        <v>0</v>
      </c>
      <c r="AC1395" s="25">
        <f>ROUND(IF(AO1395="7",BG1395,0),2)</f>
        <v>0</v>
      </c>
      <c r="AD1395" s="25">
        <f>ROUND(IF(AO1395="2",BF1395,0),2)</f>
        <v>0</v>
      </c>
      <c r="AE1395" s="25">
        <f>ROUND(IF(AO1395="2",BG1395,0),2)</f>
        <v>0</v>
      </c>
      <c r="AF1395" s="25">
        <f>ROUND(IF(AO1395="0",BH1395,0),2)</f>
        <v>0</v>
      </c>
      <c r="AG1395" s="10" t="s">
        <v>1101</v>
      </c>
      <c r="AH1395" s="25">
        <f>IF(AL1395=0,K1395,0)</f>
        <v>0</v>
      </c>
      <c r="AI1395" s="25">
        <f>IF(AL1395=12,K1395,0)</f>
        <v>0</v>
      </c>
      <c r="AJ1395" s="25">
        <f>IF(AL1395=21,K1395,0)</f>
        <v>0</v>
      </c>
      <c r="AL1395" s="25">
        <v>21</v>
      </c>
      <c r="AM1395" s="25">
        <f>H1395*0.748274839</f>
        <v>0</v>
      </c>
      <c r="AN1395" s="25">
        <f>H1395*(1-0.748274839)</f>
        <v>0</v>
      </c>
      <c r="AO1395" s="27" t="s">
        <v>61</v>
      </c>
      <c r="AT1395" s="25">
        <f>ROUND(AU1395+AV1395,2)</f>
        <v>0</v>
      </c>
      <c r="AU1395" s="25">
        <f>ROUND(G1395*AM1395,2)</f>
        <v>0</v>
      </c>
      <c r="AV1395" s="25">
        <f>ROUND(G1395*AN1395,2)</f>
        <v>0</v>
      </c>
      <c r="AW1395" s="27" t="s">
        <v>109</v>
      </c>
      <c r="AX1395" s="27" t="s">
        <v>1568</v>
      </c>
      <c r="AY1395" s="10" t="s">
        <v>1105</v>
      </c>
      <c r="BA1395" s="25">
        <f>AU1395+AV1395</f>
        <v>0</v>
      </c>
      <c r="BB1395" s="25">
        <f>H1395/(100-BC1395)*100</f>
        <v>0</v>
      </c>
      <c r="BC1395" s="25">
        <v>0</v>
      </c>
      <c r="BD1395" s="25">
        <f>M1395</f>
        <v>1.225E-3</v>
      </c>
      <c r="BF1395" s="25">
        <f>G1395*AM1395</f>
        <v>0</v>
      </c>
      <c r="BG1395" s="25">
        <f>G1395*AN1395</f>
        <v>0</v>
      </c>
      <c r="BH1395" s="25">
        <f>G1395*H1395</f>
        <v>0</v>
      </c>
      <c r="BI1395" s="27" t="s">
        <v>65</v>
      </c>
      <c r="BJ1395" s="25">
        <v>776</v>
      </c>
      <c r="BU1395" s="25" t="e">
        <f>#REF!</f>
        <v>#REF!</v>
      </c>
      <c r="BV1395" s="4" t="s">
        <v>1605</v>
      </c>
    </row>
    <row r="1396" spans="1:74" ht="14.4" x14ac:dyDescent="0.3">
      <c r="A1396" s="28"/>
      <c r="D1396" s="29" t="s">
        <v>1606</v>
      </c>
      <c r="E1396" s="29" t="s">
        <v>52</v>
      </c>
      <c r="G1396" s="30">
        <v>3.5</v>
      </c>
      <c r="H1396" s="63"/>
      <c r="N1396" s="31"/>
    </row>
    <row r="1397" spans="1:74" ht="14.4" x14ac:dyDescent="0.3">
      <c r="A1397" s="2" t="s">
        <v>1607</v>
      </c>
      <c r="B1397" s="3" t="s">
        <v>1101</v>
      </c>
      <c r="C1397" s="3" t="s">
        <v>984</v>
      </c>
      <c r="D1397" s="112" t="s">
        <v>985</v>
      </c>
      <c r="E1397" s="109"/>
      <c r="F1397" s="3" t="s">
        <v>60</v>
      </c>
      <c r="G1397" s="25">
        <v>22.41</v>
      </c>
      <c r="H1397" s="62"/>
      <c r="I1397" s="25">
        <f>ROUND(G1397*AM1397,2)</f>
        <v>0</v>
      </c>
      <c r="J1397" s="25">
        <f>ROUND(G1397*AN1397,2)</f>
        <v>0</v>
      </c>
      <c r="K1397" s="25">
        <f>ROUND(G1397*H1397,2)</f>
        <v>0</v>
      </c>
      <c r="L1397" s="25">
        <v>2.4000000000000001E-4</v>
      </c>
      <c r="M1397" s="25">
        <f>G1397*L1397</f>
        <v>5.3784000000000002E-3</v>
      </c>
      <c r="N1397" s="26"/>
      <c r="X1397" s="25">
        <f>ROUND(IF(AO1397="5",BH1397,0),2)</f>
        <v>0</v>
      </c>
      <c r="Z1397" s="25">
        <f>ROUND(IF(AO1397="1",BF1397,0),2)</f>
        <v>0</v>
      </c>
      <c r="AA1397" s="25">
        <f>ROUND(IF(AO1397="1",BG1397,0),2)</f>
        <v>0</v>
      </c>
      <c r="AB1397" s="25">
        <f>ROUND(IF(AO1397="7",BF1397,0),2)</f>
        <v>0</v>
      </c>
      <c r="AC1397" s="25">
        <f>ROUND(IF(AO1397="7",BG1397,0),2)</f>
        <v>0</v>
      </c>
      <c r="AD1397" s="25">
        <f>ROUND(IF(AO1397="2",BF1397,0),2)</f>
        <v>0</v>
      </c>
      <c r="AE1397" s="25">
        <f>ROUND(IF(AO1397="2",BG1397,0),2)</f>
        <v>0</v>
      </c>
      <c r="AF1397" s="25">
        <f>ROUND(IF(AO1397="0",BH1397,0),2)</f>
        <v>0</v>
      </c>
      <c r="AG1397" s="10" t="s">
        <v>1101</v>
      </c>
      <c r="AH1397" s="25">
        <f>IF(AL1397=0,K1397,0)</f>
        <v>0</v>
      </c>
      <c r="AI1397" s="25">
        <f>IF(AL1397=12,K1397,0)</f>
        <v>0</v>
      </c>
      <c r="AJ1397" s="25">
        <f>IF(AL1397=21,K1397,0)</f>
        <v>0</v>
      </c>
      <c r="AL1397" s="25">
        <v>21</v>
      </c>
      <c r="AM1397" s="25">
        <f>H1397*0.159144259</f>
        <v>0</v>
      </c>
      <c r="AN1397" s="25">
        <f>H1397*(1-0.159144259)</f>
        <v>0</v>
      </c>
      <c r="AO1397" s="27" t="s">
        <v>61</v>
      </c>
      <c r="AT1397" s="25">
        <f>ROUND(AU1397+AV1397,2)</f>
        <v>0</v>
      </c>
      <c r="AU1397" s="25">
        <f>ROUND(G1397*AM1397,2)</f>
        <v>0</v>
      </c>
      <c r="AV1397" s="25">
        <f>ROUND(G1397*AN1397,2)</f>
        <v>0</v>
      </c>
      <c r="AW1397" s="27" t="s">
        <v>109</v>
      </c>
      <c r="AX1397" s="27" t="s">
        <v>1568</v>
      </c>
      <c r="AY1397" s="10" t="s">
        <v>1105</v>
      </c>
      <c r="BA1397" s="25">
        <f>AU1397+AV1397</f>
        <v>0</v>
      </c>
      <c r="BB1397" s="25">
        <f>H1397/(100-BC1397)*100</f>
        <v>0</v>
      </c>
      <c r="BC1397" s="25">
        <v>0</v>
      </c>
      <c r="BD1397" s="25">
        <f>M1397</f>
        <v>5.3784000000000002E-3</v>
      </c>
      <c r="BF1397" s="25">
        <f>G1397*AM1397</f>
        <v>0</v>
      </c>
      <c r="BG1397" s="25">
        <f>G1397*AN1397</f>
        <v>0</v>
      </c>
      <c r="BH1397" s="25">
        <f>G1397*H1397</f>
        <v>0</v>
      </c>
      <c r="BI1397" s="27" t="s">
        <v>65</v>
      </c>
      <c r="BJ1397" s="25">
        <v>776</v>
      </c>
      <c r="BU1397" s="25" t="e">
        <f>#REF!</f>
        <v>#REF!</v>
      </c>
      <c r="BV1397" s="4" t="s">
        <v>985</v>
      </c>
    </row>
    <row r="1398" spans="1:74" ht="14.4" x14ac:dyDescent="0.3">
      <c r="A1398" s="28"/>
      <c r="D1398" s="29" t="s">
        <v>1608</v>
      </c>
      <c r="E1398" s="29" t="s">
        <v>337</v>
      </c>
      <c r="G1398" s="30">
        <v>6.28</v>
      </c>
      <c r="H1398" s="63"/>
      <c r="N1398" s="31"/>
    </row>
    <row r="1399" spans="1:74" ht="14.4" x14ac:dyDescent="0.3">
      <c r="A1399" s="28"/>
      <c r="D1399" s="29" t="s">
        <v>1516</v>
      </c>
      <c r="E1399" s="29" t="s">
        <v>335</v>
      </c>
      <c r="G1399" s="30">
        <v>16.13</v>
      </c>
      <c r="H1399" s="63"/>
      <c r="N1399" s="31"/>
    </row>
    <row r="1400" spans="1:74" ht="14.4" x14ac:dyDescent="0.3">
      <c r="A1400" s="2" t="s">
        <v>1609</v>
      </c>
      <c r="B1400" s="3" t="s">
        <v>1101</v>
      </c>
      <c r="C1400" s="3" t="s">
        <v>1610</v>
      </c>
      <c r="D1400" s="112" t="s">
        <v>1611</v>
      </c>
      <c r="E1400" s="109"/>
      <c r="F1400" s="3" t="s">
        <v>60</v>
      </c>
      <c r="G1400" s="25">
        <v>24.202999999999999</v>
      </c>
      <c r="H1400" s="62"/>
      <c r="I1400" s="25">
        <f>ROUND(G1400*AM1400,2)</f>
        <v>0</v>
      </c>
      <c r="J1400" s="25">
        <f>ROUND(G1400*AN1400,2)</f>
        <v>0</v>
      </c>
      <c r="K1400" s="25">
        <f>ROUND(G1400*H1400,2)</f>
        <v>0</v>
      </c>
      <c r="L1400" s="25">
        <v>3.0000000000000001E-3</v>
      </c>
      <c r="M1400" s="25">
        <f>G1400*L1400</f>
        <v>7.2608999999999993E-2</v>
      </c>
      <c r="N1400" s="26"/>
      <c r="X1400" s="25">
        <f>ROUND(IF(AO1400="5",BH1400,0),2)</f>
        <v>0</v>
      </c>
      <c r="Z1400" s="25">
        <f>ROUND(IF(AO1400="1",BF1400,0),2)</f>
        <v>0</v>
      </c>
      <c r="AA1400" s="25">
        <f>ROUND(IF(AO1400="1",BG1400,0),2)</f>
        <v>0</v>
      </c>
      <c r="AB1400" s="25">
        <f>ROUND(IF(AO1400="7",BF1400,0),2)</f>
        <v>0</v>
      </c>
      <c r="AC1400" s="25">
        <f>ROUND(IF(AO1400="7",BG1400,0),2)</f>
        <v>0</v>
      </c>
      <c r="AD1400" s="25">
        <f>ROUND(IF(AO1400="2",BF1400,0),2)</f>
        <v>0</v>
      </c>
      <c r="AE1400" s="25">
        <f>ROUND(IF(AO1400="2",BG1400,0),2)</f>
        <v>0</v>
      </c>
      <c r="AF1400" s="25">
        <f>ROUND(IF(AO1400="0",BH1400,0),2)</f>
        <v>0</v>
      </c>
      <c r="AG1400" s="10" t="s">
        <v>1101</v>
      </c>
      <c r="AH1400" s="25">
        <f>IF(AL1400=0,K1400,0)</f>
        <v>0</v>
      </c>
      <c r="AI1400" s="25">
        <f>IF(AL1400=12,K1400,0)</f>
        <v>0</v>
      </c>
      <c r="AJ1400" s="25">
        <f>IF(AL1400=21,K1400,0)</f>
        <v>0</v>
      </c>
      <c r="AL1400" s="25">
        <v>21</v>
      </c>
      <c r="AM1400" s="25">
        <f>H1400*1</f>
        <v>0</v>
      </c>
      <c r="AN1400" s="25">
        <f>H1400*(1-1)</f>
        <v>0</v>
      </c>
      <c r="AO1400" s="27" t="s">
        <v>61</v>
      </c>
      <c r="AT1400" s="25">
        <f>ROUND(AU1400+AV1400,2)</f>
        <v>0</v>
      </c>
      <c r="AU1400" s="25">
        <f>ROUND(G1400*AM1400,2)</f>
        <v>0</v>
      </c>
      <c r="AV1400" s="25">
        <f>ROUND(G1400*AN1400,2)</f>
        <v>0</v>
      </c>
      <c r="AW1400" s="27" t="s">
        <v>109</v>
      </c>
      <c r="AX1400" s="27" t="s">
        <v>1568</v>
      </c>
      <c r="AY1400" s="10" t="s">
        <v>1105</v>
      </c>
      <c r="BA1400" s="25">
        <f>AU1400+AV1400</f>
        <v>0</v>
      </c>
      <c r="BB1400" s="25">
        <f>H1400/(100-BC1400)*100</f>
        <v>0</v>
      </c>
      <c r="BC1400" s="25">
        <v>0</v>
      </c>
      <c r="BD1400" s="25">
        <f>M1400</f>
        <v>7.2608999999999993E-2</v>
      </c>
      <c r="BF1400" s="25">
        <f>G1400*AM1400</f>
        <v>0</v>
      </c>
      <c r="BG1400" s="25">
        <f>G1400*AN1400</f>
        <v>0</v>
      </c>
      <c r="BH1400" s="25">
        <f>G1400*H1400</f>
        <v>0</v>
      </c>
      <c r="BI1400" s="27" t="s">
        <v>576</v>
      </c>
      <c r="BJ1400" s="25">
        <v>776</v>
      </c>
      <c r="BU1400" s="25" t="e">
        <f>#REF!</f>
        <v>#REF!</v>
      </c>
      <c r="BV1400" s="4" t="s">
        <v>1611</v>
      </c>
    </row>
    <row r="1401" spans="1:74" ht="14.4" x14ac:dyDescent="0.3">
      <c r="A1401" s="28"/>
      <c r="D1401" s="29" t="s">
        <v>1608</v>
      </c>
      <c r="E1401" s="29" t="s">
        <v>337</v>
      </c>
      <c r="G1401" s="30">
        <v>6.28</v>
      </c>
      <c r="H1401" s="63"/>
      <c r="N1401" s="31"/>
    </row>
    <row r="1402" spans="1:74" ht="14.4" x14ac:dyDescent="0.3">
      <c r="A1402" s="28"/>
      <c r="D1402" s="29" t="s">
        <v>1516</v>
      </c>
      <c r="E1402" s="29" t="s">
        <v>335</v>
      </c>
      <c r="G1402" s="30">
        <v>16.13</v>
      </c>
      <c r="H1402" s="63"/>
      <c r="N1402" s="31"/>
    </row>
    <row r="1403" spans="1:74" ht="14.4" x14ac:dyDescent="0.3">
      <c r="A1403" s="28"/>
      <c r="D1403" s="29" t="s">
        <v>1612</v>
      </c>
      <c r="E1403" s="29" t="s">
        <v>52</v>
      </c>
      <c r="G1403" s="30">
        <v>1.7929999999999999</v>
      </c>
      <c r="H1403" s="63"/>
      <c r="N1403" s="31"/>
    </row>
    <row r="1404" spans="1:74" ht="14.4" x14ac:dyDescent="0.3">
      <c r="A1404" s="2" t="s">
        <v>1613</v>
      </c>
      <c r="B1404" s="3" t="s">
        <v>1101</v>
      </c>
      <c r="C1404" s="3" t="s">
        <v>1614</v>
      </c>
      <c r="D1404" s="112" t="s">
        <v>988</v>
      </c>
      <c r="E1404" s="109"/>
      <c r="F1404" s="3" t="s">
        <v>115</v>
      </c>
      <c r="G1404" s="25">
        <v>22.41</v>
      </c>
      <c r="H1404" s="62"/>
      <c r="I1404" s="25">
        <f>ROUND(G1404*AM1404,2)</f>
        <v>0</v>
      </c>
      <c r="J1404" s="25">
        <f>ROUND(G1404*AN1404,2)</f>
        <v>0</v>
      </c>
      <c r="K1404" s="25">
        <f>ROUND(G1404*H1404,2)</f>
        <v>0</v>
      </c>
      <c r="L1404" s="25">
        <v>3.4000000000000002E-4</v>
      </c>
      <c r="M1404" s="25">
        <f>G1404*L1404</f>
        <v>7.619400000000001E-3</v>
      </c>
      <c r="N1404" s="26"/>
      <c r="X1404" s="25">
        <f>ROUND(IF(AO1404="5",BH1404,0),2)</f>
        <v>0</v>
      </c>
      <c r="Z1404" s="25">
        <f>ROUND(IF(AO1404="1",BF1404,0),2)</f>
        <v>0</v>
      </c>
      <c r="AA1404" s="25">
        <f>ROUND(IF(AO1404="1",BG1404,0),2)</f>
        <v>0</v>
      </c>
      <c r="AB1404" s="25">
        <f>ROUND(IF(AO1404="7",BF1404,0),2)</f>
        <v>0</v>
      </c>
      <c r="AC1404" s="25">
        <f>ROUND(IF(AO1404="7",BG1404,0),2)</f>
        <v>0</v>
      </c>
      <c r="AD1404" s="25">
        <f>ROUND(IF(AO1404="2",BF1404,0),2)</f>
        <v>0</v>
      </c>
      <c r="AE1404" s="25">
        <f>ROUND(IF(AO1404="2",BG1404,0),2)</f>
        <v>0</v>
      </c>
      <c r="AF1404" s="25">
        <f>ROUND(IF(AO1404="0",BH1404,0),2)</f>
        <v>0</v>
      </c>
      <c r="AG1404" s="10" t="s">
        <v>1101</v>
      </c>
      <c r="AH1404" s="25">
        <f>IF(AL1404=0,K1404,0)</f>
        <v>0</v>
      </c>
      <c r="AI1404" s="25">
        <f>IF(AL1404=12,K1404,0)</f>
        <v>0</v>
      </c>
      <c r="AJ1404" s="25">
        <f>IF(AL1404=21,K1404,0)</f>
        <v>0</v>
      </c>
      <c r="AL1404" s="25">
        <v>21</v>
      </c>
      <c r="AM1404" s="25">
        <f>H1404*0.715351763</f>
        <v>0</v>
      </c>
      <c r="AN1404" s="25">
        <f>H1404*(1-0.715351763)</f>
        <v>0</v>
      </c>
      <c r="AO1404" s="27" t="s">
        <v>61</v>
      </c>
      <c r="AT1404" s="25">
        <f>ROUND(AU1404+AV1404,2)</f>
        <v>0</v>
      </c>
      <c r="AU1404" s="25">
        <f>ROUND(G1404*AM1404,2)</f>
        <v>0</v>
      </c>
      <c r="AV1404" s="25">
        <f>ROUND(G1404*AN1404,2)</f>
        <v>0</v>
      </c>
      <c r="AW1404" s="27" t="s">
        <v>109</v>
      </c>
      <c r="AX1404" s="27" t="s">
        <v>1568</v>
      </c>
      <c r="AY1404" s="10" t="s">
        <v>1105</v>
      </c>
      <c r="BA1404" s="25">
        <f>AU1404+AV1404</f>
        <v>0</v>
      </c>
      <c r="BB1404" s="25">
        <f>H1404/(100-BC1404)*100</f>
        <v>0</v>
      </c>
      <c r="BC1404" s="25">
        <v>0</v>
      </c>
      <c r="BD1404" s="25">
        <f>M1404</f>
        <v>7.619400000000001E-3</v>
      </c>
      <c r="BF1404" s="25">
        <f>G1404*AM1404</f>
        <v>0</v>
      </c>
      <c r="BG1404" s="25">
        <f>G1404*AN1404</f>
        <v>0</v>
      </c>
      <c r="BH1404" s="25">
        <f>G1404*H1404</f>
        <v>0</v>
      </c>
      <c r="BI1404" s="27" t="s">
        <v>65</v>
      </c>
      <c r="BJ1404" s="25">
        <v>776</v>
      </c>
      <c r="BU1404" s="25" t="e">
        <f>#REF!</f>
        <v>#REF!</v>
      </c>
      <c r="BV1404" s="4" t="s">
        <v>988</v>
      </c>
    </row>
    <row r="1405" spans="1:74" ht="14.4" x14ac:dyDescent="0.3">
      <c r="A1405" s="28"/>
      <c r="D1405" s="29" t="s">
        <v>1608</v>
      </c>
      <c r="E1405" s="29" t="s">
        <v>337</v>
      </c>
      <c r="G1405" s="30">
        <v>6.28</v>
      </c>
      <c r="H1405" s="63"/>
      <c r="N1405" s="31"/>
    </row>
    <row r="1406" spans="1:74" ht="14.4" x14ac:dyDescent="0.3">
      <c r="A1406" s="28"/>
      <c r="D1406" s="29" t="s">
        <v>1516</v>
      </c>
      <c r="E1406" s="29" t="s">
        <v>335</v>
      </c>
      <c r="G1406" s="30">
        <v>16.13</v>
      </c>
      <c r="H1406" s="63"/>
      <c r="N1406" s="31"/>
    </row>
    <row r="1407" spans="1:74" ht="14.4" x14ac:dyDescent="0.3">
      <c r="A1407" s="2" t="s">
        <v>1615</v>
      </c>
      <c r="B1407" s="3" t="s">
        <v>1101</v>
      </c>
      <c r="C1407" s="3" t="s">
        <v>995</v>
      </c>
      <c r="D1407" s="112" t="s">
        <v>996</v>
      </c>
      <c r="E1407" s="109"/>
      <c r="F1407" s="3" t="s">
        <v>278</v>
      </c>
      <c r="G1407" s="25">
        <v>8.6830000000000004E-2</v>
      </c>
      <c r="H1407" s="62"/>
      <c r="I1407" s="25">
        <f>ROUND(G1407*AM1407,2)</f>
        <v>0</v>
      </c>
      <c r="J1407" s="25">
        <f>ROUND(G1407*AN1407,2)</f>
        <v>0</v>
      </c>
      <c r="K1407" s="25">
        <f>ROUND(G1407*H1407,2)</f>
        <v>0</v>
      </c>
      <c r="L1407" s="25">
        <v>0</v>
      </c>
      <c r="M1407" s="25">
        <f>G1407*L1407</f>
        <v>0</v>
      </c>
      <c r="N1407" s="26"/>
      <c r="X1407" s="25">
        <f>ROUND(IF(AO1407="5",BH1407,0),2)</f>
        <v>0</v>
      </c>
      <c r="Z1407" s="25">
        <f>ROUND(IF(AO1407="1",BF1407,0),2)</f>
        <v>0</v>
      </c>
      <c r="AA1407" s="25">
        <f>ROUND(IF(AO1407="1",BG1407,0),2)</f>
        <v>0</v>
      </c>
      <c r="AB1407" s="25">
        <f>ROUND(IF(AO1407="7",BF1407,0),2)</f>
        <v>0</v>
      </c>
      <c r="AC1407" s="25">
        <f>ROUND(IF(AO1407="7",BG1407,0),2)</f>
        <v>0</v>
      </c>
      <c r="AD1407" s="25">
        <f>ROUND(IF(AO1407="2",BF1407,0),2)</f>
        <v>0</v>
      </c>
      <c r="AE1407" s="25">
        <f>ROUND(IF(AO1407="2",BG1407,0),2)</f>
        <v>0</v>
      </c>
      <c r="AF1407" s="25">
        <f>ROUND(IF(AO1407="0",BH1407,0),2)</f>
        <v>0</v>
      </c>
      <c r="AG1407" s="10" t="s">
        <v>1101</v>
      </c>
      <c r="AH1407" s="25">
        <f>IF(AL1407=0,K1407,0)</f>
        <v>0</v>
      </c>
      <c r="AI1407" s="25">
        <f>IF(AL1407=12,K1407,0)</f>
        <v>0</v>
      </c>
      <c r="AJ1407" s="25">
        <f>IF(AL1407=21,K1407,0)</f>
        <v>0</v>
      </c>
      <c r="AL1407" s="25">
        <v>21</v>
      </c>
      <c r="AM1407" s="25">
        <f>H1407*0</f>
        <v>0</v>
      </c>
      <c r="AN1407" s="25">
        <f>H1407*(1-0)</f>
        <v>0</v>
      </c>
      <c r="AO1407" s="27" t="s">
        <v>97</v>
      </c>
      <c r="AT1407" s="25">
        <f>ROUND(AU1407+AV1407,2)</f>
        <v>0</v>
      </c>
      <c r="AU1407" s="25">
        <f>ROUND(G1407*AM1407,2)</f>
        <v>0</v>
      </c>
      <c r="AV1407" s="25">
        <f>ROUND(G1407*AN1407,2)</f>
        <v>0</v>
      </c>
      <c r="AW1407" s="27" t="s">
        <v>109</v>
      </c>
      <c r="AX1407" s="27" t="s">
        <v>1568</v>
      </c>
      <c r="AY1407" s="10" t="s">
        <v>1105</v>
      </c>
      <c r="BA1407" s="25">
        <f>AU1407+AV1407</f>
        <v>0</v>
      </c>
      <c r="BB1407" s="25">
        <f>H1407/(100-BC1407)*100</f>
        <v>0</v>
      </c>
      <c r="BC1407" s="25">
        <v>0</v>
      </c>
      <c r="BD1407" s="25">
        <f>M1407</f>
        <v>0</v>
      </c>
      <c r="BF1407" s="25">
        <f>G1407*AM1407</f>
        <v>0</v>
      </c>
      <c r="BG1407" s="25">
        <f>G1407*AN1407</f>
        <v>0</v>
      </c>
      <c r="BH1407" s="25">
        <f>G1407*H1407</f>
        <v>0</v>
      </c>
      <c r="BI1407" s="27" t="s">
        <v>65</v>
      </c>
      <c r="BJ1407" s="25">
        <v>776</v>
      </c>
      <c r="BU1407" s="25" t="e">
        <f>#REF!</f>
        <v>#REF!</v>
      </c>
      <c r="BV1407" s="4" t="s">
        <v>996</v>
      </c>
    </row>
    <row r="1408" spans="1:74" ht="14.4" x14ac:dyDescent="0.3">
      <c r="A1408" s="21" t="s">
        <v>52</v>
      </c>
      <c r="B1408" s="22" t="s">
        <v>1101</v>
      </c>
      <c r="C1408" s="22" t="s">
        <v>997</v>
      </c>
      <c r="D1408" s="170" t="s">
        <v>998</v>
      </c>
      <c r="E1408" s="171"/>
      <c r="F1408" s="23" t="s">
        <v>32</v>
      </c>
      <c r="G1408" s="23" t="s">
        <v>32</v>
      </c>
      <c r="H1408" s="64"/>
      <c r="I1408" s="1">
        <f>SUM(I1409:I1415)</f>
        <v>0</v>
      </c>
      <c r="J1408" s="1">
        <f>SUM(J1409:J1415)</f>
        <v>0</v>
      </c>
      <c r="K1408" s="1">
        <f>SUM(K1409:K1415)</f>
        <v>0</v>
      </c>
      <c r="L1408" s="10" t="s">
        <v>52</v>
      </c>
      <c r="M1408" s="1">
        <f>SUM(M1409:M1415)</f>
        <v>0.21872159999999999</v>
      </c>
      <c r="N1408" s="24"/>
      <c r="AG1408" s="10" t="s">
        <v>1101</v>
      </c>
      <c r="AQ1408" s="1">
        <f>SUM(AH1409:AH1415)</f>
        <v>0</v>
      </c>
      <c r="AR1408" s="1">
        <f>SUM(AI1409:AI1415)</f>
        <v>0</v>
      </c>
      <c r="AS1408" s="1">
        <f>SUM(AJ1409:AJ1415)</f>
        <v>0</v>
      </c>
    </row>
    <row r="1409" spans="1:74" ht="14.4" x14ac:dyDescent="0.3">
      <c r="A1409" s="2" t="s">
        <v>1616</v>
      </c>
      <c r="B1409" s="3" t="s">
        <v>1101</v>
      </c>
      <c r="C1409" s="3" t="s">
        <v>1000</v>
      </c>
      <c r="D1409" s="112" t="s">
        <v>1617</v>
      </c>
      <c r="E1409" s="109"/>
      <c r="F1409" s="3" t="s">
        <v>60</v>
      </c>
      <c r="G1409" s="25">
        <v>22.41</v>
      </c>
      <c r="H1409" s="62"/>
      <c r="I1409" s="25">
        <f>ROUND(G1409*AM1409,2)</f>
        <v>0</v>
      </c>
      <c r="J1409" s="25">
        <f>ROUND(G1409*AN1409,2)</f>
        <v>0</v>
      </c>
      <c r="K1409" s="25">
        <f>ROUND(G1409*H1409,2)</f>
        <v>0</v>
      </c>
      <c r="L1409" s="25">
        <v>5.0000000000000002E-5</v>
      </c>
      <c r="M1409" s="25">
        <f>G1409*L1409</f>
        <v>1.1205E-3</v>
      </c>
      <c r="N1409" s="26"/>
      <c r="X1409" s="25">
        <f>ROUND(IF(AO1409="5",BH1409,0),2)</f>
        <v>0</v>
      </c>
      <c r="Z1409" s="25">
        <f>ROUND(IF(AO1409="1",BF1409,0),2)</f>
        <v>0</v>
      </c>
      <c r="AA1409" s="25">
        <f>ROUND(IF(AO1409="1",BG1409,0),2)</f>
        <v>0</v>
      </c>
      <c r="AB1409" s="25">
        <f>ROUND(IF(AO1409="7",BF1409,0),2)</f>
        <v>0</v>
      </c>
      <c r="AC1409" s="25">
        <f>ROUND(IF(AO1409="7",BG1409,0),2)</f>
        <v>0</v>
      </c>
      <c r="AD1409" s="25">
        <f>ROUND(IF(AO1409="2",BF1409,0),2)</f>
        <v>0</v>
      </c>
      <c r="AE1409" s="25">
        <f>ROUND(IF(AO1409="2",BG1409,0),2)</f>
        <v>0</v>
      </c>
      <c r="AF1409" s="25">
        <f>ROUND(IF(AO1409="0",BH1409,0),2)</f>
        <v>0</v>
      </c>
      <c r="AG1409" s="10" t="s">
        <v>1101</v>
      </c>
      <c r="AH1409" s="25">
        <f>IF(AL1409=0,K1409,0)</f>
        <v>0</v>
      </c>
      <c r="AI1409" s="25">
        <f>IF(AL1409=12,K1409,0)</f>
        <v>0</v>
      </c>
      <c r="AJ1409" s="25">
        <f>IF(AL1409=21,K1409,0)</f>
        <v>0</v>
      </c>
      <c r="AL1409" s="25">
        <v>21</v>
      </c>
      <c r="AM1409" s="25">
        <f>H1409*0.14701377</f>
        <v>0</v>
      </c>
      <c r="AN1409" s="25">
        <f>H1409*(1-0.14701377)</f>
        <v>0</v>
      </c>
      <c r="AO1409" s="27" t="s">
        <v>61</v>
      </c>
      <c r="AT1409" s="25">
        <f>ROUND(AU1409+AV1409,2)</f>
        <v>0</v>
      </c>
      <c r="AU1409" s="25">
        <f>ROUND(G1409*AM1409,2)</f>
        <v>0</v>
      </c>
      <c r="AV1409" s="25">
        <f>ROUND(G1409*AN1409,2)</f>
        <v>0</v>
      </c>
      <c r="AW1409" s="27" t="s">
        <v>1002</v>
      </c>
      <c r="AX1409" s="27" t="s">
        <v>1568</v>
      </c>
      <c r="AY1409" s="10" t="s">
        <v>1105</v>
      </c>
      <c r="BA1409" s="25">
        <f>AU1409+AV1409</f>
        <v>0</v>
      </c>
      <c r="BB1409" s="25">
        <f>H1409/(100-BC1409)*100</f>
        <v>0</v>
      </c>
      <c r="BC1409" s="25">
        <v>0</v>
      </c>
      <c r="BD1409" s="25">
        <f>M1409</f>
        <v>1.1205E-3</v>
      </c>
      <c r="BF1409" s="25">
        <f>G1409*AM1409</f>
        <v>0</v>
      </c>
      <c r="BG1409" s="25">
        <f>G1409*AN1409</f>
        <v>0</v>
      </c>
      <c r="BH1409" s="25">
        <f>G1409*H1409</f>
        <v>0</v>
      </c>
      <c r="BI1409" s="27" t="s">
        <v>65</v>
      </c>
      <c r="BJ1409" s="25">
        <v>777</v>
      </c>
      <c r="BU1409" s="25" t="e">
        <f>#REF!</f>
        <v>#REF!</v>
      </c>
      <c r="BV1409" s="4" t="s">
        <v>1617</v>
      </c>
    </row>
    <row r="1410" spans="1:74" ht="14.4" x14ac:dyDescent="0.3">
      <c r="A1410" s="28"/>
      <c r="D1410" s="29" t="s">
        <v>1608</v>
      </c>
      <c r="E1410" s="29" t="s">
        <v>337</v>
      </c>
      <c r="G1410" s="30">
        <v>6.28</v>
      </c>
      <c r="H1410" s="63"/>
      <c r="N1410" s="31"/>
    </row>
    <row r="1411" spans="1:74" ht="14.4" x14ac:dyDescent="0.3">
      <c r="A1411" s="28"/>
      <c r="D1411" s="29" t="s">
        <v>1516</v>
      </c>
      <c r="E1411" s="29" t="s">
        <v>361</v>
      </c>
      <c r="G1411" s="30">
        <v>16.13</v>
      </c>
      <c r="H1411" s="63"/>
      <c r="N1411" s="31"/>
    </row>
    <row r="1412" spans="1:74" ht="14.4" x14ac:dyDescent="0.3">
      <c r="A1412" s="2" t="s">
        <v>1618</v>
      </c>
      <c r="B1412" s="3" t="s">
        <v>1101</v>
      </c>
      <c r="C1412" s="3" t="s">
        <v>1004</v>
      </c>
      <c r="D1412" s="112" t="s">
        <v>1619</v>
      </c>
      <c r="E1412" s="109"/>
      <c r="F1412" s="3" t="s">
        <v>60</v>
      </c>
      <c r="G1412" s="25">
        <v>22.41</v>
      </c>
      <c r="H1412" s="62"/>
      <c r="I1412" s="25">
        <f>ROUND(G1412*AM1412,2)</f>
        <v>0</v>
      </c>
      <c r="J1412" s="25">
        <f>ROUND(G1412*AN1412,2)</f>
        <v>0</v>
      </c>
      <c r="K1412" s="25">
        <f>ROUND(G1412*H1412,2)</f>
        <v>0</v>
      </c>
      <c r="L1412" s="25">
        <v>9.7099999999999999E-3</v>
      </c>
      <c r="M1412" s="25">
        <f>G1412*L1412</f>
        <v>0.21760109999999999</v>
      </c>
      <c r="N1412" s="26"/>
      <c r="X1412" s="25">
        <f>ROUND(IF(AO1412="5",BH1412,0),2)</f>
        <v>0</v>
      </c>
      <c r="Z1412" s="25">
        <f>ROUND(IF(AO1412="1",BF1412,0),2)</f>
        <v>0</v>
      </c>
      <c r="AA1412" s="25">
        <f>ROUND(IF(AO1412="1",BG1412,0),2)</f>
        <v>0</v>
      </c>
      <c r="AB1412" s="25">
        <f>ROUND(IF(AO1412="7",BF1412,0),2)</f>
        <v>0</v>
      </c>
      <c r="AC1412" s="25">
        <f>ROUND(IF(AO1412="7",BG1412,0),2)</f>
        <v>0</v>
      </c>
      <c r="AD1412" s="25">
        <f>ROUND(IF(AO1412="2",BF1412,0),2)</f>
        <v>0</v>
      </c>
      <c r="AE1412" s="25">
        <f>ROUND(IF(AO1412="2",BG1412,0),2)</f>
        <v>0</v>
      </c>
      <c r="AF1412" s="25">
        <f>ROUND(IF(AO1412="0",BH1412,0),2)</f>
        <v>0</v>
      </c>
      <c r="AG1412" s="10" t="s">
        <v>1101</v>
      </c>
      <c r="AH1412" s="25">
        <f>IF(AL1412=0,K1412,0)</f>
        <v>0</v>
      </c>
      <c r="AI1412" s="25">
        <f>IF(AL1412=12,K1412,0)</f>
        <v>0</v>
      </c>
      <c r="AJ1412" s="25">
        <f>IF(AL1412=21,K1412,0)</f>
        <v>0</v>
      </c>
      <c r="AL1412" s="25">
        <v>21</v>
      </c>
      <c r="AM1412" s="25">
        <f>H1412*0.341895167</f>
        <v>0</v>
      </c>
      <c r="AN1412" s="25">
        <f>H1412*(1-0.341895167)</f>
        <v>0</v>
      </c>
      <c r="AO1412" s="27" t="s">
        <v>61</v>
      </c>
      <c r="AT1412" s="25">
        <f>ROUND(AU1412+AV1412,2)</f>
        <v>0</v>
      </c>
      <c r="AU1412" s="25">
        <f>ROUND(G1412*AM1412,2)</f>
        <v>0</v>
      </c>
      <c r="AV1412" s="25">
        <f>ROUND(G1412*AN1412,2)</f>
        <v>0</v>
      </c>
      <c r="AW1412" s="27" t="s">
        <v>1002</v>
      </c>
      <c r="AX1412" s="27" t="s">
        <v>1568</v>
      </c>
      <c r="AY1412" s="10" t="s">
        <v>1105</v>
      </c>
      <c r="BA1412" s="25">
        <f>AU1412+AV1412</f>
        <v>0</v>
      </c>
      <c r="BB1412" s="25">
        <f>H1412/(100-BC1412)*100</f>
        <v>0</v>
      </c>
      <c r="BC1412" s="25">
        <v>0</v>
      </c>
      <c r="BD1412" s="25">
        <f>M1412</f>
        <v>0.21760109999999999</v>
      </c>
      <c r="BF1412" s="25">
        <f>G1412*AM1412</f>
        <v>0</v>
      </c>
      <c r="BG1412" s="25">
        <f>G1412*AN1412</f>
        <v>0</v>
      </c>
      <c r="BH1412" s="25">
        <f>G1412*H1412</f>
        <v>0</v>
      </c>
      <c r="BI1412" s="27" t="s">
        <v>65</v>
      </c>
      <c r="BJ1412" s="25">
        <v>777</v>
      </c>
      <c r="BU1412" s="25" t="e">
        <f>#REF!</f>
        <v>#REF!</v>
      </c>
      <c r="BV1412" s="4" t="s">
        <v>1619</v>
      </c>
    </row>
    <row r="1413" spans="1:74" ht="14.4" x14ac:dyDescent="0.3">
      <c r="A1413" s="28"/>
      <c r="D1413" s="29" t="s">
        <v>1608</v>
      </c>
      <c r="E1413" s="29" t="s">
        <v>337</v>
      </c>
      <c r="G1413" s="30">
        <v>6.28</v>
      </c>
      <c r="H1413" s="63"/>
      <c r="N1413" s="31"/>
    </row>
    <row r="1414" spans="1:74" ht="14.4" x14ac:dyDescent="0.3">
      <c r="A1414" s="28"/>
      <c r="D1414" s="29" t="s">
        <v>1516</v>
      </c>
      <c r="E1414" s="29" t="s">
        <v>335</v>
      </c>
      <c r="G1414" s="30">
        <v>16.13</v>
      </c>
      <c r="H1414" s="63"/>
      <c r="N1414" s="31"/>
    </row>
    <row r="1415" spans="1:74" ht="14.4" x14ac:dyDescent="0.3">
      <c r="A1415" s="2" t="s">
        <v>1620</v>
      </c>
      <c r="B1415" s="3" t="s">
        <v>1101</v>
      </c>
      <c r="C1415" s="3" t="s">
        <v>1007</v>
      </c>
      <c r="D1415" s="112" t="s">
        <v>1008</v>
      </c>
      <c r="E1415" s="109"/>
      <c r="F1415" s="3" t="s">
        <v>278</v>
      </c>
      <c r="G1415" s="25">
        <v>0.21872</v>
      </c>
      <c r="H1415" s="62"/>
      <c r="I1415" s="25">
        <f>ROUND(G1415*AM1415,2)</f>
        <v>0</v>
      </c>
      <c r="J1415" s="25">
        <f>ROUND(G1415*AN1415,2)</f>
        <v>0</v>
      </c>
      <c r="K1415" s="25">
        <f>ROUND(G1415*H1415,2)</f>
        <v>0</v>
      </c>
      <c r="L1415" s="25">
        <v>0</v>
      </c>
      <c r="M1415" s="25">
        <f>G1415*L1415</f>
        <v>0</v>
      </c>
      <c r="N1415" s="26"/>
      <c r="X1415" s="25">
        <f>ROUND(IF(AO1415="5",BH1415,0),2)</f>
        <v>0</v>
      </c>
      <c r="Z1415" s="25">
        <f>ROUND(IF(AO1415="1",BF1415,0),2)</f>
        <v>0</v>
      </c>
      <c r="AA1415" s="25">
        <f>ROUND(IF(AO1415="1",BG1415,0),2)</f>
        <v>0</v>
      </c>
      <c r="AB1415" s="25">
        <f>ROUND(IF(AO1415="7",BF1415,0),2)</f>
        <v>0</v>
      </c>
      <c r="AC1415" s="25">
        <f>ROUND(IF(AO1415="7",BG1415,0),2)</f>
        <v>0</v>
      </c>
      <c r="AD1415" s="25">
        <f>ROUND(IF(AO1415="2",BF1415,0),2)</f>
        <v>0</v>
      </c>
      <c r="AE1415" s="25">
        <f>ROUND(IF(AO1415="2",BG1415,0),2)</f>
        <v>0</v>
      </c>
      <c r="AF1415" s="25">
        <f>ROUND(IF(AO1415="0",BH1415,0),2)</f>
        <v>0</v>
      </c>
      <c r="AG1415" s="10" t="s">
        <v>1101</v>
      </c>
      <c r="AH1415" s="25">
        <f>IF(AL1415=0,K1415,0)</f>
        <v>0</v>
      </c>
      <c r="AI1415" s="25">
        <f>IF(AL1415=12,K1415,0)</f>
        <v>0</v>
      </c>
      <c r="AJ1415" s="25">
        <f>IF(AL1415=21,K1415,0)</f>
        <v>0</v>
      </c>
      <c r="AL1415" s="25">
        <v>21</v>
      </c>
      <c r="AM1415" s="25">
        <f>H1415*0</f>
        <v>0</v>
      </c>
      <c r="AN1415" s="25">
        <f>H1415*(1-0)</f>
        <v>0</v>
      </c>
      <c r="AO1415" s="27" t="s">
        <v>97</v>
      </c>
      <c r="AT1415" s="25">
        <f>ROUND(AU1415+AV1415,2)</f>
        <v>0</v>
      </c>
      <c r="AU1415" s="25">
        <f>ROUND(G1415*AM1415,2)</f>
        <v>0</v>
      </c>
      <c r="AV1415" s="25">
        <f>ROUND(G1415*AN1415,2)</f>
        <v>0</v>
      </c>
      <c r="AW1415" s="27" t="s">
        <v>1002</v>
      </c>
      <c r="AX1415" s="27" t="s">
        <v>1568</v>
      </c>
      <c r="AY1415" s="10" t="s">
        <v>1105</v>
      </c>
      <c r="BA1415" s="25">
        <f>AU1415+AV1415</f>
        <v>0</v>
      </c>
      <c r="BB1415" s="25">
        <f>H1415/(100-BC1415)*100</f>
        <v>0</v>
      </c>
      <c r="BC1415" s="25">
        <v>0</v>
      </c>
      <c r="BD1415" s="25">
        <f>M1415</f>
        <v>0</v>
      </c>
      <c r="BF1415" s="25">
        <f>G1415*AM1415</f>
        <v>0</v>
      </c>
      <c r="BG1415" s="25">
        <f>G1415*AN1415</f>
        <v>0</v>
      </c>
      <c r="BH1415" s="25">
        <f>G1415*H1415</f>
        <v>0</v>
      </c>
      <c r="BI1415" s="27" t="s">
        <v>65</v>
      </c>
      <c r="BJ1415" s="25">
        <v>777</v>
      </c>
      <c r="BU1415" s="25" t="e">
        <f>#REF!</f>
        <v>#REF!</v>
      </c>
      <c r="BV1415" s="4" t="s">
        <v>1008</v>
      </c>
    </row>
    <row r="1416" spans="1:74" ht="14.4" x14ac:dyDescent="0.3">
      <c r="A1416" s="28"/>
      <c r="D1416" s="29" t="s">
        <v>1621</v>
      </c>
      <c r="E1416" s="29" t="s">
        <v>52</v>
      </c>
      <c r="G1416" s="30">
        <v>0.21872</v>
      </c>
      <c r="H1416" s="63"/>
      <c r="N1416" s="31"/>
    </row>
    <row r="1417" spans="1:74" ht="14.4" x14ac:dyDescent="0.3">
      <c r="A1417" s="21" t="s">
        <v>52</v>
      </c>
      <c r="B1417" s="22" t="s">
        <v>1101</v>
      </c>
      <c r="C1417" s="22" t="s">
        <v>1009</v>
      </c>
      <c r="D1417" s="170" t="s">
        <v>1010</v>
      </c>
      <c r="E1417" s="171"/>
      <c r="F1417" s="23" t="s">
        <v>32</v>
      </c>
      <c r="G1417" s="23" t="s">
        <v>32</v>
      </c>
      <c r="H1417" s="64"/>
      <c r="I1417" s="1">
        <f>SUM(I1418:I1511)</f>
        <v>0</v>
      </c>
      <c r="J1417" s="1">
        <f>SUM(J1418:J1511)</f>
        <v>0</v>
      </c>
      <c r="K1417" s="1">
        <f>SUM(K1418:K1511)</f>
        <v>0</v>
      </c>
      <c r="L1417" s="10" t="s">
        <v>52</v>
      </c>
      <c r="M1417" s="1">
        <f>SUM(M1418:M1511)</f>
        <v>4.7699326797000001</v>
      </c>
      <c r="N1417" s="24"/>
      <c r="AG1417" s="10" t="s">
        <v>1101</v>
      </c>
      <c r="AQ1417" s="1">
        <f>SUM(AH1418:AH1511)</f>
        <v>0</v>
      </c>
      <c r="AR1417" s="1">
        <f>SUM(AI1418:AI1511)</f>
        <v>0</v>
      </c>
      <c r="AS1417" s="1">
        <f>SUM(AJ1418:AJ1511)</f>
        <v>0</v>
      </c>
    </row>
    <row r="1418" spans="1:74" ht="14.4" x14ac:dyDescent="0.3">
      <c r="A1418" s="2" t="s">
        <v>1622</v>
      </c>
      <c r="B1418" s="3" t="s">
        <v>1101</v>
      </c>
      <c r="C1418" s="3" t="s">
        <v>1012</v>
      </c>
      <c r="D1418" s="112" t="s">
        <v>1623</v>
      </c>
      <c r="E1418" s="109"/>
      <c r="F1418" s="3" t="s">
        <v>60</v>
      </c>
      <c r="G1418" s="25">
        <v>174.608</v>
      </c>
      <c r="H1418" s="62"/>
      <c r="I1418" s="25">
        <f>ROUND(G1418*AM1418,2)</f>
        <v>0</v>
      </c>
      <c r="J1418" s="25">
        <f>ROUND(G1418*AN1418,2)</f>
        <v>0</v>
      </c>
      <c r="K1418" s="25">
        <f>ROUND(G1418*H1418,2)</f>
        <v>0</v>
      </c>
      <c r="L1418" s="25">
        <v>5.3499999999999997E-3</v>
      </c>
      <c r="M1418" s="25">
        <f>G1418*L1418</f>
        <v>0.93415280000000001</v>
      </c>
      <c r="N1418" s="26"/>
      <c r="X1418" s="25">
        <f>ROUND(IF(AO1418="5",BH1418,0),2)</f>
        <v>0</v>
      </c>
      <c r="Z1418" s="25">
        <f>ROUND(IF(AO1418="1",BF1418,0),2)</f>
        <v>0</v>
      </c>
      <c r="AA1418" s="25">
        <f>ROUND(IF(AO1418="1",BG1418,0),2)</f>
        <v>0</v>
      </c>
      <c r="AB1418" s="25">
        <f>ROUND(IF(AO1418="7",BF1418,0),2)</f>
        <v>0</v>
      </c>
      <c r="AC1418" s="25">
        <f>ROUND(IF(AO1418="7",BG1418,0),2)</f>
        <v>0</v>
      </c>
      <c r="AD1418" s="25">
        <f>ROUND(IF(AO1418="2",BF1418,0),2)</f>
        <v>0</v>
      </c>
      <c r="AE1418" s="25">
        <f>ROUND(IF(AO1418="2",BG1418,0),2)</f>
        <v>0</v>
      </c>
      <c r="AF1418" s="25">
        <f>ROUND(IF(AO1418="0",BH1418,0),2)</f>
        <v>0</v>
      </c>
      <c r="AG1418" s="10" t="s">
        <v>1101</v>
      </c>
      <c r="AH1418" s="25">
        <f>IF(AL1418=0,K1418,0)</f>
        <v>0</v>
      </c>
      <c r="AI1418" s="25">
        <f>IF(AL1418=12,K1418,0)</f>
        <v>0</v>
      </c>
      <c r="AJ1418" s="25">
        <f>IF(AL1418=21,K1418,0)</f>
        <v>0</v>
      </c>
      <c r="AL1418" s="25">
        <v>21</v>
      </c>
      <c r="AM1418" s="25">
        <f>H1418*0.214537646</f>
        <v>0</v>
      </c>
      <c r="AN1418" s="25">
        <f>H1418*(1-0.214537646)</f>
        <v>0</v>
      </c>
      <c r="AO1418" s="27" t="s">
        <v>61</v>
      </c>
      <c r="AT1418" s="25">
        <f>ROUND(AU1418+AV1418,2)</f>
        <v>0</v>
      </c>
      <c r="AU1418" s="25">
        <f>ROUND(G1418*AM1418,2)</f>
        <v>0</v>
      </c>
      <c r="AV1418" s="25">
        <f>ROUND(G1418*AN1418,2)</f>
        <v>0</v>
      </c>
      <c r="AW1418" s="27" t="s">
        <v>1014</v>
      </c>
      <c r="AX1418" s="27" t="s">
        <v>1624</v>
      </c>
      <c r="AY1418" s="10" t="s">
        <v>1105</v>
      </c>
      <c r="BA1418" s="25">
        <f>AU1418+AV1418</f>
        <v>0</v>
      </c>
      <c r="BB1418" s="25">
        <f>H1418/(100-BC1418)*100</f>
        <v>0</v>
      </c>
      <c r="BC1418" s="25">
        <v>0</v>
      </c>
      <c r="BD1418" s="25">
        <f>M1418</f>
        <v>0.93415280000000001</v>
      </c>
      <c r="BF1418" s="25">
        <f>G1418*AM1418</f>
        <v>0</v>
      </c>
      <c r="BG1418" s="25">
        <f>G1418*AN1418</f>
        <v>0</v>
      </c>
      <c r="BH1418" s="25">
        <f>G1418*H1418</f>
        <v>0</v>
      </c>
      <c r="BI1418" s="27" t="s">
        <v>65</v>
      </c>
      <c r="BJ1418" s="25">
        <v>781</v>
      </c>
      <c r="BU1418" s="25" t="e">
        <f>#REF!</f>
        <v>#REF!</v>
      </c>
      <c r="BV1418" s="4" t="s">
        <v>1623</v>
      </c>
    </row>
    <row r="1419" spans="1:74" ht="14.4" x14ac:dyDescent="0.3">
      <c r="A1419" s="28"/>
      <c r="D1419" s="29" t="s">
        <v>1246</v>
      </c>
      <c r="E1419" s="29" t="s">
        <v>366</v>
      </c>
      <c r="G1419" s="30">
        <v>28.547999999999998</v>
      </c>
      <c r="H1419" s="63"/>
      <c r="N1419" s="31"/>
    </row>
    <row r="1420" spans="1:74" ht="14.4" x14ac:dyDescent="0.3">
      <c r="A1420" s="28"/>
      <c r="D1420" s="29" t="s">
        <v>1247</v>
      </c>
      <c r="E1420" s="29" t="s">
        <v>52</v>
      </c>
      <c r="G1420" s="30">
        <v>25.698</v>
      </c>
      <c r="H1420" s="63"/>
      <c r="N1420" s="31"/>
    </row>
    <row r="1421" spans="1:74" ht="14.4" x14ac:dyDescent="0.3">
      <c r="A1421" s="28"/>
      <c r="D1421" s="29" t="s">
        <v>1248</v>
      </c>
      <c r="E1421" s="29" t="s">
        <v>52</v>
      </c>
      <c r="G1421" s="30">
        <v>22.989000000000001</v>
      </c>
      <c r="H1421" s="63"/>
      <c r="N1421" s="31"/>
    </row>
    <row r="1422" spans="1:74" ht="14.4" x14ac:dyDescent="0.3">
      <c r="A1422" s="28"/>
      <c r="D1422" s="29" t="s">
        <v>1249</v>
      </c>
      <c r="E1422" s="29" t="s">
        <v>52</v>
      </c>
      <c r="G1422" s="30">
        <v>12.464</v>
      </c>
      <c r="H1422" s="63"/>
      <c r="N1422" s="31"/>
    </row>
    <row r="1423" spans="1:74" ht="14.4" x14ac:dyDescent="0.3">
      <c r="A1423" s="28"/>
      <c r="D1423" s="29" t="s">
        <v>1250</v>
      </c>
      <c r="E1423" s="29" t="s">
        <v>52</v>
      </c>
      <c r="G1423" s="30">
        <v>24.558</v>
      </c>
      <c r="H1423" s="63"/>
      <c r="N1423" s="31"/>
    </row>
    <row r="1424" spans="1:74" ht="14.4" x14ac:dyDescent="0.3">
      <c r="A1424" s="28"/>
      <c r="D1424" s="29" t="s">
        <v>1251</v>
      </c>
      <c r="E1424" s="29" t="s">
        <v>52</v>
      </c>
      <c r="G1424" s="30">
        <v>27.04</v>
      </c>
      <c r="H1424" s="63"/>
      <c r="N1424" s="31"/>
    </row>
    <row r="1425" spans="1:74" ht="14.4" x14ac:dyDescent="0.3">
      <c r="A1425" s="28"/>
      <c r="D1425" s="29" t="s">
        <v>1252</v>
      </c>
      <c r="E1425" s="29" t="s">
        <v>52</v>
      </c>
      <c r="G1425" s="30">
        <v>1.417</v>
      </c>
      <c r="H1425" s="63"/>
      <c r="N1425" s="31"/>
    </row>
    <row r="1426" spans="1:74" ht="14.4" x14ac:dyDescent="0.3">
      <c r="A1426" s="28"/>
      <c r="D1426" s="29" t="s">
        <v>1253</v>
      </c>
      <c r="E1426" s="29" t="s">
        <v>1254</v>
      </c>
      <c r="G1426" s="30">
        <v>0.999</v>
      </c>
      <c r="H1426" s="63"/>
      <c r="N1426" s="31"/>
    </row>
    <row r="1427" spans="1:74" ht="14.4" x14ac:dyDescent="0.3">
      <c r="A1427" s="28"/>
      <c r="D1427" s="29" t="s">
        <v>1255</v>
      </c>
      <c r="E1427" s="29" t="s">
        <v>363</v>
      </c>
      <c r="G1427" s="30">
        <v>8.9700000000000006</v>
      </c>
      <c r="H1427" s="63"/>
      <c r="N1427" s="31"/>
    </row>
    <row r="1428" spans="1:74" ht="14.4" x14ac:dyDescent="0.3">
      <c r="A1428" s="28"/>
      <c r="D1428" s="29" t="s">
        <v>1256</v>
      </c>
      <c r="E1428" s="29" t="s">
        <v>375</v>
      </c>
      <c r="G1428" s="30">
        <v>6.5549999999999997</v>
      </c>
      <c r="H1428" s="63"/>
      <c r="N1428" s="31"/>
    </row>
    <row r="1429" spans="1:74" ht="14.4" x14ac:dyDescent="0.3">
      <c r="A1429" s="28"/>
      <c r="D1429" s="29" t="s">
        <v>1257</v>
      </c>
      <c r="E1429" s="29" t="s">
        <v>377</v>
      </c>
      <c r="G1429" s="30">
        <v>13.356999999999999</v>
      </c>
      <c r="H1429" s="63"/>
      <c r="N1429" s="31"/>
    </row>
    <row r="1430" spans="1:74" ht="14.4" x14ac:dyDescent="0.3">
      <c r="A1430" s="28"/>
      <c r="D1430" s="29" t="s">
        <v>1625</v>
      </c>
      <c r="E1430" s="29" t="s">
        <v>1626</v>
      </c>
      <c r="G1430" s="30">
        <v>2.0129999999999999</v>
      </c>
      <c r="H1430" s="63"/>
      <c r="N1430" s="31"/>
    </row>
    <row r="1431" spans="1:74" ht="14.4" x14ac:dyDescent="0.3">
      <c r="A1431" s="2" t="s">
        <v>1627</v>
      </c>
      <c r="B1431" s="3" t="s">
        <v>1101</v>
      </c>
      <c r="C1431" s="3" t="s">
        <v>1017</v>
      </c>
      <c r="D1431" s="112" t="s">
        <v>1018</v>
      </c>
      <c r="E1431" s="109"/>
      <c r="F1431" s="3" t="s">
        <v>60</v>
      </c>
      <c r="G1431" s="25">
        <v>192.06979000000001</v>
      </c>
      <c r="H1431" s="62"/>
      <c r="I1431" s="25">
        <f>ROUND(G1431*AM1431,2)</f>
        <v>0</v>
      </c>
      <c r="J1431" s="25">
        <f>ROUND(G1431*AN1431,2)</f>
        <v>0</v>
      </c>
      <c r="K1431" s="25">
        <f>ROUND(G1431*H1431,2)</f>
        <v>0</v>
      </c>
      <c r="L1431" s="25">
        <v>1.9429999999999999E-2</v>
      </c>
      <c r="M1431" s="25">
        <f>G1431*L1431</f>
        <v>3.7319160197000003</v>
      </c>
      <c r="N1431" s="26"/>
      <c r="X1431" s="25">
        <f>ROUND(IF(AO1431="5",BH1431,0),2)</f>
        <v>0</v>
      </c>
      <c r="Z1431" s="25">
        <f>ROUND(IF(AO1431="1",BF1431,0),2)</f>
        <v>0</v>
      </c>
      <c r="AA1431" s="25">
        <f>ROUND(IF(AO1431="1",BG1431,0),2)</f>
        <v>0</v>
      </c>
      <c r="AB1431" s="25">
        <f>ROUND(IF(AO1431="7",BF1431,0),2)</f>
        <v>0</v>
      </c>
      <c r="AC1431" s="25">
        <f>ROUND(IF(AO1431="7",BG1431,0),2)</f>
        <v>0</v>
      </c>
      <c r="AD1431" s="25">
        <f>ROUND(IF(AO1431="2",BF1431,0),2)</f>
        <v>0</v>
      </c>
      <c r="AE1431" s="25">
        <f>ROUND(IF(AO1431="2",BG1431,0),2)</f>
        <v>0</v>
      </c>
      <c r="AF1431" s="25">
        <f>ROUND(IF(AO1431="0",BH1431,0),2)</f>
        <v>0</v>
      </c>
      <c r="AG1431" s="10" t="s">
        <v>1101</v>
      </c>
      <c r="AH1431" s="25">
        <f>IF(AL1431=0,K1431,0)</f>
        <v>0</v>
      </c>
      <c r="AI1431" s="25">
        <f>IF(AL1431=12,K1431,0)</f>
        <v>0</v>
      </c>
      <c r="AJ1431" s="25">
        <f>IF(AL1431=21,K1431,0)</f>
        <v>0</v>
      </c>
      <c r="AL1431" s="25">
        <v>21</v>
      </c>
      <c r="AM1431" s="25">
        <f>H1431*1</f>
        <v>0</v>
      </c>
      <c r="AN1431" s="25">
        <f>H1431*(1-1)</f>
        <v>0</v>
      </c>
      <c r="AO1431" s="27" t="s">
        <v>61</v>
      </c>
      <c r="AT1431" s="25">
        <f>ROUND(AU1431+AV1431,2)</f>
        <v>0</v>
      </c>
      <c r="AU1431" s="25">
        <f>ROUND(G1431*AM1431,2)</f>
        <v>0</v>
      </c>
      <c r="AV1431" s="25">
        <f>ROUND(G1431*AN1431,2)</f>
        <v>0</v>
      </c>
      <c r="AW1431" s="27" t="s">
        <v>1014</v>
      </c>
      <c r="AX1431" s="27" t="s">
        <v>1624</v>
      </c>
      <c r="AY1431" s="10" t="s">
        <v>1105</v>
      </c>
      <c r="BA1431" s="25">
        <f>AU1431+AV1431</f>
        <v>0</v>
      </c>
      <c r="BB1431" s="25">
        <f>H1431/(100-BC1431)*100</f>
        <v>0</v>
      </c>
      <c r="BC1431" s="25">
        <v>0</v>
      </c>
      <c r="BD1431" s="25">
        <f>M1431</f>
        <v>3.7319160197000003</v>
      </c>
      <c r="BF1431" s="25">
        <f>G1431*AM1431</f>
        <v>0</v>
      </c>
      <c r="BG1431" s="25">
        <f>G1431*AN1431</f>
        <v>0</v>
      </c>
      <c r="BH1431" s="25">
        <f>G1431*H1431</f>
        <v>0</v>
      </c>
      <c r="BI1431" s="27" t="s">
        <v>576</v>
      </c>
      <c r="BJ1431" s="25">
        <v>781</v>
      </c>
      <c r="BU1431" s="25" t="e">
        <f>#REF!</f>
        <v>#REF!</v>
      </c>
      <c r="BV1431" s="4" t="s">
        <v>1018</v>
      </c>
    </row>
    <row r="1432" spans="1:74" ht="14.4" x14ac:dyDescent="0.3">
      <c r="A1432" s="28"/>
      <c r="D1432" s="29" t="s">
        <v>1246</v>
      </c>
      <c r="E1432" s="29" t="s">
        <v>366</v>
      </c>
      <c r="G1432" s="30">
        <v>28.548100000000002</v>
      </c>
      <c r="H1432" s="63"/>
      <c r="N1432" s="31"/>
    </row>
    <row r="1433" spans="1:74" ht="14.4" x14ac:dyDescent="0.3">
      <c r="A1433" s="28"/>
      <c r="D1433" s="29" t="s">
        <v>1247</v>
      </c>
      <c r="E1433" s="29" t="s">
        <v>52</v>
      </c>
      <c r="G1433" s="30">
        <v>25.698499999999999</v>
      </c>
      <c r="H1433" s="63"/>
      <c r="N1433" s="31"/>
    </row>
    <row r="1434" spans="1:74" ht="14.4" x14ac:dyDescent="0.3">
      <c r="A1434" s="28"/>
      <c r="D1434" s="29" t="s">
        <v>1248</v>
      </c>
      <c r="E1434" s="29" t="s">
        <v>52</v>
      </c>
      <c r="G1434" s="30">
        <v>22.989000000000001</v>
      </c>
      <c r="H1434" s="63"/>
      <c r="N1434" s="31"/>
    </row>
    <row r="1435" spans="1:74" ht="14.4" x14ac:dyDescent="0.3">
      <c r="A1435" s="28"/>
      <c r="D1435" s="29" t="s">
        <v>1249</v>
      </c>
      <c r="E1435" s="29" t="s">
        <v>52</v>
      </c>
      <c r="G1435" s="30">
        <v>12.464499999999999</v>
      </c>
      <c r="H1435" s="63"/>
      <c r="N1435" s="31"/>
    </row>
    <row r="1436" spans="1:74" ht="14.4" x14ac:dyDescent="0.3">
      <c r="A1436" s="28"/>
      <c r="D1436" s="29" t="s">
        <v>1250</v>
      </c>
      <c r="E1436" s="29" t="s">
        <v>52</v>
      </c>
      <c r="G1436" s="30">
        <v>24.5578</v>
      </c>
      <c r="H1436" s="63"/>
      <c r="N1436" s="31"/>
    </row>
    <row r="1437" spans="1:74" ht="14.4" x14ac:dyDescent="0.3">
      <c r="A1437" s="28"/>
      <c r="D1437" s="29" t="s">
        <v>1251</v>
      </c>
      <c r="E1437" s="29" t="s">
        <v>52</v>
      </c>
      <c r="G1437" s="30">
        <v>27.04</v>
      </c>
      <c r="H1437" s="63"/>
      <c r="N1437" s="31"/>
    </row>
    <row r="1438" spans="1:74" ht="14.4" x14ac:dyDescent="0.3">
      <c r="A1438" s="28"/>
      <c r="D1438" s="29" t="s">
        <v>1252</v>
      </c>
      <c r="E1438" s="29" t="s">
        <v>52</v>
      </c>
      <c r="G1438" s="30">
        <v>1.4175</v>
      </c>
      <c r="H1438" s="63"/>
      <c r="N1438" s="31"/>
    </row>
    <row r="1439" spans="1:74" ht="14.4" x14ac:dyDescent="0.3">
      <c r="A1439" s="28"/>
      <c r="D1439" s="29" t="s">
        <v>1253</v>
      </c>
      <c r="E1439" s="29" t="s">
        <v>1254</v>
      </c>
      <c r="G1439" s="30">
        <v>0.999</v>
      </c>
      <c r="H1439" s="63"/>
      <c r="N1439" s="31"/>
    </row>
    <row r="1440" spans="1:74" ht="14.4" x14ac:dyDescent="0.3">
      <c r="A1440" s="28"/>
      <c r="D1440" s="29" t="s">
        <v>1255</v>
      </c>
      <c r="E1440" s="29" t="s">
        <v>363</v>
      </c>
      <c r="G1440" s="30">
        <v>8.9700000000000006</v>
      </c>
      <c r="H1440" s="63"/>
      <c r="N1440" s="31"/>
    </row>
    <row r="1441" spans="1:74" ht="14.4" x14ac:dyDescent="0.3">
      <c r="A1441" s="28"/>
      <c r="D1441" s="29" t="s">
        <v>1256</v>
      </c>
      <c r="E1441" s="29" t="s">
        <v>375</v>
      </c>
      <c r="G1441" s="30">
        <v>6.5549999999999997</v>
      </c>
      <c r="H1441" s="63"/>
      <c r="N1441" s="31"/>
    </row>
    <row r="1442" spans="1:74" ht="14.4" x14ac:dyDescent="0.3">
      <c r="A1442" s="28"/>
      <c r="D1442" s="29" t="s">
        <v>1257</v>
      </c>
      <c r="E1442" s="29" t="s">
        <v>377</v>
      </c>
      <c r="G1442" s="30">
        <v>13.356999999999999</v>
      </c>
      <c r="H1442" s="63"/>
      <c r="N1442" s="31"/>
    </row>
    <row r="1443" spans="1:74" ht="14.4" x14ac:dyDescent="0.3">
      <c r="A1443" s="28"/>
      <c r="D1443" s="29" t="s">
        <v>1625</v>
      </c>
      <c r="E1443" s="29" t="s">
        <v>1626</v>
      </c>
      <c r="G1443" s="30">
        <v>2.0125000000000002</v>
      </c>
      <c r="H1443" s="63"/>
      <c r="N1443" s="31"/>
    </row>
    <row r="1444" spans="1:74" ht="14.4" x14ac:dyDescent="0.3">
      <c r="A1444" s="28"/>
      <c r="D1444" s="29" t="s">
        <v>1628</v>
      </c>
      <c r="E1444" s="29" t="s">
        <v>52</v>
      </c>
      <c r="G1444" s="30">
        <v>17.460889999999999</v>
      </c>
      <c r="H1444" s="63"/>
      <c r="N1444" s="31"/>
    </row>
    <row r="1445" spans="1:74" ht="14.4" x14ac:dyDescent="0.3">
      <c r="A1445" s="2" t="s">
        <v>1629</v>
      </c>
      <c r="B1445" s="3" t="s">
        <v>1101</v>
      </c>
      <c r="C1445" s="3" t="s">
        <v>1021</v>
      </c>
      <c r="D1445" s="112" t="s">
        <v>1022</v>
      </c>
      <c r="E1445" s="109"/>
      <c r="F1445" s="3" t="s">
        <v>60</v>
      </c>
      <c r="G1445" s="25">
        <v>174.608</v>
      </c>
      <c r="H1445" s="62"/>
      <c r="I1445" s="25">
        <f>ROUND(G1445*AM1445,2)</f>
        <v>0</v>
      </c>
      <c r="J1445" s="25">
        <f>ROUND(G1445*AN1445,2)</f>
        <v>0</v>
      </c>
      <c r="K1445" s="25">
        <f>ROUND(G1445*H1445,2)</f>
        <v>0</v>
      </c>
      <c r="L1445" s="25">
        <v>2.1000000000000001E-4</v>
      </c>
      <c r="M1445" s="25">
        <f>G1445*L1445</f>
        <v>3.6667680000000001E-2</v>
      </c>
      <c r="N1445" s="26"/>
      <c r="X1445" s="25">
        <f>ROUND(IF(AO1445="5",BH1445,0),2)</f>
        <v>0</v>
      </c>
      <c r="Z1445" s="25">
        <f>ROUND(IF(AO1445="1",BF1445,0),2)</f>
        <v>0</v>
      </c>
      <c r="AA1445" s="25">
        <f>ROUND(IF(AO1445="1",BG1445,0),2)</f>
        <v>0</v>
      </c>
      <c r="AB1445" s="25">
        <f>ROUND(IF(AO1445="7",BF1445,0),2)</f>
        <v>0</v>
      </c>
      <c r="AC1445" s="25">
        <f>ROUND(IF(AO1445="7",BG1445,0),2)</f>
        <v>0</v>
      </c>
      <c r="AD1445" s="25">
        <f>ROUND(IF(AO1445="2",BF1445,0),2)</f>
        <v>0</v>
      </c>
      <c r="AE1445" s="25">
        <f>ROUND(IF(AO1445="2",BG1445,0),2)</f>
        <v>0</v>
      </c>
      <c r="AF1445" s="25">
        <f>ROUND(IF(AO1445="0",BH1445,0),2)</f>
        <v>0</v>
      </c>
      <c r="AG1445" s="10" t="s">
        <v>1101</v>
      </c>
      <c r="AH1445" s="25">
        <f>IF(AL1445=0,K1445,0)</f>
        <v>0</v>
      </c>
      <c r="AI1445" s="25">
        <f>IF(AL1445=12,K1445,0)</f>
        <v>0</v>
      </c>
      <c r="AJ1445" s="25">
        <f>IF(AL1445=21,K1445,0)</f>
        <v>0</v>
      </c>
      <c r="AL1445" s="25">
        <v>21</v>
      </c>
      <c r="AM1445" s="25">
        <f>H1445*0.477365145</f>
        <v>0</v>
      </c>
      <c r="AN1445" s="25">
        <f>H1445*(1-0.477365145)</f>
        <v>0</v>
      </c>
      <c r="AO1445" s="27" t="s">
        <v>61</v>
      </c>
      <c r="AT1445" s="25">
        <f>ROUND(AU1445+AV1445,2)</f>
        <v>0</v>
      </c>
      <c r="AU1445" s="25">
        <f>ROUND(G1445*AM1445,2)</f>
        <v>0</v>
      </c>
      <c r="AV1445" s="25">
        <f>ROUND(G1445*AN1445,2)</f>
        <v>0</v>
      </c>
      <c r="AW1445" s="27" t="s">
        <v>1014</v>
      </c>
      <c r="AX1445" s="27" t="s">
        <v>1624</v>
      </c>
      <c r="AY1445" s="10" t="s">
        <v>1105</v>
      </c>
      <c r="BA1445" s="25">
        <f>AU1445+AV1445</f>
        <v>0</v>
      </c>
      <c r="BB1445" s="25">
        <f>H1445/(100-BC1445)*100</f>
        <v>0</v>
      </c>
      <c r="BC1445" s="25">
        <v>0</v>
      </c>
      <c r="BD1445" s="25">
        <f>M1445</f>
        <v>3.6667680000000001E-2</v>
      </c>
      <c r="BF1445" s="25">
        <f>G1445*AM1445</f>
        <v>0</v>
      </c>
      <c r="BG1445" s="25">
        <f>G1445*AN1445</f>
        <v>0</v>
      </c>
      <c r="BH1445" s="25">
        <f>G1445*H1445</f>
        <v>0</v>
      </c>
      <c r="BI1445" s="27" t="s">
        <v>65</v>
      </c>
      <c r="BJ1445" s="25">
        <v>781</v>
      </c>
      <c r="BU1445" s="25" t="e">
        <f>#REF!</f>
        <v>#REF!</v>
      </c>
      <c r="BV1445" s="4" t="s">
        <v>1022</v>
      </c>
    </row>
    <row r="1446" spans="1:74" ht="14.4" x14ac:dyDescent="0.3">
      <c r="A1446" s="28"/>
      <c r="D1446" s="29" t="s">
        <v>1246</v>
      </c>
      <c r="E1446" s="29" t="s">
        <v>366</v>
      </c>
      <c r="G1446" s="30">
        <v>28.547999999999998</v>
      </c>
      <c r="H1446" s="63"/>
      <c r="N1446" s="31"/>
    </row>
    <row r="1447" spans="1:74" ht="14.4" x14ac:dyDescent="0.3">
      <c r="A1447" s="28"/>
      <c r="D1447" s="29" t="s">
        <v>1247</v>
      </c>
      <c r="E1447" s="29" t="s">
        <v>52</v>
      </c>
      <c r="G1447" s="30">
        <v>25.698</v>
      </c>
      <c r="H1447" s="63"/>
      <c r="N1447" s="31"/>
    </row>
    <row r="1448" spans="1:74" ht="14.4" x14ac:dyDescent="0.3">
      <c r="A1448" s="28"/>
      <c r="D1448" s="29" t="s">
        <v>1248</v>
      </c>
      <c r="E1448" s="29" t="s">
        <v>52</v>
      </c>
      <c r="G1448" s="30">
        <v>22.989000000000001</v>
      </c>
      <c r="H1448" s="63"/>
      <c r="N1448" s="31"/>
    </row>
    <row r="1449" spans="1:74" ht="14.4" x14ac:dyDescent="0.3">
      <c r="A1449" s="28"/>
      <c r="D1449" s="29" t="s">
        <v>1249</v>
      </c>
      <c r="E1449" s="29" t="s">
        <v>52</v>
      </c>
      <c r="G1449" s="30">
        <v>12.464</v>
      </c>
      <c r="H1449" s="63"/>
      <c r="N1449" s="31"/>
    </row>
    <row r="1450" spans="1:74" ht="14.4" x14ac:dyDescent="0.3">
      <c r="A1450" s="28"/>
      <c r="D1450" s="29" t="s">
        <v>1250</v>
      </c>
      <c r="E1450" s="29" t="s">
        <v>52</v>
      </c>
      <c r="G1450" s="30">
        <v>24.558</v>
      </c>
      <c r="H1450" s="63"/>
      <c r="N1450" s="31"/>
    </row>
    <row r="1451" spans="1:74" ht="14.4" x14ac:dyDescent="0.3">
      <c r="A1451" s="28"/>
      <c r="D1451" s="29" t="s">
        <v>1251</v>
      </c>
      <c r="E1451" s="29" t="s">
        <v>52</v>
      </c>
      <c r="G1451" s="30">
        <v>27.04</v>
      </c>
      <c r="H1451" s="63"/>
      <c r="N1451" s="31"/>
    </row>
    <row r="1452" spans="1:74" ht="14.4" x14ac:dyDescent="0.3">
      <c r="A1452" s="28"/>
      <c r="D1452" s="29" t="s">
        <v>1252</v>
      </c>
      <c r="E1452" s="29" t="s">
        <v>52</v>
      </c>
      <c r="G1452" s="30">
        <v>1.417</v>
      </c>
      <c r="H1452" s="63"/>
      <c r="N1452" s="31"/>
    </row>
    <row r="1453" spans="1:74" ht="14.4" x14ac:dyDescent="0.3">
      <c r="A1453" s="28"/>
      <c r="D1453" s="29" t="s">
        <v>1253</v>
      </c>
      <c r="E1453" s="29" t="s">
        <v>1254</v>
      </c>
      <c r="G1453" s="30">
        <v>0.999</v>
      </c>
      <c r="H1453" s="63"/>
      <c r="N1453" s="31"/>
    </row>
    <row r="1454" spans="1:74" ht="14.4" x14ac:dyDescent="0.3">
      <c r="A1454" s="28"/>
      <c r="D1454" s="29" t="s">
        <v>1255</v>
      </c>
      <c r="E1454" s="29" t="s">
        <v>363</v>
      </c>
      <c r="G1454" s="30">
        <v>8.9700000000000006</v>
      </c>
      <c r="H1454" s="63"/>
      <c r="N1454" s="31"/>
    </row>
    <row r="1455" spans="1:74" ht="14.4" x14ac:dyDescent="0.3">
      <c r="A1455" s="28"/>
      <c r="D1455" s="29" t="s">
        <v>1256</v>
      </c>
      <c r="E1455" s="29" t="s">
        <v>375</v>
      </c>
      <c r="G1455" s="30">
        <v>6.5549999999999997</v>
      </c>
      <c r="H1455" s="63"/>
      <c r="N1455" s="31"/>
    </row>
    <row r="1456" spans="1:74" ht="14.4" x14ac:dyDescent="0.3">
      <c r="A1456" s="28"/>
      <c r="D1456" s="29" t="s">
        <v>1257</v>
      </c>
      <c r="E1456" s="29" t="s">
        <v>377</v>
      </c>
      <c r="G1456" s="30">
        <v>13.356999999999999</v>
      </c>
      <c r="H1456" s="63"/>
      <c r="N1456" s="31"/>
    </row>
    <row r="1457" spans="1:74" ht="14.4" x14ac:dyDescent="0.3">
      <c r="A1457" s="28"/>
      <c r="D1457" s="29" t="s">
        <v>1625</v>
      </c>
      <c r="E1457" s="29" t="s">
        <v>1626</v>
      </c>
      <c r="G1457" s="30">
        <v>2.0129999999999999</v>
      </c>
      <c r="H1457" s="63"/>
      <c r="N1457" s="31"/>
    </row>
    <row r="1458" spans="1:74" ht="14.4" x14ac:dyDescent="0.3">
      <c r="A1458" s="2" t="s">
        <v>1630</v>
      </c>
      <c r="B1458" s="3" t="s">
        <v>1101</v>
      </c>
      <c r="C1458" s="3" t="s">
        <v>1024</v>
      </c>
      <c r="D1458" s="112" t="s">
        <v>1025</v>
      </c>
      <c r="E1458" s="109"/>
      <c r="F1458" s="3" t="s">
        <v>60</v>
      </c>
      <c r="G1458" s="25">
        <v>174.608</v>
      </c>
      <c r="H1458" s="62"/>
      <c r="I1458" s="25">
        <f>ROUND(G1458*AM1458,2)</f>
        <v>0</v>
      </c>
      <c r="J1458" s="25">
        <f>ROUND(G1458*AN1458,2)</f>
        <v>0</v>
      </c>
      <c r="K1458" s="25">
        <f>ROUND(G1458*H1458,2)</f>
        <v>0</v>
      </c>
      <c r="L1458" s="25">
        <v>1.1E-4</v>
      </c>
      <c r="M1458" s="25">
        <f>G1458*L1458</f>
        <v>1.9206880000000003E-2</v>
      </c>
      <c r="N1458" s="26"/>
      <c r="X1458" s="25">
        <f>ROUND(IF(AO1458="5",BH1458,0),2)</f>
        <v>0</v>
      </c>
      <c r="Z1458" s="25">
        <f>ROUND(IF(AO1458="1",BF1458,0),2)</f>
        <v>0</v>
      </c>
      <c r="AA1458" s="25">
        <f>ROUND(IF(AO1458="1",BG1458,0),2)</f>
        <v>0</v>
      </c>
      <c r="AB1458" s="25">
        <f>ROUND(IF(AO1458="7",BF1458,0),2)</f>
        <v>0</v>
      </c>
      <c r="AC1458" s="25">
        <f>ROUND(IF(AO1458="7",BG1458,0),2)</f>
        <v>0</v>
      </c>
      <c r="AD1458" s="25">
        <f>ROUND(IF(AO1458="2",BF1458,0),2)</f>
        <v>0</v>
      </c>
      <c r="AE1458" s="25">
        <f>ROUND(IF(AO1458="2",BG1458,0),2)</f>
        <v>0</v>
      </c>
      <c r="AF1458" s="25">
        <f>ROUND(IF(AO1458="0",BH1458,0),2)</f>
        <v>0</v>
      </c>
      <c r="AG1458" s="10" t="s">
        <v>1101</v>
      </c>
      <c r="AH1458" s="25">
        <f>IF(AL1458=0,K1458,0)</f>
        <v>0</v>
      </c>
      <c r="AI1458" s="25">
        <f>IF(AL1458=12,K1458,0)</f>
        <v>0</v>
      </c>
      <c r="AJ1458" s="25">
        <f>IF(AL1458=21,K1458,0)</f>
        <v>0</v>
      </c>
      <c r="AL1458" s="25">
        <v>21</v>
      </c>
      <c r="AM1458" s="25">
        <f>H1458*1</f>
        <v>0</v>
      </c>
      <c r="AN1458" s="25">
        <f>H1458*(1-1)</f>
        <v>0</v>
      </c>
      <c r="AO1458" s="27" t="s">
        <v>61</v>
      </c>
      <c r="AT1458" s="25">
        <f>ROUND(AU1458+AV1458,2)</f>
        <v>0</v>
      </c>
      <c r="AU1458" s="25">
        <f>ROUND(G1458*AM1458,2)</f>
        <v>0</v>
      </c>
      <c r="AV1458" s="25">
        <f>ROUND(G1458*AN1458,2)</f>
        <v>0</v>
      </c>
      <c r="AW1458" s="27" t="s">
        <v>1014</v>
      </c>
      <c r="AX1458" s="27" t="s">
        <v>1624</v>
      </c>
      <c r="AY1458" s="10" t="s">
        <v>1105</v>
      </c>
      <c r="BA1458" s="25">
        <f>AU1458+AV1458</f>
        <v>0</v>
      </c>
      <c r="BB1458" s="25">
        <f>H1458/(100-BC1458)*100</f>
        <v>0</v>
      </c>
      <c r="BC1458" s="25">
        <v>0</v>
      </c>
      <c r="BD1458" s="25">
        <f>M1458</f>
        <v>1.9206880000000003E-2</v>
      </c>
      <c r="BF1458" s="25">
        <f>G1458*AM1458</f>
        <v>0</v>
      </c>
      <c r="BG1458" s="25">
        <f>G1458*AN1458</f>
        <v>0</v>
      </c>
      <c r="BH1458" s="25">
        <f>G1458*H1458</f>
        <v>0</v>
      </c>
      <c r="BI1458" s="27" t="s">
        <v>65</v>
      </c>
      <c r="BJ1458" s="25">
        <v>781</v>
      </c>
      <c r="BU1458" s="25" t="e">
        <f>#REF!</f>
        <v>#REF!</v>
      </c>
      <c r="BV1458" s="4" t="s">
        <v>1025</v>
      </c>
    </row>
    <row r="1459" spans="1:74" ht="14.4" x14ac:dyDescent="0.3">
      <c r="A1459" s="28"/>
      <c r="D1459" s="29" t="s">
        <v>1246</v>
      </c>
      <c r="E1459" s="29" t="s">
        <v>366</v>
      </c>
      <c r="G1459" s="30">
        <v>28.547999999999998</v>
      </c>
      <c r="H1459" s="63"/>
      <c r="N1459" s="31"/>
    </row>
    <row r="1460" spans="1:74" ht="14.4" x14ac:dyDescent="0.3">
      <c r="A1460" s="28"/>
      <c r="D1460" s="29" t="s">
        <v>1247</v>
      </c>
      <c r="E1460" s="29" t="s">
        <v>52</v>
      </c>
      <c r="G1460" s="30">
        <v>25.698</v>
      </c>
      <c r="H1460" s="63"/>
      <c r="N1460" s="31"/>
    </row>
    <row r="1461" spans="1:74" ht="14.4" x14ac:dyDescent="0.3">
      <c r="A1461" s="28"/>
      <c r="D1461" s="29" t="s">
        <v>1248</v>
      </c>
      <c r="E1461" s="29" t="s">
        <v>52</v>
      </c>
      <c r="G1461" s="30">
        <v>22.989000000000001</v>
      </c>
      <c r="H1461" s="63"/>
      <c r="N1461" s="31"/>
    </row>
    <row r="1462" spans="1:74" ht="14.4" x14ac:dyDescent="0.3">
      <c r="A1462" s="28"/>
      <c r="D1462" s="29" t="s">
        <v>1249</v>
      </c>
      <c r="E1462" s="29" t="s">
        <v>52</v>
      </c>
      <c r="G1462" s="30">
        <v>12.464</v>
      </c>
      <c r="H1462" s="63"/>
      <c r="N1462" s="31"/>
    </row>
    <row r="1463" spans="1:74" ht="14.4" x14ac:dyDescent="0.3">
      <c r="A1463" s="28"/>
      <c r="D1463" s="29" t="s">
        <v>1250</v>
      </c>
      <c r="E1463" s="29" t="s">
        <v>52</v>
      </c>
      <c r="G1463" s="30">
        <v>24.558</v>
      </c>
      <c r="H1463" s="63"/>
      <c r="N1463" s="31"/>
    </row>
    <row r="1464" spans="1:74" ht="14.4" x14ac:dyDescent="0.3">
      <c r="A1464" s="28"/>
      <c r="D1464" s="29" t="s">
        <v>1251</v>
      </c>
      <c r="E1464" s="29" t="s">
        <v>52</v>
      </c>
      <c r="G1464" s="30">
        <v>27.04</v>
      </c>
      <c r="H1464" s="63"/>
      <c r="N1464" s="31"/>
    </row>
    <row r="1465" spans="1:74" ht="14.4" x14ac:dyDescent="0.3">
      <c r="A1465" s="28"/>
      <c r="D1465" s="29" t="s">
        <v>1252</v>
      </c>
      <c r="E1465" s="29" t="s">
        <v>52</v>
      </c>
      <c r="G1465" s="30">
        <v>1.417</v>
      </c>
      <c r="H1465" s="63"/>
      <c r="N1465" s="31"/>
    </row>
    <row r="1466" spans="1:74" ht="14.4" x14ac:dyDescent="0.3">
      <c r="A1466" s="28"/>
      <c r="D1466" s="29" t="s">
        <v>1253</v>
      </c>
      <c r="E1466" s="29" t="s">
        <v>1254</v>
      </c>
      <c r="G1466" s="30">
        <v>0.999</v>
      </c>
      <c r="H1466" s="63"/>
      <c r="N1466" s="31"/>
    </row>
    <row r="1467" spans="1:74" ht="14.4" x14ac:dyDescent="0.3">
      <c r="A1467" s="28"/>
      <c r="D1467" s="29" t="s">
        <v>1255</v>
      </c>
      <c r="E1467" s="29" t="s">
        <v>363</v>
      </c>
      <c r="G1467" s="30">
        <v>8.9700000000000006</v>
      </c>
      <c r="H1467" s="63"/>
      <c r="N1467" s="31"/>
    </row>
    <row r="1468" spans="1:74" ht="14.4" x14ac:dyDescent="0.3">
      <c r="A1468" s="28"/>
      <c r="D1468" s="29" t="s">
        <v>1256</v>
      </c>
      <c r="E1468" s="29" t="s">
        <v>375</v>
      </c>
      <c r="G1468" s="30">
        <v>6.5549999999999997</v>
      </c>
      <c r="H1468" s="63"/>
      <c r="N1468" s="31"/>
    </row>
    <row r="1469" spans="1:74" ht="14.4" x14ac:dyDescent="0.3">
      <c r="A1469" s="28"/>
      <c r="D1469" s="29" t="s">
        <v>1257</v>
      </c>
      <c r="E1469" s="29" t="s">
        <v>377</v>
      </c>
      <c r="G1469" s="30">
        <v>13.356999999999999</v>
      </c>
      <c r="H1469" s="63"/>
      <c r="N1469" s="31"/>
    </row>
    <row r="1470" spans="1:74" ht="14.4" x14ac:dyDescent="0.3">
      <c r="A1470" s="28"/>
      <c r="D1470" s="29" t="s">
        <v>1625</v>
      </c>
      <c r="E1470" s="29" t="s">
        <v>1626</v>
      </c>
      <c r="G1470" s="30">
        <v>2.0129999999999999</v>
      </c>
      <c r="H1470" s="63"/>
      <c r="N1470" s="31"/>
    </row>
    <row r="1471" spans="1:74" ht="14.4" x14ac:dyDescent="0.3">
      <c r="A1471" s="2" t="s">
        <v>1631</v>
      </c>
      <c r="B1471" s="3" t="s">
        <v>1101</v>
      </c>
      <c r="C1471" s="3" t="s">
        <v>1027</v>
      </c>
      <c r="D1471" s="112" t="s">
        <v>1028</v>
      </c>
      <c r="E1471" s="109"/>
      <c r="F1471" s="3" t="s">
        <v>115</v>
      </c>
      <c r="G1471" s="25">
        <v>282.29000000000002</v>
      </c>
      <c r="H1471" s="62"/>
      <c r="I1471" s="25">
        <f>ROUND(G1471*AM1471,2)</f>
        <v>0</v>
      </c>
      <c r="J1471" s="25">
        <f>ROUND(G1471*AN1471,2)</f>
        <v>0</v>
      </c>
      <c r="K1471" s="25">
        <f>ROUND(G1471*H1471,2)</f>
        <v>0</v>
      </c>
      <c r="L1471" s="25">
        <v>1.7000000000000001E-4</v>
      </c>
      <c r="M1471" s="25">
        <f>G1471*L1471</f>
        <v>4.7989300000000006E-2</v>
      </c>
      <c r="N1471" s="26"/>
      <c r="X1471" s="25">
        <f>ROUND(IF(AO1471="5",BH1471,0),2)</f>
        <v>0</v>
      </c>
      <c r="Z1471" s="25">
        <f>ROUND(IF(AO1471="1",BF1471,0),2)</f>
        <v>0</v>
      </c>
      <c r="AA1471" s="25">
        <f>ROUND(IF(AO1471="1",BG1471,0),2)</f>
        <v>0</v>
      </c>
      <c r="AB1471" s="25">
        <f>ROUND(IF(AO1471="7",BF1471,0),2)</f>
        <v>0</v>
      </c>
      <c r="AC1471" s="25">
        <f>ROUND(IF(AO1471="7",BG1471,0),2)</f>
        <v>0</v>
      </c>
      <c r="AD1471" s="25">
        <f>ROUND(IF(AO1471="2",BF1471,0),2)</f>
        <v>0</v>
      </c>
      <c r="AE1471" s="25">
        <f>ROUND(IF(AO1471="2",BG1471,0),2)</f>
        <v>0</v>
      </c>
      <c r="AF1471" s="25">
        <f>ROUND(IF(AO1471="0",BH1471,0),2)</f>
        <v>0</v>
      </c>
      <c r="AG1471" s="10" t="s">
        <v>1101</v>
      </c>
      <c r="AH1471" s="25">
        <f>IF(AL1471=0,K1471,0)</f>
        <v>0</v>
      </c>
      <c r="AI1471" s="25">
        <f>IF(AL1471=12,K1471,0)</f>
        <v>0</v>
      </c>
      <c r="AJ1471" s="25">
        <f>IF(AL1471=21,K1471,0)</f>
        <v>0</v>
      </c>
      <c r="AL1471" s="25">
        <v>21</v>
      </c>
      <c r="AM1471" s="25">
        <f>H1471*0.788056392</f>
        <v>0</v>
      </c>
      <c r="AN1471" s="25">
        <f>H1471*(1-0.788056392)</f>
        <v>0</v>
      </c>
      <c r="AO1471" s="27" t="s">
        <v>61</v>
      </c>
      <c r="AT1471" s="25">
        <f>ROUND(AU1471+AV1471,2)</f>
        <v>0</v>
      </c>
      <c r="AU1471" s="25">
        <f>ROUND(G1471*AM1471,2)</f>
        <v>0</v>
      </c>
      <c r="AV1471" s="25">
        <f>ROUND(G1471*AN1471,2)</f>
        <v>0</v>
      </c>
      <c r="AW1471" s="27" t="s">
        <v>1014</v>
      </c>
      <c r="AX1471" s="27" t="s">
        <v>1624</v>
      </c>
      <c r="AY1471" s="10" t="s">
        <v>1105</v>
      </c>
      <c r="BA1471" s="25">
        <f>AU1471+AV1471</f>
        <v>0</v>
      </c>
      <c r="BB1471" s="25">
        <f>H1471/(100-BC1471)*100</f>
        <v>0</v>
      </c>
      <c r="BC1471" s="25">
        <v>0</v>
      </c>
      <c r="BD1471" s="25">
        <f>M1471</f>
        <v>4.7989300000000006E-2</v>
      </c>
      <c r="BF1471" s="25">
        <f>G1471*AM1471</f>
        <v>0</v>
      </c>
      <c r="BG1471" s="25">
        <f>G1471*AN1471</f>
        <v>0</v>
      </c>
      <c r="BH1471" s="25">
        <f>G1471*H1471</f>
        <v>0</v>
      </c>
      <c r="BI1471" s="27" t="s">
        <v>65</v>
      </c>
      <c r="BJ1471" s="25">
        <v>781</v>
      </c>
      <c r="BU1471" s="25" t="e">
        <f>#REF!</f>
        <v>#REF!</v>
      </c>
      <c r="BV1471" s="4" t="s">
        <v>1028</v>
      </c>
    </row>
    <row r="1472" spans="1:74" ht="14.4" x14ac:dyDescent="0.3">
      <c r="A1472" s="28"/>
      <c r="D1472" s="29" t="s">
        <v>1279</v>
      </c>
      <c r="E1472" s="29" t="s">
        <v>1632</v>
      </c>
      <c r="G1472" s="30">
        <v>3.2</v>
      </c>
      <c r="H1472" s="63"/>
      <c r="N1472" s="31"/>
    </row>
    <row r="1473" spans="1:14" ht="14.4" x14ac:dyDescent="0.3">
      <c r="A1473" s="28"/>
      <c r="D1473" s="29" t="s">
        <v>1587</v>
      </c>
      <c r="E1473" s="29" t="s">
        <v>1175</v>
      </c>
      <c r="G1473" s="30">
        <v>2.16</v>
      </c>
      <c r="H1473" s="63"/>
      <c r="N1473" s="31"/>
    </row>
    <row r="1474" spans="1:14" ht="14.4" x14ac:dyDescent="0.3">
      <c r="A1474" s="28"/>
      <c r="D1474" s="29" t="s">
        <v>1588</v>
      </c>
      <c r="E1474" s="29" t="s">
        <v>1175</v>
      </c>
      <c r="G1474" s="30">
        <v>3.26</v>
      </c>
      <c r="H1474" s="63"/>
      <c r="N1474" s="31"/>
    </row>
    <row r="1475" spans="1:14" ht="14.4" x14ac:dyDescent="0.3">
      <c r="A1475" s="28"/>
      <c r="D1475" s="29" t="s">
        <v>1589</v>
      </c>
      <c r="E1475" s="29" t="s">
        <v>1175</v>
      </c>
      <c r="G1475" s="30">
        <v>4.0049999999999999</v>
      </c>
      <c r="H1475" s="63"/>
      <c r="N1475" s="31"/>
    </row>
    <row r="1476" spans="1:14" ht="14.4" x14ac:dyDescent="0.3">
      <c r="A1476" s="28"/>
      <c r="D1476" s="29" t="s">
        <v>1590</v>
      </c>
      <c r="E1476" s="29" t="s">
        <v>1175</v>
      </c>
      <c r="G1476" s="30">
        <v>4.2050000000000001</v>
      </c>
      <c r="H1476" s="63"/>
      <c r="N1476" s="31"/>
    </row>
    <row r="1477" spans="1:14" ht="14.4" x14ac:dyDescent="0.3">
      <c r="A1477" s="28"/>
      <c r="D1477" s="29" t="s">
        <v>1591</v>
      </c>
      <c r="E1477" s="29" t="s">
        <v>1175</v>
      </c>
      <c r="G1477" s="30">
        <v>5.76</v>
      </c>
      <c r="H1477" s="63"/>
      <c r="N1477" s="31"/>
    </row>
    <row r="1478" spans="1:14" ht="14.4" x14ac:dyDescent="0.3">
      <c r="A1478" s="28"/>
      <c r="D1478" s="29" t="s">
        <v>1592</v>
      </c>
      <c r="E1478" s="29" t="s">
        <v>1175</v>
      </c>
      <c r="G1478" s="30">
        <v>6.3</v>
      </c>
      <c r="H1478" s="63"/>
      <c r="N1478" s="31"/>
    </row>
    <row r="1479" spans="1:14" ht="14.4" x14ac:dyDescent="0.3">
      <c r="A1479" s="28"/>
      <c r="D1479" s="29" t="s">
        <v>1593</v>
      </c>
      <c r="E1479" s="29" t="s">
        <v>1175</v>
      </c>
      <c r="G1479" s="30">
        <v>3.18</v>
      </c>
      <c r="H1479" s="63"/>
      <c r="N1479" s="31"/>
    </row>
    <row r="1480" spans="1:14" ht="14.4" x14ac:dyDescent="0.3">
      <c r="A1480" s="28"/>
      <c r="D1480" s="29" t="s">
        <v>1594</v>
      </c>
      <c r="E1480" s="29" t="s">
        <v>1175</v>
      </c>
      <c r="G1480" s="30">
        <v>4.4749999999999996</v>
      </c>
      <c r="H1480" s="63"/>
      <c r="N1480" s="31"/>
    </row>
    <row r="1481" spans="1:14" ht="14.4" x14ac:dyDescent="0.3">
      <c r="A1481" s="28"/>
      <c r="D1481" s="29" t="s">
        <v>1595</v>
      </c>
      <c r="E1481" s="29" t="s">
        <v>1175</v>
      </c>
      <c r="G1481" s="30">
        <v>2.86</v>
      </c>
      <c r="H1481" s="63"/>
      <c r="N1481" s="31"/>
    </row>
    <row r="1482" spans="1:14" ht="14.4" x14ac:dyDescent="0.3">
      <c r="A1482" s="28"/>
      <c r="D1482" s="29" t="s">
        <v>1633</v>
      </c>
      <c r="E1482" s="29" t="s">
        <v>363</v>
      </c>
      <c r="G1482" s="30">
        <v>10.18</v>
      </c>
      <c r="H1482" s="63"/>
      <c r="N1482" s="31"/>
    </row>
    <row r="1483" spans="1:14" ht="14.4" x14ac:dyDescent="0.3">
      <c r="A1483" s="28"/>
      <c r="D1483" s="29" t="s">
        <v>1634</v>
      </c>
      <c r="E1483" s="29" t="s">
        <v>375</v>
      </c>
      <c r="G1483" s="30">
        <v>9.9949999999999992</v>
      </c>
      <c r="H1483" s="63"/>
      <c r="N1483" s="31"/>
    </row>
    <row r="1484" spans="1:14" ht="14.4" x14ac:dyDescent="0.3">
      <c r="A1484" s="28"/>
      <c r="D1484" s="29" t="s">
        <v>1635</v>
      </c>
      <c r="E1484" s="29" t="s">
        <v>377</v>
      </c>
      <c r="G1484" s="30">
        <v>11.78</v>
      </c>
      <c r="H1484" s="63"/>
      <c r="N1484" s="31"/>
    </row>
    <row r="1485" spans="1:14" ht="14.4" x14ac:dyDescent="0.3">
      <c r="A1485" s="28"/>
      <c r="D1485" s="29" t="s">
        <v>1341</v>
      </c>
      <c r="E1485" s="29" t="s">
        <v>366</v>
      </c>
      <c r="G1485" s="30">
        <v>81.7</v>
      </c>
      <c r="H1485" s="63"/>
      <c r="N1485" s="31"/>
    </row>
    <row r="1486" spans="1:14" ht="14.4" x14ac:dyDescent="0.3">
      <c r="A1486" s="28"/>
      <c r="D1486" s="29" t="s">
        <v>1598</v>
      </c>
      <c r="E1486" s="29" t="s">
        <v>361</v>
      </c>
      <c r="G1486" s="30">
        <v>13.31</v>
      </c>
      <c r="H1486" s="63"/>
      <c r="N1486" s="31"/>
    </row>
    <row r="1487" spans="1:14" ht="14.4" x14ac:dyDescent="0.3">
      <c r="A1487" s="28"/>
      <c r="D1487" s="29" t="s">
        <v>1636</v>
      </c>
      <c r="E1487" s="29" t="s">
        <v>1637</v>
      </c>
      <c r="G1487" s="30">
        <v>6.66</v>
      </c>
      <c r="H1487" s="63"/>
      <c r="N1487" s="31"/>
    </row>
    <row r="1488" spans="1:14" ht="14.4" x14ac:dyDescent="0.3">
      <c r="A1488" s="28"/>
      <c r="D1488" s="29" t="s">
        <v>1638</v>
      </c>
      <c r="E1488" s="29" t="s">
        <v>1639</v>
      </c>
      <c r="G1488" s="30">
        <v>7.2</v>
      </c>
      <c r="H1488" s="63"/>
      <c r="N1488" s="31"/>
    </row>
    <row r="1489" spans="1:74" ht="14.4" x14ac:dyDescent="0.3">
      <c r="A1489" s="28"/>
      <c r="D1489" s="29" t="s">
        <v>1640</v>
      </c>
      <c r="E1489" s="29" t="s">
        <v>1641</v>
      </c>
      <c r="G1489" s="30">
        <v>84</v>
      </c>
      <c r="H1489" s="63"/>
      <c r="N1489" s="31"/>
    </row>
    <row r="1490" spans="1:74" ht="14.4" x14ac:dyDescent="0.3">
      <c r="A1490" s="28"/>
      <c r="D1490" s="29" t="s">
        <v>1642</v>
      </c>
      <c r="E1490" s="29" t="s">
        <v>1643</v>
      </c>
      <c r="G1490" s="30">
        <v>18.059999999999999</v>
      </c>
      <c r="H1490" s="63"/>
      <c r="N1490" s="31"/>
    </row>
    <row r="1491" spans="1:74" ht="14.4" x14ac:dyDescent="0.3">
      <c r="A1491" s="2" t="s">
        <v>1644</v>
      </c>
      <c r="B1491" s="3" t="s">
        <v>1101</v>
      </c>
      <c r="C1491" s="3" t="s">
        <v>1036</v>
      </c>
      <c r="D1491" s="112" t="s">
        <v>1037</v>
      </c>
      <c r="E1491" s="109"/>
      <c r="F1491" s="3" t="s">
        <v>115</v>
      </c>
      <c r="G1491" s="25">
        <v>277.69</v>
      </c>
      <c r="H1491" s="62"/>
      <c r="I1491" s="25">
        <f>ROUND(G1491*AM1491,2)</f>
        <v>0</v>
      </c>
      <c r="J1491" s="25">
        <f>ROUND(G1491*AN1491,2)</f>
        <v>0</v>
      </c>
      <c r="K1491" s="25">
        <f>ROUND(G1491*H1491,2)</f>
        <v>0</v>
      </c>
      <c r="L1491" s="25">
        <v>0</v>
      </c>
      <c r="M1491" s="25">
        <f>G1491*L1491</f>
        <v>0</v>
      </c>
      <c r="N1491" s="26"/>
      <c r="X1491" s="25">
        <f>ROUND(IF(AO1491="5",BH1491,0),2)</f>
        <v>0</v>
      </c>
      <c r="Z1491" s="25">
        <f>ROUND(IF(AO1491="1",BF1491,0),2)</f>
        <v>0</v>
      </c>
      <c r="AA1491" s="25">
        <f>ROUND(IF(AO1491="1",BG1491,0),2)</f>
        <v>0</v>
      </c>
      <c r="AB1491" s="25">
        <f>ROUND(IF(AO1491="7",BF1491,0),2)</f>
        <v>0</v>
      </c>
      <c r="AC1491" s="25">
        <f>ROUND(IF(AO1491="7",BG1491,0),2)</f>
        <v>0</v>
      </c>
      <c r="AD1491" s="25">
        <f>ROUND(IF(AO1491="2",BF1491,0),2)</f>
        <v>0</v>
      </c>
      <c r="AE1491" s="25">
        <f>ROUND(IF(AO1491="2",BG1491,0),2)</f>
        <v>0</v>
      </c>
      <c r="AF1491" s="25">
        <f>ROUND(IF(AO1491="0",BH1491,0),2)</f>
        <v>0</v>
      </c>
      <c r="AG1491" s="10" t="s">
        <v>1101</v>
      </c>
      <c r="AH1491" s="25">
        <f>IF(AL1491=0,K1491,0)</f>
        <v>0</v>
      </c>
      <c r="AI1491" s="25">
        <f>IF(AL1491=12,K1491,0)</f>
        <v>0</v>
      </c>
      <c r="AJ1491" s="25">
        <f>IF(AL1491=21,K1491,0)</f>
        <v>0</v>
      </c>
      <c r="AL1491" s="25">
        <v>21</v>
      </c>
      <c r="AM1491" s="25">
        <f>H1491*0.05390492</f>
        <v>0</v>
      </c>
      <c r="AN1491" s="25">
        <f>H1491*(1-0.05390492)</f>
        <v>0</v>
      </c>
      <c r="AO1491" s="27" t="s">
        <v>61</v>
      </c>
      <c r="AT1491" s="25">
        <f>ROUND(AU1491+AV1491,2)</f>
        <v>0</v>
      </c>
      <c r="AU1491" s="25">
        <f>ROUND(G1491*AM1491,2)</f>
        <v>0</v>
      </c>
      <c r="AV1491" s="25">
        <f>ROUND(G1491*AN1491,2)</f>
        <v>0</v>
      </c>
      <c r="AW1491" s="27" t="s">
        <v>1014</v>
      </c>
      <c r="AX1491" s="27" t="s">
        <v>1624</v>
      </c>
      <c r="AY1491" s="10" t="s">
        <v>1105</v>
      </c>
      <c r="BA1491" s="25">
        <f>AU1491+AV1491</f>
        <v>0</v>
      </c>
      <c r="BB1491" s="25">
        <f>H1491/(100-BC1491)*100</f>
        <v>0</v>
      </c>
      <c r="BC1491" s="25">
        <v>0</v>
      </c>
      <c r="BD1491" s="25">
        <f>M1491</f>
        <v>0</v>
      </c>
      <c r="BF1491" s="25">
        <f>G1491*AM1491</f>
        <v>0</v>
      </c>
      <c r="BG1491" s="25">
        <f>G1491*AN1491</f>
        <v>0</v>
      </c>
      <c r="BH1491" s="25">
        <f>G1491*H1491</f>
        <v>0</v>
      </c>
      <c r="BI1491" s="27" t="s">
        <v>65</v>
      </c>
      <c r="BJ1491" s="25">
        <v>781</v>
      </c>
      <c r="BU1491" s="25" t="e">
        <f>#REF!</f>
        <v>#REF!</v>
      </c>
      <c r="BV1491" s="4" t="s">
        <v>1037</v>
      </c>
    </row>
    <row r="1492" spans="1:74" ht="14.4" x14ac:dyDescent="0.3">
      <c r="A1492" s="28"/>
      <c r="D1492" s="29" t="s">
        <v>1279</v>
      </c>
      <c r="E1492" s="29" t="s">
        <v>1586</v>
      </c>
      <c r="G1492" s="30">
        <v>3.2</v>
      </c>
      <c r="H1492" s="63"/>
      <c r="N1492" s="31"/>
    </row>
    <row r="1493" spans="1:74" ht="14.4" x14ac:dyDescent="0.3">
      <c r="A1493" s="28"/>
      <c r="D1493" s="29" t="s">
        <v>1587</v>
      </c>
      <c r="E1493" s="29" t="s">
        <v>1175</v>
      </c>
      <c r="G1493" s="30">
        <v>2.16</v>
      </c>
      <c r="H1493" s="63"/>
      <c r="N1493" s="31"/>
    </row>
    <row r="1494" spans="1:74" ht="14.4" x14ac:dyDescent="0.3">
      <c r="A1494" s="28"/>
      <c r="D1494" s="29" t="s">
        <v>1588</v>
      </c>
      <c r="E1494" s="29" t="s">
        <v>1175</v>
      </c>
      <c r="G1494" s="30">
        <v>3.26</v>
      </c>
      <c r="H1494" s="63"/>
      <c r="N1494" s="31"/>
    </row>
    <row r="1495" spans="1:74" ht="14.4" x14ac:dyDescent="0.3">
      <c r="A1495" s="28"/>
      <c r="D1495" s="29" t="s">
        <v>1589</v>
      </c>
      <c r="E1495" s="29" t="s">
        <v>1175</v>
      </c>
      <c r="G1495" s="30">
        <v>4.0049999999999999</v>
      </c>
      <c r="H1495" s="63"/>
      <c r="N1495" s="31"/>
    </row>
    <row r="1496" spans="1:74" ht="14.4" x14ac:dyDescent="0.3">
      <c r="A1496" s="28"/>
      <c r="D1496" s="29" t="s">
        <v>1590</v>
      </c>
      <c r="E1496" s="29" t="s">
        <v>1175</v>
      </c>
      <c r="G1496" s="30">
        <v>4.2050000000000001</v>
      </c>
      <c r="H1496" s="63"/>
      <c r="N1496" s="31"/>
    </row>
    <row r="1497" spans="1:74" ht="14.4" x14ac:dyDescent="0.3">
      <c r="A1497" s="28"/>
      <c r="D1497" s="29" t="s">
        <v>1591</v>
      </c>
      <c r="E1497" s="29" t="s">
        <v>1175</v>
      </c>
      <c r="G1497" s="30">
        <v>5.76</v>
      </c>
      <c r="H1497" s="63"/>
      <c r="N1497" s="31"/>
    </row>
    <row r="1498" spans="1:74" ht="14.4" x14ac:dyDescent="0.3">
      <c r="A1498" s="28"/>
      <c r="D1498" s="29" t="s">
        <v>1592</v>
      </c>
      <c r="E1498" s="29" t="s">
        <v>1175</v>
      </c>
      <c r="G1498" s="30">
        <v>6.3</v>
      </c>
      <c r="H1498" s="63"/>
      <c r="N1498" s="31"/>
    </row>
    <row r="1499" spans="1:74" ht="14.4" x14ac:dyDescent="0.3">
      <c r="A1499" s="28"/>
      <c r="D1499" s="29" t="s">
        <v>1593</v>
      </c>
      <c r="E1499" s="29" t="s">
        <v>1175</v>
      </c>
      <c r="G1499" s="30">
        <v>3.18</v>
      </c>
      <c r="H1499" s="63"/>
      <c r="N1499" s="31"/>
    </row>
    <row r="1500" spans="1:74" ht="14.4" x14ac:dyDescent="0.3">
      <c r="A1500" s="28"/>
      <c r="D1500" s="29" t="s">
        <v>1594</v>
      </c>
      <c r="E1500" s="29" t="s">
        <v>1175</v>
      </c>
      <c r="G1500" s="30">
        <v>4.4749999999999996</v>
      </c>
      <c r="H1500" s="63"/>
      <c r="N1500" s="31"/>
    </row>
    <row r="1501" spans="1:74" ht="14.4" x14ac:dyDescent="0.3">
      <c r="A1501" s="28"/>
      <c r="D1501" s="29" t="s">
        <v>1595</v>
      </c>
      <c r="E1501" s="29" t="s">
        <v>1175</v>
      </c>
      <c r="G1501" s="30">
        <v>2.86</v>
      </c>
      <c r="H1501" s="63"/>
      <c r="N1501" s="31"/>
    </row>
    <row r="1502" spans="1:74" ht="14.4" x14ac:dyDescent="0.3">
      <c r="A1502" s="28"/>
      <c r="D1502" s="29" t="s">
        <v>1633</v>
      </c>
      <c r="E1502" s="29" t="s">
        <v>363</v>
      </c>
      <c r="G1502" s="30">
        <v>10.18</v>
      </c>
      <c r="H1502" s="63"/>
      <c r="N1502" s="31"/>
    </row>
    <row r="1503" spans="1:74" ht="14.4" x14ac:dyDescent="0.3">
      <c r="A1503" s="28"/>
      <c r="D1503" s="29" t="s">
        <v>1634</v>
      </c>
      <c r="E1503" s="29" t="s">
        <v>375</v>
      </c>
      <c r="G1503" s="30">
        <v>9.9949999999999992</v>
      </c>
      <c r="H1503" s="63"/>
      <c r="N1503" s="31"/>
    </row>
    <row r="1504" spans="1:74" ht="14.4" x14ac:dyDescent="0.3">
      <c r="A1504" s="28"/>
      <c r="D1504" s="29" t="s">
        <v>1635</v>
      </c>
      <c r="E1504" s="29" t="s">
        <v>377</v>
      </c>
      <c r="G1504" s="30">
        <v>11.78</v>
      </c>
      <c r="H1504" s="63"/>
      <c r="N1504" s="31"/>
    </row>
    <row r="1505" spans="1:74" ht="14.4" x14ac:dyDescent="0.3">
      <c r="A1505" s="28"/>
      <c r="D1505" s="29" t="s">
        <v>1341</v>
      </c>
      <c r="E1505" s="29" t="s">
        <v>366</v>
      </c>
      <c r="G1505" s="30">
        <v>81.7</v>
      </c>
      <c r="H1505" s="63"/>
      <c r="N1505" s="31"/>
    </row>
    <row r="1506" spans="1:74" ht="14.4" x14ac:dyDescent="0.3">
      <c r="A1506" s="28"/>
      <c r="D1506" s="29" t="s">
        <v>1598</v>
      </c>
      <c r="E1506" s="29" t="s">
        <v>361</v>
      </c>
      <c r="G1506" s="30">
        <v>13.31</v>
      </c>
      <c r="H1506" s="63"/>
      <c r="N1506" s="31"/>
    </row>
    <row r="1507" spans="1:74" ht="14.4" x14ac:dyDescent="0.3">
      <c r="A1507" s="28"/>
      <c r="D1507" s="29" t="s">
        <v>1636</v>
      </c>
      <c r="E1507" s="29" t="s">
        <v>1637</v>
      </c>
      <c r="G1507" s="30">
        <v>6.66</v>
      </c>
      <c r="H1507" s="63"/>
      <c r="N1507" s="31"/>
    </row>
    <row r="1508" spans="1:74" ht="14.4" x14ac:dyDescent="0.3">
      <c r="A1508" s="28"/>
      <c r="D1508" s="29" t="s">
        <v>1638</v>
      </c>
      <c r="E1508" s="29" t="s">
        <v>1639</v>
      </c>
      <c r="G1508" s="30">
        <v>7.2</v>
      </c>
      <c r="H1508" s="63"/>
      <c r="N1508" s="31"/>
    </row>
    <row r="1509" spans="1:74" ht="14.4" x14ac:dyDescent="0.3">
      <c r="A1509" s="28"/>
      <c r="D1509" s="29" t="s">
        <v>1640</v>
      </c>
      <c r="E1509" s="29" t="s">
        <v>1641</v>
      </c>
      <c r="G1509" s="30">
        <v>84</v>
      </c>
      <c r="H1509" s="63"/>
      <c r="N1509" s="31"/>
    </row>
    <row r="1510" spans="1:74" ht="14.4" x14ac:dyDescent="0.3">
      <c r="A1510" s="28"/>
      <c r="D1510" s="29" t="s">
        <v>1645</v>
      </c>
      <c r="E1510" s="29" t="s">
        <v>1643</v>
      </c>
      <c r="G1510" s="30">
        <v>13.46</v>
      </c>
      <c r="H1510" s="63"/>
      <c r="N1510" s="31"/>
    </row>
    <row r="1511" spans="1:74" ht="14.4" x14ac:dyDescent="0.3">
      <c r="A1511" s="2" t="s">
        <v>1646</v>
      </c>
      <c r="B1511" s="3" t="s">
        <v>1101</v>
      </c>
      <c r="C1511" s="3" t="s">
        <v>1044</v>
      </c>
      <c r="D1511" s="112" t="s">
        <v>1045</v>
      </c>
      <c r="E1511" s="109"/>
      <c r="F1511" s="3" t="s">
        <v>278</v>
      </c>
      <c r="G1511" s="25">
        <v>4.7699299999999996</v>
      </c>
      <c r="H1511" s="62"/>
      <c r="I1511" s="25">
        <f>ROUND(G1511*AM1511,2)</f>
        <v>0</v>
      </c>
      <c r="J1511" s="25">
        <f>ROUND(G1511*AN1511,2)</f>
        <v>0</v>
      </c>
      <c r="K1511" s="25">
        <f>ROUND(G1511*H1511,2)</f>
        <v>0</v>
      </c>
      <c r="L1511" s="25">
        <v>0</v>
      </c>
      <c r="M1511" s="25">
        <f>G1511*L1511</f>
        <v>0</v>
      </c>
      <c r="N1511" s="26"/>
      <c r="X1511" s="25">
        <f>ROUND(IF(AO1511="5",BH1511,0),2)</f>
        <v>0</v>
      </c>
      <c r="Z1511" s="25">
        <f>ROUND(IF(AO1511="1",BF1511,0),2)</f>
        <v>0</v>
      </c>
      <c r="AA1511" s="25">
        <f>ROUND(IF(AO1511="1",BG1511,0),2)</f>
        <v>0</v>
      </c>
      <c r="AB1511" s="25">
        <f>ROUND(IF(AO1511="7",BF1511,0),2)</f>
        <v>0</v>
      </c>
      <c r="AC1511" s="25">
        <f>ROUND(IF(AO1511="7",BG1511,0),2)</f>
        <v>0</v>
      </c>
      <c r="AD1511" s="25">
        <f>ROUND(IF(AO1511="2",BF1511,0),2)</f>
        <v>0</v>
      </c>
      <c r="AE1511" s="25">
        <f>ROUND(IF(AO1511="2",BG1511,0),2)</f>
        <v>0</v>
      </c>
      <c r="AF1511" s="25">
        <f>ROUND(IF(AO1511="0",BH1511,0),2)</f>
        <v>0</v>
      </c>
      <c r="AG1511" s="10" t="s">
        <v>1101</v>
      </c>
      <c r="AH1511" s="25">
        <f>IF(AL1511=0,K1511,0)</f>
        <v>0</v>
      </c>
      <c r="AI1511" s="25">
        <f>IF(AL1511=12,K1511,0)</f>
        <v>0</v>
      </c>
      <c r="AJ1511" s="25">
        <f>IF(AL1511=21,K1511,0)</f>
        <v>0</v>
      </c>
      <c r="AL1511" s="25">
        <v>21</v>
      </c>
      <c r="AM1511" s="25">
        <f>H1511*0</f>
        <v>0</v>
      </c>
      <c r="AN1511" s="25">
        <f>H1511*(1-0)</f>
        <v>0</v>
      </c>
      <c r="AO1511" s="27" t="s">
        <v>97</v>
      </c>
      <c r="AT1511" s="25">
        <f>ROUND(AU1511+AV1511,2)</f>
        <v>0</v>
      </c>
      <c r="AU1511" s="25">
        <f>ROUND(G1511*AM1511,2)</f>
        <v>0</v>
      </c>
      <c r="AV1511" s="25">
        <f>ROUND(G1511*AN1511,2)</f>
        <v>0</v>
      </c>
      <c r="AW1511" s="27" t="s">
        <v>1014</v>
      </c>
      <c r="AX1511" s="27" t="s">
        <v>1624</v>
      </c>
      <c r="AY1511" s="10" t="s">
        <v>1105</v>
      </c>
      <c r="BA1511" s="25">
        <f>AU1511+AV1511</f>
        <v>0</v>
      </c>
      <c r="BB1511" s="25">
        <f>H1511/(100-BC1511)*100</f>
        <v>0</v>
      </c>
      <c r="BC1511" s="25">
        <v>0</v>
      </c>
      <c r="BD1511" s="25">
        <f>M1511</f>
        <v>0</v>
      </c>
      <c r="BF1511" s="25">
        <f>G1511*AM1511</f>
        <v>0</v>
      </c>
      <c r="BG1511" s="25">
        <f>G1511*AN1511</f>
        <v>0</v>
      </c>
      <c r="BH1511" s="25">
        <f>G1511*H1511</f>
        <v>0</v>
      </c>
      <c r="BI1511" s="27" t="s">
        <v>65</v>
      </c>
      <c r="BJ1511" s="25">
        <v>781</v>
      </c>
      <c r="BU1511" s="25" t="e">
        <f>#REF!</f>
        <v>#REF!</v>
      </c>
      <c r="BV1511" s="4" t="s">
        <v>1045</v>
      </c>
    </row>
    <row r="1512" spans="1:74" ht="14.4" x14ac:dyDescent="0.3">
      <c r="A1512" s="21" t="s">
        <v>52</v>
      </c>
      <c r="B1512" s="22" t="s">
        <v>1101</v>
      </c>
      <c r="C1512" s="22" t="s">
        <v>341</v>
      </c>
      <c r="D1512" s="170" t="s">
        <v>342</v>
      </c>
      <c r="E1512" s="171"/>
      <c r="F1512" s="23" t="s">
        <v>32</v>
      </c>
      <c r="G1512" s="23" t="s">
        <v>32</v>
      </c>
      <c r="H1512" s="64"/>
      <c r="I1512" s="1">
        <f>SUM(I1513:I1513)</f>
        <v>0</v>
      </c>
      <c r="J1512" s="1">
        <f>SUM(J1513:J1513)</f>
        <v>0</v>
      </c>
      <c r="K1512" s="1">
        <f>SUM(K1513:K1513)</f>
        <v>0</v>
      </c>
      <c r="L1512" s="10" t="s">
        <v>52</v>
      </c>
      <c r="M1512" s="1">
        <f>SUM(M1513:M1513)</f>
        <v>1.078E-3</v>
      </c>
      <c r="N1512" s="24"/>
      <c r="AG1512" s="10" t="s">
        <v>1101</v>
      </c>
      <c r="AQ1512" s="1">
        <f>SUM(AH1513:AH1513)</f>
        <v>0</v>
      </c>
      <c r="AR1512" s="1">
        <f>SUM(AI1513:AI1513)</f>
        <v>0</v>
      </c>
      <c r="AS1512" s="1">
        <f>SUM(AJ1513:AJ1513)</f>
        <v>0</v>
      </c>
    </row>
    <row r="1513" spans="1:74" ht="14.4" x14ac:dyDescent="0.3">
      <c r="A1513" s="2" t="s">
        <v>1647</v>
      </c>
      <c r="B1513" s="3" t="s">
        <v>1101</v>
      </c>
      <c r="C1513" s="3" t="s">
        <v>1648</v>
      </c>
      <c r="D1513" s="112" t="s">
        <v>1649</v>
      </c>
      <c r="E1513" s="109"/>
      <c r="F1513" s="3" t="s">
        <v>60</v>
      </c>
      <c r="G1513" s="25">
        <v>2.2000000000000002</v>
      </c>
      <c r="H1513" s="62"/>
      <c r="I1513" s="25">
        <f>ROUND(G1513*AM1513,2)</f>
        <v>0</v>
      </c>
      <c r="J1513" s="25">
        <f>ROUND(G1513*AN1513,2)</f>
        <v>0</v>
      </c>
      <c r="K1513" s="25">
        <f>ROUND(G1513*H1513,2)</f>
        <v>0</v>
      </c>
      <c r="L1513" s="25">
        <v>4.8999999999999998E-4</v>
      </c>
      <c r="M1513" s="25">
        <f>G1513*L1513</f>
        <v>1.078E-3</v>
      </c>
      <c r="N1513" s="26"/>
      <c r="X1513" s="25">
        <f>ROUND(IF(AO1513="5",BH1513,0),2)</f>
        <v>0</v>
      </c>
      <c r="Z1513" s="25">
        <f>ROUND(IF(AO1513="1",BF1513,0),2)</f>
        <v>0</v>
      </c>
      <c r="AA1513" s="25">
        <f>ROUND(IF(AO1513="1",BG1513,0),2)</f>
        <v>0</v>
      </c>
      <c r="AB1513" s="25">
        <f>ROUND(IF(AO1513="7",BF1513,0),2)</f>
        <v>0</v>
      </c>
      <c r="AC1513" s="25">
        <f>ROUND(IF(AO1513="7",BG1513,0),2)</f>
        <v>0</v>
      </c>
      <c r="AD1513" s="25">
        <f>ROUND(IF(AO1513="2",BF1513,0),2)</f>
        <v>0</v>
      </c>
      <c r="AE1513" s="25">
        <f>ROUND(IF(AO1513="2",BG1513,0),2)</f>
        <v>0</v>
      </c>
      <c r="AF1513" s="25">
        <f>ROUND(IF(AO1513="0",BH1513,0),2)</f>
        <v>0</v>
      </c>
      <c r="AG1513" s="10" t="s">
        <v>1101</v>
      </c>
      <c r="AH1513" s="25">
        <f>IF(AL1513=0,K1513,0)</f>
        <v>0</v>
      </c>
      <c r="AI1513" s="25">
        <f>IF(AL1513=12,K1513,0)</f>
        <v>0</v>
      </c>
      <c r="AJ1513" s="25">
        <f>IF(AL1513=21,K1513,0)</f>
        <v>0</v>
      </c>
      <c r="AL1513" s="25">
        <v>21</v>
      </c>
      <c r="AM1513" s="25">
        <f>H1513*0.349721978</f>
        <v>0</v>
      </c>
      <c r="AN1513" s="25">
        <f>H1513*(1-0.349721978)</f>
        <v>0</v>
      </c>
      <c r="AO1513" s="27" t="s">
        <v>61</v>
      </c>
      <c r="AT1513" s="25">
        <f>ROUND(AU1513+AV1513,2)</f>
        <v>0</v>
      </c>
      <c r="AU1513" s="25">
        <f>ROUND(G1513*AM1513,2)</f>
        <v>0</v>
      </c>
      <c r="AV1513" s="25">
        <f>ROUND(G1513*AN1513,2)</f>
        <v>0</v>
      </c>
      <c r="AW1513" s="27" t="s">
        <v>346</v>
      </c>
      <c r="AX1513" s="27" t="s">
        <v>1624</v>
      </c>
      <c r="AY1513" s="10" t="s">
        <v>1105</v>
      </c>
      <c r="BA1513" s="25">
        <f>AU1513+AV1513</f>
        <v>0</v>
      </c>
      <c r="BB1513" s="25">
        <f>H1513/(100-BC1513)*100</f>
        <v>0</v>
      </c>
      <c r="BC1513" s="25">
        <v>0</v>
      </c>
      <c r="BD1513" s="25">
        <f>M1513</f>
        <v>1.078E-3</v>
      </c>
      <c r="BF1513" s="25">
        <f>G1513*AM1513</f>
        <v>0</v>
      </c>
      <c r="BG1513" s="25">
        <f>G1513*AN1513</f>
        <v>0</v>
      </c>
      <c r="BH1513" s="25">
        <f>G1513*H1513</f>
        <v>0</v>
      </c>
      <c r="BI1513" s="27" t="s">
        <v>65</v>
      </c>
      <c r="BJ1513" s="25">
        <v>783</v>
      </c>
      <c r="BU1513" s="25" t="e">
        <f>#REF!</f>
        <v>#REF!</v>
      </c>
      <c r="BV1513" s="4" t="s">
        <v>1649</v>
      </c>
    </row>
    <row r="1514" spans="1:74" ht="14.4" x14ac:dyDescent="0.3">
      <c r="A1514" s="28"/>
      <c r="D1514" s="29" t="s">
        <v>1650</v>
      </c>
      <c r="E1514" s="29" t="s">
        <v>52</v>
      </c>
      <c r="G1514" s="30">
        <v>2.2000000000000002</v>
      </c>
      <c r="H1514" s="63"/>
      <c r="N1514" s="31"/>
    </row>
    <row r="1515" spans="1:74" ht="14.4" x14ac:dyDescent="0.3">
      <c r="A1515" s="21" t="s">
        <v>52</v>
      </c>
      <c r="B1515" s="22" t="s">
        <v>1101</v>
      </c>
      <c r="C1515" s="22" t="s">
        <v>349</v>
      </c>
      <c r="D1515" s="170" t="s">
        <v>350</v>
      </c>
      <c r="E1515" s="171"/>
      <c r="F1515" s="23" t="s">
        <v>32</v>
      </c>
      <c r="G1515" s="23" t="s">
        <v>32</v>
      </c>
      <c r="H1515" s="64"/>
      <c r="I1515" s="1">
        <f>SUM(I1516:I1542)</f>
        <v>0</v>
      </c>
      <c r="J1515" s="1">
        <f>SUM(J1516:J1542)</f>
        <v>0</v>
      </c>
      <c r="K1515" s="1">
        <f>SUM(K1516:K1542)</f>
        <v>0</v>
      </c>
      <c r="L1515" s="10" t="s">
        <v>52</v>
      </c>
      <c r="M1515" s="1">
        <f>SUM(M1516:M1542)</f>
        <v>0.46514475000000005</v>
      </c>
      <c r="N1515" s="24"/>
      <c r="AG1515" s="10" t="s">
        <v>1101</v>
      </c>
      <c r="AQ1515" s="1">
        <f>SUM(AH1516:AH1542)</f>
        <v>0</v>
      </c>
      <c r="AR1515" s="1">
        <f>SUM(AI1516:AI1542)</f>
        <v>0</v>
      </c>
      <c r="AS1515" s="1">
        <f>SUM(AJ1516:AJ1542)</f>
        <v>0</v>
      </c>
    </row>
    <row r="1516" spans="1:74" ht="14.4" x14ac:dyDescent="0.3">
      <c r="A1516" s="2" t="s">
        <v>1651</v>
      </c>
      <c r="B1516" s="3" t="s">
        <v>1101</v>
      </c>
      <c r="C1516" s="3" t="s">
        <v>1048</v>
      </c>
      <c r="D1516" s="112" t="s">
        <v>1049</v>
      </c>
      <c r="E1516" s="109"/>
      <c r="F1516" s="3" t="s">
        <v>60</v>
      </c>
      <c r="G1516" s="25">
        <v>738.32500000000005</v>
      </c>
      <c r="H1516" s="62"/>
      <c r="I1516" s="25">
        <f>ROUND(G1516*AM1516,2)</f>
        <v>0</v>
      </c>
      <c r="J1516" s="25">
        <f>ROUND(G1516*AN1516,2)</f>
        <v>0</v>
      </c>
      <c r="K1516" s="25">
        <f>ROUND(G1516*H1516,2)</f>
        <v>0</v>
      </c>
      <c r="L1516" s="25">
        <v>1.7000000000000001E-4</v>
      </c>
      <c r="M1516" s="25">
        <f>G1516*L1516</f>
        <v>0.12551525000000002</v>
      </c>
      <c r="N1516" s="26"/>
      <c r="X1516" s="25">
        <f>ROUND(IF(AO1516="5",BH1516,0),2)</f>
        <v>0</v>
      </c>
      <c r="Z1516" s="25">
        <f>ROUND(IF(AO1516="1",BF1516,0),2)</f>
        <v>0</v>
      </c>
      <c r="AA1516" s="25">
        <f>ROUND(IF(AO1516="1",BG1516,0),2)</f>
        <v>0</v>
      </c>
      <c r="AB1516" s="25">
        <f>ROUND(IF(AO1516="7",BF1516,0),2)</f>
        <v>0</v>
      </c>
      <c r="AC1516" s="25">
        <f>ROUND(IF(AO1516="7",BG1516,0),2)</f>
        <v>0</v>
      </c>
      <c r="AD1516" s="25">
        <f>ROUND(IF(AO1516="2",BF1516,0),2)</f>
        <v>0</v>
      </c>
      <c r="AE1516" s="25">
        <f>ROUND(IF(AO1516="2",BG1516,0),2)</f>
        <v>0</v>
      </c>
      <c r="AF1516" s="25">
        <f>ROUND(IF(AO1516="0",BH1516,0),2)</f>
        <v>0</v>
      </c>
      <c r="AG1516" s="10" t="s">
        <v>1101</v>
      </c>
      <c r="AH1516" s="25">
        <f>IF(AL1516=0,K1516,0)</f>
        <v>0</v>
      </c>
      <c r="AI1516" s="25">
        <f>IF(AL1516=12,K1516,0)</f>
        <v>0</v>
      </c>
      <c r="AJ1516" s="25">
        <f>IF(AL1516=21,K1516,0)</f>
        <v>0</v>
      </c>
      <c r="AL1516" s="25">
        <v>21</v>
      </c>
      <c r="AM1516" s="25">
        <f>H1516*0.283203323</f>
        <v>0</v>
      </c>
      <c r="AN1516" s="25">
        <f>H1516*(1-0.283203323)</f>
        <v>0</v>
      </c>
      <c r="AO1516" s="27" t="s">
        <v>61</v>
      </c>
      <c r="AT1516" s="25">
        <f>ROUND(AU1516+AV1516,2)</f>
        <v>0</v>
      </c>
      <c r="AU1516" s="25">
        <f>ROUND(G1516*AM1516,2)</f>
        <v>0</v>
      </c>
      <c r="AV1516" s="25">
        <f>ROUND(G1516*AN1516,2)</f>
        <v>0</v>
      </c>
      <c r="AW1516" s="27" t="s">
        <v>354</v>
      </c>
      <c r="AX1516" s="27" t="s">
        <v>1624</v>
      </c>
      <c r="AY1516" s="10" t="s">
        <v>1105</v>
      </c>
      <c r="BA1516" s="25">
        <f>AU1516+AV1516</f>
        <v>0</v>
      </c>
      <c r="BB1516" s="25">
        <f>H1516/(100-BC1516)*100</f>
        <v>0</v>
      </c>
      <c r="BC1516" s="25">
        <v>0</v>
      </c>
      <c r="BD1516" s="25">
        <f>M1516</f>
        <v>0.12551525000000002</v>
      </c>
      <c r="BF1516" s="25">
        <f>G1516*AM1516</f>
        <v>0</v>
      </c>
      <c r="BG1516" s="25">
        <f>G1516*AN1516</f>
        <v>0</v>
      </c>
      <c r="BH1516" s="25">
        <f>G1516*H1516</f>
        <v>0</v>
      </c>
      <c r="BI1516" s="27" t="s">
        <v>65</v>
      </c>
      <c r="BJ1516" s="25">
        <v>784</v>
      </c>
      <c r="BU1516" s="25" t="e">
        <f>#REF!</f>
        <v>#REF!</v>
      </c>
      <c r="BV1516" s="4" t="s">
        <v>1049</v>
      </c>
    </row>
    <row r="1517" spans="1:74" ht="14.4" x14ac:dyDescent="0.3">
      <c r="A1517" s="28"/>
      <c r="D1517" s="29" t="s">
        <v>1222</v>
      </c>
      <c r="E1517" s="29" t="s">
        <v>1652</v>
      </c>
      <c r="G1517" s="30">
        <v>19.878</v>
      </c>
      <c r="H1517" s="63"/>
      <c r="N1517" s="31"/>
    </row>
    <row r="1518" spans="1:74" ht="14.4" x14ac:dyDescent="0.3">
      <c r="A1518" s="28"/>
      <c r="D1518" s="29" t="s">
        <v>1223</v>
      </c>
      <c r="E1518" s="29" t="s">
        <v>52</v>
      </c>
      <c r="G1518" s="30">
        <v>14.789</v>
      </c>
      <c r="H1518" s="63"/>
      <c r="N1518" s="31"/>
    </row>
    <row r="1519" spans="1:74" ht="14.4" x14ac:dyDescent="0.3">
      <c r="A1519" s="28"/>
      <c r="D1519" s="29" t="s">
        <v>1224</v>
      </c>
      <c r="E1519" s="29" t="s">
        <v>52</v>
      </c>
      <c r="G1519" s="30">
        <v>20.965</v>
      </c>
      <c r="H1519" s="63"/>
      <c r="N1519" s="31"/>
    </row>
    <row r="1520" spans="1:74" ht="14.4" x14ac:dyDescent="0.3">
      <c r="A1520" s="28"/>
      <c r="D1520" s="29" t="s">
        <v>1225</v>
      </c>
      <c r="E1520" s="29" t="s">
        <v>52</v>
      </c>
      <c r="G1520" s="30">
        <v>4.5940000000000003</v>
      </c>
      <c r="H1520" s="63"/>
      <c r="N1520" s="31"/>
    </row>
    <row r="1521" spans="1:14" ht="14.4" x14ac:dyDescent="0.3">
      <c r="A1521" s="28"/>
      <c r="D1521" s="29" t="s">
        <v>1226</v>
      </c>
      <c r="E1521" s="29" t="s">
        <v>52</v>
      </c>
      <c r="G1521" s="30">
        <v>11.492000000000001</v>
      </c>
      <c r="H1521" s="63"/>
      <c r="N1521" s="31"/>
    </row>
    <row r="1522" spans="1:14" ht="14.4" x14ac:dyDescent="0.3">
      <c r="A1522" s="28"/>
      <c r="D1522" s="29" t="s">
        <v>1227</v>
      </c>
      <c r="E1522" s="29" t="s">
        <v>52</v>
      </c>
      <c r="G1522" s="30">
        <v>0.77600000000000002</v>
      </c>
      <c r="H1522" s="63"/>
      <c r="N1522" s="31"/>
    </row>
    <row r="1523" spans="1:14" ht="14.4" x14ac:dyDescent="0.3">
      <c r="A1523" s="28"/>
      <c r="D1523" s="29" t="s">
        <v>1228</v>
      </c>
      <c r="E1523" s="29" t="s">
        <v>1653</v>
      </c>
      <c r="G1523" s="30">
        <v>25.861000000000001</v>
      </c>
      <c r="H1523" s="63"/>
      <c r="N1523" s="31"/>
    </row>
    <row r="1524" spans="1:14" ht="14.4" x14ac:dyDescent="0.3">
      <c r="A1524" s="28"/>
      <c r="D1524" s="29" t="s">
        <v>1229</v>
      </c>
      <c r="E1524" s="29" t="s">
        <v>1654</v>
      </c>
      <c r="G1524" s="30">
        <v>41.856000000000002</v>
      </c>
      <c r="H1524" s="63"/>
      <c r="N1524" s="31"/>
    </row>
    <row r="1525" spans="1:14" ht="14.4" x14ac:dyDescent="0.3">
      <c r="A1525" s="28"/>
      <c r="D1525" s="29" t="s">
        <v>1230</v>
      </c>
      <c r="E1525" s="29" t="s">
        <v>1655</v>
      </c>
      <c r="G1525" s="30">
        <v>26.190999999999999</v>
      </c>
      <c r="H1525" s="63"/>
      <c r="N1525" s="31"/>
    </row>
    <row r="1526" spans="1:14" ht="14.4" x14ac:dyDescent="0.3">
      <c r="A1526" s="28"/>
      <c r="D1526" s="29" t="s">
        <v>1231</v>
      </c>
      <c r="E1526" s="29" t="s">
        <v>1656</v>
      </c>
      <c r="G1526" s="30">
        <v>11.324999999999999</v>
      </c>
      <c r="H1526" s="63"/>
      <c r="N1526" s="31"/>
    </row>
    <row r="1527" spans="1:14" ht="14.4" x14ac:dyDescent="0.3">
      <c r="A1527" s="28"/>
      <c r="D1527" s="29" t="s">
        <v>1232</v>
      </c>
      <c r="E1527" s="29" t="s">
        <v>1657</v>
      </c>
      <c r="G1527" s="30">
        <v>24.099</v>
      </c>
      <c r="H1527" s="63"/>
      <c r="N1527" s="31"/>
    </row>
    <row r="1528" spans="1:14" ht="14.4" x14ac:dyDescent="0.3">
      <c r="A1528" s="28"/>
      <c r="D1528" s="29" t="s">
        <v>1233</v>
      </c>
      <c r="E1528" s="29" t="s">
        <v>1658</v>
      </c>
      <c r="G1528" s="30">
        <v>8.0370000000000008</v>
      </c>
      <c r="H1528" s="63"/>
      <c r="N1528" s="31"/>
    </row>
    <row r="1529" spans="1:14" ht="14.4" x14ac:dyDescent="0.3">
      <c r="A1529" s="28"/>
      <c r="D1529" s="29" t="s">
        <v>1234</v>
      </c>
      <c r="E1529" s="29" t="s">
        <v>1659</v>
      </c>
      <c r="G1529" s="30">
        <v>7.4050000000000002</v>
      </c>
      <c r="H1529" s="63"/>
      <c r="N1529" s="31"/>
    </row>
    <row r="1530" spans="1:14" ht="14.4" x14ac:dyDescent="0.3">
      <c r="A1530" s="28"/>
      <c r="D1530" s="29" t="s">
        <v>1235</v>
      </c>
      <c r="E1530" s="29" t="s">
        <v>1660</v>
      </c>
      <c r="G1530" s="30">
        <v>48.557000000000002</v>
      </c>
      <c r="H1530" s="63"/>
      <c r="N1530" s="31"/>
    </row>
    <row r="1531" spans="1:14" ht="14.4" x14ac:dyDescent="0.3">
      <c r="A1531" s="28"/>
      <c r="D1531" s="29" t="s">
        <v>1210</v>
      </c>
      <c r="E1531" s="29" t="s">
        <v>1661</v>
      </c>
      <c r="G1531" s="30">
        <v>120.31699999999999</v>
      </c>
      <c r="H1531" s="63"/>
      <c r="N1531" s="31"/>
    </row>
    <row r="1532" spans="1:14" ht="14.4" x14ac:dyDescent="0.3">
      <c r="A1532" s="28"/>
      <c r="D1532" s="29" t="s">
        <v>1211</v>
      </c>
      <c r="E1532" s="29" t="s">
        <v>1662</v>
      </c>
      <c r="G1532" s="30">
        <v>6.6909999999999998</v>
      </c>
      <c r="H1532" s="63"/>
      <c r="N1532" s="31"/>
    </row>
    <row r="1533" spans="1:14" ht="14.4" x14ac:dyDescent="0.3">
      <c r="A1533" s="28"/>
      <c r="D1533" s="29" t="s">
        <v>1212</v>
      </c>
      <c r="E1533" s="29" t="s">
        <v>1663</v>
      </c>
      <c r="G1533" s="30">
        <v>9.5510000000000002</v>
      </c>
      <c r="H1533" s="63"/>
      <c r="N1533" s="31"/>
    </row>
    <row r="1534" spans="1:14" ht="14.4" x14ac:dyDescent="0.3">
      <c r="A1534" s="28"/>
      <c r="D1534" s="29" t="s">
        <v>1213</v>
      </c>
      <c r="E1534" s="29" t="s">
        <v>1664</v>
      </c>
      <c r="G1534" s="30">
        <v>8.4410000000000007</v>
      </c>
      <c r="H1534" s="63"/>
      <c r="N1534" s="31"/>
    </row>
    <row r="1535" spans="1:14" ht="14.4" x14ac:dyDescent="0.3">
      <c r="A1535" s="28"/>
      <c r="D1535" s="29" t="s">
        <v>391</v>
      </c>
      <c r="E1535" s="29" t="s">
        <v>1665</v>
      </c>
      <c r="G1535" s="30">
        <v>2.73</v>
      </c>
      <c r="H1535" s="63"/>
      <c r="N1535" s="31"/>
    </row>
    <row r="1536" spans="1:14" ht="14.4" x14ac:dyDescent="0.3">
      <c r="A1536" s="28"/>
      <c r="D1536" s="29" t="s">
        <v>1214</v>
      </c>
      <c r="E1536" s="29" t="s">
        <v>1666</v>
      </c>
      <c r="G1536" s="30">
        <v>5.72</v>
      </c>
      <c r="H1536" s="63"/>
      <c r="N1536" s="31"/>
    </row>
    <row r="1537" spans="1:74" ht="14.4" x14ac:dyDescent="0.3">
      <c r="A1537" s="28"/>
      <c r="D1537" s="29" t="s">
        <v>1215</v>
      </c>
      <c r="E1537" s="29" t="s">
        <v>1667</v>
      </c>
      <c r="G1537" s="30">
        <v>1.776</v>
      </c>
      <c r="H1537" s="63"/>
      <c r="N1537" s="31"/>
    </row>
    <row r="1538" spans="1:74" ht="14.4" x14ac:dyDescent="0.3">
      <c r="A1538" s="28"/>
      <c r="D1538" s="29" t="s">
        <v>1216</v>
      </c>
      <c r="E1538" s="29" t="s">
        <v>1668</v>
      </c>
      <c r="G1538" s="30">
        <v>2.8559999999999999</v>
      </c>
      <c r="H1538" s="63"/>
      <c r="N1538" s="31"/>
    </row>
    <row r="1539" spans="1:74" ht="14.4" x14ac:dyDescent="0.3">
      <c r="A1539" s="28"/>
      <c r="D1539" s="29" t="s">
        <v>355</v>
      </c>
      <c r="E1539" s="29" t="s">
        <v>1669</v>
      </c>
      <c r="G1539" s="30">
        <v>176.59</v>
      </c>
      <c r="H1539" s="63"/>
      <c r="N1539" s="31"/>
    </row>
    <row r="1540" spans="1:74" ht="14.4" x14ac:dyDescent="0.3">
      <c r="A1540" s="28"/>
      <c r="D1540" s="29" t="s">
        <v>1670</v>
      </c>
      <c r="E1540" s="29" t="s">
        <v>1671</v>
      </c>
      <c r="G1540" s="30">
        <v>129.57300000000001</v>
      </c>
      <c r="H1540" s="63"/>
      <c r="N1540" s="31"/>
    </row>
    <row r="1541" spans="1:74" ht="14.4" x14ac:dyDescent="0.3">
      <c r="A1541" s="28"/>
      <c r="D1541" s="29" t="s">
        <v>1672</v>
      </c>
      <c r="E1541" s="29" t="s">
        <v>1673</v>
      </c>
      <c r="G1541" s="30">
        <v>8.2550000000000008</v>
      </c>
      <c r="H1541" s="63"/>
      <c r="N1541" s="31"/>
    </row>
    <row r="1542" spans="1:74" ht="14.4" x14ac:dyDescent="0.3">
      <c r="A1542" s="2" t="s">
        <v>1674</v>
      </c>
      <c r="B1542" s="3" t="s">
        <v>1101</v>
      </c>
      <c r="C1542" s="3" t="s">
        <v>1054</v>
      </c>
      <c r="D1542" s="112" t="s">
        <v>1055</v>
      </c>
      <c r="E1542" s="109"/>
      <c r="F1542" s="3" t="s">
        <v>60</v>
      </c>
      <c r="G1542" s="25">
        <v>738.32500000000005</v>
      </c>
      <c r="H1542" s="62"/>
      <c r="I1542" s="25">
        <f>ROUND(G1542*AM1542,2)</f>
        <v>0</v>
      </c>
      <c r="J1542" s="25">
        <f>ROUND(G1542*AN1542,2)</f>
        <v>0</v>
      </c>
      <c r="K1542" s="25">
        <f>ROUND(G1542*H1542,2)</f>
        <v>0</v>
      </c>
      <c r="L1542" s="25">
        <v>4.6000000000000001E-4</v>
      </c>
      <c r="M1542" s="25">
        <f>G1542*L1542</f>
        <v>0.33962950000000003</v>
      </c>
      <c r="N1542" s="26"/>
      <c r="X1542" s="25">
        <f>ROUND(IF(AO1542="5",BH1542,0),2)</f>
        <v>0</v>
      </c>
      <c r="Z1542" s="25">
        <f>ROUND(IF(AO1542="1",BF1542,0),2)</f>
        <v>0</v>
      </c>
      <c r="AA1542" s="25">
        <f>ROUND(IF(AO1542="1",BG1542,0),2)</f>
        <v>0</v>
      </c>
      <c r="AB1542" s="25">
        <f>ROUND(IF(AO1542="7",BF1542,0),2)</f>
        <v>0</v>
      </c>
      <c r="AC1542" s="25">
        <f>ROUND(IF(AO1542="7",BG1542,0),2)</f>
        <v>0</v>
      </c>
      <c r="AD1542" s="25">
        <f>ROUND(IF(AO1542="2",BF1542,0),2)</f>
        <v>0</v>
      </c>
      <c r="AE1542" s="25">
        <f>ROUND(IF(AO1542="2",BG1542,0),2)</f>
        <v>0</v>
      </c>
      <c r="AF1542" s="25">
        <f>ROUND(IF(AO1542="0",BH1542,0),2)</f>
        <v>0</v>
      </c>
      <c r="AG1542" s="10" t="s">
        <v>1101</v>
      </c>
      <c r="AH1542" s="25">
        <f>IF(AL1542=0,K1542,0)</f>
        <v>0</v>
      </c>
      <c r="AI1542" s="25">
        <f>IF(AL1542=12,K1542,0)</f>
        <v>0</v>
      </c>
      <c r="AJ1542" s="25">
        <f>IF(AL1542=21,K1542,0)</f>
        <v>0</v>
      </c>
      <c r="AL1542" s="25">
        <v>21</v>
      </c>
      <c r="AM1542" s="25">
        <f>H1542*0.253315988</f>
        <v>0</v>
      </c>
      <c r="AN1542" s="25">
        <f>H1542*(1-0.253315988)</f>
        <v>0</v>
      </c>
      <c r="AO1542" s="27" t="s">
        <v>61</v>
      </c>
      <c r="AT1542" s="25">
        <f>ROUND(AU1542+AV1542,2)</f>
        <v>0</v>
      </c>
      <c r="AU1542" s="25">
        <f>ROUND(G1542*AM1542,2)</f>
        <v>0</v>
      </c>
      <c r="AV1542" s="25">
        <f>ROUND(G1542*AN1542,2)</f>
        <v>0</v>
      </c>
      <c r="AW1542" s="27" t="s">
        <v>354</v>
      </c>
      <c r="AX1542" s="27" t="s">
        <v>1624</v>
      </c>
      <c r="AY1542" s="10" t="s">
        <v>1105</v>
      </c>
      <c r="BA1542" s="25">
        <f>AU1542+AV1542</f>
        <v>0</v>
      </c>
      <c r="BB1542" s="25">
        <f>H1542/(100-BC1542)*100</f>
        <v>0</v>
      </c>
      <c r="BC1542" s="25">
        <v>0</v>
      </c>
      <c r="BD1542" s="25">
        <f>M1542</f>
        <v>0.33962950000000003</v>
      </c>
      <c r="BF1542" s="25">
        <f>G1542*AM1542</f>
        <v>0</v>
      </c>
      <c r="BG1542" s="25">
        <f>G1542*AN1542</f>
        <v>0</v>
      </c>
      <c r="BH1542" s="25">
        <f>G1542*H1542</f>
        <v>0</v>
      </c>
      <c r="BI1542" s="27" t="s">
        <v>65</v>
      </c>
      <c r="BJ1542" s="25">
        <v>784</v>
      </c>
      <c r="BU1542" s="25" t="e">
        <f>#REF!</f>
        <v>#REF!</v>
      </c>
      <c r="BV1542" s="4" t="s">
        <v>1055</v>
      </c>
    </row>
    <row r="1543" spans="1:74" ht="14.4" x14ac:dyDescent="0.3">
      <c r="A1543" s="28"/>
      <c r="D1543" s="29" t="s">
        <v>1222</v>
      </c>
      <c r="E1543" s="29" t="s">
        <v>1652</v>
      </c>
      <c r="G1543" s="30">
        <v>19.878</v>
      </c>
      <c r="H1543" s="63"/>
      <c r="N1543" s="31"/>
    </row>
    <row r="1544" spans="1:74" ht="14.4" x14ac:dyDescent="0.3">
      <c r="A1544" s="28"/>
      <c r="D1544" s="29" t="s">
        <v>1223</v>
      </c>
      <c r="E1544" s="29" t="s">
        <v>52</v>
      </c>
      <c r="G1544" s="30">
        <v>14.789</v>
      </c>
      <c r="H1544" s="63"/>
      <c r="N1544" s="31"/>
    </row>
    <row r="1545" spans="1:74" ht="14.4" x14ac:dyDescent="0.3">
      <c r="A1545" s="28"/>
      <c r="D1545" s="29" t="s">
        <v>1224</v>
      </c>
      <c r="E1545" s="29" t="s">
        <v>52</v>
      </c>
      <c r="G1545" s="30">
        <v>20.965</v>
      </c>
      <c r="H1545" s="63"/>
      <c r="N1545" s="31"/>
    </row>
    <row r="1546" spans="1:74" ht="14.4" x14ac:dyDescent="0.3">
      <c r="A1546" s="28"/>
      <c r="D1546" s="29" t="s">
        <v>1225</v>
      </c>
      <c r="E1546" s="29" t="s">
        <v>52</v>
      </c>
      <c r="G1546" s="30">
        <v>4.5940000000000003</v>
      </c>
      <c r="H1546" s="63"/>
      <c r="N1546" s="31"/>
    </row>
    <row r="1547" spans="1:74" ht="14.4" x14ac:dyDescent="0.3">
      <c r="A1547" s="28"/>
      <c r="D1547" s="29" t="s">
        <v>1226</v>
      </c>
      <c r="E1547" s="29" t="s">
        <v>52</v>
      </c>
      <c r="G1547" s="30">
        <v>11.492000000000001</v>
      </c>
      <c r="H1547" s="63"/>
      <c r="N1547" s="31"/>
    </row>
    <row r="1548" spans="1:74" ht="14.4" x14ac:dyDescent="0.3">
      <c r="A1548" s="28"/>
      <c r="D1548" s="29" t="s">
        <v>1227</v>
      </c>
      <c r="E1548" s="29" t="s">
        <v>52</v>
      </c>
      <c r="G1548" s="30">
        <v>0.77600000000000002</v>
      </c>
      <c r="H1548" s="63"/>
      <c r="N1548" s="31"/>
    </row>
    <row r="1549" spans="1:74" ht="14.4" x14ac:dyDescent="0.3">
      <c r="A1549" s="28"/>
      <c r="D1549" s="29" t="s">
        <v>1228</v>
      </c>
      <c r="E1549" s="29" t="s">
        <v>1653</v>
      </c>
      <c r="G1549" s="30">
        <v>25.861000000000001</v>
      </c>
      <c r="H1549" s="63"/>
      <c r="N1549" s="31"/>
    </row>
    <row r="1550" spans="1:74" ht="14.4" x14ac:dyDescent="0.3">
      <c r="A1550" s="28"/>
      <c r="D1550" s="29" t="s">
        <v>1229</v>
      </c>
      <c r="E1550" s="29" t="s">
        <v>1654</v>
      </c>
      <c r="G1550" s="30">
        <v>41.856000000000002</v>
      </c>
      <c r="H1550" s="63"/>
      <c r="N1550" s="31"/>
    </row>
    <row r="1551" spans="1:74" ht="14.4" x14ac:dyDescent="0.3">
      <c r="A1551" s="28"/>
      <c r="D1551" s="29" t="s">
        <v>1230</v>
      </c>
      <c r="E1551" s="29" t="s">
        <v>1655</v>
      </c>
      <c r="G1551" s="30">
        <v>26.190999999999999</v>
      </c>
      <c r="H1551" s="63"/>
      <c r="N1551" s="31"/>
    </row>
    <row r="1552" spans="1:74" ht="14.4" x14ac:dyDescent="0.3">
      <c r="A1552" s="28"/>
      <c r="D1552" s="29" t="s">
        <v>1231</v>
      </c>
      <c r="E1552" s="29" t="s">
        <v>1656</v>
      </c>
      <c r="G1552" s="30">
        <v>11.324999999999999</v>
      </c>
      <c r="H1552" s="63"/>
      <c r="N1552" s="31"/>
    </row>
    <row r="1553" spans="1:45" ht="14.4" x14ac:dyDescent="0.3">
      <c r="A1553" s="28"/>
      <c r="D1553" s="29" t="s">
        <v>1232</v>
      </c>
      <c r="E1553" s="29" t="s">
        <v>1657</v>
      </c>
      <c r="G1553" s="30">
        <v>24.099</v>
      </c>
      <c r="H1553" s="63"/>
      <c r="N1553" s="31"/>
    </row>
    <row r="1554" spans="1:45" ht="14.4" x14ac:dyDescent="0.3">
      <c r="A1554" s="28"/>
      <c r="D1554" s="29" t="s">
        <v>1233</v>
      </c>
      <c r="E1554" s="29" t="s">
        <v>1658</v>
      </c>
      <c r="G1554" s="30">
        <v>8.0370000000000008</v>
      </c>
      <c r="H1554" s="63"/>
      <c r="N1554" s="31"/>
    </row>
    <row r="1555" spans="1:45" ht="14.4" x14ac:dyDescent="0.3">
      <c r="A1555" s="28"/>
      <c r="D1555" s="29" t="s">
        <v>1234</v>
      </c>
      <c r="E1555" s="29" t="s">
        <v>1659</v>
      </c>
      <c r="G1555" s="30">
        <v>7.4050000000000002</v>
      </c>
      <c r="H1555" s="63"/>
      <c r="N1555" s="31"/>
    </row>
    <row r="1556" spans="1:45" ht="14.4" x14ac:dyDescent="0.3">
      <c r="A1556" s="28"/>
      <c r="D1556" s="29" t="s">
        <v>1235</v>
      </c>
      <c r="E1556" s="29" t="s">
        <v>1660</v>
      </c>
      <c r="G1556" s="30">
        <v>48.557000000000002</v>
      </c>
      <c r="H1556" s="63"/>
      <c r="N1556" s="31"/>
    </row>
    <row r="1557" spans="1:45" ht="14.4" x14ac:dyDescent="0.3">
      <c r="A1557" s="28"/>
      <c r="D1557" s="29" t="s">
        <v>1210</v>
      </c>
      <c r="E1557" s="29" t="s">
        <v>1661</v>
      </c>
      <c r="G1557" s="30">
        <v>120.31699999999999</v>
      </c>
      <c r="H1557" s="63"/>
      <c r="N1557" s="31"/>
    </row>
    <row r="1558" spans="1:45" ht="14.4" x14ac:dyDescent="0.3">
      <c r="A1558" s="28"/>
      <c r="D1558" s="29" t="s">
        <v>1211</v>
      </c>
      <c r="E1558" s="29" t="s">
        <v>1662</v>
      </c>
      <c r="G1558" s="30">
        <v>6.6909999999999998</v>
      </c>
      <c r="H1558" s="63"/>
      <c r="N1558" s="31"/>
    </row>
    <row r="1559" spans="1:45" ht="14.4" x14ac:dyDescent="0.3">
      <c r="A1559" s="28"/>
      <c r="D1559" s="29" t="s">
        <v>1212</v>
      </c>
      <c r="E1559" s="29" t="s">
        <v>1663</v>
      </c>
      <c r="G1559" s="30">
        <v>9.5510000000000002</v>
      </c>
      <c r="H1559" s="63"/>
      <c r="N1559" s="31"/>
    </row>
    <row r="1560" spans="1:45" ht="14.4" x14ac:dyDescent="0.3">
      <c r="A1560" s="28"/>
      <c r="D1560" s="29" t="s">
        <v>1213</v>
      </c>
      <c r="E1560" s="29" t="s">
        <v>1664</v>
      </c>
      <c r="G1560" s="30">
        <v>8.4410000000000007</v>
      </c>
      <c r="H1560" s="63"/>
      <c r="N1560" s="31"/>
    </row>
    <row r="1561" spans="1:45" ht="14.4" x14ac:dyDescent="0.3">
      <c r="A1561" s="28"/>
      <c r="D1561" s="29" t="s">
        <v>391</v>
      </c>
      <c r="E1561" s="29" t="s">
        <v>1665</v>
      </c>
      <c r="G1561" s="30">
        <v>2.73</v>
      </c>
      <c r="H1561" s="63"/>
      <c r="N1561" s="31"/>
    </row>
    <row r="1562" spans="1:45" ht="14.4" x14ac:dyDescent="0.3">
      <c r="A1562" s="28"/>
      <c r="D1562" s="29" t="s">
        <v>1214</v>
      </c>
      <c r="E1562" s="29" t="s">
        <v>1666</v>
      </c>
      <c r="G1562" s="30">
        <v>5.72</v>
      </c>
      <c r="H1562" s="63"/>
      <c r="N1562" s="31"/>
    </row>
    <row r="1563" spans="1:45" ht="14.4" x14ac:dyDescent="0.3">
      <c r="A1563" s="28"/>
      <c r="D1563" s="29" t="s">
        <v>1215</v>
      </c>
      <c r="E1563" s="29" t="s">
        <v>1667</v>
      </c>
      <c r="G1563" s="30">
        <v>1.776</v>
      </c>
      <c r="H1563" s="63"/>
      <c r="N1563" s="31"/>
    </row>
    <row r="1564" spans="1:45" ht="14.4" x14ac:dyDescent="0.3">
      <c r="A1564" s="28"/>
      <c r="D1564" s="29" t="s">
        <v>1216</v>
      </c>
      <c r="E1564" s="29" t="s">
        <v>1668</v>
      </c>
      <c r="G1564" s="30">
        <v>2.8559999999999999</v>
      </c>
      <c r="H1564" s="63"/>
      <c r="N1564" s="31"/>
    </row>
    <row r="1565" spans="1:45" ht="14.4" x14ac:dyDescent="0.3">
      <c r="A1565" s="28"/>
      <c r="D1565" s="29" t="s">
        <v>355</v>
      </c>
      <c r="E1565" s="29" t="s">
        <v>1669</v>
      </c>
      <c r="G1565" s="30">
        <v>176.59</v>
      </c>
      <c r="H1565" s="63"/>
      <c r="N1565" s="31"/>
    </row>
    <row r="1566" spans="1:45" ht="14.4" x14ac:dyDescent="0.3">
      <c r="A1566" s="28"/>
      <c r="D1566" s="29" t="s">
        <v>1670</v>
      </c>
      <c r="E1566" s="29" t="s">
        <v>1671</v>
      </c>
      <c r="G1566" s="30">
        <v>129.57300000000001</v>
      </c>
      <c r="H1566" s="63"/>
      <c r="N1566" s="31"/>
    </row>
    <row r="1567" spans="1:45" ht="14.4" x14ac:dyDescent="0.3">
      <c r="A1567" s="28"/>
      <c r="D1567" s="29" t="s">
        <v>1672</v>
      </c>
      <c r="E1567" s="29" t="s">
        <v>1673</v>
      </c>
      <c r="G1567" s="30">
        <v>8.2550000000000008</v>
      </c>
      <c r="H1567" s="63"/>
      <c r="N1567" s="31"/>
    </row>
    <row r="1568" spans="1:45" ht="14.4" x14ac:dyDescent="0.3">
      <c r="A1568" s="21" t="s">
        <v>52</v>
      </c>
      <c r="B1568" s="22" t="s">
        <v>1101</v>
      </c>
      <c r="C1568" s="22" t="s">
        <v>555</v>
      </c>
      <c r="D1568" s="170" t="s">
        <v>1675</v>
      </c>
      <c r="E1568" s="171"/>
      <c r="F1568" s="23" t="s">
        <v>32</v>
      </c>
      <c r="G1568" s="23" t="s">
        <v>32</v>
      </c>
      <c r="H1568" s="64"/>
      <c r="I1568" s="1">
        <f>SUM(I1569:I1571)</f>
        <v>0</v>
      </c>
      <c r="J1568" s="1">
        <f>SUM(J1569:J1571)</f>
        <v>0</v>
      </c>
      <c r="K1568" s="1">
        <f>SUM(K1569:K1571)</f>
        <v>0</v>
      </c>
      <c r="L1568" s="10" t="s">
        <v>52</v>
      </c>
      <c r="M1568" s="1">
        <f>SUM(M1569:M1571)</f>
        <v>0</v>
      </c>
      <c r="N1568" s="24"/>
      <c r="AG1568" s="10" t="s">
        <v>1101</v>
      </c>
      <c r="AQ1568" s="1">
        <f>SUM(AH1569:AH1571)</f>
        <v>0</v>
      </c>
      <c r="AR1568" s="1">
        <f>SUM(AI1569:AI1571)</f>
        <v>0</v>
      </c>
      <c r="AS1568" s="1">
        <f>SUM(AJ1569:AJ1571)</f>
        <v>0</v>
      </c>
    </row>
    <row r="1569" spans="1:74" ht="26.4" x14ac:dyDescent="0.3">
      <c r="A1569" s="2" t="s">
        <v>1676</v>
      </c>
      <c r="B1569" s="3" t="s">
        <v>1101</v>
      </c>
      <c r="C1569" s="3" t="s">
        <v>1677</v>
      </c>
      <c r="D1569" s="112" t="s">
        <v>1678</v>
      </c>
      <c r="E1569" s="109"/>
      <c r="F1569" s="3" t="s">
        <v>100</v>
      </c>
      <c r="G1569" s="25">
        <v>40</v>
      </c>
      <c r="H1569" s="62"/>
      <c r="I1569" s="25">
        <f>ROUND(G1569*AM1569,2)</f>
        <v>0</v>
      </c>
      <c r="J1569" s="25">
        <f>ROUND(G1569*AN1569,2)</f>
        <v>0</v>
      </c>
      <c r="K1569" s="25">
        <f>ROUND(G1569*H1569,2)</f>
        <v>0</v>
      </c>
      <c r="L1569" s="25">
        <v>0</v>
      </c>
      <c r="M1569" s="25">
        <f>G1569*L1569</f>
        <v>0</v>
      </c>
      <c r="N1569" s="26"/>
      <c r="X1569" s="25">
        <f>ROUND(IF(AO1569="5",BH1569,0),2)</f>
        <v>0</v>
      </c>
      <c r="Z1569" s="25">
        <f>ROUND(IF(AO1569="1",BF1569,0),2)</f>
        <v>0</v>
      </c>
      <c r="AA1569" s="25">
        <f>ROUND(IF(AO1569="1",BG1569,0),2)</f>
        <v>0</v>
      </c>
      <c r="AB1569" s="25">
        <f>ROUND(IF(AO1569="7",BF1569,0),2)</f>
        <v>0</v>
      </c>
      <c r="AC1569" s="25">
        <f>ROUND(IF(AO1569="7",BG1569,0),2)</f>
        <v>0</v>
      </c>
      <c r="AD1569" s="25">
        <f>ROUND(IF(AO1569="2",BF1569,0),2)</f>
        <v>0</v>
      </c>
      <c r="AE1569" s="25">
        <f>ROUND(IF(AO1569="2",BG1569,0),2)</f>
        <v>0</v>
      </c>
      <c r="AF1569" s="25">
        <f>ROUND(IF(AO1569="0",BH1569,0),2)</f>
        <v>0</v>
      </c>
      <c r="AG1569" s="10" t="s">
        <v>1101</v>
      </c>
      <c r="AH1569" s="25">
        <f>IF(AL1569=0,K1569,0)</f>
        <v>0</v>
      </c>
      <c r="AI1569" s="25">
        <f>IF(AL1569=12,K1569,0)</f>
        <v>0</v>
      </c>
      <c r="AJ1569" s="25">
        <f>IF(AL1569=21,K1569,0)</f>
        <v>0</v>
      </c>
      <c r="AL1569" s="25">
        <v>21</v>
      </c>
      <c r="AM1569" s="25">
        <f>H1569*0</f>
        <v>0</v>
      </c>
      <c r="AN1569" s="25">
        <f>H1569*(1-0)</f>
        <v>0</v>
      </c>
      <c r="AO1569" s="27" t="s">
        <v>57</v>
      </c>
      <c r="AT1569" s="25">
        <f>ROUND(AU1569+AV1569,2)</f>
        <v>0</v>
      </c>
      <c r="AU1569" s="25">
        <f>ROUND(G1569*AM1569,2)</f>
        <v>0</v>
      </c>
      <c r="AV1569" s="25">
        <f>ROUND(G1569*AN1569,2)</f>
        <v>0</v>
      </c>
      <c r="AW1569" s="27" t="s">
        <v>1679</v>
      </c>
      <c r="AX1569" s="27" t="s">
        <v>1104</v>
      </c>
      <c r="AY1569" s="10" t="s">
        <v>1105</v>
      </c>
      <c r="BA1569" s="25">
        <f>AU1569+AV1569</f>
        <v>0</v>
      </c>
      <c r="BB1569" s="25">
        <f>H1569/(100-BC1569)*100</f>
        <v>0</v>
      </c>
      <c r="BC1569" s="25">
        <v>0</v>
      </c>
      <c r="BD1569" s="25">
        <f>M1569</f>
        <v>0</v>
      </c>
      <c r="BF1569" s="25">
        <f>G1569*AM1569</f>
        <v>0</v>
      </c>
      <c r="BG1569" s="25">
        <f>G1569*AN1569</f>
        <v>0</v>
      </c>
      <c r="BH1569" s="25">
        <f>G1569*H1569</f>
        <v>0</v>
      </c>
      <c r="BI1569" s="27" t="s">
        <v>65</v>
      </c>
      <c r="BJ1569" s="25">
        <v>90</v>
      </c>
      <c r="BU1569" s="25" t="e">
        <f>#REF!</f>
        <v>#REF!</v>
      </c>
      <c r="BV1569" s="4" t="s">
        <v>1678</v>
      </c>
    </row>
    <row r="1570" spans="1:74" ht="14.4" x14ac:dyDescent="0.3">
      <c r="A1570" s="28"/>
      <c r="D1570" s="29" t="s">
        <v>1680</v>
      </c>
      <c r="E1570" s="29" t="s">
        <v>52</v>
      </c>
      <c r="G1570" s="30">
        <v>40</v>
      </c>
      <c r="H1570" s="63"/>
      <c r="N1570" s="31"/>
    </row>
    <row r="1571" spans="1:74" ht="14.4" x14ac:dyDescent="0.3">
      <c r="A1571" s="2" t="s">
        <v>1681</v>
      </c>
      <c r="B1571" s="3" t="s">
        <v>1101</v>
      </c>
      <c r="C1571" s="3" t="s">
        <v>1682</v>
      </c>
      <c r="D1571" s="112" t="s">
        <v>1683</v>
      </c>
      <c r="E1571" s="109"/>
      <c r="F1571" s="3" t="s">
        <v>100</v>
      </c>
      <c r="G1571" s="25">
        <v>40</v>
      </c>
      <c r="H1571" s="62"/>
      <c r="I1571" s="25">
        <f>ROUND(G1571*AM1571,2)</f>
        <v>0</v>
      </c>
      <c r="J1571" s="25">
        <f>ROUND(G1571*AN1571,2)</f>
        <v>0</v>
      </c>
      <c r="K1571" s="25">
        <f>ROUND(G1571*H1571,2)</f>
        <v>0</v>
      </c>
      <c r="L1571" s="25">
        <v>0</v>
      </c>
      <c r="M1571" s="25">
        <f>G1571*L1571</f>
        <v>0</v>
      </c>
      <c r="N1571" s="26"/>
      <c r="X1571" s="25">
        <f>ROUND(IF(AO1571="5",BH1571,0),2)</f>
        <v>0</v>
      </c>
      <c r="Z1571" s="25">
        <f>ROUND(IF(AO1571="1",BF1571,0),2)</f>
        <v>0</v>
      </c>
      <c r="AA1571" s="25">
        <f>ROUND(IF(AO1571="1",BG1571,0),2)</f>
        <v>0</v>
      </c>
      <c r="AB1571" s="25">
        <f>ROUND(IF(AO1571="7",BF1571,0),2)</f>
        <v>0</v>
      </c>
      <c r="AC1571" s="25">
        <f>ROUND(IF(AO1571="7",BG1571,0),2)</f>
        <v>0</v>
      </c>
      <c r="AD1571" s="25">
        <f>ROUND(IF(AO1571="2",BF1571,0),2)</f>
        <v>0</v>
      </c>
      <c r="AE1571" s="25">
        <f>ROUND(IF(AO1571="2",BG1571,0),2)</f>
        <v>0</v>
      </c>
      <c r="AF1571" s="25">
        <f>ROUND(IF(AO1571="0",BH1571,0),2)</f>
        <v>0</v>
      </c>
      <c r="AG1571" s="10" t="s">
        <v>1101</v>
      </c>
      <c r="AH1571" s="25">
        <f>IF(AL1571=0,K1571,0)</f>
        <v>0</v>
      </c>
      <c r="AI1571" s="25">
        <f>IF(AL1571=12,K1571,0)</f>
        <v>0</v>
      </c>
      <c r="AJ1571" s="25">
        <f>IF(AL1571=21,K1571,0)</f>
        <v>0</v>
      </c>
      <c r="AL1571" s="25">
        <v>21</v>
      </c>
      <c r="AM1571" s="25">
        <f>H1571*0</f>
        <v>0</v>
      </c>
      <c r="AN1571" s="25">
        <f>H1571*(1-0)</f>
        <v>0</v>
      </c>
      <c r="AO1571" s="27" t="s">
        <v>57</v>
      </c>
      <c r="AT1571" s="25">
        <f>ROUND(AU1571+AV1571,2)</f>
        <v>0</v>
      </c>
      <c r="AU1571" s="25">
        <f>ROUND(G1571*AM1571,2)</f>
        <v>0</v>
      </c>
      <c r="AV1571" s="25">
        <f>ROUND(G1571*AN1571,2)</f>
        <v>0</v>
      </c>
      <c r="AW1571" s="27" t="s">
        <v>1679</v>
      </c>
      <c r="AX1571" s="27" t="s">
        <v>1104</v>
      </c>
      <c r="AY1571" s="10" t="s">
        <v>1105</v>
      </c>
      <c r="BA1571" s="25">
        <f>AU1571+AV1571</f>
        <v>0</v>
      </c>
      <c r="BB1571" s="25">
        <f>H1571/(100-BC1571)*100</f>
        <v>0</v>
      </c>
      <c r="BC1571" s="25">
        <v>0</v>
      </c>
      <c r="BD1571" s="25">
        <f>M1571</f>
        <v>0</v>
      </c>
      <c r="BF1571" s="25">
        <f>G1571*AM1571</f>
        <v>0</v>
      </c>
      <c r="BG1571" s="25">
        <f>G1571*AN1571</f>
        <v>0</v>
      </c>
      <c r="BH1571" s="25">
        <f>G1571*H1571</f>
        <v>0</v>
      </c>
      <c r="BI1571" s="27" t="s">
        <v>65</v>
      </c>
      <c r="BJ1571" s="25">
        <v>90</v>
      </c>
      <c r="BU1571" s="25" t="e">
        <f>#REF!</f>
        <v>#REF!</v>
      </c>
      <c r="BV1571" s="4" t="s">
        <v>1683</v>
      </c>
    </row>
    <row r="1572" spans="1:74" ht="14.4" x14ac:dyDescent="0.3">
      <c r="A1572" s="28"/>
      <c r="D1572" s="29" t="s">
        <v>323</v>
      </c>
      <c r="E1572" s="29" t="s">
        <v>52</v>
      </c>
      <c r="G1572" s="30">
        <v>40</v>
      </c>
      <c r="H1572" s="63"/>
      <c r="N1572" s="31"/>
    </row>
    <row r="1573" spans="1:74" ht="14.4" x14ac:dyDescent="0.3">
      <c r="A1573" s="21" t="s">
        <v>52</v>
      </c>
      <c r="B1573" s="22" t="s">
        <v>1101</v>
      </c>
      <c r="C1573" s="22" t="s">
        <v>583</v>
      </c>
      <c r="D1573" s="170" t="s">
        <v>1062</v>
      </c>
      <c r="E1573" s="171"/>
      <c r="F1573" s="23" t="s">
        <v>32</v>
      </c>
      <c r="G1573" s="23" t="s">
        <v>32</v>
      </c>
      <c r="H1573" s="64"/>
      <c r="I1573" s="1">
        <f>SUM(I1574:I1574)</f>
        <v>0</v>
      </c>
      <c r="J1573" s="1">
        <f>SUM(J1574:J1574)</f>
        <v>0</v>
      </c>
      <c r="K1573" s="1">
        <f>SUM(K1574:K1574)</f>
        <v>0</v>
      </c>
      <c r="L1573" s="10" t="s">
        <v>52</v>
      </c>
      <c r="M1573" s="1">
        <f>SUM(M1574:M1574)</f>
        <v>0.26976920000000004</v>
      </c>
      <c r="N1573" s="24"/>
      <c r="AG1573" s="10" t="s">
        <v>1101</v>
      </c>
      <c r="AQ1573" s="1">
        <f>SUM(AH1574:AH1574)</f>
        <v>0</v>
      </c>
      <c r="AR1573" s="1">
        <f>SUM(AI1574:AI1574)</f>
        <v>0</v>
      </c>
      <c r="AS1573" s="1">
        <f>SUM(AJ1574:AJ1574)</f>
        <v>0</v>
      </c>
    </row>
    <row r="1574" spans="1:74" ht="14.4" x14ac:dyDescent="0.3">
      <c r="A1574" s="2" t="s">
        <v>1684</v>
      </c>
      <c r="B1574" s="3" t="s">
        <v>1101</v>
      </c>
      <c r="C1574" s="3" t="s">
        <v>1064</v>
      </c>
      <c r="D1574" s="112" t="s">
        <v>1065</v>
      </c>
      <c r="E1574" s="109"/>
      <c r="F1574" s="3" t="s">
        <v>60</v>
      </c>
      <c r="G1574" s="25">
        <v>170.74</v>
      </c>
      <c r="H1574" s="62"/>
      <c r="I1574" s="25">
        <f>ROUND(G1574*AM1574,2)</f>
        <v>0</v>
      </c>
      <c r="J1574" s="25">
        <f>ROUND(G1574*AN1574,2)</f>
        <v>0</v>
      </c>
      <c r="K1574" s="25">
        <f>ROUND(G1574*H1574,2)</f>
        <v>0</v>
      </c>
      <c r="L1574" s="25">
        <v>1.58E-3</v>
      </c>
      <c r="M1574" s="25">
        <f>G1574*L1574</f>
        <v>0.26976920000000004</v>
      </c>
      <c r="N1574" s="26"/>
      <c r="X1574" s="25">
        <f>ROUND(IF(AO1574="5",BH1574,0),2)</f>
        <v>0</v>
      </c>
      <c r="Z1574" s="25">
        <f>ROUND(IF(AO1574="1",BF1574,0),2)</f>
        <v>0</v>
      </c>
      <c r="AA1574" s="25">
        <f>ROUND(IF(AO1574="1",BG1574,0),2)</f>
        <v>0</v>
      </c>
      <c r="AB1574" s="25">
        <f>ROUND(IF(AO1574="7",BF1574,0),2)</f>
        <v>0</v>
      </c>
      <c r="AC1574" s="25">
        <f>ROUND(IF(AO1574="7",BG1574,0),2)</f>
        <v>0</v>
      </c>
      <c r="AD1574" s="25">
        <f>ROUND(IF(AO1574="2",BF1574,0),2)</f>
        <v>0</v>
      </c>
      <c r="AE1574" s="25">
        <f>ROUND(IF(AO1574="2",BG1574,0),2)</f>
        <v>0</v>
      </c>
      <c r="AF1574" s="25">
        <f>ROUND(IF(AO1574="0",BH1574,0),2)</f>
        <v>0</v>
      </c>
      <c r="AG1574" s="10" t="s">
        <v>1101</v>
      </c>
      <c r="AH1574" s="25">
        <f>IF(AL1574=0,K1574,0)</f>
        <v>0</v>
      </c>
      <c r="AI1574" s="25">
        <f>IF(AL1574=12,K1574,0)</f>
        <v>0</v>
      </c>
      <c r="AJ1574" s="25">
        <f>IF(AL1574=21,K1574,0)</f>
        <v>0</v>
      </c>
      <c r="AL1574" s="25">
        <v>21</v>
      </c>
      <c r="AM1574" s="25">
        <f>H1574*0.407754062</f>
        <v>0</v>
      </c>
      <c r="AN1574" s="25">
        <f>H1574*(1-0.407754062)</f>
        <v>0</v>
      </c>
      <c r="AO1574" s="27" t="s">
        <v>57</v>
      </c>
      <c r="AT1574" s="25">
        <f>ROUND(AU1574+AV1574,2)</f>
        <v>0</v>
      </c>
      <c r="AU1574" s="25">
        <f>ROUND(G1574*AM1574,2)</f>
        <v>0</v>
      </c>
      <c r="AV1574" s="25">
        <f>ROUND(G1574*AN1574,2)</f>
        <v>0</v>
      </c>
      <c r="AW1574" s="27" t="s">
        <v>1066</v>
      </c>
      <c r="AX1574" s="27" t="s">
        <v>1104</v>
      </c>
      <c r="AY1574" s="10" t="s">
        <v>1105</v>
      </c>
      <c r="BA1574" s="25">
        <f>AU1574+AV1574</f>
        <v>0</v>
      </c>
      <c r="BB1574" s="25">
        <f>H1574/(100-BC1574)*100</f>
        <v>0</v>
      </c>
      <c r="BC1574" s="25">
        <v>0</v>
      </c>
      <c r="BD1574" s="25">
        <f>M1574</f>
        <v>0.26976920000000004</v>
      </c>
      <c r="BF1574" s="25">
        <f>G1574*AM1574</f>
        <v>0</v>
      </c>
      <c r="BG1574" s="25">
        <f>G1574*AN1574</f>
        <v>0</v>
      </c>
      <c r="BH1574" s="25">
        <f>G1574*H1574</f>
        <v>0</v>
      </c>
      <c r="BI1574" s="27" t="s">
        <v>65</v>
      </c>
      <c r="BJ1574" s="25">
        <v>94</v>
      </c>
      <c r="BU1574" s="25" t="e">
        <f>#REF!</f>
        <v>#REF!</v>
      </c>
      <c r="BV1574" s="4" t="s">
        <v>1065</v>
      </c>
    </row>
    <row r="1575" spans="1:74" ht="14.4" x14ac:dyDescent="0.3">
      <c r="A1575" s="28"/>
      <c r="D1575" s="29" t="s">
        <v>1292</v>
      </c>
      <c r="E1575" s="29" t="s">
        <v>366</v>
      </c>
      <c r="G1575" s="30">
        <v>117.85</v>
      </c>
      <c r="H1575" s="63"/>
      <c r="N1575" s="31"/>
    </row>
    <row r="1576" spans="1:74" ht="14.4" x14ac:dyDescent="0.3">
      <c r="A1576" s="28"/>
      <c r="D1576" s="29" t="s">
        <v>1608</v>
      </c>
      <c r="E1576" s="29" t="s">
        <v>337</v>
      </c>
      <c r="G1576" s="30">
        <v>6.28</v>
      </c>
      <c r="H1576" s="63"/>
      <c r="N1576" s="31"/>
    </row>
    <row r="1577" spans="1:74" ht="14.4" x14ac:dyDescent="0.3">
      <c r="A1577" s="28"/>
      <c r="D1577" s="29" t="s">
        <v>381</v>
      </c>
      <c r="E1577" s="29" t="s">
        <v>361</v>
      </c>
      <c r="G1577" s="30">
        <v>9.35</v>
      </c>
      <c r="H1577" s="63"/>
      <c r="N1577" s="31"/>
    </row>
    <row r="1578" spans="1:74" ht="14.4" x14ac:dyDescent="0.3">
      <c r="A1578" s="28"/>
      <c r="D1578" s="29" t="s">
        <v>1289</v>
      </c>
      <c r="E1578" s="29" t="s">
        <v>370</v>
      </c>
      <c r="G1578" s="30">
        <v>8.24</v>
      </c>
      <c r="H1578" s="63"/>
      <c r="N1578" s="31"/>
    </row>
    <row r="1579" spans="1:74" ht="14.4" x14ac:dyDescent="0.3">
      <c r="A1579" s="28"/>
      <c r="D1579" s="29" t="s">
        <v>391</v>
      </c>
      <c r="E1579" s="29" t="s">
        <v>363</v>
      </c>
      <c r="G1579" s="30">
        <v>2.73</v>
      </c>
      <c r="H1579" s="63"/>
      <c r="N1579" s="31"/>
    </row>
    <row r="1580" spans="1:74" ht="14.4" x14ac:dyDescent="0.3">
      <c r="A1580" s="28"/>
      <c r="D1580" s="29" t="s">
        <v>1214</v>
      </c>
      <c r="E1580" s="29" t="s">
        <v>373</v>
      </c>
      <c r="G1580" s="30">
        <v>5.72</v>
      </c>
      <c r="H1580" s="63"/>
      <c r="N1580" s="31"/>
    </row>
    <row r="1581" spans="1:74" ht="14.4" x14ac:dyDescent="0.3">
      <c r="A1581" s="28"/>
      <c r="D1581" s="29" t="s">
        <v>385</v>
      </c>
      <c r="E1581" s="29" t="s">
        <v>375</v>
      </c>
      <c r="G1581" s="30">
        <v>1.68</v>
      </c>
      <c r="H1581" s="63"/>
      <c r="N1581" s="31"/>
    </row>
    <row r="1582" spans="1:74" ht="14.4" x14ac:dyDescent="0.3">
      <c r="A1582" s="28"/>
      <c r="D1582" s="29" t="s">
        <v>386</v>
      </c>
      <c r="E1582" s="29" t="s">
        <v>377</v>
      </c>
      <c r="G1582" s="30">
        <v>2.76</v>
      </c>
      <c r="H1582" s="63"/>
      <c r="N1582" s="31"/>
    </row>
    <row r="1583" spans="1:74" ht="14.4" x14ac:dyDescent="0.3">
      <c r="A1583" s="28"/>
      <c r="D1583" s="29" t="s">
        <v>1516</v>
      </c>
      <c r="E1583" s="29" t="s">
        <v>335</v>
      </c>
      <c r="G1583" s="30">
        <v>16.13</v>
      </c>
      <c r="H1583" s="63"/>
      <c r="N1583" s="31"/>
    </row>
    <row r="1584" spans="1:74" ht="14.4" x14ac:dyDescent="0.3">
      <c r="A1584" s="21" t="s">
        <v>52</v>
      </c>
      <c r="B1584" s="22" t="s">
        <v>1101</v>
      </c>
      <c r="C1584" s="22" t="s">
        <v>588</v>
      </c>
      <c r="D1584" s="170" t="s">
        <v>1067</v>
      </c>
      <c r="E1584" s="171"/>
      <c r="F1584" s="23" t="s">
        <v>32</v>
      </c>
      <c r="G1584" s="23" t="s">
        <v>32</v>
      </c>
      <c r="H1584" s="64"/>
      <c r="I1584" s="1">
        <f>SUM(I1585:I1603)</f>
        <v>0</v>
      </c>
      <c r="J1584" s="1">
        <f>SUM(J1585:J1603)</f>
        <v>0</v>
      </c>
      <c r="K1584" s="1">
        <f>SUM(K1585:K1603)</f>
        <v>0</v>
      </c>
      <c r="L1584" s="10" t="s">
        <v>52</v>
      </c>
      <c r="M1584" s="1">
        <f>SUM(M1585:M1603)</f>
        <v>0.84373056000000002</v>
      </c>
      <c r="N1584" s="24"/>
      <c r="AG1584" s="10" t="s">
        <v>1101</v>
      </c>
      <c r="AQ1584" s="1">
        <f>SUM(AH1585:AH1603)</f>
        <v>0</v>
      </c>
      <c r="AR1584" s="1">
        <f>SUM(AI1585:AI1603)</f>
        <v>0</v>
      </c>
      <c r="AS1584" s="1">
        <f>SUM(AJ1585:AJ1603)</f>
        <v>0</v>
      </c>
    </row>
    <row r="1585" spans="1:74" ht="14.4" x14ac:dyDescent="0.3">
      <c r="A1585" s="2" t="s">
        <v>1685</v>
      </c>
      <c r="B1585" s="3" t="s">
        <v>1101</v>
      </c>
      <c r="C1585" s="3" t="s">
        <v>1069</v>
      </c>
      <c r="D1585" s="112" t="s">
        <v>1070</v>
      </c>
      <c r="E1585" s="109"/>
      <c r="F1585" s="3" t="s">
        <v>60</v>
      </c>
      <c r="G1585" s="25">
        <v>170.74</v>
      </c>
      <c r="H1585" s="62"/>
      <c r="I1585" s="25">
        <f>ROUND(G1585*AM1585,2)</f>
        <v>0</v>
      </c>
      <c r="J1585" s="25">
        <f>ROUND(G1585*AN1585,2)</f>
        <v>0</v>
      </c>
      <c r="K1585" s="25">
        <f>ROUND(G1585*H1585,2)</f>
        <v>0</v>
      </c>
      <c r="L1585" s="25">
        <v>4.0000000000000003E-5</v>
      </c>
      <c r="M1585" s="25">
        <f>G1585*L1585</f>
        <v>6.8296000000000008E-3</v>
      </c>
      <c r="N1585" s="26"/>
      <c r="X1585" s="25">
        <f>ROUND(IF(AO1585="5",BH1585,0),2)</f>
        <v>0</v>
      </c>
      <c r="Z1585" s="25">
        <f>ROUND(IF(AO1585="1",BF1585,0),2)</f>
        <v>0</v>
      </c>
      <c r="AA1585" s="25">
        <f>ROUND(IF(AO1585="1",BG1585,0),2)</f>
        <v>0</v>
      </c>
      <c r="AB1585" s="25">
        <f>ROUND(IF(AO1585="7",BF1585,0),2)</f>
        <v>0</v>
      </c>
      <c r="AC1585" s="25">
        <f>ROUND(IF(AO1585="7",BG1585,0),2)</f>
        <v>0</v>
      </c>
      <c r="AD1585" s="25">
        <f>ROUND(IF(AO1585="2",BF1585,0),2)</f>
        <v>0</v>
      </c>
      <c r="AE1585" s="25">
        <f>ROUND(IF(AO1585="2",BG1585,0),2)</f>
        <v>0</v>
      </c>
      <c r="AF1585" s="25">
        <f>ROUND(IF(AO1585="0",BH1585,0),2)</f>
        <v>0</v>
      </c>
      <c r="AG1585" s="10" t="s">
        <v>1101</v>
      </c>
      <c r="AH1585" s="25">
        <f>IF(AL1585=0,K1585,0)</f>
        <v>0</v>
      </c>
      <c r="AI1585" s="25">
        <f>IF(AL1585=12,K1585,0)</f>
        <v>0</v>
      </c>
      <c r="AJ1585" s="25">
        <f>IF(AL1585=21,K1585,0)</f>
        <v>0</v>
      </c>
      <c r="AL1585" s="25">
        <v>21</v>
      </c>
      <c r="AM1585" s="25">
        <f>H1585*0.013885968</f>
        <v>0</v>
      </c>
      <c r="AN1585" s="25">
        <f>H1585*(1-0.013885968)</f>
        <v>0</v>
      </c>
      <c r="AO1585" s="27" t="s">
        <v>57</v>
      </c>
      <c r="AT1585" s="25">
        <f>ROUND(AU1585+AV1585,2)</f>
        <v>0</v>
      </c>
      <c r="AU1585" s="25">
        <f>ROUND(G1585*AM1585,2)</f>
        <v>0</v>
      </c>
      <c r="AV1585" s="25">
        <f>ROUND(G1585*AN1585,2)</f>
        <v>0</v>
      </c>
      <c r="AW1585" s="27" t="s">
        <v>1071</v>
      </c>
      <c r="AX1585" s="27" t="s">
        <v>1104</v>
      </c>
      <c r="AY1585" s="10" t="s">
        <v>1105</v>
      </c>
      <c r="BA1585" s="25">
        <f>AU1585+AV1585</f>
        <v>0</v>
      </c>
      <c r="BB1585" s="25">
        <f>H1585/(100-BC1585)*100</f>
        <v>0</v>
      </c>
      <c r="BC1585" s="25">
        <v>0</v>
      </c>
      <c r="BD1585" s="25">
        <f>M1585</f>
        <v>6.8296000000000008E-3</v>
      </c>
      <c r="BF1585" s="25">
        <f>G1585*AM1585</f>
        <v>0</v>
      </c>
      <c r="BG1585" s="25">
        <f>G1585*AN1585</f>
        <v>0</v>
      </c>
      <c r="BH1585" s="25">
        <f>G1585*H1585</f>
        <v>0</v>
      </c>
      <c r="BI1585" s="27" t="s">
        <v>65</v>
      </c>
      <c r="BJ1585" s="25">
        <v>95</v>
      </c>
      <c r="BU1585" s="25" t="e">
        <f>#REF!</f>
        <v>#REF!</v>
      </c>
      <c r="BV1585" s="4" t="s">
        <v>1070</v>
      </c>
    </row>
    <row r="1586" spans="1:74" ht="14.4" x14ac:dyDescent="0.3">
      <c r="A1586" s="28"/>
      <c r="D1586" s="29" t="s">
        <v>1292</v>
      </c>
      <c r="E1586" s="29" t="s">
        <v>366</v>
      </c>
      <c r="G1586" s="30">
        <v>117.85</v>
      </c>
      <c r="H1586" s="63"/>
      <c r="N1586" s="31"/>
    </row>
    <row r="1587" spans="1:74" ht="14.4" x14ac:dyDescent="0.3">
      <c r="A1587" s="28"/>
      <c r="D1587" s="29" t="s">
        <v>1608</v>
      </c>
      <c r="E1587" s="29" t="s">
        <v>337</v>
      </c>
      <c r="G1587" s="30">
        <v>6.28</v>
      </c>
      <c r="H1587" s="63"/>
      <c r="N1587" s="31"/>
    </row>
    <row r="1588" spans="1:74" ht="14.4" x14ac:dyDescent="0.3">
      <c r="A1588" s="28"/>
      <c r="D1588" s="29" t="s">
        <v>381</v>
      </c>
      <c r="E1588" s="29" t="s">
        <v>361</v>
      </c>
      <c r="G1588" s="30">
        <v>9.35</v>
      </c>
      <c r="H1588" s="63"/>
      <c r="N1588" s="31"/>
    </row>
    <row r="1589" spans="1:74" ht="14.4" x14ac:dyDescent="0.3">
      <c r="A1589" s="28"/>
      <c r="D1589" s="29" t="s">
        <v>1289</v>
      </c>
      <c r="E1589" s="29" t="s">
        <v>370</v>
      </c>
      <c r="G1589" s="30">
        <v>8.24</v>
      </c>
      <c r="H1589" s="63"/>
      <c r="N1589" s="31"/>
    </row>
    <row r="1590" spans="1:74" ht="14.4" x14ac:dyDescent="0.3">
      <c r="A1590" s="28"/>
      <c r="D1590" s="29" t="s">
        <v>391</v>
      </c>
      <c r="E1590" s="29" t="s">
        <v>363</v>
      </c>
      <c r="G1590" s="30">
        <v>2.73</v>
      </c>
      <c r="H1590" s="63"/>
      <c r="N1590" s="31"/>
    </row>
    <row r="1591" spans="1:74" ht="14.4" x14ac:dyDescent="0.3">
      <c r="A1591" s="28"/>
      <c r="D1591" s="29" t="s">
        <v>1214</v>
      </c>
      <c r="E1591" s="29" t="s">
        <v>373</v>
      </c>
      <c r="G1591" s="30">
        <v>5.72</v>
      </c>
      <c r="H1591" s="63"/>
      <c r="N1591" s="31"/>
    </row>
    <row r="1592" spans="1:74" ht="14.4" x14ac:dyDescent="0.3">
      <c r="A1592" s="28"/>
      <c r="D1592" s="29" t="s">
        <v>385</v>
      </c>
      <c r="E1592" s="29" t="s">
        <v>375</v>
      </c>
      <c r="G1592" s="30">
        <v>1.68</v>
      </c>
      <c r="H1592" s="63"/>
      <c r="N1592" s="31"/>
    </row>
    <row r="1593" spans="1:74" ht="14.4" x14ac:dyDescent="0.3">
      <c r="A1593" s="28"/>
      <c r="D1593" s="29" t="s">
        <v>386</v>
      </c>
      <c r="E1593" s="29" t="s">
        <v>377</v>
      </c>
      <c r="G1593" s="30">
        <v>2.76</v>
      </c>
      <c r="H1593" s="63"/>
      <c r="N1593" s="31"/>
    </row>
    <row r="1594" spans="1:74" ht="14.4" x14ac:dyDescent="0.3">
      <c r="A1594" s="28"/>
      <c r="D1594" s="29" t="s">
        <v>1516</v>
      </c>
      <c r="E1594" s="29" t="s">
        <v>335</v>
      </c>
      <c r="G1594" s="30">
        <v>16.13</v>
      </c>
      <c r="H1594" s="63"/>
      <c r="N1594" s="31"/>
    </row>
    <row r="1595" spans="1:74" ht="14.4" x14ac:dyDescent="0.3">
      <c r="A1595" s="2" t="s">
        <v>1686</v>
      </c>
      <c r="B1595" s="3" t="s">
        <v>1101</v>
      </c>
      <c r="C1595" s="3" t="s">
        <v>1687</v>
      </c>
      <c r="D1595" s="112" t="s">
        <v>1688</v>
      </c>
      <c r="E1595" s="109"/>
      <c r="F1595" s="3" t="s">
        <v>60</v>
      </c>
      <c r="G1595" s="25">
        <v>8.6039999999999992</v>
      </c>
      <c r="H1595" s="62"/>
      <c r="I1595" s="25">
        <f>ROUND(G1595*AM1595,2)</f>
        <v>0</v>
      </c>
      <c r="J1595" s="25">
        <f>ROUND(G1595*AN1595,2)</f>
        <v>0</v>
      </c>
      <c r="K1595" s="25">
        <f>ROUND(G1595*H1595,2)</f>
        <v>0</v>
      </c>
      <c r="L1595" s="25">
        <v>0</v>
      </c>
      <c r="M1595" s="25">
        <f>G1595*L1595</f>
        <v>0</v>
      </c>
      <c r="N1595" s="26"/>
      <c r="X1595" s="25">
        <f>ROUND(IF(AO1595="5",BH1595,0),2)</f>
        <v>0</v>
      </c>
      <c r="Z1595" s="25">
        <f>ROUND(IF(AO1595="1",BF1595,0),2)</f>
        <v>0</v>
      </c>
      <c r="AA1595" s="25">
        <f>ROUND(IF(AO1595="1",BG1595,0),2)</f>
        <v>0</v>
      </c>
      <c r="AB1595" s="25">
        <f>ROUND(IF(AO1595="7",BF1595,0),2)</f>
        <v>0</v>
      </c>
      <c r="AC1595" s="25">
        <f>ROUND(IF(AO1595="7",BG1595,0),2)</f>
        <v>0</v>
      </c>
      <c r="AD1595" s="25">
        <f>ROUND(IF(AO1595="2",BF1595,0),2)</f>
        <v>0</v>
      </c>
      <c r="AE1595" s="25">
        <f>ROUND(IF(AO1595="2",BG1595,0),2)</f>
        <v>0</v>
      </c>
      <c r="AF1595" s="25">
        <f>ROUND(IF(AO1595="0",BH1595,0),2)</f>
        <v>0</v>
      </c>
      <c r="AG1595" s="10" t="s">
        <v>1101</v>
      </c>
      <c r="AH1595" s="25">
        <f>IF(AL1595=0,K1595,0)</f>
        <v>0</v>
      </c>
      <c r="AI1595" s="25">
        <f>IF(AL1595=12,K1595,0)</f>
        <v>0</v>
      </c>
      <c r="AJ1595" s="25">
        <f>IF(AL1595=21,K1595,0)</f>
        <v>0</v>
      </c>
      <c r="AL1595" s="25">
        <v>21</v>
      </c>
      <c r="AM1595" s="25">
        <f>H1595*0</f>
        <v>0</v>
      </c>
      <c r="AN1595" s="25">
        <f>H1595*(1-0)</f>
        <v>0</v>
      </c>
      <c r="AO1595" s="27" t="s">
        <v>57</v>
      </c>
      <c r="AT1595" s="25">
        <f>ROUND(AU1595+AV1595,2)</f>
        <v>0</v>
      </c>
      <c r="AU1595" s="25">
        <f>ROUND(G1595*AM1595,2)</f>
        <v>0</v>
      </c>
      <c r="AV1595" s="25">
        <f>ROUND(G1595*AN1595,2)</f>
        <v>0</v>
      </c>
      <c r="AW1595" s="27" t="s">
        <v>1071</v>
      </c>
      <c r="AX1595" s="27" t="s">
        <v>1104</v>
      </c>
      <c r="AY1595" s="10" t="s">
        <v>1105</v>
      </c>
      <c r="BA1595" s="25">
        <f>AU1595+AV1595</f>
        <v>0</v>
      </c>
      <c r="BB1595" s="25">
        <f>H1595/(100-BC1595)*100</f>
        <v>0</v>
      </c>
      <c r="BC1595" s="25">
        <v>0</v>
      </c>
      <c r="BD1595" s="25">
        <f>M1595</f>
        <v>0</v>
      </c>
      <c r="BF1595" s="25">
        <f>G1595*AM1595</f>
        <v>0</v>
      </c>
      <c r="BG1595" s="25">
        <f>G1595*AN1595</f>
        <v>0</v>
      </c>
      <c r="BH1595" s="25">
        <f>G1595*H1595</f>
        <v>0</v>
      </c>
      <c r="BI1595" s="27" t="s">
        <v>65</v>
      </c>
      <c r="BJ1595" s="25">
        <v>95</v>
      </c>
      <c r="BU1595" s="25" t="e">
        <f>#REF!</f>
        <v>#REF!</v>
      </c>
      <c r="BV1595" s="4" t="s">
        <v>1688</v>
      </c>
    </row>
    <row r="1596" spans="1:74" ht="14.4" x14ac:dyDescent="0.3">
      <c r="A1596" s="28"/>
      <c r="D1596" s="29" t="s">
        <v>1469</v>
      </c>
      <c r="E1596" s="29" t="s">
        <v>52</v>
      </c>
      <c r="G1596" s="30">
        <v>8.6039999999999992</v>
      </c>
      <c r="H1596" s="63"/>
      <c r="N1596" s="31"/>
    </row>
    <row r="1597" spans="1:74" ht="26.4" x14ac:dyDescent="0.3">
      <c r="A1597" s="2" t="s">
        <v>1689</v>
      </c>
      <c r="B1597" s="3" t="s">
        <v>1101</v>
      </c>
      <c r="C1597" s="3" t="s">
        <v>1690</v>
      </c>
      <c r="D1597" s="112" t="s">
        <v>1691</v>
      </c>
      <c r="E1597" s="109"/>
      <c r="F1597" s="3" t="s">
        <v>122</v>
      </c>
      <c r="G1597" s="25">
        <v>1</v>
      </c>
      <c r="H1597" s="62"/>
      <c r="I1597" s="25">
        <f>ROUND(G1597*AM1597,2)</f>
        <v>0</v>
      </c>
      <c r="J1597" s="25">
        <f>ROUND(G1597*AN1597,2)</f>
        <v>0</v>
      </c>
      <c r="K1597" s="25">
        <f>ROUND(G1597*H1597,2)</f>
        <v>0</v>
      </c>
      <c r="L1597" s="25">
        <v>0.17008999999999999</v>
      </c>
      <c r="M1597" s="25">
        <f>G1597*L1597</f>
        <v>0.17008999999999999</v>
      </c>
      <c r="N1597" s="26"/>
      <c r="X1597" s="25">
        <f>ROUND(IF(AO1597="5",BH1597,0),2)</f>
        <v>0</v>
      </c>
      <c r="Z1597" s="25">
        <f>ROUND(IF(AO1597="1",BF1597,0),2)</f>
        <v>0</v>
      </c>
      <c r="AA1597" s="25">
        <f>ROUND(IF(AO1597="1",BG1597,0),2)</f>
        <v>0</v>
      </c>
      <c r="AB1597" s="25">
        <f>ROUND(IF(AO1597="7",BF1597,0),2)</f>
        <v>0</v>
      </c>
      <c r="AC1597" s="25">
        <f>ROUND(IF(AO1597="7",BG1597,0),2)</f>
        <v>0</v>
      </c>
      <c r="AD1597" s="25">
        <f>ROUND(IF(AO1597="2",BF1597,0),2)</f>
        <v>0</v>
      </c>
      <c r="AE1597" s="25">
        <f>ROUND(IF(AO1597="2",BG1597,0),2)</f>
        <v>0</v>
      </c>
      <c r="AF1597" s="25">
        <f>ROUND(IF(AO1597="0",BH1597,0),2)</f>
        <v>0</v>
      </c>
      <c r="AG1597" s="10" t="s">
        <v>1101</v>
      </c>
      <c r="AH1597" s="25">
        <f>IF(AL1597=0,K1597,0)</f>
        <v>0</v>
      </c>
      <c r="AI1597" s="25">
        <f>IF(AL1597=12,K1597,0)</f>
        <v>0</v>
      </c>
      <c r="AJ1597" s="25">
        <f>IF(AL1597=21,K1597,0)</f>
        <v>0</v>
      </c>
      <c r="AL1597" s="25">
        <v>21</v>
      </c>
      <c r="AM1597" s="25">
        <f>H1597*0.104229386</f>
        <v>0</v>
      </c>
      <c r="AN1597" s="25">
        <f>H1597*(1-0.104229386)</f>
        <v>0</v>
      </c>
      <c r="AO1597" s="27" t="s">
        <v>57</v>
      </c>
      <c r="AT1597" s="25">
        <f>ROUND(AU1597+AV1597,2)</f>
        <v>0</v>
      </c>
      <c r="AU1597" s="25">
        <f>ROUND(G1597*AM1597,2)</f>
        <v>0</v>
      </c>
      <c r="AV1597" s="25">
        <f>ROUND(G1597*AN1597,2)</f>
        <v>0</v>
      </c>
      <c r="AW1597" s="27" t="s">
        <v>1071</v>
      </c>
      <c r="AX1597" s="27" t="s">
        <v>1104</v>
      </c>
      <c r="AY1597" s="10" t="s">
        <v>1105</v>
      </c>
      <c r="BA1597" s="25">
        <f>AU1597+AV1597</f>
        <v>0</v>
      </c>
      <c r="BB1597" s="25">
        <f>H1597/(100-BC1597)*100</f>
        <v>0</v>
      </c>
      <c r="BC1597" s="25">
        <v>0</v>
      </c>
      <c r="BD1597" s="25">
        <f>M1597</f>
        <v>0.17008999999999999</v>
      </c>
      <c r="BF1597" s="25">
        <f>G1597*AM1597</f>
        <v>0</v>
      </c>
      <c r="BG1597" s="25">
        <f>G1597*AN1597</f>
        <v>0</v>
      </c>
      <c r="BH1597" s="25">
        <f>G1597*H1597</f>
        <v>0</v>
      </c>
      <c r="BI1597" s="27" t="s">
        <v>65</v>
      </c>
      <c r="BJ1597" s="25">
        <v>95</v>
      </c>
      <c r="BU1597" s="25" t="e">
        <f>#REF!</f>
        <v>#REF!</v>
      </c>
      <c r="BV1597" s="4" t="s">
        <v>1691</v>
      </c>
    </row>
    <row r="1598" spans="1:74" ht="14.4" x14ac:dyDescent="0.3">
      <c r="A1598" s="28"/>
      <c r="D1598" s="29" t="s">
        <v>57</v>
      </c>
      <c r="E1598" s="29" t="s">
        <v>52</v>
      </c>
      <c r="G1598" s="30">
        <v>1</v>
      </c>
      <c r="H1598" s="63"/>
      <c r="N1598" s="31"/>
    </row>
    <row r="1599" spans="1:74" ht="14.4" x14ac:dyDescent="0.3">
      <c r="A1599" s="2" t="s">
        <v>1692</v>
      </c>
      <c r="B1599" s="3" t="s">
        <v>1101</v>
      </c>
      <c r="C1599" s="3" t="s">
        <v>1693</v>
      </c>
      <c r="D1599" s="112" t="s">
        <v>1694</v>
      </c>
      <c r="E1599" s="109"/>
      <c r="F1599" s="3" t="s">
        <v>60</v>
      </c>
      <c r="G1599" s="25">
        <v>8.5559999999999992</v>
      </c>
      <c r="H1599" s="62"/>
      <c r="I1599" s="25">
        <f>ROUND(G1599*AM1599,2)</f>
        <v>0</v>
      </c>
      <c r="J1599" s="25">
        <f>ROUND(G1599*AN1599,2)</f>
        <v>0</v>
      </c>
      <c r="K1599" s="25">
        <f>ROUND(G1599*H1599,2)</f>
        <v>0</v>
      </c>
      <c r="L1599" s="25">
        <v>7.7160000000000006E-2</v>
      </c>
      <c r="M1599" s="25">
        <f>G1599*L1599</f>
        <v>0.66018096000000004</v>
      </c>
      <c r="N1599" s="26"/>
      <c r="X1599" s="25">
        <f>ROUND(IF(AO1599="5",BH1599,0),2)</f>
        <v>0</v>
      </c>
      <c r="Z1599" s="25">
        <f>ROUND(IF(AO1599="1",BF1599,0),2)</f>
        <v>0</v>
      </c>
      <c r="AA1599" s="25">
        <f>ROUND(IF(AO1599="1",BG1599,0),2)</f>
        <v>0</v>
      </c>
      <c r="AB1599" s="25">
        <f>ROUND(IF(AO1599="7",BF1599,0),2)</f>
        <v>0</v>
      </c>
      <c r="AC1599" s="25">
        <f>ROUND(IF(AO1599="7",BG1599,0),2)</f>
        <v>0</v>
      </c>
      <c r="AD1599" s="25">
        <f>ROUND(IF(AO1599="2",BF1599,0),2)</f>
        <v>0</v>
      </c>
      <c r="AE1599" s="25">
        <f>ROUND(IF(AO1599="2",BG1599,0),2)</f>
        <v>0</v>
      </c>
      <c r="AF1599" s="25">
        <f>ROUND(IF(AO1599="0",BH1599,0),2)</f>
        <v>0</v>
      </c>
      <c r="AG1599" s="10" t="s">
        <v>1101</v>
      </c>
      <c r="AH1599" s="25">
        <f>IF(AL1599=0,K1599,0)</f>
        <v>0</v>
      </c>
      <c r="AI1599" s="25">
        <f>IF(AL1599=12,K1599,0)</f>
        <v>0</v>
      </c>
      <c r="AJ1599" s="25">
        <f>IF(AL1599=21,K1599,0)</f>
        <v>0</v>
      </c>
      <c r="AL1599" s="25">
        <v>21</v>
      </c>
      <c r="AM1599" s="25">
        <f>H1599*0.047806249</f>
        <v>0</v>
      </c>
      <c r="AN1599" s="25">
        <f>H1599*(1-0.047806249)</f>
        <v>0</v>
      </c>
      <c r="AO1599" s="27" t="s">
        <v>57</v>
      </c>
      <c r="AT1599" s="25">
        <f>ROUND(AU1599+AV1599,2)</f>
        <v>0</v>
      </c>
      <c r="AU1599" s="25">
        <f>ROUND(G1599*AM1599,2)</f>
        <v>0</v>
      </c>
      <c r="AV1599" s="25">
        <f>ROUND(G1599*AN1599,2)</f>
        <v>0</v>
      </c>
      <c r="AW1599" s="27" t="s">
        <v>1071</v>
      </c>
      <c r="AX1599" s="27" t="s">
        <v>1104</v>
      </c>
      <c r="AY1599" s="10" t="s">
        <v>1105</v>
      </c>
      <c r="BA1599" s="25">
        <f>AU1599+AV1599</f>
        <v>0</v>
      </c>
      <c r="BB1599" s="25">
        <f>H1599/(100-BC1599)*100</f>
        <v>0</v>
      </c>
      <c r="BC1599" s="25">
        <v>0</v>
      </c>
      <c r="BD1599" s="25">
        <f>M1599</f>
        <v>0.66018096000000004</v>
      </c>
      <c r="BF1599" s="25">
        <f>G1599*AM1599</f>
        <v>0</v>
      </c>
      <c r="BG1599" s="25">
        <f>G1599*AN1599</f>
        <v>0</v>
      </c>
      <c r="BH1599" s="25">
        <f>G1599*H1599</f>
        <v>0</v>
      </c>
      <c r="BI1599" s="27" t="s">
        <v>65</v>
      </c>
      <c r="BJ1599" s="25">
        <v>95</v>
      </c>
      <c r="BU1599" s="25" t="e">
        <f>#REF!</f>
        <v>#REF!</v>
      </c>
      <c r="BV1599" s="4" t="s">
        <v>1694</v>
      </c>
    </row>
    <row r="1600" spans="1:74" ht="14.4" x14ac:dyDescent="0.3">
      <c r="A1600" s="28"/>
      <c r="D1600" s="29" t="s">
        <v>1695</v>
      </c>
      <c r="E1600" s="29" t="s">
        <v>52</v>
      </c>
      <c r="G1600" s="30">
        <v>8.5559999999999992</v>
      </c>
      <c r="H1600" s="63"/>
      <c r="N1600" s="31"/>
    </row>
    <row r="1601" spans="1:74" ht="14.4" x14ac:dyDescent="0.3">
      <c r="A1601" s="2" t="s">
        <v>1696</v>
      </c>
      <c r="B1601" s="3" t="s">
        <v>1101</v>
      </c>
      <c r="C1601" s="3" t="s">
        <v>1073</v>
      </c>
      <c r="D1601" s="112" t="s">
        <v>1074</v>
      </c>
      <c r="E1601" s="109"/>
      <c r="F1601" s="3" t="s">
        <v>122</v>
      </c>
      <c r="G1601" s="25">
        <v>3</v>
      </c>
      <c r="H1601" s="62"/>
      <c r="I1601" s="25">
        <f>ROUND(G1601*AM1601,2)</f>
        <v>0</v>
      </c>
      <c r="J1601" s="25">
        <f>ROUND(G1601*AN1601,2)</f>
        <v>0</v>
      </c>
      <c r="K1601" s="25">
        <f>ROUND(G1601*H1601,2)</f>
        <v>0</v>
      </c>
      <c r="L1601" s="25">
        <v>1.0000000000000001E-5</v>
      </c>
      <c r="M1601" s="25">
        <f>G1601*L1601</f>
        <v>3.0000000000000004E-5</v>
      </c>
      <c r="N1601" s="26"/>
      <c r="X1601" s="25">
        <f>ROUND(IF(AO1601="5",BH1601,0),2)</f>
        <v>0</v>
      </c>
      <c r="Z1601" s="25">
        <f>ROUND(IF(AO1601="1",BF1601,0),2)</f>
        <v>0</v>
      </c>
      <c r="AA1601" s="25">
        <f>ROUND(IF(AO1601="1",BG1601,0),2)</f>
        <v>0</v>
      </c>
      <c r="AB1601" s="25">
        <f>ROUND(IF(AO1601="7",BF1601,0),2)</f>
        <v>0</v>
      </c>
      <c r="AC1601" s="25">
        <f>ROUND(IF(AO1601="7",BG1601,0),2)</f>
        <v>0</v>
      </c>
      <c r="AD1601" s="25">
        <f>ROUND(IF(AO1601="2",BF1601,0),2)</f>
        <v>0</v>
      </c>
      <c r="AE1601" s="25">
        <f>ROUND(IF(AO1601="2",BG1601,0),2)</f>
        <v>0</v>
      </c>
      <c r="AF1601" s="25">
        <f>ROUND(IF(AO1601="0",BH1601,0),2)</f>
        <v>0</v>
      </c>
      <c r="AG1601" s="10" t="s">
        <v>1101</v>
      </c>
      <c r="AH1601" s="25">
        <f>IF(AL1601=0,K1601,0)</f>
        <v>0</v>
      </c>
      <c r="AI1601" s="25">
        <f>IF(AL1601=12,K1601,0)</f>
        <v>0</v>
      </c>
      <c r="AJ1601" s="25">
        <f>IF(AL1601=21,K1601,0)</f>
        <v>0</v>
      </c>
      <c r="AL1601" s="25">
        <v>21</v>
      </c>
      <c r="AM1601" s="25">
        <f>H1601*0.141145374</f>
        <v>0</v>
      </c>
      <c r="AN1601" s="25">
        <f>H1601*(1-0.141145374)</f>
        <v>0</v>
      </c>
      <c r="AO1601" s="27" t="s">
        <v>57</v>
      </c>
      <c r="AT1601" s="25">
        <f>ROUND(AU1601+AV1601,2)</f>
        <v>0</v>
      </c>
      <c r="AU1601" s="25">
        <f>ROUND(G1601*AM1601,2)</f>
        <v>0</v>
      </c>
      <c r="AV1601" s="25">
        <f>ROUND(G1601*AN1601,2)</f>
        <v>0</v>
      </c>
      <c r="AW1601" s="27" t="s">
        <v>1071</v>
      </c>
      <c r="AX1601" s="27" t="s">
        <v>1104</v>
      </c>
      <c r="AY1601" s="10" t="s">
        <v>1105</v>
      </c>
      <c r="BA1601" s="25">
        <f>AU1601+AV1601</f>
        <v>0</v>
      </c>
      <c r="BB1601" s="25">
        <f>H1601/(100-BC1601)*100</f>
        <v>0</v>
      </c>
      <c r="BC1601" s="25">
        <v>0</v>
      </c>
      <c r="BD1601" s="25">
        <f>M1601</f>
        <v>3.0000000000000004E-5</v>
      </c>
      <c r="BF1601" s="25">
        <f>G1601*AM1601</f>
        <v>0</v>
      </c>
      <c r="BG1601" s="25">
        <f>G1601*AN1601</f>
        <v>0</v>
      </c>
      <c r="BH1601" s="25">
        <f>G1601*H1601</f>
        <v>0</v>
      </c>
      <c r="BI1601" s="27" t="s">
        <v>65</v>
      </c>
      <c r="BJ1601" s="25">
        <v>95</v>
      </c>
      <c r="BU1601" s="25" t="e">
        <f>#REF!</f>
        <v>#REF!</v>
      </c>
      <c r="BV1601" s="4" t="s">
        <v>1074</v>
      </c>
    </row>
    <row r="1602" spans="1:74" ht="14.4" x14ac:dyDescent="0.3">
      <c r="A1602" s="28"/>
      <c r="D1602" s="29" t="s">
        <v>87</v>
      </c>
      <c r="E1602" s="29" t="s">
        <v>52</v>
      </c>
      <c r="G1602" s="30">
        <v>3</v>
      </c>
      <c r="H1602" s="63"/>
      <c r="N1602" s="31"/>
    </row>
    <row r="1603" spans="1:74" ht="14.4" x14ac:dyDescent="0.3">
      <c r="A1603" s="2" t="s">
        <v>1697</v>
      </c>
      <c r="B1603" s="3" t="s">
        <v>1101</v>
      </c>
      <c r="C1603" s="3" t="s">
        <v>1076</v>
      </c>
      <c r="D1603" s="112" t="s">
        <v>1077</v>
      </c>
      <c r="E1603" s="109"/>
      <c r="F1603" s="3" t="s">
        <v>122</v>
      </c>
      <c r="G1603" s="25">
        <v>3</v>
      </c>
      <c r="H1603" s="62"/>
      <c r="I1603" s="25">
        <f>ROUND(G1603*AM1603,2)</f>
        <v>0</v>
      </c>
      <c r="J1603" s="25">
        <f>ROUND(G1603*AN1603,2)</f>
        <v>0</v>
      </c>
      <c r="K1603" s="25">
        <f>ROUND(G1603*H1603,2)</f>
        <v>0</v>
      </c>
      <c r="L1603" s="25">
        <v>2.2000000000000001E-3</v>
      </c>
      <c r="M1603" s="25">
        <f>G1603*L1603</f>
        <v>6.6E-3</v>
      </c>
      <c r="N1603" s="26"/>
      <c r="X1603" s="25">
        <f>ROUND(IF(AO1603="5",BH1603,0),2)</f>
        <v>0</v>
      </c>
      <c r="Z1603" s="25">
        <f>ROUND(IF(AO1603="1",BF1603,0),2)</f>
        <v>0</v>
      </c>
      <c r="AA1603" s="25">
        <f>ROUND(IF(AO1603="1",BG1603,0),2)</f>
        <v>0</v>
      </c>
      <c r="AB1603" s="25">
        <f>ROUND(IF(AO1603="7",BF1603,0),2)</f>
        <v>0</v>
      </c>
      <c r="AC1603" s="25">
        <f>ROUND(IF(AO1603="7",BG1603,0),2)</f>
        <v>0</v>
      </c>
      <c r="AD1603" s="25">
        <f>ROUND(IF(AO1603="2",BF1603,0),2)</f>
        <v>0</v>
      </c>
      <c r="AE1603" s="25">
        <f>ROUND(IF(AO1603="2",BG1603,0),2)</f>
        <v>0</v>
      </c>
      <c r="AF1603" s="25">
        <f>ROUND(IF(AO1603="0",BH1603,0),2)</f>
        <v>0</v>
      </c>
      <c r="AG1603" s="10" t="s">
        <v>1101</v>
      </c>
      <c r="AH1603" s="25">
        <f>IF(AL1603=0,K1603,0)</f>
        <v>0</v>
      </c>
      <c r="AI1603" s="25">
        <f>IF(AL1603=12,K1603,0)</f>
        <v>0</v>
      </c>
      <c r="AJ1603" s="25">
        <f>IF(AL1603=21,K1603,0)</f>
        <v>0</v>
      </c>
      <c r="AL1603" s="25">
        <v>21</v>
      </c>
      <c r="AM1603" s="25">
        <f>H1603*1</f>
        <v>0</v>
      </c>
      <c r="AN1603" s="25">
        <f>H1603*(1-1)</f>
        <v>0</v>
      </c>
      <c r="AO1603" s="27" t="s">
        <v>57</v>
      </c>
      <c r="AT1603" s="25">
        <f>ROUND(AU1603+AV1603,2)</f>
        <v>0</v>
      </c>
      <c r="AU1603" s="25">
        <f>ROUND(G1603*AM1603,2)</f>
        <v>0</v>
      </c>
      <c r="AV1603" s="25">
        <f>ROUND(G1603*AN1603,2)</f>
        <v>0</v>
      </c>
      <c r="AW1603" s="27" t="s">
        <v>1071</v>
      </c>
      <c r="AX1603" s="27" t="s">
        <v>1104</v>
      </c>
      <c r="AY1603" s="10" t="s">
        <v>1105</v>
      </c>
      <c r="BA1603" s="25">
        <f>AU1603+AV1603</f>
        <v>0</v>
      </c>
      <c r="BB1603" s="25">
        <f>H1603/(100-BC1603)*100</f>
        <v>0</v>
      </c>
      <c r="BC1603" s="25">
        <v>0</v>
      </c>
      <c r="BD1603" s="25">
        <f>M1603</f>
        <v>6.6E-3</v>
      </c>
      <c r="BF1603" s="25">
        <f>G1603*AM1603</f>
        <v>0</v>
      </c>
      <c r="BG1603" s="25">
        <f>G1603*AN1603</f>
        <v>0</v>
      </c>
      <c r="BH1603" s="25">
        <f>G1603*H1603</f>
        <v>0</v>
      </c>
      <c r="BI1603" s="27" t="s">
        <v>576</v>
      </c>
      <c r="BJ1603" s="25">
        <v>95</v>
      </c>
      <c r="BU1603" s="25" t="e">
        <f>#REF!</f>
        <v>#REF!</v>
      </c>
      <c r="BV1603" s="4" t="s">
        <v>1077</v>
      </c>
    </row>
    <row r="1604" spans="1:74" ht="14.4" x14ac:dyDescent="0.3">
      <c r="A1604" s="28"/>
      <c r="D1604" s="29" t="s">
        <v>87</v>
      </c>
      <c r="E1604" s="29" t="s">
        <v>52</v>
      </c>
      <c r="G1604" s="30">
        <v>3</v>
      </c>
      <c r="H1604" s="63"/>
      <c r="N1604" s="31"/>
    </row>
    <row r="1605" spans="1:74" ht="14.4" x14ac:dyDescent="0.3">
      <c r="A1605" s="21" t="s">
        <v>52</v>
      </c>
      <c r="B1605" s="22" t="s">
        <v>1101</v>
      </c>
      <c r="C1605" s="22" t="s">
        <v>1078</v>
      </c>
      <c r="D1605" s="170" t="s">
        <v>1079</v>
      </c>
      <c r="E1605" s="171"/>
      <c r="F1605" s="23" t="s">
        <v>32</v>
      </c>
      <c r="G1605" s="23" t="s">
        <v>32</v>
      </c>
      <c r="H1605" s="64"/>
      <c r="I1605" s="1">
        <f>SUM(I1606:I1606)</f>
        <v>0</v>
      </c>
      <c r="J1605" s="1">
        <f>SUM(J1606:J1606)</f>
        <v>0</v>
      </c>
      <c r="K1605" s="1">
        <f>SUM(K1606:K1606)</f>
        <v>0</v>
      </c>
      <c r="L1605" s="10" t="s">
        <v>52</v>
      </c>
      <c r="M1605" s="1">
        <f>SUM(M1606:M1606)</f>
        <v>0</v>
      </c>
      <c r="N1605" s="24"/>
      <c r="AG1605" s="10" t="s">
        <v>1101</v>
      </c>
      <c r="AQ1605" s="1">
        <f>SUM(AH1606:AH1606)</f>
        <v>0</v>
      </c>
      <c r="AR1605" s="1">
        <f>SUM(AI1606:AI1606)</f>
        <v>0</v>
      </c>
      <c r="AS1605" s="1">
        <f>SUM(AJ1606:AJ1606)</f>
        <v>0</v>
      </c>
    </row>
    <row r="1606" spans="1:74" ht="14.4" x14ac:dyDescent="0.3">
      <c r="A1606" s="2" t="s">
        <v>1698</v>
      </c>
      <c r="B1606" s="3" t="s">
        <v>1101</v>
      </c>
      <c r="C1606" s="3" t="s">
        <v>1081</v>
      </c>
      <c r="D1606" s="112" t="s">
        <v>1082</v>
      </c>
      <c r="E1606" s="109"/>
      <c r="F1606" s="3" t="s">
        <v>278</v>
      </c>
      <c r="G1606" s="25">
        <v>70.390690000000006</v>
      </c>
      <c r="H1606" s="62"/>
      <c r="I1606" s="25">
        <f>ROUND(G1606*AM1606,2)</f>
        <v>0</v>
      </c>
      <c r="J1606" s="25">
        <f>ROUND(G1606*AN1606,2)</f>
        <v>0</v>
      </c>
      <c r="K1606" s="25">
        <f>ROUND(G1606*H1606,2)</f>
        <v>0</v>
      </c>
      <c r="L1606" s="25">
        <v>0</v>
      </c>
      <c r="M1606" s="25">
        <f>G1606*L1606</f>
        <v>0</v>
      </c>
      <c r="N1606" s="26"/>
      <c r="X1606" s="25">
        <f>ROUND(IF(AO1606="5",BH1606,0),2)</f>
        <v>0</v>
      </c>
      <c r="Z1606" s="25">
        <f>ROUND(IF(AO1606="1",BF1606,0),2)</f>
        <v>0</v>
      </c>
      <c r="AA1606" s="25">
        <f>ROUND(IF(AO1606="1",BG1606,0),2)</f>
        <v>0</v>
      </c>
      <c r="AB1606" s="25">
        <f>ROUND(IF(AO1606="7",BF1606,0),2)</f>
        <v>0</v>
      </c>
      <c r="AC1606" s="25">
        <f>ROUND(IF(AO1606="7",BG1606,0),2)</f>
        <v>0</v>
      </c>
      <c r="AD1606" s="25">
        <f>ROUND(IF(AO1606="2",BF1606,0),2)</f>
        <v>0</v>
      </c>
      <c r="AE1606" s="25">
        <f>ROUND(IF(AO1606="2",BG1606,0),2)</f>
        <v>0</v>
      </c>
      <c r="AF1606" s="25">
        <f>ROUND(IF(AO1606="0",BH1606,0),2)</f>
        <v>0</v>
      </c>
      <c r="AG1606" s="10" t="s">
        <v>1101</v>
      </c>
      <c r="AH1606" s="25">
        <f>IF(AL1606=0,K1606,0)</f>
        <v>0</v>
      </c>
      <c r="AI1606" s="25">
        <f>IF(AL1606=12,K1606,0)</f>
        <v>0</v>
      </c>
      <c r="AJ1606" s="25">
        <f>IF(AL1606=21,K1606,0)</f>
        <v>0</v>
      </c>
      <c r="AL1606" s="25">
        <v>21</v>
      </c>
      <c r="AM1606" s="25">
        <f>H1606*0</f>
        <v>0</v>
      </c>
      <c r="AN1606" s="25">
        <f>H1606*(1-0)</f>
        <v>0</v>
      </c>
      <c r="AO1606" s="27" t="s">
        <v>97</v>
      </c>
      <c r="AT1606" s="25">
        <f>ROUND(AU1606+AV1606,2)</f>
        <v>0</v>
      </c>
      <c r="AU1606" s="25">
        <f>ROUND(G1606*AM1606,2)</f>
        <v>0</v>
      </c>
      <c r="AV1606" s="25">
        <f>ROUND(G1606*AN1606,2)</f>
        <v>0</v>
      </c>
      <c r="AW1606" s="27" t="s">
        <v>1083</v>
      </c>
      <c r="AX1606" s="27" t="s">
        <v>1104</v>
      </c>
      <c r="AY1606" s="10" t="s">
        <v>1105</v>
      </c>
      <c r="BA1606" s="25">
        <f>AU1606+AV1606</f>
        <v>0</v>
      </c>
      <c r="BB1606" s="25">
        <f>H1606/(100-BC1606)*100</f>
        <v>0</v>
      </c>
      <c r="BC1606" s="25">
        <v>0</v>
      </c>
      <c r="BD1606" s="25">
        <f>M1606</f>
        <v>0</v>
      </c>
      <c r="BF1606" s="25">
        <f>G1606*AM1606</f>
        <v>0</v>
      </c>
      <c r="BG1606" s="25">
        <f>G1606*AN1606</f>
        <v>0</v>
      </c>
      <c r="BH1606" s="25">
        <f>G1606*H1606</f>
        <v>0</v>
      </c>
      <c r="BI1606" s="27" t="s">
        <v>65</v>
      </c>
      <c r="BJ1606" s="25"/>
      <c r="BU1606" s="25" t="e">
        <f>#REF!</f>
        <v>#REF!</v>
      </c>
      <c r="BV1606" s="4" t="s">
        <v>1082</v>
      </c>
    </row>
    <row r="1607" spans="1:74" ht="14.4" x14ac:dyDescent="0.3">
      <c r="A1607" s="95" t="s">
        <v>52</v>
      </c>
      <c r="B1607" s="96" t="s">
        <v>1699</v>
      </c>
      <c r="C1607" s="96" t="s">
        <v>52</v>
      </c>
      <c r="D1607" s="179" t="s">
        <v>1700</v>
      </c>
      <c r="E1607" s="180"/>
      <c r="F1607" s="97" t="s">
        <v>32</v>
      </c>
      <c r="G1607" s="97" t="s">
        <v>32</v>
      </c>
      <c r="H1607" s="98"/>
      <c r="I1607" s="99">
        <f>I1608+I1636+I1689+I1717+I1720+I1737+I1746+I1757+I1799+I1830+I1845+I1891+I1916+I1938+I1943+I1948</f>
        <v>0</v>
      </c>
      <c r="J1607" s="99">
        <f>J1608+J1636+J1689+J1717+J1720+J1737+J1746+J1757+J1799+J1830+J1845+J1891+J1916+J1938+J1943+J1948</f>
        <v>0</v>
      </c>
      <c r="K1607" s="99">
        <f>K1608+K1636+K1689+K1717+K1720+K1737+K1746+K1757+K1799+K1830+K1845+K1891+K1916+K1938+K1943+K1948</f>
        <v>0</v>
      </c>
      <c r="L1607" s="100" t="s">
        <v>52</v>
      </c>
      <c r="M1607" s="99">
        <f>M1608+M1636+M1689+M1717+M1720+M1737+M1746+M1757+M1799+M1830+M1845+M1891+M1916+M1938+M1943+M1948</f>
        <v>17.405386399999998</v>
      </c>
      <c r="N1607" s="101"/>
    </row>
    <row r="1608" spans="1:74" ht="14.4" x14ac:dyDescent="0.3">
      <c r="A1608" s="21" t="s">
        <v>52</v>
      </c>
      <c r="B1608" s="22" t="s">
        <v>1699</v>
      </c>
      <c r="C1608" s="22" t="s">
        <v>1050</v>
      </c>
      <c r="D1608" s="170" t="s">
        <v>1701</v>
      </c>
      <c r="E1608" s="171"/>
      <c r="F1608" s="23" t="s">
        <v>32</v>
      </c>
      <c r="G1608" s="23" t="s">
        <v>32</v>
      </c>
      <c r="H1608" s="64"/>
      <c r="I1608" s="1">
        <f>SUM(I1609:I1634)</f>
        <v>0</v>
      </c>
      <c r="J1608" s="1">
        <f>SUM(J1609:J1634)</f>
        <v>0</v>
      </c>
      <c r="K1608" s="1">
        <f>SUM(K1609:K1634)</f>
        <v>0</v>
      </c>
      <c r="L1608" s="10" t="s">
        <v>52</v>
      </c>
      <c r="M1608" s="1">
        <f>SUM(M1609:M1634)</f>
        <v>4.5659999999999992E-2</v>
      </c>
      <c r="N1608" s="24"/>
      <c r="AG1608" s="10" t="s">
        <v>1699</v>
      </c>
      <c r="AQ1608" s="1">
        <f>SUM(AH1609:AH1634)</f>
        <v>0</v>
      </c>
      <c r="AR1608" s="1">
        <f>SUM(AI1609:AI1634)</f>
        <v>0</v>
      </c>
      <c r="AS1608" s="1">
        <f>SUM(AJ1609:AJ1634)</f>
        <v>0</v>
      </c>
    </row>
    <row r="1609" spans="1:74" ht="14.4" x14ac:dyDescent="0.3">
      <c r="A1609" s="2" t="s">
        <v>1702</v>
      </c>
      <c r="B1609" s="3" t="s">
        <v>1699</v>
      </c>
      <c r="C1609" s="3" t="s">
        <v>1703</v>
      </c>
      <c r="D1609" s="112" t="s">
        <v>1704</v>
      </c>
      <c r="E1609" s="109"/>
      <c r="F1609" s="3" t="s">
        <v>115</v>
      </c>
      <c r="G1609" s="25">
        <v>364</v>
      </c>
      <c r="H1609" s="62"/>
      <c r="I1609" s="25">
        <f>ROUND(G1609*AM1609,2)</f>
        <v>0</v>
      </c>
      <c r="J1609" s="25">
        <f>ROUND(G1609*AN1609,2)</f>
        <v>0</v>
      </c>
      <c r="K1609" s="25">
        <f>ROUND(G1609*H1609,2)</f>
        <v>0</v>
      </c>
      <c r="L1609" s="25">
        <v>0</v>
      </c>
      <c r="M1609" s="25">
        <f>G1609*L1609</f>
        <v>0</v>
      </c>
      <c r="N1609" s="26"/>
      <c r="X1609" s="25">
        <f>ROUND(IF(AO1609="5",BH1609,0),2)</f>
        <v>0</v>
      </c>
      <c r="Z1609" s="25">
        <f>ROUND(IF(AO1609="1",BF1609,0),2)</f>
        <v>0</v>
      </c>
      <c r="AA1609" s="25">
        <f>ROUND(IF(AO1609="1",BG1609,0),2)</f>
        <v>0</v>
      </c>
      <c r="AB1609" s="25">
        <f>ROUND(IF(AO1609="7",BF1609,0),2)</f>
        <v>0</v>
      </c>
      <c r="AC1609" s="25">
        <f>ROUND(IF(AO1609="7",BG1609,0),2)</f>
        <v>0</v>
      </c>
      <c r="AD1609" s="25">
        <f>ROUND(IF(AO1609="2",BF1609,0),2)</f>
        <v>0</v>
      </c>
      <c r="AE1609" s="25">
        <f>ROUND(IF(AO1609="2",BG1609,0),2)</f>
        <v>0</v>
      </c>
      <c r="AF1609" s="25">
        <f>ROUND(IF(AO1609="0",BH1609,0),2)</f>
        <v>0</v>
      </c>
      <c r="AG1609" s="10" t="s">
        <v>1699</v>
      </c>
      <c r="AH1609" s="25">
        <f>IF(AL1609=0,K1609,0)</f>
        <v>0</v>
      </c>
      <c r="AI1609" s="25">
        <f>IF(AL1609=12,K1609,0)</f>
        <v>0</v>
      </c>
      <c r="AJ1609" s="25">
        <f>IF(AL1609=21,K1609,0)</f>
        <v>0</v>
      </c>
      <c r="AL1609" s="25">
        <v>21</v>
      </c>
      <c r="AM1609" s="25">
        <f>H1609*0</f>
        <v>0</v>
      </c>
      <c r="AN1609" s="25">
        <f>H1609*(1-0)</f>
        <v>0</v>
      </c>
      <c r="AO1609" s="27" t="s">
        <v>57</v>
      </c>
      <c r="AT1609" s="25">
        <f>ROUND(AU1609+AV1609,2)</f>
        <v>0</v>
      </c>
      <c r="AU1609" s="25">
        <f>ROUND(G1609*AM1609,2)</f>
        <v>0</v>
      </c>
      <c r="AV1609" s="25">
        <f>ROUND(G1609*AN1609,2)</f>
        <v>0</v>
      </c>
      <c r="AW1609" s="27" t="s">
        <v>1705</v>
      </c>
      <c r="AX1609" s="27" t="s">
        <v>1706</v>
      </c>
      <c r="AY1609" s="10" t="s">
        <v>1707</v>
      </c>
      <c r="BA1609" s="25">
        <f>AU1609+AV1609</f>
        <v>0</v>
      </c>
      <c r="BB1609" s="25">
        <f>H1609/(100-BC1609)*100</f>
        <v>0</v>
      </c>
      <c r="BC1609" s="25">
        <v>0</v>
      </c>
      <c r="BD1609" s="25">
        <f>M1609</f>
        <v>0</v>
      </c>
      <c r="BF1609" s="25">
        <f>G1609*AM1609</f>
        <v>0</v>
      </c>
      <c r="BG1609" s="25">
        <f>G1609*AN1609</f>
        <v>0</v>
      </c>
      <c r="BH1609" s="25">
        <f>G1609*H1609</f>
        <v>0</v>
      </c>
      <c r="BI1609" s="27" t="s">
        <v>65</v>
      </c>
      <c r="BJ1609" s="25">
        <v>0</v>
      </c>
      <c r="BU1609" s="25" t="e">
        <f>#REF!</f>
        <v>#REF!</v>
      </c>
      <c r="BV1609" s="4" t="s">
        <v>1704</v>
      </c>
    </row>
    <row r="1610" spans="1:74" ht="14.4" x14ac:dyDescent="0.3">
      <c r="A1610" s="2" t="s">
        <v>1708</v>
      </c>
      <c r="B1610" s="3" t="s">
        <v>1699</v>
      </c>
      <c r="C1610" s="3" t="s">
        <v>1709</v>
      </c>
      <c r="D1610" s="112" t="s">
        <v>1710</v>
      </c>
      <c r="E1610" s="109"/>
      <c r="F1610" s="3" t="s">
        <v>115</v>
      </c>
      <c r="G1610" s="25">
        <v>91</v>
      </c>
      <c r="H1610" s="62"/>
      <c r="I1610" s="25">
        <f>ROUND(G1610*AM1610,2)</f>
        <v>0</v>
      </c>
      <c r="J1610" s="25">
        <f>ROUND(G1610*AN1610,2)</f>
        <v>0</v>
      </c>
      <c r="K1610" s="25">
        <f>ROUND(G1610*H1610,2)</f>
        <v>0</v>
      </c>
      <c r="L1610" s="25">
        <v>0</v>
      </c>
      <c r="M1610" s="25">
        <f>G1610*L1610</f>
        <v>0</v>
      </c>
      <c r="N1610" s="26"/>
      <c r="X1610" s="25">
        <f>ROUND(IF(AO1610="5",BH1610,0),2)</f>
        <v>0</v>
      </c>
      <c r="Z1610" s="25">
        <f>ROUND(IF(AO1610="1",BF1610,0),2)</f>
        <v>0</v>
      </c>
      <c r="AA1610" s="25">
        <f>ROUND(IF(AO1610="1",BG1610,0),2)</f>
        <v>0</v>
      </c>
      <c r="AB1610" s="25">
        <f>ROUND(IF(AO1610="7",BF1610,0),2)</f>
        <v>0</v>
      </c>
      <c r="AC1610" s="25">
        <f>ROUND(IF(AO1610="7",BG1610,0),2)</f>
        <v>0</v>
      </c>
      <c r="AD1610" s="25">
        <f>ROUND(IF(AO1610="2",BF1610,0),2)</f>
        <v>0</v>
      </c>
      <c r="AE1610" s="25">
        <f>ROUND(IF(AO1610="2",BG1610,0),2)</f>
        <v>0</v>
      </c>
      <c r="AF1610" s="25">
        <f>ROUND(IF(AO1610="0",BH1610,0),2)</f>
        <v>0</v>
      </c>
      <c r="AG1610" s="10" t="s">
        <v>1699</v>
      </c>
      <c r="AH1610" s="25">
        <f>IF(AL1610=0,K1610,0)</f>
        <v>0</v>
      </c>
      <c r="AI1610" s="25">
        <f>IF(AL1610=12,K1610,0)</f>
        <v>0</v>
      </c>
      <c r="AJ1610" s="25">
        <f>IF(AL1610=21,K1610,0)</f>
        <v>0</v>
      </c>
      <c r="AL1610" s="25">
        <v>21</v>
      </c>
      <c r="AM1610" s="25">
        <f>H1610*0</f>
        <v>0</v>
      </c>
      <c r="AN1610" s="25">
        <f>H1610*(1-0)</f>
        <v>0</v>
      </c>
      <c r="AO1610" s="27" t="s">
        <v>57</v>
      </c>
      <c r="AT1610" s="25">
        <f>ROUND(AU1610+AV1610,2)</f>
        <v>0</v>
      </c>
      <c r="AU1610" s="25">
        <f>ROUND(G1610*AM1610,2)</f>
        <v>0</v>
      </c>
      <c r="AV1610" s="25">
        <f>ROUND(G1610*AN1610,2)</f>
        <v>0</v>
      </c>
      <c r="AW1610" s="27" t="s">
        <v>1705</v>
      </c>
      <c r="AX1610" s="27" t="s">
        <v>1706</v>
      </c>
      <c r="AY1610" s="10" t="s">
        <v>1707</v>
      </c>
      <c r="BA1610" s="25">
        <f>AU1610+AV1610</f>
        <v>0</v>
      </c>
      <c r="BB1610" s="25">
        <f>H1610/(100-BC1610)*100</f>
        <v>0</v>
      </c>
      <c r="BC1610" s="25">
        <v>0</v>
      </c>
      <c r="BD1610" s="25">
        <f>M1610</f>
        <v>0</v>
      </c>
      <c r="BF1610" s="25">
        <f>G1610*AM1610</f>
        <v>0</v>
      </c>
      <c r="BG1610" s="25">
        <f>G1610*AN1610</f>
        <v>0</v>
      </c>
      <c r="BH1610" s="25">
        <f>G1610*H1610</f>
        <v>0</v>
      </c>
      <c r="BI1610" s="27" t="s">
        <v>65</v>
      </c>
      <c r="BJ1610" s="25">
        <v>0</v>
      </c>
      <c r="BU1610" s="25" t="e">
        <f>#REF!</f>
        <v>#REF!</v>
      </c>
      <c r="BV1610" s="4" t="s">
        <v>1710</v>
      </c>
    </row>
    <row r="1611" spans="1:74" ht="14.4" x14ac:dyDescent="0.3">
      <c r="A1611" s="2" t="s">
        <v>1711</v>
      </c>
      <c r="B1611" s="3" t="s">
        <v>1699</v>
      </c>
      <c r="C1611" s="3" t="s">
        <v>1712</v>
      </c>
      <c r="D1611" s="112" t="s">
        <v>1713</v>
      </c>
      <c r="E1611" s="109"/>
      <c r="F1611" s="3" t="s">
        <v>115</v>
      </c>
      <c r="G1611" s="25">
        <v>90</v>
      </c>
      <c r="H1611" s="62"/>
      <c r="I1611" s="25">
        <f>ROUND(G1611*AM1611,2)</f>
        <v>0</v>
      </c>
      <c r="J1611" s="25">
        <f>ROUND(G1611*AN1611,2)</f>
        <v>0</v>
      </c>
      <c r="K1611" s="25">
        <f>ROUND(G1611*H1611,2)</f>
        <v>0</v>
      </c>
      <c r="L1611" s="25">
        <v>0</v>
      </c>
      <c r="M1611" s="25">
        <f>G1611*L1611</f>
        <v>0</v>
      </c>
      <c r="N1611" s="26"/>
      <c r="X1611" s="25">
        <f>ROUND(IF(AO1611="5",BH1611,0),2)</f>
        <v>0</v>
      </c>
      <c r="Z1611" s="25">
        <f>ROUND(IF(AO1611="1",BF1611,0),2)</f>
        <v>0</v>
      </c>
      <c r="AA1611" s="25">
        <f>ROUND(IF(AO1611="1",BG1611,0),2)</f>
        <v>0</v>
      </c>
      <c r="AB1611" s="25">
        <f>ROUND(IF(AO1611="7",BF1611,0),2)</f>
        <v>0</v>
      </c>
      <c r="AC1611" s="25">
        <f>ROUND(IF(AO1611="7",BG1611,0),2)</f>
        <v>0</v>
      </c>
      <c r="AD1611" s="25">
        <f>ROUND(IF(AO1611="2",BF1611,0),2)</f>
        <v>0</v>
      </c>
      <c r="AE1611" s="25">
        <f>ROUND(IF(AO1611="2",BG1611,0),2)</f>
        <v>0</v>
      </c>
      <c r="AF1611" s="25">
        <f>ROUND(IF(AO1611="0",BH1611,0),2)</f>
        <v>0</v>
      </c>
      <c r="AG1611" s="10" t="s">
        <v>1699</v>
      </c>
      <c r="AH1611" s="25">
        <f>IF(AL1611=0,K1611,0)</f>
        <v>0</v>
      </c>
      <c r="AI1611" s="25">
        <f>IF(AL1611=12,K1611,0)</f>
        <v>0</v>
      </c>
      <c r="AJ1611" s="25">
        <f>IF(AL1611=21,K1611,0)</f>
        <v>0</v>
      </c>
      <c r="AL1611" s="25">
        <v>21</v>
      </c>
      <c r="AM1611" s="25">
        <f>H1611*0</f>
        <v>0</v>
      </c>
      <c r="AN1611" s="25">
        <f>H1611*(1-0)</f>
        <v>0</v>
      </c>
      <c r="AO1611" s="27" t="s">
        <v>57</v>
      </c>
      <c r="AT1611" s="25">
        <f>ROUND(AU1611+AV1611,2)</f>
        <v>0</v>
      </c>
      <c r="AU1611" s="25">
        <f>ROUND(G1611*AM1611,2)</f>
        <v>0</v>
      </c>
      <c r="AV1611" s="25">
        <f>ROUND(G1611*AN1611,2)</f>
        <v>0</v>
      </c>
      <c r="AW1611" s="27" t="s">
        <v>1705</v>
      </c>
      <c r="AX1611" s="27" t="s">
        <v>1706</v>
      </c>
      <c r="AY1611" s="10" t="s">
        <v>1707</v>
      </c>
      <c r="BA1611" s="25">
        <f>AU1611+AV1611</f>
        <v>0</v>
      </c>
      <c r="BB1611" s="25">
        <f>H1611/(100-BC1611)*100</f>
        <v>0</v>
      </c>
      <c r="BC1611" s="25">
        <v>0</v>
      </c>
      <c r="BD1611" s="25">
        <f>M1611</f>
        <v>0</v>
      </c>
      <c r="BF1611" s="25">
        <f>G1611*AM1611</f>
        <v>0</v>
      </c>
      <c r="BG1611" s="25">
        <f>G1611*AN1611</f>
        <v>0</v>
      </c>
      <c r="BH1611" s="25">
        <f>G1611*H1611</f>
        <v>0</v>
      </c>
      <c r="BI1611" s="27" t="s">
        <v>65</v>
      </c>
      <c r="BJ1611" s="25">
        <v>0</v>
      </c>
      <c r="BU1611" s="25" t="e">
        <f>#REF!</f>
        <v>#REF!</v>
      </c>
      <c r="BV1611" s="4" t="s">
        <v>1713</v>
      </c>
    </row>
    <row r="1612" spans="1:74" ht="14.4" x14ac:dyDescent="0.3">
      <c r="A1612" s="2" t="s">
        <v>1714</v>
      </c>
      <c r="B1612" s="3" t="s">
        <v>1699</v>
      </c>
      <c r="C1612" s="3" t="s">
        <v>1715</v>
      </c>
      <c r="D1612" s="112" t="s">
        <v>1716</v>
      </c>
      <c r="E1612" s="109"/>
      <c r="F1612" s="3" t="s">
        <v>115</v>
      </c>
      <c r="G1612" s="25">
        <v>74</v>
      </c>
      <c r="H1612" s="62"/>
      <c r="I1612" s="25">
        <f>ROUND(G1612*AM1612,2)</f>
        <v>0</v>
      </c>
      <c r="J1612" s="25">
        <f>ROUND(G1612*AN1612,2)</f>
        <v>0</v>
      </c>
      <c r="K1612" s="25">
        <f>ROUND(G1612*H1612,2)</f>
        <v>0</v>
      </c>
      <c r="L1612" s="25">
        <v>3.0000000000000001E-5</v>
      </c>
      <c r="M1612" s="25">
        <f>G1612*L1612</f>
        <v>2.2200000000000002E-3</v>
      </c>
      <c r="N1612" s="26"/>
      <c r="X1612" s="25">
        <f>ROUND(IF(AO1612="5",BH1612,0),2)</f>
        <v>0</v>
      </c>
      <c r="Z1612" s="25">
        <f>ROUND(IF(AO1612="1",BF1612,0),2)</f>
        <v>0</v>
      </c>
      <c r="AA1612" s="25">
        <f>ROUND(IF(AO1612="1",BG1612,0),2)</f>
        <v>0</v>
      </c>
      <c r="AB1612" s="25">
        <f>ROUND(IF(AO1612="7",BF1612,0),2)</f>
        <v>0</v>
      </c>
      <c r="AC1612" s="25">
        <f>ROUND(IF(AO1612="7",BG1612,0),2)</f>
        <v>0</v>
      </c>
      <c r="AD1612" s="25">
        <f>ROUND(IF(AO1612="2",BF1612,0),2)</f>
        <v>0</v>
      </c>
      <c r="AE1612" s="25">
        <f>ROUND(IF(AO1612="2",BG1612,0),2)</f>
        <v>0</v>
      </c>
      <c r="AF1612" s="25">
        <f>ROUND(IF(AO1612="0",BH1612,0),2)</f>
        <v>0</v>
      </c>
      <c r="AG1612" s="10" t="s">
        <v>1699</v>
      </c>
      <c r="AH1612" s="25">
        <f>IF(AL1612=0,K1612,0)</f>
        <v>0</v>
      </c>
      <c r="AI1612" s="25">
        <f>IF(AL1612=12,K1612,0)</f>
        <v>0</v>
      </c>
      <c r="AJ1612" s="25">
        <f>IF(AL1612=21,K1612,0)</f>
        <v>0</v>
      </c>
      <c r="AL1612" s="25">
        <v>21</v>
      </c>
      <c r="AM1612" s="25">
        <f>H1612*1</f>
        <v>0</v>
      </c>
      <c r="AN1612" s="25">
        <f>H1612*(1-1)</f>
        <v>0</v>
      </c>
      <c r="AO1612" s="27" t="s">
        <v>57</v>
      </c>
      <c r="AT1612" s="25">
        <f>ROUND(AU1612+AV1612,2)</f>
        <v>0</v>
      </c>
      <c r="AU1612" s="25">
        <f>ROUND(G1612*AM1612,2)</f>
        <v>0</v>
      </c>
      <c r="AV1612" s="25">
        <f>ROUND(G1612*AN1612,2)</f>
        <v>0</v>
      </c>
      <c r="AW1612" s="27" t="s">
        <v>1705</v>
      </c>
      <c r="AX1612" s="27" t="s">
        <v>1706</v>
      </c>
      <c r="AY1612" s="10" t="s">
        <v>1707</v>
      </c>
      <c r="BA1612" s="25">
        <f>AU1612+AV1612</f>
        <v>0</v>
      </c>
      <c r="BB1612" s="25">
        <f>H1612/(100-BC1612)*100</f>
        <v>0</v>
      </c>
      <c r="BC1612" s="25">
        <v>0</v>
      </c>
      <c r="BD1612" s="25">
        <f>M1612</f>
        <v>2.2200000000000002E-3</v>
      </c>
      <c r="BF1612" s="25">
        <f>G1612*AM1612</f>
        <v>0</v>
      </c>
      <c r="BG1612" s="25">
        <f>G1612*AN1612</f>
        <v>0</v>
      </c>
      <c r="BH1612" s="25">
        <f>G1612*H1612</f>
        <v>0</v>
      </c>
      <c r="BI1612" s="27" t="s">
        <v>65</v>
      </c>
      <c r="BJ1612" s="25">
        <v>0</v>
      </c>
      <c r="BU1612" s="25" t="e">
        <f>#REF!</f>
        <v>#REF!</v>
      </c>
      <c r="BV1612" s="4" t="s">
        <v>1716</v>
      </c>
    </row>
    <row r="1613" spans="1:74" ht="14.4" x14ac:dyDescent="0.3">
      <c r="A1613" s="28"/>
      <c r="D1613" s="29" t="s">
        <v>502</v>
      </c>
      <c r="E1613" s="29" t="s">
        <v>52</v>
      </c>
      <c r="G1613" s="30">
        <v>74</v>
      </c>
      <c r="H1613" s="63"/>
      <c r="N1613" s="31"/>
    </row>
    <row r="1614" spans="1:74" ht="14.4" x14ac:dyDescent="0.3">
      <c r="A1614" s="2" t="s">
        <v>1717</v>
      </c>
      <c r="B1614" s="3" t="s">
        <v>1699</v>
      </c>
      <c r="C1614" s="3" t="s">
        <v>1718</v>
      </c>
      <c r="D1614" s="112" t="s">
        <v>1719</v>
      </c>
      <c r="E1614" s="109"/>
      <c r="F1614" s="3" t="s">
        <v>115</v>
      </c>
      <c r="G1614" s="25">
        <v>76</v>
      </c>
      <c r="H1614" s="62"/>
      <c r="I1614" s="25">
        <f>ROUND(G1614*AM1614,2)</f>
        <v>0</v>
      </c>
      <c r="J1614" s="25">
        <f>ROUND(G1614*AN1614,2)</f>
        <v>0</v>
      </c>
      <c r="K1614" s="25">
        <f>ROUND(G1614*H1614,2)</f>
        <v>0</v>
      </c>
      <c r="L1614" s="25">
        <v>6.0000000000000002E-5</v>
      </c>
      <c r="M1614" s="25">
        <f>G1614*L1614</f>
        <v>4.5599999999999998E-3</v>
      </c>
      <c r="N1614" s="26"/>
      <c r="X1614" s="25">
        <f>ROUND(IF(AO1614="5",BH1614,0),2)</f>
        <v>0</v>
      </c>
      <c r="Z1614" s="25">
        <f>ROUND(IF(AO1614="1",BF1614,0),2)</f>
        <v>0</v>
      </c>
      <c r="AA1614" s="25">
        <f>ROUND(IF(AO1614="1",BG1614,0),2)</f>
        <v>0</v>
      </c>
      <c r="AB1614" s="25">
        <f>ROUND(IF(AO1614="7",BF1614,0),2)</f>
        <v>0</v>
      </c>
      <c r="AC1614" s="25">
        <f>ROUND(IF(AO1614="7",BG1614,0),2)</f>
        <v>0</v>
      </c>
      <c r="AD1614" s="25">
        <f>ROUND(IF(AO1614="2",BF1614,0),2)</f>
        <v>0</v>
      </c>
      <c r="AE1614" s="25">
        <f>ROUND(IF(AO1614="2",BG1614,0),2)</f>
        <v>0</v>
      </c>
      <c r="AF1614" s="25">
        <f>ROUND(IF(AO1614="0",BH1614,0),2)</f>
        <v>0</v>
      </c>
      <c r="AG1614" s="10" t="s">
        <v>1699</v>
      </c>
      <c r="AH1614" s="25">
        <f>IF(AL1614=0,K1614,0)</f>
        <v>0</v>
      </c>
      <c r="AI1614" s="25">
        <f>IF(AL1614=12,K1614,0)</f>
        <v>0</v>
      </c>
      <c r="AJ1614" s="25">
        <f>IF(AL1614=21,K1614,0)</f>
        <v>0</v>
      </c>
      <c r="AL1614" s="25">
        <v>21</v>
      </c>
      <c r="AM1614" s="25">
        <f>H1614*1</f>
        <v>0</v>
      </c>
      <c r="AN1614" s="25">
        <f>H1614*(1-1)</f>
        <v>0</v>
      </c>
      <c r="AO1614" s="27" t="s">
        <v>57</v>
      </c>
      <c r="AT1614" s="25">
        <f>ROUND(AU1614+AV1614,2)</f>
        <v>0</v>
      </c>
      <c r="AU1614" s="25">
        <f>ROUND(G1614*AM1614,2)</f>
        <v>0</v>
      </c>
      <c r="AV1614" s="25">
        <f>ROUND(G1614*AN1614,2)</f>
        <v>0</v>
      </c>
      <c r="AW1614" s="27" t="s">
        <v>1705</v>
      </c>
      <c r="AX1614" s="27" t="s">
        <v>1706</v>
      </c>
      <c r="AY1614" s="10" t="s">
        <v>1707</v>
      </c>
      <c r="BA1614" s="25">
        <f>AU1614+AV1614</f>
        <v>0</v>
      </c>
      <c r="BB1614" s="25">
        <f>H1614/(100-BC1614)*100</f>
        <v>0</v>
      </c>
      <c r="BC1614" s="25">
        <v>0</v>
      </c>
      <c r="BD1614" s="25">
        <f>M1614</f>
        <v>4.5599999999999998E-3</v>
      </c>
      <c r="BF1614" s="25">
        <f>G1614*AM1614</f>
        <v>0</v>
      </c>
      <c r="BG1614" s="25">
        <f>G1614*AN1614</f>
        <v>0</v>
      </c>
      <c r="BH1614" s="25">
        <f>G1614*H1614</f>
        <v>0</v>
      </c>
      <c r="BI1614" s="27" t="s">
        <v>65</v>
      </c>
      <c r="BJ1614" s="25">
        <v>0</v>
      </c>
      <c r="BU1614" s="25" t="e">
        <f>#REF!</f>
        <v>#REF!</v>
      </c>
      <c r="BV1614" s="4" t="s">
        <v>1719</v>
      </c>
    </row>
    <row r="1615" spans="1:74" ht="14.4" x14ac:dyDescent="0.3">
      <c r="A1615" s="28"/>
      <c r="D1615" s="29" t="s">
        <v>505</v>
      </c>
      <c r="E1615" s="29" t="s">
        <v>52</v>
      </c>
      <c r="G1615" s="30">
        <v>76</v>
      </c>
      <c r="H1615" s="63"/>
      <c r="N1615" s="31"/>
    </row>
    <row r="1616" spans="1:74" ht="14.4" x14ac:dyDescent="0.3">
      <c r="A1616" s="2" t="s">
        <v>1720</v>
      </c>
      <c r="B1616" s="3" t="s">
        <v>1699</v>
      </c>
      <c r="C1616" s="3" t="s">
        <v>1721</v>
      </c>
      <c r="D1616" s="112" t="s">
        <v>1722</v>
      </c>
      <c r="E1616" s="109"/>
      <c r="F1616" s="3" t="s">
        <v>115</v>
      </c>
      <c r="G1616" s="25">
        <v>92</v>
      </c>
      <c r="H1616" s="62"/>
      <c r="I1616" s="25">
        <f>ROUND(G1616*AM1616,2)</f>
        <v>0</v>
      </c>
      <c r="J1616" s="25">
        <f>ROUND(G1616*AN1616,2)</f>
        <v>0</v>
      </c>
      <c r="K1616" s="25">
        <f>ROUND(G1616*H1616,2)</f>
        <v>0</v>
      </c>
      <c r="L1616" s="25">
        <v>6.0000000000000002E-5</v>
      </c>
      <c r="M1616" s="25">
        <f>G1616*L1616</f>
        <v>5.5199999999999997E-3</v>
      </c>
      <c r="N1616" s="26"/>
      <c r="X1616" s="25">
        <f>ROUND(IF(AO1616="5",BH1616,0),2)</f>
        <v>0</v>
      </c>
      <c r="Z1616" s="25">
        <f>ROUND(IF(AO1616="1",BF1616,0),2)</f>
        <v>0</v>
      </c>
      <c r="AA1616" s="25">
        <f>ROUND(IF(AO1616="1",BG1616,0),2)</f>
        <v>0</v>
      </c>
      <c r="AB1616" s="25">
        <f>ROUND(IF(AO1616="7",BF1616,0),2)</f>
        <v>0</v>
      </c>
      <c r="AC1616" s="25">
        <f>ROUND(IF(AO1616="7",BG1616,0),2)</f>
        <v>0</v>
      </c>
      <c r="AD1616" s="25">
        <f>ROUND(IF(AO1616="2",BF1616,0),2)</f>
        <v>0</v>
      </c>
      <c r="AE1616" s="25">
        <f>ROUND(IF(AO1616="2",BG1616,0),2)</f>
        <v>0</v>
      </c>
      <c r="AF1616" s="25">
        <f>ROUND(IF(AO1616="0",BH1616,0),2)</f>
        <v>0</v>
      </c>
      <c r="AG1616" s="10" t="s">
        <v>1699</v>
      </c>
      <c r="AH1616" s="25">
        <f>IF(AL1616=0,K1616,0)</f>
        <v>0</v>
      </c>
      <c r="AI1616" s="25">
        <f>IF(AL1616=12,K1616,0)</f>
        <v>0</v>
      </c>
      <c r="AJ1616" s="25">
        <f>IF(AL1616=21,K1616,0)</f>
        <v>0</v>
      </c>
      <c r="AL1616" s="25">
        <v>21</v>
      </c>
      <c r="AM1616" s="25">
        <f>H1616*1</f>
        <v>0</v>
      </c>
      <c r="AN1616" s="25">
        <f>H1616*(1-1)</f>
        <v>0</v>
      </c>
      <c r="AO1616" s="27" t="s">
        <v>57</v>
      </c>
      <c r="AT1616" s="25">
        <f>ROUND(AU1616+AV1616,2)</f>
        <v>0</v>
      </c>
      <c r="AU1616" s="25">
        <f>ROUND(G1616*AM1616,2)</f>
        <v>0</v>
      </c>
      <c r="AV1616" s="25">
        <f>ROUND(G1616*AN1616,2)</f>
        <v>0</v>
      </c>
      <c r="AW1616" s="27" t="s">
        <v>1705</v>
      </c>
      <c r="AX1616" s="27" t="s">
        <v>1706</v>
      </c>
      <c r="AY1616" s="10" t="s">
        <v>1707</v>
      </c>
      <c r="BA1616" s="25">
        <f>AU1616+AV1616</f>
        <v>0</v>
      </c>
      <c r="BB1616" s="25">
        <f>H1616/(100-BC1616)*100</f>
        <v>0</v>
      </c>
      <c r="BC1616" s="25">
        <v>0</v>
      </c>
      <c r="BD1616" s="25">
        <f>M1616</f>
        <v>5.5199999999999997E-3</v>
      </c>
      <c r="BF1616" s="25">
        <f>G1616*AM1616</f>
        <v>0</v>
      </c>
      <c r="BG1616" s="25">
        <f>G1616*AN1616</f>
        <v>0</v>
      </c>
      <c r="BH1616" s="25">
        <f>G1616*H1616</f>
        <v>0</v>
      </c>
      <c r="BI1616" s="27" t="s">
        <v>65</v>
      </c>
      <c r="BJ1616" s="25">
        <v>0</v>
      </c>
      <c r="BU1616" s="25" t="e">
        <f>#REF!</f>
        <v>#REF!</v>
      </c>
      <c r="BV1616" s="4" t="s">
        <v>1722</v>
      </c>
    </row>
    <row r="1617" spans="1:74" ht="14.4" x14ac:dyDescent="0.3">
      <c r="A1617" s="28"/>
      <c r="D1617" s="29" t="s">
        <v>566</v>
      </c>
      <c r="E1617" s="29" t="s">
        <v>52</v>
      </c>
      <c r="G1617" s="30">
        <v>92</v>
      </c>
      <c r="H1617" s="63"/>
      <c r="N1617" s="31"/>
    </row>
    <row r="1618" spans="1:74" ht="14.4" x14ac:dyDescent="0.3">
      <c r="A1618" s="2" t="s">
        <v>1723</v>
      </c>
      <c r="B1618" s="3" t="s">
        <v>1699</v>
      </c>
      <c r="C1618" s="3" t="s">
        <v>1724</v>
      </c>
      <c r="D1618" s="112" t="s">
        <v>1725</v>
      </c>
      <c r="E1618" s="109"/>
      <c r="F1618" s="3" t="s">
        <v>115</v>
      </c>
      <c r="G1618" s="25">
        <v>122</v>
      </c>
      <c r="H1618" s="62"/>
      <c r="I1618" s="25">
        <f>ROUND(G1618*AM1618,2)</f>
        <v>0</v>
      </c>
      <c r="J1618" s="25">
        <f>ROUND(G1618*AN1618,2)</f>
        <v>0</v>
      </c>
      <c r="K1618" s="25">
        <f>ROUND(G1618*H1618,2)</f>
        <v>0</v>
      </c>
      <c r="L1618" s="25">
        <v>8.0000000000000007E-5</v>
      </c>
      <c r="M1618" s="25">
        <f>G1618*L1618</f>
        <v>9.7600000000000013E-3</v>
      </c>
      <c r="N1618" s="26"/>
      <c r="X1618" s="25">
        <f>ROUND(IF(AO1618="5",BH1618,0),2)</f>
        <v>0</v>
      </c>
      <c r="Z1618" s="25">
        <f>ROUND(IF(AO1618="1",BF1618,0),2)</f>
        <v>0</v>
      </c>
      <c r="AA1618" s="25">
        <f>ROUND(IF(AO1618="1",BG1618,0),2)</f>
        <v>0</v>
      </c>
      <c r="AB1618" s="25">
        <f>ROUND(IF(AO1618="7",BF1618,0),2)</f>
        <v>0</v>
      </c>
      <c r="AC1618" s="25">
        <f>ROUND(IF(AO1618="7",BG1618,0),2)</f>
        <v>0</v>
      </c>
      <c r="AD1618" s="25">
        <f>ROUND(IF(AO1618="2",BF1618,0),2)</f>
        <v>0</v>
      </c>
      <c r="AE1618" s="25">
        <f>ROUND(IF(AO1618="2",BG1618,0),2)</f>
        <v>0</v>
      </c>
      <c r="AF1618" s="25">
        <f>ROUND(IF(AO1618="0",BH1618,0),2)</f>
        <v>0</v>
      </c>
      <c r="AG1618" s="10" t="s">
        <v>1699</v>
      </c>
      <c r="AH1618" s="25">
        <f>IF(AL1618=0,K1618,0)</f>
        <v>0</v>
      </c>
      <c r="AI1618" s="25">
        <f>IF(AL1618=12,K1618,0)</f>
        <v>0</v>
      </c>
      <c r="AJ1618" s="25">
        <f>IF(AL1618=21,K1618,0)</f>
        <v>0</v>
      </c>
      <c r="AL1618" s="25">
        <v>21</v>
      </c>
      <c r="AM1618" s="25">
        <f>H1618*1</f>
        <v>0</v>
      </c>
      <c r="AN1618" s="25">
        <f>H1618*(1-1)</f>
        <v>0</v>
      </c>
      <c r="AO1618" s="27" t="s">
        <v>57</v>
      </c>
      <c r="AT1618" s="25">
        <f>ROUND(AU1618+AV1618,2)</f>
        <v>0</v>
      </c>
      <c r="AU1618" s="25">
        <f>ROUND(G1618*AM1618,2)</f>
        <v>0</v>
      </c>
      <c r="AV1618" s="25">
        <f>ROUND(G1618*AN1618,2)</f>
        <v>0</v>
      </c>
      <c r="AW1618" s="27" t="s">
        <v>1705</v>
      </c>
      <c r="AX1618" s="27" t="s">
        <v>1706</v>
      </c>
      <c r="AY1618" s="10" t="s">
        <v>1707</v>
      </c>
      <c r="BA1618" s="25">
        <f>AU1618+AV1618</f>
        <v>0</v>
      </c>
      <c r="BB1618" s="25">
        <f>H1618/(100-BC1618)*100</f>
        <v>0</v>
      </c>
      <c r="BC1618" s="25">
        <v>0</v>
      </c>
      <c r="BD1618" s="25">
        <f>M1618</f>
        <v>9.7600000000000013E-3</v>
      </c>
      <c r="BF1618" s="25">
        <f>G1618*AM1618</f>
        <v>0</v>
      </c>
      <c r="BG1618" s="25">
        <f>G1618*AN1618</f>
        <v>0</v>
      </c>
      <c r="BH1618" s="25">
        <f>G1618*H1618</f>
        <v>0</v>
      </c>
      <c r="BI1618" s="27" t="s">
        <v>65</v>
      </c>
      <c r="BJ1618" s="25">
        <v>0</v>
      </c>
      <c r="BU1618" s="25" t="e">
        <f>#REF!</f>
        <v>#REF!</v>
      </c>
      <c r="BV1618" s="4" t="s">
        <v>1725</v>
      </c>
    </row>
    <row r="1619" spans="1:74" ht="14.4" x14ac:dyDescent="0.3">
      <c r="A1619" s="28"/>
      <c r="D1619" s="29" t="s">
        <v>735</v>
      </c>
      <c r="E1619" s="29" t="s">
        <v>52</v>
      </c>
      <c r="G1619" s="30">
        <v>122</v>
      </c>
      <c r="H1619" s="63"/>
      <c r="N1619" s="31"/>
    </row>
    <row r="1620" spans="1:74" ht="14.4" x14ac:dyDescent="0.3">
      <c r="A1620" s="2" t="s">
        <v>1726</v>
      </c>
      <c r="B1620" s="3" t="s">
        <v>1699</v>
      </c>
      <c r="C1620" s="3" t="s">
        <v>1727</v>
      </c>
      <c r="D1620" s="112" t="s">
        <v>1728</v>
      </c>
      <c r="E1620" s="109"/>
      <c r="F1620" s="3" t="s">
        <v>115</v>
      </c>
      <c r="G1620" s="25">
        <v>33</v>
      </c>
      <c r="H1620" s="62"/>
      <c r="I1620" s="25">
        <f>ROUND(G1620*AM1620,2)</f>
        <v>0</v>
      </c>
      <c r="J1620" s="25">
        <f>ROUND(G1620*AN1620,2)</f>
        <v>0</v>
      </c>
      <c r="K1620" s="25">
        <f>ROUND(G1620*H1620,2)</f>
        <v>0</v>
      </c>
      <c r="L1620" s="25">
        <v>5.0000000000000002E-5</v>
      </c>
      <c r="M1620" s="25">
        <f>G1620*L1620</f>
        <v>1.65E-3</v>
      </c>
      <c r="N1620" s="26"/>
      <c r="X1620" s="25">
        <f>ROUND(IF(AO1620="5",BH1620,0),2)</f>
        <v>0</v>
      </c>
      <c r="Z1620" s="25">
        <f>ROUND(IF(AO1620="1",BF1620,0),2)</f>
        <v>0</v>
      </c>
      <c r="AA1620" s="25">
        <f>ROUND(IF(AO1620="1",BG1620,0),2)</f>
        <v>0</v>
      </c>
      <c r="AB1620" s="25">
        <f>ROUND(IF(AO1620="7",BF1620,0),2)</f>
        <v>0</v>
      </c>
      <c r="AC1620" s="25">
        <f>ROUND(IF(AO1620="7",BG1620,0),2)</f>
        <v>0</v>
      </c>
      <c r="AD1620" s="25">
        <f>ROUND(IF(AO1620="2",BF1620,0),2)</f>
        <v>0</v>
      </c>
      <c r="AE1620" s="25">
        <f>ROUND(IF(AO1620="2",BG1620,0),2)</f>
        <v>0</v>
      </c>
      <c r="AF1620" s="25">
        <f>ROUND(IF(AO1620="0",BH1620,0),2)</f>
        <v>0</v>
      </c>
      <c r="AG1620" s="10" t="s">
        <v>1699</v>
      </c>
      <c r="AH1620" s="25">
        <f>IF(AL1620=0,K1620,0)</f>
        <v>0</v>
      </c>
      <c r="AI1620" s="25">
        <f>IF(AL1620=12,K1620,0)</f>
        <v>0</v>
      </c>
      <c r="AJ1620" s="25">
        <f>IF(AL1620=21,K1620,0)</f>
        <v>0</v>
      </c>
      <c r="AL1620" s="25">
        <v>21</v>
      </c>
      <c r="AM1620" s="25">
        <f>H1620*1</f>
        <v>0</v>
      </c>
      <c r="AN1620" s="25">
        <f>H1620*(1-1)</f>
        <v>0</v>
      </c>
      <c r="AO1620" s="27" t="s">
        <v>57</v>
      </c>
      <c r="AT1620" s="25">
        <f>ROUND(AU1620+AV1620,2)</f>
        <v>0</v>
      </c>
      <c r="AU1620" s="25">
        <f>ROUND(G1620*AM1620,2)</f>
        <v>0</v>
      </c>
      <c r="AV1620" s="25">
        <f>ROUND(G1620*AN1620,2)</f>
        <v>0</v>
      </c>
      <c r="AW1620" s="27" t="s">
        <v>1705</v>
      </c>
      <c r="AX1620" s="27" t="s">
        <v>1706</v>
      </c>
      <c r="AY1620" s="10" t="s">
        <v>1707</v>
      </c>
      <c r="BA1620" s="25">
        <f>AU1620+AV1620</f>
        <v>0</v>
      </c>
      <c r="BB1620" s="25">
        <f>H1620/(100-BC1620)*100</f>
        <v>0</v>
      </c>
      <c r="BC1620" s="25">
        <v>0</v>
      </c>
      <c r="BD1620" s="25">
        <f>M1620</f>
        <v>1.65E-3</v>
      </c>
      <c r="BF1620" s="25">
        <f>G1620*AM1620</f>
        <v>0</v>
      </c>
      <c r="BG1620" s="25">
        <f>G1620*AN1620</f>
        <v>0</v>
      </c>
      <c r="BH1620" s="25">
        <f>G1620*H1620</f>
        <v>0</v>
      </c>
      <c r="BI1620" s="27" t="s">
        <v>65</v>
      </c>
      <c r="BJ1620" s="25">
        <v>0</v>
      </c>
      <c r="BU1620" s="25" t="e">
        <f>#REF!</f>
        <v>#REF!</v>
      </c>
      <c r="BV1620" s="4" t="s">
        <v>1728</v>
      </c>
    </row>
    <row r="1621" spans="1:74" ht="14.4" x14ac:dyDescent="0.3">
      <c r="A1621" s="28"/>
      <c r="D1621" s="29" t="s">
        <v>285</v>
      </c>
      <c r="E1621" s="29" t="s">
        <v>52</v>
      </c>
      <c r="G1621" s="30">
        <v>33</v>
      </c>
      <c r="H1621" s="63"/>
      <c r="N1621" s="31"/>
    </row>
    <row r="1622" spans="1:74" ht="14.4" x14ac:dyDescent="0.3">
      <c r="A1622" s="2" t="s">
        <v>1729</v>
      </c>
      <c r="B1622" s="3" t="s">
        <v>1699</v>
      </c>
      <c r="C1622" s="3" t="s">
        <v>1730</v>
      </c>
      <c r="D1622" s="112" t="s">
        <v>1731</v>
      </c>
      <c r="E1622" s="109"/>
      <c r="F1622" s="3" t="s">
        <v>115</v>
      </c>
      <c r="G1622" s="25">
        <v>17</v>
      </c>
      <c r="H1622" s="62"/>
      <c r="I1622" s="25">
        <f>ROUND(G1622*AM1622,2)</f>
        <v>0</v>
      </c>
      <c r="J1622" s="25">
        <f>ROUND(G1622*AN1622,2)</f>
        <v>0</v>
      </c>
      <c r="K1622" s="25">
        <f>ROUND(G1622*H1622,2)</f>
        <v>0</v>
      </c>
      <c r="L1622" s="25">
        <v>9.0000000000000006E-5</v>
      </c>
      <c r="M1622" s="25">
        <f>G1622*L1622</f>
        <v>1.5300000000000001E-3</v>
      </c>
      <c r="N1622" s="26"/>
      <c r="X1622" s="25">
        <f>ROUND(IF(AO1622="5",BH1622,0),2)</f>
        <v>0</v>
      </c>
      <c r="Z1622" s="25">
        <f>ROUND(IF(AO1622="1",BF1622,0),2)</f>
        <v>0</v>
      </c>
      <c r="AA1622" s="25">
        <f>ROUND(IF(AO1622="1",BG1622,0),2)</f>
        <v>0</v>
      </c>
      <c r="AB1622" s="25">
        <f>ROUND(IF(AO1622="7",BF1622,0),2)</f>
        <v>0</v>
      </c>
      <c r="AC1622" s="25">
        <f>ROUND(IF(AO1622="7",BG1622,0),2)</f>
        <v>0</v>
      </c>
      <c r="AD1622" s="25">
        <f>ROUND(IF(AO1622="2",BF1622,0),2)</f>
        <v>0</v>
      </c>
      <c r="AE1622" s="25">
        <f>ROUND(IF(AO1622="2",BG1622,0),2)</f>
        <v>0</v>
      </c>
      <c r="AF1622" s="25">
        <f>ROUND(IF(AO1622="0",BH1622,0),2)</f>
        <v>0</v>
      </c>
      <c r="AG1622" s="10" t="s">
        <v>1699</v>
      </c>
      <c r="AH1622" s="25">
        <f>IF(AL1622=0,K1622,0)</f>
        <v>0</v>
      </c>
      <c r="AI1622" s="25">
        <f>IF(AL1622=12,K1622,0)</f>
        <v>0</v>
      </c>
      <c r="AJ1622" s="25">
        <f>IF(AL1622=21,K1622,0)</f>
        <v>0</v>
      </c>
      <c r="AL1622" s="25">
        <v>21</v>
      </c>
      <c r="AM1622" s="25">
        <f>H1622*1</f>
        <v>0</v>
      </c>
      <c r="AN1622" s="25">
        <f>H1622*(1-1)</f>
        <v>0</v>
      </c>
      <c r="AO1622" s="27" t="s">
        <v>57</v>
      </c>
      <c r="AT1622" s="25">
        <f>ROUND(AU1622+AV1622,2)</f>
        <v>0</v>
      </c>
      <c r="AU1622" s="25">
        <f>ROUND(G1622*AM1622,2)</f>
        <v>0</v>
      </c>
      <c r="AV1622" s="25">
        <f>ROUND(G1622*AN1622,2)</f>
        <v>0</v>
      </c>
      <c r="AW1622" s="27" t="s">
        <v>1705</v>
      </c>
      <c r="AX1622" s="27" t="s">
        <v>1706</v>
      </c>
      <c r="AY1622" s="10" t="s">
        <v>1707</v>
      </c>
      <c r="BA1622" s="25">
        <f>AU1622+AV1622</f>
        <v>0</v>
      </c>
      <c r="BB1622" s="25">
        <f>H1622/(100-BC1622)*100</f>
        <v>0</v>
      </c>
      <c r="BC1622" s="25">
        <v>0</v>
      </c>
      <c r="BD1622" s="25">
        <f>M1622</f>
        <v>1.5300000000000001E-3</v>
      </c>
      <c r="BF1622" s="25">
        <f>G1622*AM1622</f>
        <v>0</v>
      </c>
      <c r="BG1622" s="25">
        <f>G1622*AN1622</f>
        <v>0</v>
      </c>
      <c r="BH1622" s="25">
        <f>G1622*H1622</f>
        <v>0</v>
      </c>
      <c r="BI1622" s="27" t="s">
        <v>65</v>
      </c>
      <c r="BJ1622" s="25">
        <v>0</v>
      </c>
      <c r="BU1622" s="25" t="e">
        <f>#REF!</f>
        <v>#REF!</v>
      </c>
      <c r="BV1622" s="4" t="s">
        <v>1731</v>
      </c>
    </row>
    <row r="1623" spans="1:74" ht="14.4" x14ac:dyDescent="0.3">
      <c r="A1623" s="28"/>
      <c r="D1623" s="29" t="s">
        <v>184</v>
      </c>
      <c r="E1623" s="29" t="s">
        <v>52</v>
      </c>
      <c r="G1623" s="30">
        <v>17</v>
      </c>
      <c r="H1623" s="63"/>
      <c r="N1623" s="31"/>
    </row>
    <row r="1624" spans="1:74" ht="14.4" x14ac:dyDescent="0.3">
      <c r="A1624" s="2" t="s">
        <v>1732</v>
      </c>
      <c r="B1624" s="3" t="s">
        <v>1699</v>
      </c>
      <c r="C1624" s="3" t="s">
        <v>1733</v>
      </c>
      <c r="D1624" s="112" t="s">
        <v>1734</v>
      </c>
      <c r="E1624" s="109"/>
      <c r="F1624" s="3" t="s">
        <v>115</v>
      </c>
      <c r="G1624" s="25">
        <v>23</v>
      </c>
      <c r="H1624" s="62"/>
      <c r="I1624" s="25">
        <f>ROUND(G1624*AM1624,2)</f>
        <v>0</v>
      </c>
      <c r="J1624" s="25">
        <f>ROUND(G1624*AN1624,2)</f>
        <v>0</v>
      </c>
      <c r="K1624" s="25">
        <f>ROUND(G1624*H1624,2)</f>
        <v>0</v>
      </c>
      <c r="L1624" s="25">
        <v>9.0000000000000006E-5</v>
      </c>
      <c r="M1624" s="25">
        <f>G1624*L1624</f>
        <v>2.0700000000000002E-3</v>
      </c>
      <c r="N1624" s="26"/>
      <c r="X1624" s="25">
        <f>ROUND(IF(AO1624="5",BH1624,0),2)</f>
        <v>0</v>
      </c>
      <c r="Z1624" s="25">
        <f>ROUND(IF(AO1624="1",BF1624,0),2)</f>
        <v>0</v>
      </c>
      <c r="AA1624" s="25">
        <f>ROUND(IF(AO1624="1",BG1624,0),2)</f>
        <v>0</v>
      </c>
      <c r="AB1624" s="25">
        <f>ROUND(IF(AO1624="7",BF1624,0),2)</f>
        <v>0</v>
      </c>
      <c r="AC1624" s="25">
        <f>ROUND(IF(AO1624="7",BG1624,0),2)</f>
        <v>0</v>
      </c>
      <c r="AD1624" s="25">
        <f>ROUND(IF(AO1624="2",BF1624,0),2)</f>
        <v>0</v>
      </c>
      <c r="AE1624" s="25">
        <f>ROUND(IF(AO1624="2",BG1624,0),2)</f>
        <v>0</v>
      </c>
      <c r="AF1624" s="25">
        <f>ROUND(IF(AO1624="0",BH1624,0),2)</f>
        <v>0</v>
      </c>
      <c r="AG1624" s="10" t="s">
        <v>1699</v>
      </c>
      <c r="AH1624" s="25">
        <f>IF(AL1624=0,K1624,0)</f>
        <v>0</v>
      </c>
      <c r="AI1624" s="25">
        <f>IF(AL1624=12,K1624,0)</f>
        <v>0</v>
      </c>
      <c r="AJ1624" s="25">
        <f>IF(AL1624=21,K1624,0)</f>
        <v>0</v>
      </c>
      <c r="AL1624" s="25">
        <v>21</v>
      </c>
      <c r="AM1624" s="25">
        <f>H1624*1</f>
        <v>0</v>
      </c>
      <c r="AN1624" s="25">
        <f>H1624*(1-1)</f>
        <v>0</v>
      </c>
      <c r="AO1624" s="27" t="s">
        <v>57</v>
      </c>
      <c r="AT1624" s="25">
        <f>ROUND(AU1624+AV1624,2)</f>
        <v>0</v>
      </c>
      <c r="AU1624" s="25">
        <f>ROUND(G1624*AM1624,2)</f>
        <v>0</v>
      </c>
      <c r="AV1624" s="25">
        <f>ROUND(G1624*AN1624,2)</f>
        <v>0</v>
      </c>
      <c r="AW1624" s="27" t="s">
        <v>1705</v>
      </c>
      <c r="AX1624" s="27" t="s">
        <v>1706</v>
      </c>
      <c r="AY1624" s="10" t="s">
        <v>1707</v>
      </c>
      <c r="BA1624" s="25">
        <f>AU1624+AV1624</f>
        <v>0</v>
      </c>
      <c r="BB1624" s="25">
        <f>H1624/(100-BC1624)*100</f>
        <v>0</v>
      </c>
      <c r="BC1624" s="25">
        <v>0</v>
      </c>
      <c r="BD1624" s="25">
        <f>M1624</f>
        <v>2.0700000000000002E-3</v>
      </c>
      <c r="BF1624" s="25">
        <f>G1624*AM1624</f>
        <v>0</v>
      </c>
      <c r="BG1624" s="25">
        <f>G1624*AN1624</f>
        <v>0</v>
      </c>
      <c r="BH1624" s="25">
        <f>G1624*H1624</f>
        <v>0</v>
      </c>
      <c r="BI1624" s="27" t="s">
        <v>65</v>
      </c>
      <c r="BJ1624" s="25">
        <v>0</v>
      </c>
      <c r="BU1624" s="25" t="e">
        <f>#REF!</f>
        <v>#REF!</v>
      </c>
      <c r="BV1624" s="4" t="s">
        <v>1734</v>
      </c>
    </row>
    <row r="1625" spans="1:74" ht="14.4" x14ac:dyDescent="0.3">
      <c r="A1625" s="28"/>
      <c r="D1625" s="29" t="s">
        <v>222</v>
      </c>
      <c r="E1625" s="29" t="s">
        <v>52</v>
      </c>
      <c r="G1625" s="30">
        <v>23</v>
      </c>
      <c r="H1625" s="63"/>
      <c r="N1625" s="31"/>
    </row>
    <row r="1626" spans="1:74" ht="14.4" x14ac:dyDescent="0.3">
      <c r="A1626" s="2" t="s">
        <v>1735</v>
      </c>
      <c r="B1626" s="3" t="s">
        <v>1699</v>
      </c>
      <c r="C1626" s="3" t="s">
        <v>1736</v>
      </c>
      <c r="D1626" s="112" t="s">
        <v>1737</v>
      </c>
      <c r="E1626" s="109"/>
      <c r="F1626" s="3" t="s">
        <v>115</v>
      </c>
      <c r="G1626" s="25">
        <v>18</v>
      </c>
      <c r="H1626" s="62"/>
      <c r="I1626" s="25">
        <f>ROUND(G1626*AM1626,2)</f>
        <v>0</v>
      </c>
      <c r="J1626" s="25">
        <f>ROUND(G1626*AN1626,2)</f>
        <v>0</v>
      </c>
      <c r="K1626" s="25">
        <f>ROUND(G1626*H1626,2)</f>
        <v>0</v>
      </c>
      <c r="L1626" s="25">
        <v>1.3999999999999999E-4</v>
      </c>
      <c r="M1626" s="25">
        <f>G1626*L1626</f>
        <v>2.5199999999999997E-3</v>
      </c>
      <c r="N1626" s="26"/>
      <c r="X1626" s="25">
        <f>ROUND(IF(AO1626="5",BH1626,0),2)</f>
        <v>0</v>
      </c>
      <c r="Z1626" s="25">
        <f>ROUND(IF(AO1626="1",BF1626,0),2)</f>
        <v>0</v>
      </c>
      <c r="AA1626" s="25">
        <f>ROUND(IF(AO1626="1",BG1626,0),2)</f>
        <v>0</v>
      </c>
      <c r="AB1626" s="25">
        <f>ROUND(IF(AO1626="7",BF1626,0),2)</f>
        <v>0</v>
      </c>
      <c r="AC1626" s="25">
        <f>ROUND(IF(AO1626="7",BG1626,0),2)</f>
        <v>0</v>
      </c>
      <c r="AD1626" s="25">
        <f>ROUND(IF(AO1626="2",BF1626,0),2)</f>
        <v>0</v>
      </c>
      <c r="AE1626" s="25">
        <f>ROUND(IF(AO1626="2",BG1626,0),2)</f>
        <v>0</v>
      </c>
      <c r="AF1626" s="25">
        <f>ROUND(IF(AO1626="0",BH1626,0),2)</f>
        <v>0</v>
      </c>
      <c r="AG1626" s="10" t="s">
        <v>1699</v>
      </c>
      <c r="AH1626" s="25">
        <f>IF(AL1626=0,K1626,0)</f>
        <v>0</v>
      </c>
      <c r="AI1626" s="25">
        <f>IF(AL1626=12,K1626,0)</f>
        <v>0</v>
      </c>
      <c r="AJ1626" s="25">
        <f>IF(AL1626=21,K1626,0)</f>
        <v>0</v>
      </c>
      <c r="AL1626" s="25">
        <v>21</v>
      </c>
      <c r="AM1626" s="25">
        <f>H1626*1</f>
        <v>0</v>
      </c>
      <c r="AN1626" s="25">
        <f>H1626*(1-1)</f>
        <v>0</v>
      </c>
      <c r="AO1626" s="27" t="s">
        <v>57</v>
      </c>
      <c r="AT1626" s="25">
        <f>ROUND(AU1626+AV1626,2)</f>
        <v>0</v>
      </c>
      <c r="AU1626" s="25">
        <f>ROUND(G1626*AM1626,2)</f>
        <v>0</v>
      </c>
      <c r="AV1626" s="25">
        <f>ROUND(G1626*AN1626,2)</f>
        <v>0</v>
      </c>
      <c r="AW1626" s="27" t="s">
        <v>1705</v>
      </c>
      <c r="AX1626" s="27" t="s">
        <v>1706</v>
      </c>
      <c r="AY1626" s="10" t="s">
        <v>1707</v>
      </c>
      <c r="BA1626" s="25">
        <f>AU1626+AV1626</f>
        <v>0</v>
      </c>
      <c r="BB1626" s="25">
        <f>H1626/(100-BC1626)*100</f>
        <v>0</v>
      </c>
      <c r="BC1626" s="25">
        <v>0</v>
      </c>
      <c r="BD1626" s="25">
        <f>M1626</f>
        <v>2.5199999999999997E-3</v>
      </c>
      <c r="BF1626" s="25">
        <f>G1626*AM1626</f>
        <v>0</v>
      </c>
      <c r="BG1626" s="25">
        <f>G1626*AN1626</f>
        <v>0</v>
      </c>
      <c r="BH1626" s="25">
        <f>G1626*H1626</f>
        <v>0</v>
      </c>
      <c r="BI1626" s="27" t="s">
        <v>65</v>
      </c>
      <c r="BJ1626" s="25">
        <v>0</v>
      </c>
      <c r="BU1626" s="25" t="e">
        <f>#REF!</f>
        <v>#REF!</v>
      </c>
      <c r="BV1626" s="4" t="s">
        <v>1737</v>
      </c>
    </row>
    <row r="1627" spans="1:74" ht="14.4" x14ac:dyDescent="0.3">
      <c r="A1627" s="28"/>
      <c r="D1627" s="29" t="s">
        <v>187</v>
      </c>
      <c r="E1627" s="29" t="s">
        <v>52</v>
      </c>
      <c r="G1627" s="30">
        <v>18</v>
      </c>
      <c r="H1627" s="63"/>
      <c r="N1627" s="31"/>
    </row>
    <row r="1628" spans="1:74" ht="14.4" x14ac:dyDescent="0.3">
      <c r="A1628" s="2" t="s">
        <v>1738</v>
      </c>
      <c r="B1628" s="3" t="s">
        <v>1699</v>
      </c>
      <c r="C1628" s="3" t="s">
        <v>1739</v>
      </c>
      <c r="D1628" s="112" t="s">
        <v>1740</v>
      </c>
      <c r="E1628" s="109"/>
      <c r="F1628" s="3" t="s">
        <v>115</v>
      </c>
      <c r="G1628" s="25">
        <v>27</v>
      </c>
      <c r="H1628" s="62"/>
      <c r="I1628" s="25">
        <f>ROUND(G1628*AM1628,2)</f>
        <v>0</v>
      </c>
      <c r="J1628" s="25">
        <f>ROUND(G1628*AN1628,2)</f>
        <v>0</v>
      </c>
      <c r="K1628" s="25">
        <f>ROUND(G1628*H1628,2)</f>
        <v>0</v>
      </c>
      <c r="L1628" s="25">
        <v>1.2999999999999999E-4</v>
      </c>
      <c r="M1628" s="25">
        <f>G1628*L1628</f>
        <v>3.5099999999999997E-3</v>
      </c>
      <c r="N1628" s="26"/>
      <c r="X1628" s="25">
        <f>ROUND(IF(AO1628="5",BH1628,0),2)</f>
        <v>0</v>
      </c>
      <c r="Z1628" s="25">
        <f>ROUND(IF(AO1628="1",BF1628,0),2)</f>
        <v>0</v>
      </c>
      <c r="AA1628" s="25">
        <f>ROUND(IF(AO1628="1",BG1628,0),2)</f>
        <v>0</v>
      </c>
      <c r="AB1628" s="25">
        <f>ROUND(IF(AO1628="7",BF1628,0),2)</f>
        <v>0</v>
      </c>
      <c r="AC1628" s="25">
        <f>ROUND(IF(AO1628="7",BG1628,0),2)</f>
        <v>0</v>
      </c>
      <c r="AD1628" s="25">
        <f>ROUND(IF(AO1628="2",BF1628,0),2)</f>
        <v>0</v>
      </c>
      <c r="AE1628" s="25">
        <f>ROUND(IF(AO1628="2",BG1628,0),2)</f>
        <v>0</v>
      </c>
      <c r="AF1628" s="25">
        <f>ROUND(IF(AO1628="0",BH1628,0),2)</f>
        <v>0</v>
      </c>
      <c r="AG1628" s="10" t="s">
        <v>1699</v>
      </c>
      <c r="AH1628" s="25">
        <f>IF(AL1628=0,K1628,0)</f>
        <v>0</v>
      </c>
      <c r="AI1628" s="25">
        <f>IF(AL1628=12,K1628,0)</f>
        <v>0</v>
      </c>
      <c r="AJ1628" s="25">
        <f>IF(AL1628=21,K1628,0)</f>
        <v>0</v>
      </c>
      <c r="AL1628" s="25">
        <v>21</v>
      </c>
      <c r="AM1628" s="25">
        <f>H1628*1</f>
        <v>0</v>
      </c>
      <c r="AN1628" s="25">
        <f>H1628*(1-1)</f>
        <v>0</v>
      </c>
      <c r="AO1628" s="27" t="s">
        <v>57</v>
      </c>
      <c r="AT1628" s="25">
        <f>ROUND(AU1628+AV1628,2)</f>
        <v>0</v>
      </c>
      <c r="AU1628" s="25">
        <f>ROUND(G1628*AM1628,2)</f>
        <v>0</v>
      </c>
      <c r="AV1628" s="25">
        <f>ROUND(G1628*AN1628,2)</f>
        <v>0</v>
      </c>
      <c r="AW1628" s="27" t="s">
        <v>1705</v>
      </c>
      <c r="AX1628" s="27" t="s">
        <v>1706</v>
      </c>
      <c r="AY1628" s="10" t="s">
        <v>1707</v>
      </c>
      <c r="BA1628" s="25">
        <f>AU1628+AV1628</f>
        <v>0</v>
      </c>
      <c r="BB1628" s="25">
        <f>H1628/(100-BC1628)*100</f>
        <v>0</v>
      </c>
      <c r="BC1628" s="25">
        <v>0</v>
      </c>
      <c r="BD1628" s="25">
        <f>M1628</f>
        <v>3.5099999999999997E-3</v>
      </c>
      <c r="BF1628" s="25">
        <f>G1628*AM1628</f>
        <v>0</v>
      </c>
      <c r="BG1628" s="25">
        <f>G1628*AN1628</f>
        <v>0</v>
      </c>
      <c r="BH1628" s="25">
        <f>G1628*H1628</f>
        <v>0</v>
      </c>
      <c r="BI1628" s="27" t="s">
        <v>65</v>
      </c>
      <c r="BJ1628" s="25">
        <v>0</v>
      </c>
      <c r="BU1628" s="25" t="e">
        <f>#REF!</f>
        <v>#REF!</v>
      </c>
      <c r="BV1628" s="4" t="s">
        <v>1740</v>
      </c>
    </row>
    <row r="1629" spans="1:74" ht="14.4" x14ac:dyDescent="0.3">
      <c r="A1629" s="28"/>
      <c r="D1629" s="29" t="s">
        <v>258</v>
      </c>
      <c r="E1629" s="29" t="s">
        <v>52</v>
      </c>
      <c r="G1629" s="30">
        <v>27</v>
      </c>
      <c r="H1629" s="63"/>
      <c r="N1629" s="31"/>
    </row>
    <row r="1630" spans="1:74" ht="14.4" x14ac:dyDescent="0.3">
      <c r="A1630" s="2" t="s">
        <v>1741</v>
      </c>
      <c r="B1630" s="3" t="s">
        <v>1699</v>
      </c>
      <c r="C1630" s="3" t="s">
        <v>1742</v>
      </c>
      <c r="D1630" s="112" t="s">
        <v>1743</v>
      </c>
      <c r="E1630" s="109"/>
      <c r="F1630" s="3" t="s">
        <v>115</v>
      </c>
      <c r="G1630" s="25">
        <v>35</v>
      </c>
      <c r="H1630" s="62"/>
      <c r="I1630" s="25">
        <f>ROUND(G1630*AM1630,2)</f>
        <v>0</v>
      </c>
      <c r="J1630" s="25">
        <f>ROUND(G1630*AN1630,2)</f>
        <v>0</v>
      </c>
      <c r="K1630" s="25">
        <f>ROUND(G1630*H1630,2)</f>
        <v>0</v>
      </c>
      <c r="L1630" s="25">
        <v>2.0000000000000001E-4</v>
      </c>
      <c r="M1630" s="25">
        <f>G1630*L1630</f>
        <v>7.0000000000000001E-3</v>
      </c>
      <c r="N1630" s="26"/>
      <c r="X1630" s="25">
        <f>ROUND(IF(AO1630="5",BH1630,0),2)</f>
        <v>0</v>
      </c>
      <c r="Z1630" s="25">
        <f>ROUND(IF(AO1630="1",BF1630,0),2)</f>
        <v>0</v>
      </c>
      <c r="AA1630" s="25">
        <f>ROUND(IF(AO1630="1",BG1630,0),2)</f>
        <v>0</v>
      </c>
      <c r="AB1630" s="25">
        <f>ROUND(IF(AO1630="7",BF1630,0),2)</f>
        <v>0</v>
      </c>
      <c r="AC1630" s="25">
        <f>ROUND(IF(AO1630="7",BG1630,0),2)</f>
        <v>0</v>
      </c>
      <c r="AD1630" s="25">
        <f>ROUND(IF(AO1630="2",BF1630,0),2)</f>
        <v>0</v>
      </c>
      <c r="AE1630" s="25">
        <f>ROUND(IF(AO1630="2",BG1630,0),2)</f>
        <v>0</v>
      </c>
      <c r="AF1630" s="25">
        <f>ROUND(IF(AO1630="0",BH1630,0),2)</f>
        <v>0</v>
      </c>
      <c r="AG1630" s="10" t="s">
        <v>1699</v>
      </c>
      <c r="AH1630" s="25">
        <f>IF(AL1630=0,K1630,0)</f>
        <v>0</v>
      </c>
      <c r="AI1630" s="25">
        <f>IF(AL1630=12,K1630,0)</f>
        <v>0</v>
      </c>
      <c r="AJ1630" s="25">
        <f>IF(AL1630=21,K1630,0)</f>
        <v>0</v>
      </c>
      <c r="AL1630" s="25">
        <v>21</v>
      </c>
      <c r="AM1630" s="25">
        <f>H1630*1</f>
        <v>0</v>
      </c>
      <c r="AN1630" s="25">
        <f>H1630*(1-1)</f>
        <v>0</v>
      </c>
      <c r="AO1630" s="27" t="s">
        <v>57</v>
      </c>
      <c r="AT1630" s="25">
        <f>ROUND(AU1630+AV1630,2)</f>
        <v>0</v>
      </c>
      <c r="AU1630" s="25">
        <f>ROUND(G1630*AM1630,2)</f>
        <v>0</v>
      </c>
      <c r="AV1630" s="25">
        <f>ROUND(G1630*AN1630,2)</f>
        <v>0</v>
      </c>
      <c r="AW1630" s="27" t="s">
        <v>1705</v>
      </c>
      <c r="AX1630" s="27" t="s">
        <v>1706</v>
      </c>
      <c r="AY1630" s="10" t="s">
        <v>1707</v>
      </c>
      <c r="BA1630" s="25">
        <f>AU1630+AV1630</f>
        <v>0</v>
      </c>
      <c r="BB1630" s="25">
        <f>H1630/(100-BC1630)*100</f>
        <v>0</v>
      </c>
      <c r="BC1630" s="25">
        <v>0</v>
      </c>
      <c r="BD1630" s="25">
        <f>M1630</f>
        <v>7.0000000000000001E-3</v>
      </c>
      <c r="BF1630" s="25">
        <f>G1630*AM1630</f>
        <v>0</v>
      </c>
      <c r="BG1630" s="25">
        <f>G1630*AN1630</f>
        <v>0</v>
      </c>
      <c r="BH1630" s="25">
        <f>G1630*H1630</f>
        <v>0</v>
      </c>
      <c r="BI1630" s="27" t="s">
        <v>65</v>
      </c>
      <c r="BJ1630" s="25">
        <v>0</v>
      </c>
      <c r="BU1630" s="25" t="e">
        <f>#REF!</f>
        <v>#REF!</v>
      </c>
      <c r="BV1630" s="4" t="s">
        <v>1743</v>
      </c>
    </row>
    <row r="1631" spans="1:74" ht="14.4" x14ac:dyDescent="0.3">
      <c r="A1631" s="28"/>
      <c r="D1631" s="29" t="s">
        <v>291</v>
      </c>
      <c r="E1631" s="29" t="s">
        <v>52</v>
      </c>
      <c r="G1631" s="30">
        <v>35</v>
      </c>
      <c r="H1631" s="63"/>
      <c r="N1631" s="31"/>
    </row>
    <row r="1632" spans="1:74" ht="14.4" x14ac:dyDescent="0.3">
      <c r="A1632" s="2" t="s">
        <v>1744</v>
      </c>
      <c r="B1632" s="3" t="s">
        <v>1699</v>
      </c>
      <c r="C1632" s="3" t="s">
        <v>1745</v>
      </c>
      <c r="D1632" s="112" t="s">
        <v>1746</v>
      </c>
      <c r="E1632" s="109"/>
      <c r="F1632" s="3" t="s">
        <v>115</v>
      </c>
      <c r="G1632" s="25">
        <v>28</v>
      </c>
      <c r="H1632" s="62"/>
      <c r="I1632" s="25">
        <f>ROUND(G1632*AM1632,2)</f>
        <v>0</v>
      </c>
      <c r="J1632" s="25">
        <f>ROUND(G1632*AN1632,2)</f>
        <v>0</v>
      </c>
      <c r="K1632" s="25">
        <f>ROUND(G1632*H1632,2)</f>
        <v>0</v>
      </c>
      <c r="L1632" s="25">
        <v>1.9000000000000001E-4</v>
      </c>
      <c r="M1632" s="25">
        <f>G1632*L1632</f>
        <v>5.3200000000000001E-3</v>
      </c>
      <c r="N1632" s="26"/>
      <c r="X1632" s="25">
        <f>ROUND(IF(AO1632="5",BH1632,0),2)</f>
        <v>0</v>
      </c>
      <c r="Z1632" s="25">
        <f>ROUND(IF(AO1632="1",BF1632,0),2)</f>
        <v>0</v>
      </c>
      <c r="AA1632" s="25">
        <f>ROUND(IF(AO1632="1",BG1632,0),2)</f>
        <v>0</v>
      </c>
      <c r="AB1632" s="25">
        <f>ROUND(IF(AO1632="7",BF1632,0),2)</f>
        <v>0</v>
      </c>
      <c r="AC1632" s="25">
        <f>ROUND(IF(AO1632="7",BG1632,0),2)</f>
        <v>0</v>
      </c>
      <c r="AD1632" s="25">
        <f>ROUND(IF(AO1632="2",BF1632,0),2)</f>
        <v>0</v>
      </c>
      <c r="AE1632" s="25">
        <f>ROUND(IF(AO1632="2",BG1632,0),2)</f>
        <v>0</v>
      </c>
      <c r="AF1632" s="25">
        <f>ROUND(IF(AO1632="0",BH1632,0),2)</f>
        <v>0</v>
      </c>
      <c r="AG1632" s="10" t="s">
        <v>1699</v>
      </c>
      <c r="AH1632" s="25">
        <f>IF(AL1632=0,K1632,0)</f>
        <v>0</v>
      </c>
      <c r="AI1632" s="25">
        <f>IF(AL1632=12,K1632,0)</f>
        <v>0</v>
      </c>
      <c r="AJ1632" s="25">
        <f>IF(AL1632=21,K1632,0)</f>
        <v>0</v>
      </c>
      <c r="AL1632" s="25">
        <v>21</v>
      </c>
      <c r="AM1632" s="25">
        <f>H1632*1</f>
        <v>0</v>
      </c>
      <c r="AN1632" s="25">
        <f>H1632*(1-1)</f>
        <v>0</v>
      </c>
      <c r="AO1632" s="27" t="s">
        <v>57</v>
      </c>
      <c r="AT1632" s="25">
        <f>ROUND(AU1632+AV1632,2)</f>
        <v>0</v>
      </c>
      <c r="AU1632" s="25">
        <f>ROUND(G1632*AM1632,2)</f>
        <v>0</v>
      </c>
      <c r="AV1632" s="25">
        <f>ROUND(G1632*AN1632,2)</f>
        <v>0</v>
      </c>
      <c r="AW1632" s="27" t="s">
        <v>1705</v>
      </c>
      <c r="AX1632" s="27" t="s">
        <v>1706</v>
      </c>
      <c r="AY1632" s="10" t="s">
        <v>1707</v>
      </c>
      <c r="BA1632" s="25">
        <f>AU1632+AV1632</f>
        <v>0</v>
      </c>
      <c r="BB1632" s="25">
        <f>H1632/(100-BC1632)*100</f>
        <v>0</v>
      </c>
      <c r="BC1632" s="25">
        <v>0</v>
      </c>
      <c r="BD1632" s="25">
        <f>M1632</f>
        <v>5.3200000000000001E-3</v>
      </c>
      <c r="BF1632" s="25">
        <f>G1632*AM1632</f>
        <v>0</v>
      </c>
      <c r="BG1632" s="25">
        <f>G1632*AN1632</f>
        <v>0</v>
      </c>
      <c r="BH1632" s="25">
        <f>G1632*H1632</f>
        <v>0</v>
      </c>
      <c r="BI1632" s="27" t="s">
        <v>65</v>
      </c>
      <c r="BJ1632" s="25">
        <v>0</v>
      </c>
      <c r="BU1632" s="25" t="e">
        <f>#REF!</f>
        <v>#REF!</v>
      </c>
      <c r="BV1632" s="4" t="s">
        <v>1746</v>
      </c>
    </row>
    <row r="1633" spans="1:74" ht="14.4" x14ac:dyDescent="0.3">
      <c r="A1633" s="28"/>
      <c r="D1633" s="29" t="s">
        <v>261</v>
      </c>
      <c r="E1633" s="29" t="s">
        <v>52</v>
      </c>
      <c r="G1633" s="30">
        <v>28</v>
      </c>
      <c r="H1633" s="63"/>
      <c r="N1633" s="31"/>
    </row>
    <row r="1634" spans="1:74" ht="14.4" x14ac:dyDescent="0.3">
      <c r="A1634" s="2" t="s">
        <v>1747</v>
      </c>
      <c r="B1634" s="3" t="s">
        <v>1699</v>
      </c>
      <c r="C1634" s="3" t="s">
        <v>1748</v>
      </c>
      <c r="D1634" s="112" t="s">
        <v>1749</v>
      </c>
      <c r="E1634" s="109"/>
      <c r="F1634" s="3" t="s">
        <v>278</v>
      </c>
      <c r="G1634" s="25">
        <v>0.56000000000000005</v>
      </c>
      <c r="H1634" s="62"/>
      <c r="I1634" s="25">
        <f>ROUND(G1634*AM1634,2)</f>
        <v>0</v>
      </c>
      <c r="J1634" s="25">
        <f>ROUND(G1634*AN1634,2)</f>
        <v>0</v>
      </c>
      <c r="K1634" s="25">
        <f>ROUND(G1634*H1634,2)</f>
        <v>0</v>
      </c>
      <c r="L1634" s="25">
        <v>0</v>
      </c>
      <c r="M1634" s="25">
        <f>G1634*L1634</f>
        <v>0</v>
      </c>
      <c r="N1634" s="26"/>
      <c r="X1634" s="25">
        <f>ROUND(IF(AO1634="5",BH1634,0),2)</f>
        <v>0</v>
      </c>
      <c r="Z1634" s="25">
        <f>ROUND(IF(AO1634="1",BF1634,0),2)</f>
        <v>0</v>
      </c>
      <c r="AA1634" s="25">
        <f>ROUND(IF(AO1634="1",BG1634,0),2)</f>
        <v>0</v>
      </c>
      <c r="AB1634" s="25">
        <f>ROUND(IF(AO1634="7",BF1634,0),2)</f>
        <v>0</v>
      </c>
      <c r="AC1634" s="25">
        <f>ROUND(IF(AO1634="7",BG1634,0),2)</f>
        <v>0</v>
      </c>
      <c r="AD1634" s="25">
        <f>ROUND(IF(AO1634="2",BF1634,0),2)</f>
        <v>0</v>
      </c>
      <c r="AE1634" s="25">
        <f>ROUND(IF(AO1634="2",BG1634,0),2)</f>
        <v>0</v>
      </c>
      <c r="AF1634" s="25">
        <f>ROUND(IF(AO1634="0",BH1634,0),2)</f>
        <v>0</v>
      </c>
      <c r="AG1634" s="10" t="s">
        <v>1699</v>
      </c>
      <c r="AH1634" s="25">
        <f>IF(AL1634=0,K1634,0)</f>
        <v>0</v>
      </c>
      <c r="AI1634" s="25">
        <f>IF(AL1634=12,K1634,0)</f>
        <v>0</v>
      </c>
      <c r="AJ1634" s="25">
        <f>IF(AL1634=21,K1634,0)</f>
        <v>0</v>
      </c>
      <c r="AL1634" s="25">
        <v>21</v>
      </c>
      <c r="AM1634" s="25">
        <f>H1634*0</f>
        <v>0</v>
      </c>
      <c r="AN1634" s="25">
        <f>H1634*(1-0)</f>
        <v>0</v>
      </c>
      <c r="AO1634" s="27" t="s">
        <v>97</v>
      </c>
      <c r="AT1634" s="25">
        <f>ROUND(AU1634+AV1634,2)</f>
        <v>0</v>
      </c>
      <c r="AU1634" s="25">
        <f>ROUND(G1634*AM1634,2)</f>
        <v>0</v>
      </c>
      <c r="AV1634" s="25">
        <f>ROUND(G1634*AN1634,2)</f>
        <v>0</v>
      </c>
      <c r="AW1634" s="27" t="s">
        <v>1705</v>
      </c>
      <c r="AX1634" s="27" t="s">
        <v>1706</v>
      </c>
      <c r="AY1634" s="10" t="s">
        <v>1707</v>
      </c>
      <c r="BA1634" s="25">
        <f>AU1634+AV1634</f>
        <v>0</v>
      </c>
      <c r="BB1634" s="25">
        <f>H1634/(100-BC1634)*100</f>
        <v>0</v>
      </c>
      <c r="BC1634" s="25">
        <v>0</v>
      </c>
      <c r="BD1634" s="25">
        <f>M1634</f>
        <v>0</v>
      </c>
      <c r="BF1634" s="25">
        <f>G1634*AM1634</f>
        <v>0</v>
      </c>
      <c r="BG1634" s="25">
        <f>G1634*AN1634</f>
        <v>0</v>
      </c>
      <c r="BH1634" s="25">
        <f>G1634*H1634</f>
        <v>0</v>
      </c>
      <c r="BI1634" s="27" t="s">
        <v>65</v>
      </c>
      <c r="BJ1634" s="25">
        <v>0</v>
      </c>
      <c r="BU1634" s="25" t="e">
        <f>#REF!</f>
        <v>#REF!</v>
      </c>
      <c r="BV1634" s="4" t="s">
        <v>1749</v>
      </c>
    </row>
    <row r="1635" spans="1:74" ht="14.4" x14ac:dyDescent="0.3">
      <c r="A1635" s="28"/>
      <c r="D1635" s="29" t="s">
        <v>1750</v>
      </c>
      <c r="E1635" s="29" t="s">
        <v>52</v>
      </c>
      <c r="G1635" s="30">
        <v>0.56000000000000005</v>
      </c>
      <c r="H1635" s="63"/>
      <c r="N1635" s="31"/>
    </row>
    <row r="1636" spans="1:74" ht="14.4" x14ac:dyDescent="0.3">
      <c r="A1636" s="21" t="s">
        <v>52</v>
      </c>
      <c r="B1636" s="22" t="s">
        <v>1699</v>
      </c>
      <c r="C1636" s="22" t="s">
        <v>625</v>
      </c>
      <c r="D1636" s="170" t="s">
        <v>1751</v>
      </c>
      <c r="E1636" s="171"/>
      <c r="F1636" s="23" t="s">
        <v>32</v>
      </c>
      <c r="G1636" s="23" t="s">
        <v>32</v>
      </c>
      <c r="H1636" s="64"/>
      <c r="I1636" s="1">
        <f>SUM(I1637:I1687)</f>
        <v>0</v>
      </c>
      <c r="J1636" s="1">
        <f>SUM(J1637:J1687)</f>
        <v>0</v>
      </c>
      <c r="K1636" s="1">
        <f>SUM(K1637:K1687)</f>
        <v>0</v>
      </c>
      <c r="L1636" s="10" t="s">
        <v>52</v>
      </c>
      <c r="M1636" s="1">
        <f>SUM(M1637:M1687)</f>
        <v>4.3194599999999994</v>
      </c>
      <c r="N1636" s="24"/>
      <c r="AG1636" s="10" t="s">
        <v>1699</v>
      </c>
      <c r="AQ1636" s="1">
        <f>SUM(AH1637:AH1687)</f>
        <v>0</v>
      </c>
      <c r="AR1636" s="1">
        <f>SUM(AI1637:AI1687)</f>
        <v>0</v>
      </c>
      <c r="AS1636" s="1">
        <f>SUM(AJ1637:AJ1687)</f>
        <v>0</v>
      </c>
    </row>
    <row r="1637" spans="1:74" ht="26.4" x14ac:dyDescent="0.3">
      <c r="A1637" s="2" t="s">
        <v>1752</v>
      </c>
      <c r="B1637" s="3" t="s">
        <v>1699</v>
      </c>
      <c r="C1637" s="3" t="s">
        <v>1753</v>
      </c>
      <c r="D1637" s="112" t="s">
        <v>1754</v>
      </c>
      <c r="E1637" s="109"/>
      <c r="F1637" s="3" t="s">
        <v>122</v>
      </c>
      <c r="G1637" s="25">
        <v>12</v>
      </c>
      <c r="H1637" s="62"/>
      <c r="I1637" s="25">
        <f>ROUND(G1637*AM1637,2)</f>
        <v>0</v>
      </c>
      <c r="J1637" s="25">
        <f>ROUND(G1637*AN1637,2)</f>
        <v>0</v>
      </c>
      <c r="K1637" s="25">
        <f>ROUND(G1637*H1637,2)</f>
        <v>0</v>
      </c>
      <c r="L1637" s="25">
        <v>0</v>
      </c>
      <c r="M1637" s="25">
        <f>G1637*L1637</f>
        <v>0</v>
      </c>
      <c r="N1637" s="102"/>
      <c r="X1637" s="25">
        <f>ROUND(IF(AO1637="5",BH1637,0),2)</f>
        <v>0</v>
      </c>
      <c r="Z1637" s="25">
        <f>ROUND(IF(AO1637="1",BF1637,0),2)</f>
        <v>0</v>
      </c>
      <c r="AA1637" s="25">
        <f>ROUND(IF(AO1637="1",BG1637,0),2)</f>
        <v>0</v>
      </c>
      <c r="AB1637" s="25">
        <f>ROUND(IF(AO1637="7",BF1637,0),2)</f>
        <v>0</v>
      </c>
      <c r="AC1637" s="25">
        <f>ROUND(IF(AO1637="7",BG1637,0),2)</f>
        <v>0</v>
      </c>
      <c r="AD1637" s="25">
        <f>ROUND(IF(AO1637="2",BF1637,0),2)</f>
        <v>0</v>
      </c>
      <c r="AE1637" s="25">
        <f>ROUND(IF(AO1637="2",BG1637,0),2)</f>
        <v>0</v>
      </c>
      <c r="AF1637" s="25">
        <f>ROUND(IF(AO1637="0",BH1637,0),2)</f>
        <v>0</v>
      </c>
      <c r="AG1637" s="10" t="s">
        <v>1699</v>
      </c>
      <c r="AH1637" s="25">
        <f>IF(AL1637=0,K1637,0)</f>
        <v>0</v>
      </c>
      <c r="AI1637" s="25">
        <f>IF(AL1637=12,K1637,0)</f>
        <v>0</v>
      </c>
      <c r="AJ1637" s="25">
        <f>IF(AL1637=21,K1637,0)</f>
        <v>0</v>
      </c>
      <c r="AL1637" s="25">
        <v>21</v>
      </c>
      <c r="AM1637" s="25">
        <f>H1637*1</f>
        <v>0</v>
      </c>
      <c r="AN1637" s="25">
        <f>H1637*(1-1)</f>
        <v>0</v>
      </c>
      <c r="AO1637" s="27" t="s">
        <v>57</v>
      </c>
      <c r="AT1637" s="25">
        <f>ROUND(AU1637+AV1637,2)</f>
        <v>0</v>
      </c>
      <c r="AU1637" s="25">
        <f>ROUND(G1637*AM1637,2)</f>
        <v>0</v>
      </c>
      <c r="AV1637" s="25">
        <f>ROUND(G1637*AN1637,2)</f>
        <v>0</v>
      </c>
      <c r="AW1637" s="27" t="s">
        <v>1755</v>
      </c>
      <c r="AX1637" s="27" t="s">
        <v>1756</v>
      </c>
      <c r="AY1637" s="10" t="s">
        <v>1707</v>
      </c>
      <c r="BA1637" s="25">
        <f>AU1637+AV1637</f>
        <v>0</v>
      </c>
      <c r="BB1637" s="25">
        <f>H1637/(100-BC1637)*100</f>
        <v>0</v>
      </c>
      <c r="BC1637" s="25">
        <v>0</v>
      </c>
      <c r="BD1637" s="25">
        <f>M1637</f>
        <v>0</v>
      </c>
      <c r="BF1637" s="25">
        <f>G1637*AM1637</f>
        <v>0</v>
      </c>
      <c r="BG1637" s="25">
        <f>G1637*AN1637</f>
        <v>0</v>
      </c>
      <c r="BH1637" s="25">
        <f>G1637*H1637</f>
        <v>0</v>
      </c>
      <c r="BI1637" s="27" t="s">
        <v>65</v>
      </c>
      <c r="BJ1637" s="25">
        <v>103</v>
      </c>
      <c r="BU1637" s="25" t="e">
        <f>#REF!</f>
        <v>#REF!</v>
      </c>
      <c r="BV1637" s="4" t="s">
        <v>1754</v>
      </c>
    </row>
    <row r="1638" spans="1:74" ht="14.4" x14ac:dyDescent="0.3">
      <c r="A1638" s="28"/>
      <c r="D1638" s="29" t="s">
        <v>145</v>
      </c>
      <c r="E1638" s="29" t="s">
        <v>52</v>
      </c>
      <c r="G1638" s="30">
        <v>12</v>
      </c>
      <c r="H1638" s="63"/>
      <c r="N1638" s="31"/>
    </row>
    <row r="1639" spans="1:74" ht="26.4" x14ac:dyDescent="0.3">
      <c r="A1639" s="2" t="s">
        <v>1757</v>
      </c>
      <c r="B1639" s="3" t="s">
        <v>1699</v>
      </c>
      <c r="C1639" s="3" t="s">
        <v>1758</v>
      </c>
      <c r="D1639" s="112" t="s">
        <v>1759</v>
      </c>
      <c r="E1639" s="109"/>
      <c r="F1639" s="3" t="s">
        <v>122</v>
      </c>
      <c r="G1639" s="25">
        <v>12</v>
      </c>
      <c r="H1639" s="62"/>
      <c r="I1639" s="25">
        <f>ROUND(G1639*AM1639,2)</f>
        <v>0</v>
      </c>
      <c r="J1639" s="25">
        <f>ROUND(G1639*AN1639,2)</f>
        <v>0</v>
      </c>
      <c r="K1639" s="25">
        <f>ROUND(G1639*H1639,2)</f>
        <v>0</v>
      </c>
      <c r="L1639" s="25">
        <v>0</v>
      </c>
      <c r="M1639" s="25">
        <f>G1639*L1639</f>
        <v>0</v>
      </c>
      <c r="N1639" s="102"/>
      <c r="X1639" s="25">
        <f>ROUND(IF(AO1639="5",BH1639,0),2)</f>
        <v>0</v>
      </c>
      <c r="Z1639" s="25">
        <f>ROUND(IF(AO1639="1",BF1639,0),2)</f>
        <v>0</v>
      </c>
      <c r="AA1639" s="25">
        <f>ROUND(IF(AO1639="1",BG1639,0),2)</f>
        <v>0</v>
      </c>
      <c r="AB1639" s="25">
        <f>ROUND(IF(AO1639="7",BF1639,0),2)</f>
        <v>0</v>
      </c>
      <c r="AC1639" s="25">
        <f>ROUND(IF(AO1639="7",BG1639,0),2)</f>
        <v>0</v>
      </c>
      <c r="AD1639" s="25">
        <f>ROUND(IF(AO1639="2",BF1639,0),2)</f>
        <v>0</v>
      </c>
      <c r="AE1639" s="25">
        <f>ROUND(IF(AO1639="2",BG1639,0),2)</f>
        <v>0</v>
      </c>
      <c r="AF1639" s="25">
        <f>ROUND(IF(AO1639="0",BH1639,0),2)</f>
        <v>0</v>
      </c>
      <c r="AG1639" s="10" t="s">
        <v>1699</v>
      </c>
      <c r="AH1639" s="25">
        <f>IF(AL1639=0,K1639,0)</f>
        <v>0</v>
      </c>
      <c r="AI1639" s="25">
        <f>IF(AL1639=12,K1639,0)</f>
        <v>0</v>
      </c>
      <c r="AJ1639" s="25">
        <f>IF(AL1639=21,K1639,0)</f>
        <v>0</v>
      </c>
      <c r="AL1639" s="25">
        <v>21</v>
      </c>
      <c r="AM1639" s="25">
        <f>H1639*1</f>
        <v>0</v>
      </c>
      <c r="AN1639" s="25">
        <f>H1639*(1-1)</f>
        <v>0</v>
      </c>
      <c r="AO1639" s="27" t="s">
        <v>57</v>
      </c>
      <c r="AT1639" s="25">
        <f>ROUND(AU1639+AV1639,2)</f>
        <v>0</v>
      </c>
      <c r="AU1639" s="25">
        <f>ROUND(G1639*AM1639,2)</f>
        <v>0</v>
      </c>
      <c r="AV1639" s="25">
        <f>ROUND(G1639*AN1639,2)</f>
        <v>0</v>
      </c>
      <c r="AW1639" s="27" t="s">
        <v>1755</v>
      </c>
      <c r="AX1639" s="27" t="s">
        <v>1756</v>
      </c>
      <c r="AY1639" s="10" t="s">
        <v>1707</v>
      </c>
      <c r="BA1639" s="25">
        <f>AU1639+AV1639</f>
        <v>0</v>
      </c>
      <c r="BB1639" s="25">
        <f>H1639/(100-BC1639)*100</f>
        <v>0</v>
      </c>
      <c r="BC1639" s="25">
        <v>0</v>
      </c>
      <c r="BD1639" s="25">
        <f>M1639</f>
        <v>0</v>
      </c>
      <c r="BF1639" s="25">
        <f>G1639*AM1639</f>
        <v>0</v>
      </c>
      <c r="BG1639" s="25">
        <f>G1639*AN1639</f>
        <v>0</v>
      </c>
      <c r="BH1639" s="25">
        <f>G1639*H1639</f>
        <v>0</v>
      </c>
      <c r="BI1639" s="27" t="s">
        <v>65</v>
      </c>
      <c r="BJ1639" s="25">
        <v>103</v>
      </c>
      <c r="BU1639" s="25" t="e">
        <f>#REF!</f>
        <v>#REF!</v>
      </c>
      <c r="BV1639" s="4" t="s">
        <v>1759</v>
      </c>
    </row>
    <row r="1640" spans="1:74" ht="14.4" x14ac:dyDescent="0.3">
      <c r="A1640" s="28"/>
      <c r="D1640" s="29" t="s">
        <v>145</v>
      </c>
      <c r="E1640" s="29" t="s">
        <v>52</v>
      </c>
      <c r="G1640" s="30">
        <v>12</v>
      </c>
      <c r="H1640" s="63"/>
      <c r="N1640" s="31"/>
    </row>
    <row r="1641" spans="1:74" ht="26.4" x14ac:dyDescent="0.3">
      <c r="A1641" s="2" t="s">
        <v>1760</v>
      </c>
      <c r="B1641" s="3" t="s">
        <v>1699</v>
      </c>
      <c r="C1641" s="3" t="s">
        <v>1761</v>
      </c>
      <c r="D1641" s="112" t="s">
        <v>1762</v>
      </c>
      <c r="E1641" s="109"/>
      <c r="F1641" s="3" t="s">
        <v>122</v>
      </c>
      <c r="G1641" s="25">
        <v>1</v>
      </c>
      <c r="H1641" s="62"/>
      <c r="I1641" s="25">
        <f>ROUND(G1641*AM1641,2)</f>
        <v>0</v>
      </c>
      <c r="J1641" s="25">
        <f>ROUND(G1641*AN1641,2)</f>
        <v>0</v>
      </c>
      <c r="K1641" s="25">
        <f>ROUND(G1641*H1641,2)</f>
        <v>0</v>
      </c>
      <c r="L1641" s="25">
        <v>0</v>
      </c>
      <c r="M1641" s="25">
        <f>G1641*L1641</f>
        <v>0</v>
      </c>
      <c r="N1641" s="102"/>
      <c r="X1641" s="25">
        <f>ROUND(IF(AO1641="5",BH1641,0),2)</f>
        <v>0</v>
      </c>
      <c r="Z1641" s="25">
        <f>ROUND(IF(AO1641="1",BF1641,0),2)</f>
        <v>0</v>
      </c>
      <c r="AA1641" s="25">
        <f>ROUND(IF(AO1641="1",BG1641,0),2)</f>
        <v>0</v>
      </c>
      <c r="AB1641" s="25">
        <f>ROUND(IF(AO1641="7",BF1641,0),2)</f>
        <v>0</v>
      </c>
      <c r="AC1641" s="25">
        <f>ROUND(IF(AO1641="7",BG1641,0),2)</f>
        <v>0</v>
      </c>
      <c r="AD1641" s="25">
        <f>ROUND(IF(AO1641="2",BF1641,0),2)</f>
        <v>0</v>
      </c>
      <c r="AE1641" s="25">
        <f>ROUND(IF(AO1641="2",BG1641,0),2)</f>
        <v>0</v>
      </c>
      <c r="AF1641" s="25">
        <f>ROUND(IF(AO1641="0",BH1641,0),2)</f>
        <v>0</v>
      </c>
      <c r="AG1641" s="10" t="s">
        <v>1699</v>
      </c>
      <c r="AH1641" s="25">
        <f>IF(AL1641=0,K1641,0)</f>
        <v>0</v>
      </c>
      <c r="AI1641" s="25">
        <f>IF(AL1641=12,K1641,0)</f>
        <v>0</v>
      </c>
      <c r="AJ1641" s="25">
        <f>IF(AL1641=21,K1641,0)</f>
        <v>0</v>
      </c>
      <c r="AL1641" s="25">
        <v>21</v>
      </c>
      <c r="AM1641" s="25">
        <f>H1641*1</f>
        <v>0</v>
      </c>
      <c r="AN1641" s="25">
        <f>H1641*(1-1)</f>
        <v>0</v>
      </c>
      <c r="AO1641" s="27" t="s">
        <v>57</v>
      </c>
      <c r="AT1641" s="25">
        <f>ROUND(AU1641+AV1641,2)</f>
        <v>0</v>
      </c>
      <c r="AU1641" s="25">
        <f>ROUND(G1641*AM1641,2)</f>
        <v>0</v>
      </c>
      <c r="AV1641" s="25">
        <f>ROUND(G1641*AN1641,2)</f>
        <v>0</v>
      </c>
      <c r="AW1641" s="27" t="s">
        <v>1755</v>
      </c>
      <c r="AX1641" s="27" t="s">
        <v>1756</v>
      </c>
      <c r="AY1641" s="10" t="s">
        <v>1707</v>
      </c>
      <c r="BA1641" s="25">
        <f>AU1641+AV1641</f>
        <v>0</v>
      </c>
      <c r="BB1641" s="25">
        <f>H1641/(100-BC1641)*100</f>
        <v>0</v>
      </c>
      <c r="BC1641" s="25">
        <v>0</v>
      </c>
      <c r="BD1641" s="25">
        <f>M1641</f>
        <v>0</v>
      </c>
      <c r="BF1641" s="25">
        <f>G1641*AM1641</f>
        <v>0</v>
      </c>
      <c r="BG1641" s="25">
        <f>G1641*AN1641</f>
        <v>0</v>
      </c>
      <c r="BH1641" s="25">
        <f>G1641*H1641</f>
        <v>0</v>
      </c>
      <c r="BI1641" s="27" t="s">
        <v>65</v>
      </c>
      <c r="BJ1641" s="25">
        <v>103</v>
      </c>
      <c r="BU1641" s="25" t="e">
        <f>#REF!</f>
        <v>#REF!</v>
      </c>
      <c r="BV1641" s="4" t="s">
        <v>1762</v>
      </c>
    </row>
    <row r="1642" spans="1:74" ht="14.4" x14ac:dyDescent="0.3">
      <c r="A1642" s="28"/>
      <c r="D1642" s="29" t="s">
        <v>57</v>
      </c>
      <c r="E1642" s="29" t="s">
        <v>52</v>
      </c>
      <c r="G1642" s="30">
        <v>1</v>
      </c>
      <c r="H1642" s="63"/>
      <c r="N1642" s="31"/>
    </row>
    <row r="1643" spans="1:74" ht="14.4" x14ac:dyDescent="0.3">
      <c r="A1643" s="2" t="s">
        <v>1763</v>
      </c>
      <c r="B1643" s="3" t="s">
        <v>1699</v>
      </c>
      <c r="C1643" s="3" t="s">
        <v>1764</v>
      </c>
      <c r="D1643" s="112" t="s">
        <v>1765</v>
      </c>
      <c r="E1643" s="109"/>
      <c r="F1643" s="3" t="s">
        <v>122</v>
      </c>
      <c r="G1643" s="25">
        <v>1</v>
      </c>
      <c r="H1643" s="62"/>
      <c r="I1643" s="25">
        <f>ROUND(G1643*AM1643,2)</f>
        <v>0</v>
      </c>
      <c r="J1643" s="25">
        <f>ROUND(G1643*AN1643,2)</f>
        <v>0</v>
      </c>
      <c r="K1643" s="25">
        <f>ROUND(G1643*H1643,2)</f>
        <v>0</v>
      </c>
      <c r="L1643" s="25">
        <v>0</v>
      </c>
      <c r="M1643" s="25">
        <f>G1643*L1643</f>
        <v>0</v>
      </c>
      <c r="N1643" s="102"/>
      <c r="X1643" s="25">
        <f>ROUND(IF(AO1643="5",BH1643,0),2)</f>
        <v>0</v>
      </c>
      <c r="Z1643" s="25">
        <f>ROUND(IF(AO1643="1",BF1643,0),2)</f>
        <v>0</v>
      </c>
      <c r="AA1643" s="25">
        <f>ROUND(IF(AO1643="1",BG1643,0),2)</f>
        <v>0</v>
      </c>
      <c r="AB1643" s="25">
        <f>ROUND(IF(AO1643="7",BF1643,0),2)</f>
        <v>0</v>
      </c>
      <c r="AC1643" s="25">
        <f>ROUND(IF(AO1643="7",BG1643,0),2)</f>
        <v>0</v>
      </c>
      <c r="AD1643" s="25">
        <f>ROUND(IF(AO1643="2",BF1643,0),2)</f>
        <v>0</v>
      </c>
      <c r="AE1643" s="25">
        <f>ROUND(IF(AO1643="2",BG1643,0),2)</f>
        <v>0</v>
      </c>
      <c r="AF1643" s="25">
        <f>ROUND(IF(AO1643="0",BH1643,0),2)</f>
        <v>0</v>
      </c>
      <c r="AG1643" s="10" t="s">
        <v>1699</v>
      </c>
      <c r="AH1643" s="25">
        <f>IF(AL1643=0,K1643,0)</f>
        <v>0</v>
      </c>
      <c r="AI1643" s="25">
        <f>IF(AL1643=12,K1643,0)</f>
        <v>0</v>
      </c>
      <c r="AJ1643" s="25">
        <f>IF(AL1643=21,K1643,0)</f>
        <v>0</v>
      </c>
      <c r="AL1643" s="25">
        <v>21</v>
      </c>
      <c r="AM1643" s="25">
        <f>H1643*1</f>
        <v>0</v>
      </c>
      <c r="AN1643" s="25">
        <f>H1643*(1-1)</f>
        <v>0</v>
      </c>
      <c r="AO1643" s="27" t="s">
        <v>57</v>
      </c>
      <c r="AT1643" s="25">
        <f>ROUND(AU1643+AV1643,2)</f>
        <v>0</v>
      </c>
      <c r="AU1643" s="25">
        <f>ROUND(G1643*AM1643,2)</f>
        <v>0</v>
      </c>
      <c r="AV1643" s="25">
        <f>ROUND(G1643*AN1643,2)</f>
        <v>0</v>
      </c>
      <c r="AW1643" s="27" t="s">
        <v>1755</v>
      </c>
      <c r="AX1643" s="27" t="s">
        <v>1756</v>
      </c>
      <c r="AY1643" s="10" t="s">
        <v>1707</v>
      </c>
      <c r="BA1643" s="25">
        <f>AU1643+AV1643</f>
        <v>0</v>
      </c>
      <c r="BB1643" s="25">
        <f>H1643/(100-BC1643)*100</f>
        <v>0</v>
      </c>
      <c r="BC1643" s="25">
        <v>0</v>
      </c>
      <c r="BD1643" s="25">
        <f>M1643</f>
        <v>0</v>
      </c>
      <c r="BF1643" s="25">
        <f>G1643*AM1643</f>
        <v>0</v>
      </c>
      <c r="BG1643" s="25">
        <f>G1643*AN1643</f>
        <v>0</v>
      </c>
      <c r="BH1643" s="25">
        <f>G1643*H1643</f>
        <v>0</v>
      </c>
      <c r="BI1643" s="27" t="s">
        <v>65</v>
      </c>
      <c r="BJ1643" s="25">
        <v>103</v>
      </c>
      <c r="BU1643" s="25" t="e">
        <f>#REF!</f>
        <v>#REF!</v>
      </c>
      <c r="BV1643" s="4" t="s">
        <v>1765</v>
      </c>
    </row>
    <row r="1644" spans="1:74" ht="14.4" x14ac:dyDescent="0.3">
      <c r="A1644" s="28"/>
      <c r="D1644" s="29" t="s">
        <v>57</v>
      </c>
      <c r="E1644" s="29" t="s">
        <v>52</v>
      </c>
      <c r="G1644" s="30">
        <v>1</v>
      </c>
      <c r="H1644" s="63"/>
      <c r="N1644" s="31"/>
    </row>
    <row r="1645" spans="1:74" ht="26.4" x14ac:dyDescent="0.3">
      <c r="A1645" s="2" t="s">
        <v>1766</v>
      </c>
      <c r="B1645" s="3" t="s">
        <v>1699</v>
      </c>
      <c r="C1645" s="3" t="s">
        <v>1767</v>
      </c>
      <c r="D1645" s="112" t="s">
        <v>1768</v>
      </c>
      <c r="E1645" s="109"/>
      <c r="F1645" s="3" t="s">
        <v>122</v>
      </c>
      <c r="G1645" s="25">
        <v>1</v>
      </c>
      <c r="H1645" s="62"/>
      <c r="I1645" s="25">
        <f>ROUND(G1645*AM1645,2)</f>
        <v>0</v>
      </c>
      <c r="J1645" s="25">
        <f>ROUND(G1645*AN1645,2)</f>
        <v>0</v>
      </c>
      <c r="K1645" s="25">
        <f>ROUND(G1645*H1645,2)</f>
        <v>0</v>
      </c>
      <c r="L1645" s="25">
        <v>0</v>
      </c>
      <c r="M1645" s="25">
        <f>G1645*L1645</f>
        <v>0</v>
      </c>
      <c r="N1645" s="102"/>
      <c r="X1645" s="25">
        <f>ROUND(IF(AO1645="5",BH1645,0),2)</f>
        <v>0</v>
      </c>
      <c r="Z1645" s="25">
        <f>ROUND(IF(AO1645="1",BF1645,0),2)</f>
        <v>0</v>
      </c>
      <c r="AA1645" s="25">
        <f>ROUND(IF(AO1645="1",BG1645,0),2)</f>
        <v>0</v>
      </c>
      <c r="AB1645" s="25">
        <f>ROUND(IF(AO1645="7",BF1645,0),2)</f>
        <v>0</v>
      </c>
      <c r="AC1645" s="25">
        <f>ROUND(IF(AO1645="7",BG1645,0),2)</f>
        <v>0</v>
      </c>
      <c r="AD1645" s="25">
        <f>ROUND(IF(AO1645="2",BF1645,0),2)</f>
        <v>0</v>
      </c>
      <c r="AE1645" s="25">
        <f>ROUND(IF(AO1645="2",BG1645,0),2)</f>
        <v>0</v>
      </c>
      <c r="AF1645" s="25">
        <f>ROUND(IF(AO1645="0",BH1645,0),2)</f>
        <v>0</v>
      </c>
      <c r="AG1645" s="10" t="s">
        <v>1699</v>
      </c>
      <c r="AH1645" s="25">
        <f>IF(AL1645=0,K1645,0)</f>
        <v>0</v>
      </c>
      <c r="AI1645" s="25">
        <f>IF(AL1645=12,K1645,0)</f>
        <v>0</v>
      </c>
      <c r="AJ1645" s="25">
        <f>IF(AL1645=21,K1645,0)</f>
        <v>0</v>
      </c>
      <c r="AL1645" s="25">
        <v>21</v>
      </c>
      <c r="AM1645" s="25">
        <f>H1645*1</f>
        <v>0</v>
      </c>
      <c r="AN1645" s="25">
        <f>H1645*(1-1)</f>
        <v>0</v>
      </c>
      <c r="AO1645" s="27" t="s">
        <v>57</v>
      </c>
      <c r="AT1645" s="25">
        <f>ROUND(AU1645+AV1645,2)</f>
        <v>0</v>
      </c>
      <c r="AU1645" s="25">
        <f>ROUND(G1645*AM1645,2)</f>
        <v>0</v>
      </c>
      <c r="AV1645" s="25">
        <f>ROUND(G1645*AN1645,2)</f>
        <v>0</v>
      </c>
      <c r="AW1645" s="27" t="s">
        <v>1755</v>
      </c>
      <c r="AX1645" s="27" t="s">
        <v>1756</v>
      </c>
      <c r="AY1645" s="10" t="s">
        <v>1707</v>
      </c>
      <c r="BA1645" s="25">
        <f>AU1645+AV1645</f>
        <v>0</v>
      </c>
      <c r="BB1645" s="25">
        <f>H1645/(100-BC1645)*100</f>
        <v>0</v>
      </c>
      <c r="BC1645" s="25">
        <v>0</v>
      </c>
      <c r="BD1645" s="25">
        <f>M1645</f>
        <v>0</v>
      </c>
      <c r="BF1645" s="25">
        <f>G1645*AM1645</f>
        <v>0</v>
      </c>
      <c r="BG1645" s="25">
        <f>G1645*AN1645</f>
        <v>0</v>
      </c>
      <c r="BH1645" s="25">
        <f>G1645*H1645</f>
        <v>0</v>
      </c>
      <c r="BI1645" s="27" t="s">
        <v>65</v>
      </c>
      <c r="BJ1645" s="25">
        <v>103</v>
      </c>
      <c r="BU1645" s="25" t="e">
        <f>#REF!</f>
        <v>#REF!</v>
      </c>
      <c r="BV1645" s="4" t="s">
        <v>1768</v>
      </c>
    </row>
    <row r="1646" spans="1:74" ht="14.4" x14ac:dyDescent="0.3">
      <c r="A1646" s="28"/>
      <c r="D1646" s="29" t="s">
        <v>57</v>
      </c>
      <c r="E1646" s="29" t="s">
        <v>52</v>
      </c>
      <c r="G1646" s="30">
        <v>1</v>
      </c>
      <c r="H1646" s="63"/>
      <c r="N1646" s="31"/>
    </row>
    <row r="1647" spans="1:74" ht="26.4" x14ac:dyDescent="0.3">
      <c r="A1647" s="2" t="s">
        <v>1769</v>
      </c>
      <c r="B1647" s="3" t="s">
        <v>1699</v>
      </c>
      <c r="C1647" s="3" t="s">
        <v>1770</v>
      </c>
      <c r="D1647" s="112" t="s">
        <v>1771</v>
      </c>
      <c r="E1647" s="109"/>
      <c r="F1647" s="3" t="s">
        <v>122</v>
      </c>
      <c r="G1647" s="25">
        <v>1</v>
      </c>
      <c r="H1647" s="62"/>
      <c r="I1647" s="25">
        <f>ROUND(G1647*AM1647,2)</f>
        <v>0</v>
      </c>
      <c r="J1647" s="25">
        <f>ROUND(G1647*AN1647,2)</f>
        <v>0</v>
      </c>
      <c r="K1647" s="25">
        <f>ROUND(G1647*H1647,2)</f>
        <v>0</v>
      </c>
      <c r="L1647" s="25">
        <v>0</v>
      </c>
      <c r="M1647" s="25">
        <f>G1647*L1647</f>
        <v>0</v>
      </c>
      <c r="N1647" s="102"/>
      <c r="X1647" s="25">
        <f>ROUND(IF(AO1647="5",BH1647,0),2)</f>
        <v>0</v>
      </c>
      <c r="Z1647" s="25">
        <f>ROUND(IF(AO1647="1",BF1647,0),2)</f>
        <v>0</v>
      </c>
      <c r="AA1647" s="25">
        <f>ROUND(IF(AO1647="1",BG1647,0),2)</f>
        <v>0</v>
      </c>
      <c r="AB1647" s="25">
        <f>ROUND(IF(AO1647="7",BF1647,0),2)</f>
        <v>0</v>
      </c>
      <c r="AC1647" s="25">
        <f>ROUND(IF(AO1647="7",BG1647,0),2)</f>
        <v>0</v>
      </c>
      <c r="AD1647" s="25">
        <f>ROUND(IF(AO1647="2",BF1647,0),2)</f>
        <v>0</v>
      </c>
      <c r="AE1647" s="25">
        <f>ROUND(IF(AO1647="2",BG1647,0),2)</f>
        <v>0</v>
      </c>
      <c r="AF1647" s="25">
        <f>ROUND(IF(AO1647="0",BH1647,0),2)</f>
        <v>0</v>
      </c>
      <c r="AG1647" s="10" t="s">
        <v>1699</v>
      </c>
      <c r="AH1647" s="25">
        <f>IF(AL1647=0,K1647,0)</f>
        <v>0</v>
      </c>
      <c r="AI1647" s="25">
        <f>IF(AL1647=12,K1647,0)</f>
        <v>0</v>
      </c>
      <c r="AJ1647" s="25">
        <f>IF(AL1647=21,K1647,0)</f>
        <v>0</v>
      </c>
      <c r="AL1647" s="25">
        <v>21</v>
      </c>
      <c r="AM1647" s="25">
        <f>H1647*1</f>
        <v>0</v>
      </c>
      <c r="AN1647" s="25">
        <f>H1647*(1-1)</f>
        <v>0</v>
      </c>
      <c r="AO1647" s="27" t="s">
        <v>57</v>
      </c>
      <c r="AT1647" s="25">
        <f>ROUND(AU1647+AV1647,2)</f>
        <v>0</v>
      </c>
      <c r="AU1647" s="25">
        <f>ROUND(G1647*AM1647,2)</f>
        <v>0</v>
      </c>
      <c r="AV1647" s="25">
        <f>ROUND(G1647*AN1647,2)</f>
        <v>0</v>
      </c>
      <c r="AW1647" s="27" t="s">
        <v>1755</v>
      </c>
      <c r="AX1647" s="27" t="s">
        <v>1756</v>
      </c>
      <c r="AY1647" s="10" t="s">
        <v>1707</v>
      </c>
      <c r="BA1647" s="25">
        <f>AU1647+AV1647</f>
        <v>0</v>
      </c>
      <c r="BB1647" s="25">
        <f>H1647/(100-BC1647)*100</f>
        <v>0</v>
      </c>
      <c r="BC1647" s="25">
        <v>0</v>
      </c>
      <c r="BD1647" s="25">
        <f>M1647</f>
        <v>0</v>
      </c>
      <c r="BF1647" s="25">
        <f>G1647*AM1647</f>
        <v>0</v>
      </c>
      <c r="BG1647" s="25">
        <f>G1647*AN1647</f>
        <v>0</v>
      </c>
      <c r="BH1647" s="25">
        <f>G1647*H1647</f>
        <v>0</v>
      </c>
      <c r="BI1647" s="27" t="s">
        <v>65</v>
      </c>
      <c r="BJ1647" s="25">
        <v>103</v>
      </c>
      <c r="BU1647" s="25" t="e">
        <f>#REF!</f>
        <v>#REF!</v>
      </c>
      <c r="BV1647" s="4" t="s">
        <v>1771</v>
      </c>
    </row>
    <row r="1648" spans="1:74" ht="14.4" x14ac:dyDescent="0.3">
      <c r="A1648" s="28"/>
      <c r="D1648" s="29" t="s">
        <v>57</v>
      </c>
      <c r="E1648" s="29" t="s">
        <v>52</v>
      </c>
      <c r="G1648" s="30">
        <v>1</v>
      </c>
      <c r="H1648" s="63"/>
      <c r="N1648" s="31"/>
    </row>
    <row r="1649" spans="1:74" ht="26.4" x14ac:dyDescent="0.3">
      <c r="A1649" s="2" t="s">
        <v>1772</v>
      </c>
      <c r="B1649" s="3" t="s">
        <v>1699</v>
      </c>
      <c r="C1649" s="3" t="s">
        <v>1773</v>
      </c>
      <c r="D1649" s="112" t="s">
        <v>1774</v>
      </c>
      <c r="E1649" s="109"/>
      <c r="F1649" s="3" t="s">
        <v>122</v>
      </c>
      <c r="G1649" s="25">
        <v>2</v>
      </c>
      <c r="H1649" s="62"/>
      <c r="I1649" s="25">
        <f>ROUND(G1649*AM1649,2)</f>
        <v>0</v>
      </c>
      <c r="J1649" s="25">
        <f>ROUND(G1649*AN1649,2)</f>
        <v>0</v>
      </c>
      <c r="K1649" s="25">
        <f>ROUND(G1649*H1649,2)</f>
        <v>0</v>
      </c>
      <c r="L1649" s="25">
        <v>0</v>
      </c>
      <c r="M1649" s="25">
        <f>G1649*L1649</f>
        <v>0</v>
      </c>
      <c r="N1649" s="102"/>
      <c r="X1649" s="25">
        <f>ROUND(IF(AO1649="5",BH1649,0),2)</f>
        <v>0</v>
      </c>
      <c r="Z1649" s="25">
        <f>ROUND(IF(AO1649="1",BF1649,0),2)</f>
        <v>0</v>
      </c>
      <c r="AA1649" s="25">
        <f>ROUND(IF(AO1649="1",BG1649,0),2)</f>
        <v>0</v>
      </c>
      <c r="AB1649" s="25">
        <f>ROUND(IF(AO1649="7",BF1649,0),2)</f>
        <v>0</v>
      </c>
      <c r="AC1649" s="25">
        <f>ROUND(IF(AO1649="7",BG1649,0),2)</f>
        <v>0</v>
      </c>
      <c r="AD1649" s="25">
        <f>ROUND(IF(AO1649="2",BF1649,0),2)</f>
        <v>0</v>
      </c>
      <c r="AE1649" s="25">
        <f>ROUND(IF(AO1649="2",BG1649,0),2)</f>
        <v>0</v>
      </c>
      <c r="AF1649" s="25">
        <f>ROUND(IF(AO1649="0",BH1649,0),2)</f>
        <v>0</v>
      </c>
      <c r="AG1649" s="10" t="s">
        <v>1699</v>
      </c>
      <c r="AH1649" s="25">
        <f>IF(AL1649=0,K1649,0)</f>
        <v>0</v>
      </c>
      <c r="AI1649" s="25">
        <f>IF(AL1649=12,K1649,0)</f>
        <v>0</v>
      </c>
      <c r="AJ1649" s="25">
        <f>IF(AL1649=21,K1649,0)</f>
        <v>0</v>
      </c>
      <c r="AL1649" s="25">
        <v>21</v>
      </c>
      <c r="AM1649" s="25">
        <f>H1649*1</f>
        <v>0</v>
      </c>
      <c r="AN1649" s="25">
        <f>H1649*(1-1)</f>
        <v>0</v>
      </c>
      <c r="AO1649" s="27" t="s">
        <v>57</v>
      </c>
      <c r="AT1649" s="25">
        <f>ROUND(AU1649+AV1649,2)</f>
        <v>0</v>
      </c>
      <c r="AU1649" s="25">
        <f>ROUND(G1649*AM1649,2)</f>
        <v>0</v>
      </c>
      <c r="AV1649" s="25">
        <f>ROUND(G1649*AN1649,2)</f>
        <v>0</v>
      </c>
      <c r="AW1649" s="27" t="s">
        <v>1755</v>
      </c>
      <c r="AX1649" s="27" t="s">
        <v>1756</v>
      </c>
      <c r="AY1649" s="10" t="s">
        <v>1707</v>
      </c>
      <c r="BA1649" s="25">
        <f>AU1649+AV1649</f>
        <v>0</v>
      </c>
      <c r="BB1649" s="25">
        <f>H1649/(100-BC1649)*100</f>
        <v>0</v>
      </c>
      <c r="BC1649" s="25">
        <v>0</v>
      </c>
      <c r="BD1649" s="25">
        <f>M1649</f>
        <v>0</v>
      </c>
      <c r="BF1649" s="25">
        <f>G1649*AM1649</f>
        <v>0</v>
      </c>
      <c r="BG1649" s="25">
        <f>G1649*AN1649</f>
        <v>0</v>
      </c>
      <c r="BH1649" s="25">
        <f>G1649*H1649</f>
        <v>0</v>
      </c>
      <c r="BI1649" s="27" t="s">
        <v>65</v>
      </c>
      <c r="BJ1649" s="25">
        <v>103</v>
      </c>
      <c r="BU1649" s="25" t="e">
        <f>#REF!</f>
        <v>#REF!</v>
      </c>
      <c r="BV1649" s="4" t="s">
        <v>1774</v>
      </c>
    </row>
    <row r="1650" spans="1:74" ht="14.4" x14ac:dyDescent="0.3">
      <c r="A1650" s="28"/>
      <c r="D1650" s="29" t="s">
        <v>81</v>
      </c>
      <c r="E1650" s="29" t="s">
        <v>52</v>
      </c>
      <c r="G1650" s="30">
        <v>2</v>
      </c>
      <c r="H1650" s="63"/>
      <c r="N1650" s="31"/>
    </row>
    <row r="1651" spans="1:74" ht="26.4" x14ac:dyDescent="0.3">
      <c r="A1651" s="2" t="s">
        <v>1775</v>
      </c>
      <c r="B1651" s="3" t="s">
        <v>1699</v>
      </c>
      <c r="C1651" s="3" t="s">
        <v>1776</v>
      </c>
      <c r="D1651" s="112" t="s">
        <v>1777</v>
      </c>
      <c r="E1651" s="109"/>
      <c r="F1651" s="3" t="s">
        <v>122</v>
      </c>
      <c r="G1651" s="25">
        <v>4</v>
      </c>
      <c r="H1651" s="62"/>
      <c r="I1651" s="25">
        <f>ROUND(G1651*AM1651,2)</f>
        <v>0</v>
      </c>
      <c r="J1651" s="25">
        <f>ROUND(G1651*AN1651,2)</f>
        <v>0</v>
      </c>
      <c r="K1651" s="25">
        <f>ROUND(G1651*H1651,2)</f>
        <v>0</v>
      </c>
      <c r="L1651" s="25">
        <v>0</v>
      </c>
      <c r="M1651" s="25">
        <f>G1651*L1651</f>
        <v>0</v>
      </c>
      <c r="N1651" s="102"/>
      <c r="X1651" s="25">
        <f>ROUND(IF(AO1651="5",BH1651,0),2)</f>
        <v>0</v>
      </c>
      <c r="Z1651" s="25">
        <f>ROUND(IF(AO1651="1",BF1651,0),2)</f>
        <v>0</v>
      </c>
      <c r="AA1651" s="25">
        <f>ROUND(IF(AO1651="1",BG1651,0),2)</f>
        <v>0</v>
      </c>
      <c r="AB1651" s="25">
        <f>ROUND(IF(AO1651="7",BF1651,0),2)</f>
        <v>0</v>
      </c>
      <c r="AC1651" s="25">
        <f>ROUND(IF(AO1651="7",BG1651,0),2)</f>
        <v>0</v>
      </c>
      <c r="AD1651" s="25">
        <f>ROUND(IF(AO1651="2",BF1651,0),2)</f>
        <v>0</v>
      </c>
      <c r="AE1651" s="25">
        <f>ROUND(IF(AO1651="2",BG1651,0),2)</f>
        <v>0</v>
      </c>
      <c r="AF1651" s="25">
        <f>ROUND(IF(AO1651="0",BH1651,0),2)</f>
        <v>0</v>
      </c>
      <c r="AG1651" s="10" t="s">
        <v>1699</v>
      </c>
      <c r="AH1651" s="25">
        <f>IF(AL1651=0,K1651,0)</f>
        <v>0</v>
      </c>
      <c r="AI1651" s="25">
        <f>IF(AL1651=12,K1651,0)</f>
        <v>0</v>
      </c>
      <c r="AJ1651" s="25">
        <f>IF(AL1651=21,K1651,0)</f>
        <v>0</v>
      </c>
      <c r="AL1651" s="25">
        <v>21</v>
      </c>
      <c r="AM1651" s="25">
        <f>H1651*1</f>
        <v>0</v>
      </c>
      <c r="AN1651" s="25">
        <f>H1651*(1-1)</f>
        <v>0</v>
      </c>
      <c r="AO1651" s="27" t="s">
        <v>57</v>
      </c>
      <c r="AT1651" s="25">
        <f>ROUND(AU1651+AV1651,2)</f>
        <v>0</v>
      </c>
      <c r="AU1651" s="25">
        <f>ROUND(G1651*AM1651,2)</f>
        <v>0</v>
      </c>
      <c r="AV1651" s="25">
        <f>ROUND(G1651*AN1651,2)</f>
        <v>0</v>
      </c>
      <c r="AW1651" s="27" t="s">
        <v>1755</v>
      </c>
      <c r="AX1651" s="27" t="s">
        <v>1756</v>
      </c>
      <c r="AY1651" s="10" t="s">
        <v>1707</v>
      </c>
      <c r="BA1651" s="25">
        <f>AU1651+AV1651</f>
        <v>0</v>
      </c>
      <c r="BB1651" s="25">
        <f>H1651/(100-BC1651)*100</f>
        <v>0</v>
      </c>
      <c r="BC1651" s="25">
        <v>0</v>
      </c>
      <c r="BD1651" s="25">
        <f>M1651</f>
        <v>0</v>
      </c>
      <c r="BF1651" s="25">
        <f>G1651*AM1651</f>
        <v>0</v>
      </c>
      <c r="BG1651" s="25">
        <f>G1651*AN1651</f>
        <v>0</v>
      </c>
      <c r="BH1651" s="25">
        <f>G1651*H1651</f>
        <v>0</v>
      </c>
      <c r="BI1651" s="27" t="s">
        <v>65</v>
      </c>
      <c r="BJ1651" s="25">
        <v>103</v>
      </c>
      <c r="BU1651" s="25" t="e">
        <f>#REF!</f>
        <v>#REF!</v>
      </c>
      <c r="BV1651" s="4" t="s">
        <v>1777</v>
      </c>
    </row>
    <row r="1652" spans="1:74" ht="14.4" x14ac:dyDescent="0.3">
      <c r="A1652" s="28"/>
      <c r="D1652" s="29" t="s">
        <v>90</v>
      </c>
      <c r="E1652" s="29" t="s">
        <v>52</v>
      </c>
      <c r="G1652" s="30">
        <v>4</v>
      </c>
      <c r="H1652" s="63"/>
      <c r="N1652" s="31"/>
    </row>
    <row r="1653" spans="1:74" ht="14.4" x14ac:dyDescent="0.3">
      <c r="A1653" s="2" t="s">
        <v>1778</v>
      </c>
      <c r="B1653" s="3" t="s">
        <v>1699</v>
      </c>
      <c r="C1653" s="3" t="s">
        <v>1779</v>
      </c>
      <c r="D1653" s="112" t="s">
        <v>1780</v>
      </c>
      <c r="E1653" s="109"/>
      <c r="F1653" s="3" t="s">
        <v>122</v>
      </c>
      <c r="G1653" s="25">
        <v>2</v>
      </c>
      <c r="H1653" s="62"/>
      <c r="I1653" s="25">
        <f>ROUND(G1653*AM1653,2)</f>
        <v>0</v>
      </c>
      <c r="J1653" s="25">
        <f>ROUND(G1653*AN1653,2)</f>
        <v>0</v>
      </c>
      <c r="K1653" s="25">
        <f>ROUND(G1653*H1653,2)</f>
        <v>0</v>
      </c>
      <c r="L1653" s="25">
        <v>0</v>
      </c>
      <c r="M1653" s="25">
        <f>G1653*L1653</f>
        <v>0</v>
      </c>
      <c r="N1653" s="102"/>
      <c r="X1653" s="25">
        <f>ROUND(IF(AO1653="5",BH1653,0),2)</f>
        <v>0</v>
      </c>
      <c r="Z1653" s="25">
        <f>ROUND(IF(AO1653="1",BF1653,0),2)</f>
        <v>0</v>
      </c>
      <c r="AA1653" s="25">
        <f>ROUND(IF(AO1653="1",BG1653,0),2)</f>
        <v>0</v>
      </c>
      <c r="AB1653" s="25">
        <f>ROUND(IF(AO1653="7",BF1653,0),2)</f>
        <v>0</v>
      </c>
      <c r="AC1653" s="25">
        <f>ROUND(IF(AO1653="7",BG1653,0),2)</f>
        <v>0</v>
      </c>
      <c r="AD1653" s="25">
        <f>ROUND(IF(AO1653="2",BF1653,0),2)</f>
        <v>0</v>
      </c>
      <c r="AE1653" s="25">
        <f>ROUND(IF(AO1653="2",BG1653,0),2)</f>
        <v>0</v>
      </c>
      <c r="AF1653" s="25">
        <f>ROUND(IF(AO1653="0",BH1653,0),2)</f>
        <v>0</v>
      </c>
      <c r="AG1653" s="10" t="s">
        <v>1699</v>
      </c>
      <c r="AH1653" s="25">
        <f>IF(AL1653=0,K1653,0)</f>
        <v>0</v>
      </c>
      <c r="AI1653" s="25">
        <f>IF(AL1653=12,K1653,0)</f>
        <v>0</v>
      </c>
      <c r="AJ1653" s="25">
        <f>IF(AL1653=21,K1653,0)</f>
        <v>0</v>
      </c>
      <c r="AL1653" s="25">
        <v>21</v>
      </c>
      <c r="AM1653" s="25">
        <f>H1653*1</f>
        <v>0</v>
      </c>
      <c r="AN1653" s="25">
        <f>H1653*(1-1)</f>
        <v>0</v>
      </c>
      <c r="AO1653" s="27" t="s">
        <v>57</v>
      </c>
      <c r="AT1653" s="25">
        <f>ROUND(AU1653+AV1653,2)</f>
        <v>0</v>
      </c>
      <c r="AU1653" s="25">
        <f>ROUND(G1653*AM1653,2)</f>
        <v>0</v>
      </c>
      <c r="AV1653" s="25">
        <f>ROUND(G1653*AN1653,2)</f>
        <v>0</v>
      </c>
      <c r="AW1653" s="27" t="s">
        <v>1755</v>
      </c>
      <c r="AX1653" s="27" t="s">
        <v>1756</v>
      </c>
      <c r="AY1653" s="10" t="s">
        <v>1707</v>
      </c>
      <c r="BA1653" s="25">
        <f>AU1653+AV1653</f>
        <v>0</v>
      </c>
      <c r="BB1653" s="25">
        <f>H1653/(100-BC1653)*100</f>
        <v>0</v>
      </c>
      <c r="BC1653" s="25">
        <v>0</v>
      </c>
      <c r="BD1653" s="25">
        <f>M1653</f>
        <v>0</v>
      </c>
      <c r="BF1653" s="25">
        <f>G1653*AM1653</f>
        <v>0</v>
      </c>
      <c r="BG1653" s="25">
        <f>G1653*AN1653</f>
        <v>0</v>
      </c>
      <c r="BH1653" s="25">
        <f>G1653*H1653</f>
        <v>0</v>
      </c>
      <c r="BI1653" s="27" t="s">
        <v>65</v>
      </c>
      <c r="BJ1653" s="25">
        <v>103</v>
      </c>
      <c r="BU1653" s="25" t="e">
        <f>#REF!</f>
        <v>#REF!</v>
      </c>
      <c r="BV1653" s="4" t="s">
        <v>1780</v>
      </c>
    </row>
    <row r="1654" spans="1:74" ht="14.4" x14ac:dyDescent="0.3">
      <c r="A1654" s="28"/>
      <c r="D1654" s="29" t="s">
        <v>81</v>
      </c>
      <c r="E1654" s="29" t="s">
        <v>52</v>
      </c>
      <c r="G1654" s="30">
        <v>2</v>
      </c>
      <c r="H1654" s="63"/>
      <c r="N1654" s="31"/>
    </row>
    <row r="1655" spans="1:74" ht="26.4" x14ac:dyDescent="0.3">
      <c r="A1655" s="2" t="s">
        <v>1781</v>
      </c>
      <c r="B1655" s="3" t="s">
        <v>1699</v>
      </c>
      <c r="C1655" s="3" t="s">
        <v>1782</v>
      </c>
      <c r="D1655" s="112" t="s">
        <v>1783</v>
      </c>
      <c r="E1655" s="109"/>
      <c r="F1655" s="3" t="s">
        <v>122</v>
      </c>
      <c r="G1655" s="25">
        <v>2</v>
      </c>
      <c r="H1655" s="62"/>
      <c r="I1655" s="25">
        <f>ROUND(G1655*AM1655,2)</f>
        <v>0</v>
      </c>
      <c r="J1655" s="25">
        <f>ROUND(G1655*AN1655,2)</f>
        <v>0</v>
      </c>
      <c r="K1655" s="25">
        <f>ROUND(G1655*H1655,2)</f>
        <v>0</v>
      </c>
      <c r="L1655" s="25">
        <v>0</v>
      </c>
      <c r="M1655" s="25">
        <f>G1655*L1655</f>
        <v>0</v>
      </c>
      <c r="N1655" s="102"/>
      <c r="X1655" s="25">
        <f>ROUND(IF(AO1655="5",BH1655,0),2)</f>
        <v>0</v>
      </c>
      <c r="Z1655" s="25">
        <f>ROUND(IF(AO1655="1",BF1655,0),2)</f>
        <v>0</v>
      </c>
      <c r="AA1655" s="25">
        <f>ROUND(IF(AO1655="1",BG1655,0),2)</f>
        <v>0</v>
      </c>
      <c r="AB1655" s="25">
        <f>ROUND(IF(AO1655="7",BF1655,0),2)</f>
        <v>0</v>
      </c>
      <c r="AC1655" s="25">
        <f>ROUND(IF(AO1655="7",BG1655,0),2)</f>
        <v>0</v>
      </c>
      <c r="AD1655" s="25">
        <f>ROUND(IF(AO1655="2",BF1655,0),2)</f>
        <v>0</v>
      </c>
      <c r="AE1655" s="25">
        <f>ROUND(IF(AO1655="2",BG1655,0),2)</f>
        <v>0</v>
      </c>
      <c r="AF1655" s="25">
        <f>ROUND(IF(AO1655="0",BH1655,0),2)</f>
        <v>0</v>
      </c>
      <c r="AG1655" s="10" t="s">
        <v>1699</v>
      </c>
      <c r="AH1655" s="25">
        <f>IF(AL1655=0,K1655,0)</f>
        <v>0</v>
      </c>
      <c r="AI1655" s="25">
        <f>IF(AL1655=12,K1655,0)</f>
        <v>0</v>
      </c>
      <c r="AJ1655" s="25">
        <f>IF(AL1655=21,K1655,0)</f>
        <v>0</v>
      </c>
      <c r="AL1655" s="25">
        <v>21</v>
      </c>
      <c r="AM1655" s="25">
        <f>H1655*1</f>
        <v>0</v>
      </c>
      <c r="AN1655" s="25">
        <f>H1655*(1-1)</f>
        <v>0</v>
      </c>
      <c r="AO1655" s="27" t="s">
        <v>57</v>
      </c>
      <c r="AT1655" s="25">
        <f>ROUND(AU1655+AV1655,2)</f>
        <v>0</v>
      </c>
      <c r="AU1655" s="25">
        <f>ROUND(G1655*AM1655,2)</f>
        <v>0</v>
      </c>
      <c r="AV1655" s="25">
        <f>ROUND(G1655*AN1655,2)</f>
        <v>0</v>
      </c>
      <c r="AW1655" s="27" t="s">
        <v>1755</v>
      </c>
      <c r="AX1655" s="27" t="s">
        <v>1756</v>
      </c>
      <c r="AY1655" s="10" t="s">
        <v>1707</v>
      </c>
      <c r="BA1655" s="25">
        <f>AU1655+AV1655</f>
        <v>0</v>
      </c>
      <c r="BB1655" s="25">
        <f>H1655/(100-BC1655)*100</f>
        <v>0</v>
      </c>
      <c r="BC1655" s="25">
        <v>0</v>
      </c>
      <c r="BD1655" s="25">
        <f>M1655</f>
        <v>0</v>
      </c>
      <c r="BF1655" s="25">
        <f>G1655*AM1655</f>
        <v>0</v>
      </c>
      <c r="BG1655" s="25">
        <f>G1655*AN1655</f>
        <v>0</v>
      </c>
      <c r="BH1655" s="25">
        <f>G1655*H1655</f>
        <v>0</v>
      </c>
      <c r="BI1655" s="27" t="s">
        <v>65</v>
      </c>
      <c r="BJ1655" s="25">
        <v>103</v>
      </c>
      <c r="BU1655" s="25" t="e">
        <f>#REF!</f>
        <v>#REF!</v>
      </c>
      <c r="BV1655" s="4" t="s">
        <v>1783</v>
      </c>
    </row>
    <row r="1656" spans="1:74" ht="14.4" x14ac:dyDescent="0.3">
      <c r="A1656" s="28"/>
      <c r="D1656" s="29" t="s">
        <v>81</v>
      </c>
      <c r="E1656" s="29" t="s">
        <v>52</v>
      </c>
      <c r="G1656" s="30">
        <v>2</v>
      </c>
      <c r="H1656" s="63"/>
      <c r="N1656" s="31"/>
    </row>
    <row r="1657" spans="1:74" ht="26.4" x14ac:dyDescent="0.3">
      <c r="A1657" s="2" t="s">
        <v>1784</v>
      </c>
      <c r="B1657" s="3" t="s">
        <v>1699</v>
      </c>
      <c r="C1657" s="3" t="s">
        <v>1785</v>
      </c>
      <c r="D1657" s="112" t="s">
        <v>1786</v>
      </c>
      <c r="E1657" s="109"/>
      <c r="F1657" s="3" t="s">
        <v>122</v>
      </c>
      <c r="G1657" s="25">
        <v>1</v>
      </c>
      <c r="H1657" s="62"/>
      <c r="I1657" s="25">
        <f>ROUND(G1657*AM1657,2)</f>
        <v>0</v>
      </c>
      <c r="J1657" s="25">
        <f>ROUND(G1657*AN1657,2)</f>
        <v>0</v>
      </c>
      <c r="K1657" s="25">
        <f>ROUND(G1657*H1657,2)</f>
        <v>0</v>
      </c>
      <c r="L1657" s="25">
        <v>0</v>
      </c>
      <c r="M1657" s="25">
        <f>G1657*L1657</f>
        <v>0</v>
      </c>
      <c r="N1657" s="102"/>
      <c r="X1657" s="25">
        <f>ROUND(IF(AO1657="5",BH1657,0),2)</f>
        <v>0</v>
      </c>
      <c r="Z1657" s="25">
        <f>ROUND(IF(AO1657="1",BF1657,0),2)</f>
        <v>0</v>
      </c>
      <c r="AA1657" s="25">
        <f>ROUND(IF(AO1657="1",BG1657,0),2)</f>
        <v>0</v>
      </c>
      <c r="AB1657" s="25">
        <f>ROUND(IF(AO1657="7",BF1657,0),2)</f>
        <v>0</v>
      </c>
      <c r="AC1657" s="25">
        <f>ROUND(IF(AO1657="7",BG1657,0),2)</f>
        <v>0</v>
      </c>
      <c r="AD1657" s="25">
        <f>ROUND(IF(AO1657="2",BF1657,0),2)</f>
        <v>0</v>
      </c>
      <c r="AE1657" s="25">
        <f>ROUND(IF(AO1657="2",BG1657,0),2)</f>
        <v>0</v>
      </c>
      <c r="AF1657" s="25">
        <f>ROUND(IF(AO1657="0",BH1657,0),2)</f>
        <v>0</v>
      </c>
      <c r="AG1657" s="10" t="s">
        <v>1699</v>
      </c>
      <c r="AH1657" s="25">
        <f>IF(AL1657=0,K1657,0)</f>
        <v>0</v>
      </c>
      <c r="AI1657" s="25">
        <f>IF(AL1657=12,K1657,0)</f>
        <v>0</v>
      </c>
      <c r="AJ1657" s="25">
        <f>IF(AL1657=21,K1657,0)</f>
        <v>0</v>
      </c>
      <c r="AL1657" s="25">
        <v>21</v>
      </c>
      <c r="AM1657" s="25">
        <f>H1657*1</f>
        <v>0</v>
      </c>
      <c r="AN1657" s="25">
        <f>H1657*(1-1)</f>
        <v>0</v>
      </c>
      <c r="AO1657" s="27" t="s">
        <v>57</v>
      </c>
      <c r="AT1657" s="25">
        <f>ROUND(AU1657+AV1657,2)</f>
        <v>0</v>
      </c>
      <c r="AU1657" s="25">
        <f>ROUND(G1657*AM1657,2)</f>
        <v>0</v>
      </c>
      <c r="AV1657" s="25">
        <f>ROUND(G1657*AN1657,2)</f>
        <v>0</v>
      </c>
      <c r="AW1657" s="27" t="s">
        <v>1755</v>
      </c>
      <c r="AX1657" s="27" t="s">
        <v>1756</v>
      </c>
      <c r="AY1657" s="10" t="s">
        <v>1707</v>
      </c>
      <c r="BA1657" s="25">
        <f>AU1657+AV1657</f>
        <v>0</v>
      </c>
      <c r="BB1657" s="25">
        <f>H1657/(100-BC1657)*100</f>
        <v>0</v>
      </c>
      <c r="BC1657" s="25">
        <v>0</v>
      </c>
      <c r="BD1657" s="25">
        <f>M1657</f>
        <v>0</v>
      </c>
      <c r="BF1657" s="25">
        <f>G1657*AM1657</f>
        <v>0</v>
      </c>
      <c r="BG1657" s="25">
        <f>G1657*AN1657</f>
        <v>0</v>
      </c>
      <c r="BH1657" s="25">
        <f>G1657*H1657</f>
        <v>0</v>
      </c>
      <c r="BI1657" s="27" t="s">
        <v>65</v>
      </c>
      <c r="BJ1657" s="25">
        <v>103</v>
      </c>
      <c r="BU1657" s="25" t="e">
        <f>#REF!</f>
        <v>#REF!</v>
      </c>
      <c r="BV1657" s="4" t="s">
        <v>1786</v>
      </c>
    </row>
    <row r="1658" spans="1:74" ht="14.4" x14ac:dyDescent="0.3">
      <c r="A1658" s="28"/>
      <c r="D1658" s="29" t="s">
        <v>57</v>
      </c>
      <c r="E1658" s="29" t="s">
        <v>52</v>
      </c>
      <c r="G1658" s="30">
        <v>1</v>
      </c>
      <c r="H1658" s="63"/>
      <c r="N1658" s="31"/>
    </row>
    <row r="1659" spans="1:74" ht="26.4" x14ac:dyDescent="0.3">
      <c r="A1659" s="2" t="s">
        <v>1787</v>
      </c>
      <c r="B1659" s="3" t="s">
        <v>1699</v>
      </c>
      <c r="C1659" s="3" t="s">
        <v>1788</v>
      </c>
      <c r="D1659" s="112" t="s">
        <v>1789</v>
      </c>
      <c r="E1659" s="109"/>
      <c r="F1659" s="3" t="s">
        <v>122</v>
      </c>
      <c r="G1659" s="25">
        <v>2</v>
      </c>
      <c r="H1659" s="62"/>
      <c r="I1659" s="25">
        <f>ROUND(G1659*AM1659,2)</f>
        <v>0</v>
      </c>
      <c r="J1659" s="25">
        <f>ROUND(G1659*AN1659,2)</f>
        <v>0</v>
      </c>
      <c r="K1659" s="25">
        <f>ROUND(G1659*H1659,2)</f>
        <v>0</v>
      </c>
      <c r="L1659" s="25">
        <v>0</v>
      </c>
      <c r="M1659" s="25">
        <f>G1659*L1659</f>
        <v>0</v>
      </c>
      <c r="N1659" s="102"/>
      <c r="X1659" s="25">
        <f>ROUND(IF(AO1659="5",BH1659,0),2)</f>
        <v>0</v>
      </c>
      <c r="Z1659" s="25">
        <f>ROUND(IF(AO1659="1",BF1659,0),2)</f>
        <v>0</v>
      </c>
      <c r="AA1659" s="25">
        <f>ROUND(IF(AO1659="1",BG1659,0),2)</f>
        <v>0</v>
      </c>
      <c r="AB1659" s="25">
        <f>ROUND(IF(AO1659="7",BF1659,0),2)</f>
        <v>0</v>
      </c>
      <c r="AC1659" s="25">
        <f>ROUND(IF(AO1659="7",BG1659,0),2)</f>
        <v>0</v>
      </c>
      <c r="AD1659" s="25">
        <f>ROUND(IF(AO1659="2",BF1659,0),2)</f>
        <v>0</v>
      </c>
      <c r="AE1659" s="25">
        <f>ROUND(IF(AO1659="2",BG1659,0),2)</f>
        <v>0</v>
      </c>
      <c r="AF1659" s="25">
        <f>ROUND(IF(AO1659="0",BH1659,0),2)</f>
        <v>0</v>
      </c>
      <c r="AG1659" s="10" t="s">
        <v>1699</v>
      </c>
      <c r="AH1659" s="25">
        <f>IF(AL1659=0,K1659,0)</f>
        <v>0</v>
      </c>
      <c r="AI1659" s="25">
        <f>IF(AL1659=12,K1659,0)</f>
        <v>0</v>
      </c>
      <c r="AJ1659" s="25">
        <f>IF(AL1659=21,K1659,0)</f>
        <v>0</v>
      </c>
      <c r="AL1659" s="25">
        <v>21</v>
      </c>
      <c r="AM1659" s="25">
        <f>H1659*1</f>
        <v>0</v>
      </c>
      <c r="AN1659" s="25">
        <f>H1659*(1-1)</f>
        <v>0</v>
      </c>
      <c r="AO1659" s="27" t="s">
        <v>57</v>
      </c>
      <c r="AT1659" s="25">
        <f>ROUND(AU1659+AV1659,2)</f>
        <v>0</v>
      </c>
      <c r="AU1659" s="25">
        <f>ROUND(G1659*AM1659,2)</f>
        <v>0</v>
      </c>
      <c r="AV1659" s="25">
        <f>ROUND(G1659*AN1659,2)</f>
        <v>0</v>
      </c>
      <c r="AW1659" s="27" t="s">
        <v>1755</v>
      </c>
      <c r="AX1659" s="27" t="s">
        <v>1756</v>
      </c>
      <c r="AY1659" s="10" t="s">
        <v>1707</v>
      </c>
      <c r="BA1659" s="25">
        <f>AU1659+AV1659</f>
        <v>0</v>
      </c>
      <c r="BB1659" s="25">
        <f>H1659/(100-BC1659)*100</f>
        <v>0</v>
      </c>
      <c r="BC1659" s="25">
        <v>0</v>
      </c>
      <c r="BD1659" s="25">
        <f>M1659</f>
        <v>0</v>
      </c>
      <c r="BF1659" s="25">
        <f>G1659*AM1659</f>
        <v>0</v>
      </c>
      <c r="BG1659" s="25">
        <f>G1659*AN1659</f>
        <v>0</v>
      </c>
      <c r="BH1659" s="25">
        <f>G1659*H1659</f>
        <v>0</v>
      </c>
      <c r="BI1659" s="27" t="s">
        <v>65</v>
      </c>
      <c r="BJ1659" s="25">
        <v>103</v>
      </c>
      <c r="BU1659" s="25" t="e">
        <f>#REF!</f>
        <v>#REF!</v>
      </c>
      <c r="BV1659" s="4" t="s">
        <v>1789</v>
      </c>
    </row>
    <row r="1660" spans="1:74" ht="14.4" x14ac:dyDescent="0.3">
      <c r="A1660" s="28"/>
      <c r="D1660" s="29" t="s">
        <v>81</v>
      </c>
      <c r="E1660" s="29" t="s">
        <v>52</v>
      </c>
      <c r="G1660" s="30">
        <v>2</v>
      </c>
      <c r="H1660" s="63"/>
      <c r="N1660" s="31"/>
    </row>
    <row r="1661" spans="1:74" ht="26.4" x14ac:dyDescent="0.3">
      <c r="A1661" s="2" t="s">
        <v>1790</v>
      </c>
      <c r="B1661" s="3" t="s">
        <v>1699</v>
      </c>
      <c r="C1661" s="3" t="s">
        <v>1791</v>
      </c>
      <c r="D1661" s="112" t="s">
        <v>1792</v>
      </c>
      <c r="E1661" s="109"/>
      <c r="F1661" s="3" t="s">
        <v>122</v>
      </c>
      <c r="G1661" s="25">
        <v>1</v>
      </c>
      <c r="H1661" s="62"/>
      <c r="I1661" s="25">
        <f>ROUND(G1661*AM1661,2)</f>
        <v>0</v>
      </c>
      <c r="J1661" s="25">
        <f>ROUND(G1661*AN1661,2)</f>
        <v>0</v>
      </c>
      <c r="K1661" s="25">
        <f>ROUND(G1661*H1661,2)</f>
        <v>0</v>
      </c>
      <c r="L1661" s="25">
        <v>0</v>
      </c>
      <c r="M1661" s="25">
        <f>G1661*L1661</f>
        <v>0</v>
      </c>
      <c r="N1661" s="102"/>
      <c r="X1661" s="25">
        <f>ROUND(IF(AO1661="5",BH1661,0),2)</f>
        <v>0</v>
      </c>
      <c r="Z1661" s="25">
        <f>ROUND(IF(AO1661="1",BF1661,0),2)</f>
        <v>0</v>
      </c>
      <c r="AA1661" s="25">
        <f>ROUND(IF(AO1661="1",BG1661,0),2)</f>
        <v>0</v>
      </c>
      <c r="AB1661" s="25">
        <f>ROUND(IF(AO1661="7",BF1661,0),2)</f>
        <v>0</v>
      </c>
      <c r="AC1661" s="25">
        <f>ROUND(IF(AO1661="7",BG1661,0),2)</f>
        <v>0</v>
      </c>
      <c r="AD1661" s="25">
        <f>ROUND(IF(AO1661="2",BF1661,0),2)</f>
        <v>0</v>
      </c>
      <c r="AE1661" s="25">
        <f>ROUND(IF(AO1661="2",BG1661,0),2)</f>
        <v>0</v>
      </c>
      <c r="AF1661" s="25">
        <f>ROUND(IF(AO1661="0",BH1661,0),2)</f>
        <v>0</v>
      </c>
      <c r="AG1661" s="10" t="s">
        <v>1699</v>
      </c>
      <c r="AH1661" s="25">
        <f>IF(AL1661=0,K1661,0)</f>
        <v>0</v>
      </c>
      <c r="AI1661" s="25">
        <f>IF(AL1661=12,K1661,0)</f>
        <v>0</v>
      </c>
      <c r="AJ1661" s="25">
        <f>IF(AL1661=21,K1661,0)</f>
        <v>0</v>
      </c>
      <c r="AL1661" s="25">
        <v>21</v>
      </c>
      <c r="AM1661" s="25">
        <f>H1661*1</f>
        <v>0</v>
      </c>
      <c r="AN1661" s="25">
        <f>H1661*(1-1)</f>
        <v>0</v>
      </c>
      <c r="AO1661" s="27" t="s">
        <v>57</v>
      </c>
      <c r="AT1661" s="25">
        <f>ROUND(AU1661+AV1661,2)</f>
        <v>0</v>
      </c>
      <c r="AU1661" s="25">
        <f>ROUND(G1661*AM1661,2)</f>
        <v>0</v>
      </c>
      <c r="AV1661" s="25">
        <f>ROUND(G1661*AN1661,2)</f>
        <v>0</v>
      </c>
      <c r="AW1661" s="27" t="s">
        <v>1755</v>
      </c>
      <c r="AX1661" s="27" t="s">
        <v>1756</v>
      </c>
      <c r="AY1661" s="10" t="s">
        <v>1707</v>
      </c>
      <c r="BA1661" s="25">
        <f>AU1661+AV1661</f>
        <v>0</v>
      </c>
      <c r="BB1661" s="25">
        <f>H1661/(100-BC1661)*100</f>
        <v>0</v>
      </c>
      <c r="BC1661" s="25">
        <v>0</v>
      </c>
      <c r="BD1661" s="25">
        <f>M1661</f>
        <v>0</v>
      </c>
      <c r="BF1661" s="25">
        <f>G1661*AM1661</f>
        <v>0</v>
      </c>
      <c r="BG1661" s="25">
        <f>G1661*AN1661</f>
        <v>0</v>
      </c>
      <c r="BH1661" s="25">
        <f>G1661*H1661</f>
        <v>0</v>
      </c>
      <c r="BI1661" s="27" t="s">
        <v>65</v>
      </c>
      <c r="BJ1661" s="25">
        <v>103</v>
      </c>
      <c r="BU1661" s="25" t="e">
        <f>#REF!</f>
        <v>#REF!</v>
      </c>
      <c r="BV1661" s="4" t="s">
        <v>1792</v>
      </c>
    </row>
    <row r="1662" spans="1:74" ht="14.4" x14ac:dyDescent="0.3">
      <c r="A1662" s="28"/>
      <c r="D1662" s="29" t="s">
        <v>57</v>
      </c>
      <c r="E1662" s="29" t="s">
        <v>52</v>
      </c>
      <c r="G1662" s="30">
        <v>1</v>
      </c>
      <c r="H1662" s="63"/>
      <c r="N1662" s="31"/>
    </row>
    <row r="1663" spans="1:74" ht="26.4" x14ac:dyDescent="0.3">
      <c r="A1663" s="2" t="s">
        <v>1793</v>
      </c>
      <c r="B1663" s="3" t="s">
        <v>1699</v>
      </c>
      <c r="C1663" s="3" t="s">
        <v>1794</v>
      </c>
      <c r="D1663" s="112" t="s">
        <v>1795</v>
      </c>
      <c r="E1663" s="109"/>
      <c r="F1663" s="3" t="s">
        <v>122</v>
      </c>
      <c r="G1663" s="25">
        <v>1</v>
      </c>
      <c r="H1663" s="62"/>
      <c r="I1663" s="25">
        <f>ROUND(G1663*AM1663,2)</f>
        <v>0</v>
      </c>
      <c r="J1663" s="25">
        <f>ROUND(G1663*AN1663,2)</f>
        <v>0</v>
      </c>
      <c r="K1663" s="25">
        <f>ROUND(G1663*H1663,2)</f>
        <v>0</v>
      </c>
      <c r="L1663" s="25">
        <v>0</v>
      </c>
      <c r="M1663" s="25">
        <f>G1663*L1663</f>
        <v>0</v>
      </c>
      <c r="N1663" s="102"/>
      <c r="X1663" s="25">
        <f>ROUND(IF(AO1663="5",BH1663,0),2)</f>
        <v>0</v>
      </c>
      <c r="Z1663" s="25">
        <f>ROUND(IF(AO1663="1",BF1663,0),2)</f>
        <v>0</v>
      </c>
      <c r="AA1663" s="25">
        <f>ROUND(IF(AO1663="1",BG1663,0),2)</f>
        <v>0</v>
      </c>
      <c r="AB1663" s="25">
        <f>ROUND(IF(AO1663="7",BF1663,0),2)</f>
        <v>0</v>
      </c>
      <c r="AC1663" s="25">
        <f>ROUND(IF(AO1663="7",BG1663,0),2)</f>
        <v>0</v>
      </c>
      <c r="AD1663" s="25">
        <f>ROUND(IF(AO1663="2",BF1663,0),2)</f>
        <v>0</v>
      </c>
      <c r="AE1663" s="25">
        <f>ROUND(IF(AO1663="2",BG1663,0),2)</f>
        <v>0</v>
      </c>
      <c r="AF1663" s="25">
        <f>ROUND(IF(AO1663="0",BH1663,0),2)</f>
        <v>0</v>
      </c>
      <c r="AG1663" s="10" t="s">
        <v>1699</v>
      </c>
      <c r="AH1663" s="25">
        <f>IF(AL1663=0,K1663,0)</f>
        <v>0</v>
      </c>
      <c r="AI1663" s="25">
        <f>IF(AL1663=12,K1663,0)</f>
        <v>0</v>
      </c>
      <c r="AJ1663" s="25">
        <f>IF(AL1663=21,K1663,0)</f>
        <v>0</v>
      </c>
      <c r="AL1663" s="25">
        <v>21</v>
      </c>
      <c r="AM1663" s="25">
        <f>H1663*1</f>
        <v>0</v>
      </c>
      <c r="AN1663" s="25">
        <f>H1663*(1-1)</f>
        <v>0</v>
      </c>
      <c r="AO1663" s="27" t="s">
        <v>57</v>
      </c>
      <c r="AT1663" s="25">
        <f>ROUND(AU1663+AV1663,2)</f>
        <v>0</v>
      </c>
      <c r="AU1663" s="25">
        <f>ROUND(G1663*AM1663,2)</f>
        <v>0</v>
      </c>
      <c r="AV1663" s="25">
        <f>ROUND(G1663*AN1663,2)</f>
        <v>0</v>
      </c>
      <c r="AW1663" s="27" t="s">
        <v>1755</v>
      </c>
      <c r="AX1663" s="27" t="s">
        <v>1756</v>
      </c>
      <c r="AY1663" s="10" t="s">
        <v>1707</v>
      </c>
      <c r="BA1663" s="25">
        <f>AU1663+AV1663</f>
        <v>0</v>
      </c>
      <c r="BB1663" s="25">
        <f>H1663/(100-BC1663)*100</f>
        <v>0</v>
      </c>
      <c r="BC1663" s="25">
        <v>0</v>
      </c>
      <c r="BD1663" s="25">
        <f>M1663</f>
        <v>0</v>
      </c>
      <c r="BF1663" s="25">
        <f>G1663*AM1663</f>
        <v>0</v>
      </c>
      <c r="BG1663" s="25">
        <f>G1663*AN1663</f>
        <v>0</v>
      </c>
      <c r="BH1663" s="25">
        <f>G1663*H1663</f>
        <v>0</v>
      </c>
      <c r="BI1663" s="27" t="s">
        <v>65</v>
      </c>
      <c r="BJ1663" s="25">
        <v>103</v>
      </c>
      <c r="BU1663" s="25" t="e">
        <f>#REF!</f>
        <v>#REF!</v>
      </c>
      <c r="BV1663" s="4" t="s">
        <v>1795</v>
      </c>
    </row>
    <row r="1664" spans="1:74" ht="14.4" x14ac:dyDescent="0.3">
      <c r="A1664" s="28"/>
      <c r="D1664" s="29" t="s">
        <v>57</v>
      </c>
      <c r="E1664" s="29" t="s">
        <v>52</v>
      </c>
      <c r="G1664" s="30">
        <v>1</v>
      </c>
      <c r="H1664" s="63"/>
      <c r="N1664" s="31"/>
    </row>
    <row r="1665" spans="1:74" ht="14.4" x14ac:dyDescent="0.3">
      <c r="A1665" s="2" t="s">
        <v>1796</v>
      </c>
      <c r="B1665" s="3" t="s">
        <v>1699</v>
      </c>
      <c r="C1665" s="3" t="s">
        <v>1797</v>
      </c>
      <c r="D1665" s="112" t="s">
        <v>1798</v>
      </c>
      <c r="E1665" s="109"/>
      <c r="F1665" s="3" t="s">
        <v>122</v>
      </c>
      <c r="G1665" s="25">
        <v>1</v>
      </c>
      <c r="H1665" s="62"/>
      <c r="I1665" s="25">
        <f>ROUND(G1665*AM1665,2)</f>
        <v>0</v>
      </c>
      <c r="J1665" s="25">
        <f>ROUND(G1665*AN1665,2)</f>
        <v>0</v>
      </c>
      <c r="K1665" s="25">
        <f>ROUND(G1665*H1665,2)</f>
        <v>0</v>
      </c>
      <c r="L1665" s="25">
        <v>0</v>
      </c>
      <c r="M1665" s="25">
        <f>G1665*L1665</f>
        <v>0</v>
      </c>
      <c r="N1665" s="102"/>
      <c r="X1665" s="25">
        <f>ROUND(IF(AO1665="5",BH1665,0),2)</f>
        <v>0</v>
      </c>
      <c r="Z1665" s="25">
        <f>ROUND(IF(AO1665="1",BF1665,0),2)</f>
        <v>0</v>
      </c>
      <c r="AA1665" s="25">
        <f>ROUND(IF(AO1665="1",BG1665,0),2)</f>
        <v>0</v>
      </c>
      <c r="AB1665" s="25">
        <f>ROUND(IF(AO1665="7",BF1665,0),2)</f>
        <v>0</v>
      </c>
      <c r="AC1665" s="25">
        <f>ROUND(IF(AO1665="7",BG1665,0),2)</f>
        <v>0</v>
      </c>
      <c r="AD1665" s="25">
        <f>ROUND(IF(AO1665="2",BF1665,0),2)</f>
        <v>0</v>
      </c>
      <c r="AE1665" s="25">
        <f>ROUND(IF(AO1665="2",BG1665,0),2)</f>
        <v>0</v>
      </c>
      <c r="AF1665" s="25">
        <f>ROUND(IF(AO1665="0",BH1665,0),2)</f>
        <v>0</v>
      </c>
      <c r="AG1665" s="10" t="s">
        <v>1699</v>
      </c>
      <c r="AH1665" s="25">
        <f>IF(AL1665=0,K1665,0)</f>
        <v>0</v>
      </c>
      <c r="AI1665" s="25">
        <f>IF(AL1665=12,K1665,0)</f>
        <v>0</v>
      </c>
      <c r="AJ1665" s="25">
        <f>IF(AL1665=21,K1665,0)</f>
        <v>0</v>
      </c>
      <c r="AL1665" s="25">
        <v>21</v>
      </c>
      <c r="AM1665" s="25">
        <f>H1665*1</f>
        <v>0</v>
      </c>
      <c r="AN1665" s="25">
        <f>H1665*(1-1)</f>
        <v>0</v>
      </c>
      <c r="AO1665" s="27" t="s">
        <v>57</v>
      </c>
      <c r="AT1665" s="25">
        <f>ROUND(AU1665+AV1665,2)</f>
        <v>0</v>
      </c>
      <c r="AU1665" s="25">
        <f>ROUND(G1665*AM1665,2)</f>
        <v>0</v>
      </c>
      <c r="AV1665" s="25">
        <f>ROUND(G1665*AN1665,2)</f>
        <v>0</v>
      </c>
      <c r="AW1665" s="27" t="s">
        <v>1755</v>
      </c>
      <c r="AX1665" s="27" t="s">
        <v>1756</v>
      </c>
      <c r="AY1665" s="10" t="s">
        <v>1707</v>
      </c>
      <c r="BA1665" s="25">
        <f>AU1665+AV1665</f>
        <v>0</v>
      </c>
      <c r="BB1665" s="25">
        <f>H1665/(100-BC1665)*100</f>
        <v>0</v>
      </c>
      <c r="BC1665" s="25">
        <v>0</v>
      </c>
      <c r="BD1665" s="25">
        <f>M1665</f>
        <v>0</v>
      </c>
      <c r="BF1665" s="25">
        <f>G1665*AM1665</f>
        <v>0</v>
      </c>
      <c r="BG1665" s="25">
        <f>G1665*AN1665</f>
        <v>0</v>
      </c>
      <c r="BH1665" s="25">
        <f>G1665*H1665</f>
        <v>0</v>
      </c>
      <c r="BI1665" s="27" t="s">
        <v>65</v>
      </c>
      <c r="BJ1665" s="25">
        <v>103</v>
      </c>
      <c r="BU1665" s="25" t="e">
        <f>#REF!</f>
        <v>#REF!</v>
      </c>
      <c r="BV1665" s="4" t="s">
        <v>1798</v>
      </c>
    </row>
    <row r="1666" spans="1:74" ht="14.4" x14ac:dyDescent="0.3">
      <c r="A1666" s="28"/>
      <c r="D1666" s="29" t="s">
        <v>57</v>
      </c>
      <c r="E1666" s="29" t="s">
        <v>52</v>
      </c>
      <c r="G1666" s="30">
        <v>1</v>
      </c>
      <c r="H1666" s="63"/>
      <c r="N1666" s="31"/>
    </row>
    <row r="1667" spans="1:74" ht="26.4" x14ac:dyDescent="0.3">
      <c r="A1667" s="2" t="s">
        <v>1799</v>
      </c>
      <c r="B1667" s="3" t="s">
        <v>1699</v>
      </c>
      <c r="C1667" s="3" t="s">
        <v>1800</v>
      </c>
      <c r="D1667" s="112" t="s">
        <v>1801</v>
      </c>
      <c r="E1667" s="109"/>
      <c r="F1667" s="3" t="s">
        <v>122</v>
      </c>
      <c r="G1667" s="25">
        <v>1</v>
      </c>
      <c r="H1667" s="62"/>
      <c r="I1667" s="25">
        <f>ROUND(G1667*AM1667,2)</f>
        <v>0</v>
      </c>
      <c r="J1667" s="25">
        <f>ROUND(G1667*AN1667,2)</f>
        <v>0</v>
      </c>
      <c r="K1667" s="25">
        <f>ROUND(G1667*H1667,2)</f>
        <v>0</v>
      </c>
      <c r="L1667" s="25">
        <v>0</v>
      </c>
      <c r="M1667" s="25">
        <f>G1667*L1667</f>
        <v>0</v>
      </c>
      <c r="N1667" s="102"/>
      <c r="X1667" s="25">
        <f>ROUND(IF(AO1667="5",BH1667,0),2)</f>
        <v>0</v>
      </c>
      <c r="Z1667" s="25">
        <f>ROUND(IF(AO1667="1",BF1667,0),2)</f>
        <v>0</v>
      </c>
      <c r="AA1667" s="25">
        <f>ROUND(IF(AO1667="1",BG1667,0),2)</f>
        <v>0</v>
      </c>
      <c r="AB1667" s="25">
        <f>ROUND(IF(AO1667="7",BF1667,0),2)</f>
        <v>0</v>
      </c>
      <c r="AC1667" s="25">
        <f>ROUND(IF(AO1667="7",BG1667,0),2)</f>
        <v>0</v>
      </c>
      <c r="AD1667" s="25">
        <f>ROUND(IF(AO1667="2",BF1667,0),2)</f>
        <v>0</v>
      </c>
      <c r="AE1667" s="25">
        <f>ROUND(IF(AO1667="2",BG1667,0),2)</f>
        <v>0</v>
      </c>
      <c r="AF1667" s="25">
        <f>ROUND(IF(AO1667="0",BH1667,0),2)</f>
        <v>0</v>
      </c>
      <c r="AG1667" s="10" t="s">
        <v>1699</v>
      </c>
      <c r="AH1667" s="25">
        <f>IF(AL1667=0,K1667,0)</f>
        <v>0</v>
      </c>
      <c r="AI1667" s="25">
        <f>IF(AL1667=12,K1667,0)</f>
        <v>0</v>
      </c>
      <c r="AJ1667" s="25">
        <f>IF(AL1667=21,K1667,0)</f>
        <v>0</v>
      </c>
      <c r="AL1667" s="25">
        <v>21</v>
      </c>
      <c r="AM1667" s="25">
        <f>H1667*1</f>
        <v>0</v>
      </c>
      <c r="AN1667" s="25">
        <f>H1667*(1-1)</f>
        <v>0</v>
      </c>
      <c r="AO1667" s="27" t="s">
        <v>57</v>
      </c>
      <c r="AT1667" s="25">
        <f>ROUND(AU1667+AV1667,2)</f>
        <v>0</v>
      </c>
      <c r="AU1667" s="25">
        <f>ROUND(G1667*AM1667,2)</f>
        <v>0</v>
      </c>
      <c r="AV1667" s="25">
        <f>ROUND(G1667*AN1667,2)</f>
        <v>0</v>
      </c>
      <c r="AW1667" s="27" t="s">
        <v>1755</v>
      </c>
      <c r="AX1667" s="27" t="s">
        <v>1756</v>
      </c>
      <c r="AY1667" s="10" t="s">
        <v>1707</v>
      </c>
      <c r="BA1667" s="25">
        <f>AU1667+AV1667</f>
        <v>0</v>
      </c>
      <c r="BB1667" s="25">
        <f>H1667/(100-BC1667)*100</f>
        <v>0</v>
      </c>
      <c r="BC1667" s="25">
        <v>0</v>
      </c>
      <c r="BD1667" s="25">
        <f>M1667</f>
        <v>0</v>
      </c>
      <c r="BF1667" s="25">
        <f>G1667*AM1667</f>
        <v>0</v>
      </c>
      <c r="BG1667" s="25">
        <f>G1667*AN1667</f>
        <v>0</v>
      </c>
      <c r="BH1667" s="25">
        <f>G1667*H1667</f>
        <v>0</v>
      </c>
      <c r="BI1667" s="27" t="s">
        <v>65</v>
      </c>
      <c r="BJ1667" s="25">
        <v>103</v>
      </c>
      <c r="BU1667" s="25" t="e">
        <f>#REF!</f>
        <v>#REF!</v>
      </c>
      <c r="BV1667" s="4" t="s">
        <v>1801</v>
      </c>
    </row>
    <row r="1668" spans="1:74" ht="14.4" x14ac:dyDescent="0.3">
      <c r="A1668" s="28"/>
      <c r="D1668" s="29" t="s">
        <v>57</v>
      </c>
      <c r="E1668" s="29" t="s">
        <v>52</v>
      </c>
      <c r="G1668" s="30">
        <v>1</v>
      </c>
      <c r="H1668" s="63"/>
      <c r="N1668" s="31"/>
    </row>
    <row r="1669" spans="1:74" ht="26.4" x14ac:dyDescent="0.3">
      <c r="A1669" s="2" t="s">
        <v>1802</v>
      </c>
      <c r="B1669" s="3" t="s">
        <v>1699</v>
      </c>
      <c r="C1669" s="3" t="s">
        <v>1803</v>
      </c>
      <c r="D1669" s="112" t="s">
        <v>1804</v>
      </c>
      <c r="E1669" s="109"/>
      <c r="F1669" s="3" t="s">
        <v>122</v>
      </c>
      <c r="G1669" s="25">
        <v>2</v>
      </c>
      <c r="H1669" s="62"/>
      <c r="I1669" s="25">
        <f>ROUND(G1669*AM1669,2)</f>
        <v>0</v>
      </c>
      <c r="J1669" s="25">
        <f>ROUND(G1669*AN1669,2)</f>
        <v>0</v>
      </c>
      <c r="K1669" s="25">
        <f>ROUND(G1669*H1669,2)</f>
        <v>0</v>
      </c>
      <c r="L1669" s="25">
        <v>0</v>
      </c>
      <c r="M1669" s="25">
        <f>G1669*L1669</f>
        <v>0</v>
      </c>
      <c r="N1669" s="102"/>
      <c r="X1669" s="25">
        <f>ROUND(IF(AO1669="5",BH1669,0),2)</f>
        <v>0</v>
      </c>
      <c r="Z1669" s="25">
        <f>ROUND(IF(AO1669="1",BF1669,0),2)</f>
        <v>0</v>
      </c>
      <c r="AA1669" s="25">
        <f>ROUND(IF(AO1669="1",BG1669,0),2)</f>
        <v>0</v>
      </c>
      <c r="AB1669" s="25">
        <f>ROUND(IF(AO1669="7",BF1669,0),2)</f>
        <v>0</v>
      </c>
      <c r="AC1669" s="25">
        <f>ROUND(IF(AO1669="7",BG1669,0),2)</f>
        <v>0</v>
      </c>
      <c r="AD1669" s="25">
        <f>ROUND(IF(AO1669="2",BF1669,0),2)</f>
        <v>0</v>
      </c>
      <c r="AE1669" s="25">
        <f>ROUND(IF(AO1669="2",BG1669,0),2)</f>
        <v>0</v>
      </c>
      <c r="AF1669" s="25">
        <f>ROUND(IF(AO1669="0",BH1669,0),2)</f>
        <v>0</v>
      </c>
      <c r="AG1669" s="10" t="s">
        <v>1699</v>
      </c>
      <c r="AH1669" s="25">
        <f>IF(AL1669=0,K1669,0)</f>
        <v>0</v>
      </c>
      <c r="AI1669" s="25">
        <f>IF(AL1669=12,K1669,0)</f>
        <v>0</v>
      </c>
      <c r="AJ1669" s="25">
        <f>IF(AL1669=21,K1669,0)</f>
        <v>0</v>
      </c>
      <c r="AL1669" s="25">
        <v>21</v>
      </c>
      <c r="AM1669" s="25">
        <f>H1669*1</f>
        <v>0</v>
      </c>
      <c r="AN1669" s="25">
        <f>H1669*(1-1)</f>
        <v>0</v>
      </c>
      <c r="AO1669" s="27" t="s">
        <v>57</v>
      </c>
      <c r="AT1669" s="25">
        <f>ROUND(AU1669+AV1669,2)</f>
        <v>0</v>
      </c>
      <c r="AU1669" s="25">
        <f>ROUND(G1669*AM1669,2)</f>
        <v>0</v>
      </c>
      <c r="AV1669" s="25">
        <f>ROUND(G1669*AN1669,2)</f>
        <v>0</v>
      </c>
      <c r="AW1669" s="27" t="s">
        <v>1755</v>
      </c>
      <c r="AX1669" s="27" t="s">
        <v>1756</v>
      </c>
      <c r="AY1669" s="10" t="s">
        <v>1707</v>
      </c>
      <c r="BA1669" s="25">
        <f>AU1669+AV1669</f>
        <v>0</v>
      </c>
      <c r="BB1669" s="25">
        <f>H1669/(100-BC1669)*100</f>
        <v>0</v>
      </c>
      <c r="BC1669" s="25">
        <v>0</v>
      </c>
      <c r="BD1669" s="25">
        <f>M1669</f>
        <v>0</v>
      </c>
      <c r="BF1669" s="25">
        <f>G1669*AM1669</f>
        <v>0</v>
      </c>
      <c r="BG1669" s="25">
        <f>G1669*AN1669</f>
        <v>0</v>
      </c>
      <c r="BH1669" s="25">
        <f>G1669*H1669</f>
        <v>0</v>
      </c>
      <c r="BI1669" s="27" t="s">
        <v>65</v>
      </c>
      <c r="BJ1669" s="25">
        <v>103</v>
      </c>
      <c r="BU1669" s="25" t="e">
        <f>#REF!</f>
        <v>#REF!</v>
      </c>
      <c r="BV1669" s="4" t="s">
        <v>1804</v>
      </c>
    </row>
    <row r="1670" spans="1:74" ht="14.4" x14ac:dyDescent="0.3">
      <c r="A1670" s="28"/>
      <c r="D1670" s="29" t="s">
        <v>81</v>
      </c>
      <c r="E1670" s="29" t="s">
        <v>52</v>
      </c>
      <c r="G1670" s="30">
        <v>2</v>
      </c>
      <c r="H1670" s="63"/>
      <c r="N1670" s="31"/>
    </row>
    <row r="1671" spans="1:74" ht="26.4" x14ac:dyDescent="0.3">
      <c r="A1671" s="2" t="s">
        <v>1805</v>
      </c>
      <c r="B1671" s="3" t="s">
        <v>1699</v>
      </c>
      <c r="C1671" s="3" t="s">
        <v>1806</v>
      </c>
      <c r="D1671" s="112" t="s">
        <v>1807</v>
      </c>
      <c r="E1671" s="109"/>
      <c r="F1671" s="3" t="s">
        <v>122</v>
      </c>
      <c r="G1671" s="25">
        <v>1</v>
      </c>
      <c r="H1671" s="62"/>
      <c r="I1671" s="25">
        <f>ROUND(G1671*AM1671,2)</f>
        <v>0</v>
      </c>
      <c r="J1671" s="25">
        <f>ROUND(G1671*AN1671,2)</f>
        <v>0</v>
      </c>
      <c r="K1671" s="25">
        <f>ROUND(G1671*H1671,2)</f>
        <v>0</v>
      </c>
      <c r="L1671" s="25">
        <v>0</v>
      </c>
      <c r="M1671" s="25">
        <f>G1671*L1671</f>
        <v>0</v>
      </c>
      <c r="N1671" s="102"/>
      <c r="X1671" s="25">
        <f>ROUND(IF(AO1671="5",BH1671,0),2)</f>
        <v>0</v>
      </c>
      <c r="Z1671" s="25">
        <f>ROUND(IF(AO1671="1",BF1671,0),2)</f>
        <v>0</v>
      </c>
      <c r="AA1671" s="25">
        <f>ROUND(IF(AO1671="1",BG1671,0),2)</f>
        <v>0</v>
      </c>
      <c r="AB1671" s="25">
        <f>ROUND(IF(AO1671="7",BF1671,0),2)</f>
        <v>0</v>
      </c>
      <c r="AC1671" s="25">
        <f>ROUND(IF(AO1671="7",BG1671,0),2)</f>
        <v>0</v>
      </c>
      <c r="AD1671" s="25">
        <f>ROUND(IF(AO1671="2",BF1671,0),2)</f>
        <v>0</v>
      </c>
      <c r="AE1671" s="25">
        <f>ROUND(IF(AO1671="2",BG1671,0),2)</f>
        <v>0</v>
      </c>
      <c r="AF1671" s="25">
        <f>ROUND(IF(AO1671="0",BH1671,0),2)</f>
        <v>0</v>
      </c>
      <c r="AG1671" s="10" t="s">
        <v>1699</v>
      </c>
      <c r="AH1671" s="25">
        <f>IF(AL1671=0,K1671,0)</f>
        <v>0</v>
      </c>
      <c r="AI1671" s="25">
        <f>IF(AL1671=12,K1671,0)</f>
        <v>0</v>
      </c>
      <c r="AJ1671" s="25">
        <f>IF(AL1671=21,K1671,0)</f>
        <v>0</v>
      </c>
      <c r="AL1671" s="25">
        <v>21</v>
      </c>
      <c r="AM1671" s="25">
        <f>H1671*1</f>
        <v>0</v>
      </c>
      <c r="AN1671" s="25">
        <f>H1671*(1-1)</f>
        <v>0</v>
      </c>
      <c r="AO1671" s="27" t="s">
        <v>57</v>
      </c>
      <c r="AT1671" s="25">
        <f>ROUND(AU1671+AV1671,2)</f>
        <v>0</v>
      </c>
      <c r="AU1671" s="25">
        <f>ROUND(G1671*AM1671,2)</f>
        <v>0</v>
      </c>
      <c r="AV1671" s="25">
        <f>ROUND(G1671*AN1671,2)</f>
        <v>0</v>
      </c>
      <c r="AW1671" s="27" t="s">
        <v>1755</v>
      </c>
      <c r="AX1671" s="27" t="s">
        <v>1756</v>
      </c>
      <c r="AY1671" s="10" t="s">
        <v>1707</v>
      </c>
      <c r="BA1671" s="25">
        <f>AU1671+AV1671</f>
        <v>0</v>
      </c>
      <c r="BB1671" s="25">
        <f>H1671/(100-BC1671)*100</f>
        <v>0</v>
      </c>
      <c r="BC1671" s="25">
        <v>0</v>
      </c>
      <c r="BD1671" s="25">
        <f>M1671</f>
        <v>0</v>
      </c>
      <c r="BF1671" s="25">
        <f>G1671*AM1671</f>
        <v>0</v>
      </c>
      <c r="BG1671" s="25">
        <f>G1671*AN1671</f>
        <v>0</v>
      </c>
      <c r="BH1671" s="25">
        <f>G1671*H1671</f>
        <v>0</v>
      </c>
      <c r="BI1671" s="27" t="s">
        <v>65</v>
      </c>
      <c r="BJ1671" s="25">
        <v>103</v>
      </c>
      <c r="BU1671" s="25" t="e">
        <f>#REF!</f>
        <v>#REF!</v>
      </c>
      <c r="BV1671" s="4" t="s">
        <v>1807</v>
      </c>
    </row>
    <row r="1672" spans="1:74" ht="14.4" x14ac:dyDescent="0.3">
      <c r="A1672" s="28"/>
      <c r="D1672" s="29" t="s">
        <v>57</v>
      </c>
      <c r="E1672" s="29" t="s">
        <v>52</v>
      </c>
      <c r="G1672" s="30">
        <v>1</v>
      </c>
      <c r="H1672" s="63"/>
      <c r="N1672" s="31"/>
    </row>
    <row r="1673" spans="1:74" ht="26.4" x14ac:dyDescent="0.3">
      <c r="A1673" s="2" t="s">
        <v>1808</v>
      </c>
      <c r="B1673" s="3" t="s">
        <v>1699</v>
      </c>
      <c r="C1673" s="3" t="s">
        <v>1809</v>
      </c>
      <c r="D1673" s="112" t="s">
        <v>1810</v>
      </c>
      <c r="E1673" s="109"/>
      <c r="F1673" s="3" t="s">
        <v>122</v>
      </c>
      <c r="G1673" s="25">
        <v>1</v>
      </c>
      <c r="H1673" s="62"/>
      <c r="I1673" s="25">
        <f>ROUND(G1673*AM1673,2)</f>
        <v>0</v>
      </c>
      <c r="J1673" s="25">
        <f>ROUND(G1673*AN1673,2)</f>
        <v>0</v>
      </c>
      <c r="K1673" s="25">
        <f>ROUND(G1673*H1673,2)</f>
        <v>0</v>
      </c>
      <c r="L1673" s="25">
        <v>0</v>
      </c>
      <c r="M1673" s="25">
        <f>G1673*L1673</f>
        <v>0</v>
      </c>
      <c r="N1673" s="102"/>
      <c r="X1673" s="25">
        <f>ROUND(IF(AO1673="5",BH1673,0),2)</f>
        <v>0</v>
      </c>
      <c r="Z1673" s="25">
        <f>ROUND(IF(AO1673="1",BF1673,0),2)</f>
        <v>0</v>
      </c>
      <c r="AA1673" s="25">
        <f>ROUND(IF(AO1673="1",BG1673,0),2)</f>
        <v>0</v>
      </c>
      <c r="AB1673" s="25">
        <f>ROUND(IF(AO1673="7",BF1673,0),2)</f>
        <v>0</v>
      </c>
      <c r="AC1673" s="25">
        <f>ROUND(IF(AO1673="7",BG1673,0),2)</f>
        <v>0</v>
      </c>
      <c r="AD1673" s="25">
        <f>ROUND(IF(AO1673="2",BF1673,0),2)</f>
        <v>0</v>
      </c>
      <c r="AE1673" s="25">
        <f>ROUND(IF(AO1673="2",BG1673,0),2)</f>
        <v>0</v>
      </c>
      <c r="AF1673" s="25">
        <f>ROUND(IF(AO1673="0",BH1673,0),2)</f>
        <v>0</v>
      </c>
      <c r="AG1673" s="10" t="s">
        <v>1699</v>
      </c>
      <c r="AH1673" s="25">
        <f>IF(AL1673=0,K1673,0)</f>
        <v>0</v>
      </c>
      <c r="AI1673" s="25">
        <f>IF(AL1673=12,K1673,0)</f>
        <v>0</v>
      </c>
      <c r="AJ1673" s="25">
        <f>IF(AL1673=21,K1673,0)</f>
        <v>0</v>
      </c>
      <c r="AL1673" s="25">
        <v>21</v>
      </c>
      <c r="AM1673" s="25">
        <f>H1673*1</f>
        <v>0</v>
      </c>
      <c r="AN1673" s="25">
        <f>H1673*(1-1)</f>
        <v>0</v>
      </c>
      <c r="AO1673" s="27" t="s">
        <v>57</v>
      </c>
      <c r="AT1673" s="25">
        <f>ROUND(AU1673+AV1673,2)</f>
        <v>0</v>
      </c>
      <c r="AU1673" s="25">
        <f>ROUND(G1673*AM1673,2)</f>
        <v>0</v>
      </c>
      <c r="AV1673" s="25">
        <f>ROUND(G1673*AN1673,2)</f>
        <v>0</v>
      </c>
      <c r="AW1673" s="27" t="s">
        <v>1755</v>
      </c>
      <c r="AX1673" s="27" t="s">
        <v>1756</v>
      </c>
      <c r="AY1673" s="10" t="s">
        <v>1707</v>
      </c>
      <c r="BA1673" s="25">
        <f>AU1673+AV1673</f>
        <v>0</v>
      </c>
      <c r="BB1673" s="25">
        <f>H1673/(100-BC1673)*100</f>
        <v>0</v>
      </c>
      <c r="BC1673" s="25">
        <v>0</v>
      </c>
      <c r="BD1673" s="25">
        <f>M1673</f>
        <v>0</v>
      </c>
      <c r="BF1673" s="25">
        <f>G1673*AM1673</f>
        <v>0</v>
      </c>
      <c r="BG1673" s="25">
        <f>G1673*AN1673</f>
        <v>0</v>
      </c>
      <c r="BH1673" s="25">
        <f>G1673*H1673</f>
        <v>0</v>
      </c>
      <c r="BI1673" s="27" t="s">
        <v>65</v>
      </c>
      <c r="BJ1673" s="25">
        <v>103</v>
      </c>
      <c r="BU1673" s="25" t="e">
        <f>#REF!</f>
        <v>#REF!</v>
      </c>
      <c r="BV1673" s="4" t="s">
        <v>1810</v>
      </c>
    </row>
    <row r="1674" spans="1:74" ht="14.4" x14ac:dyDescent="0.3">
      <c r="A1674" s="28"/>
      <c r="D1674" s="29" t="s">
        <v>57</v>
      </c>
      <c r="E1674" s="29" t="s">
        <v>52</v>
      </c>
      <c r="G1674" s="30">
        <v>1</v>
      </c>
      <c r="H1674" s="63"/>
      <c r="N1674" s="31"/>
    </row>
    <row r="1675" spans="1:74" ht="14.4" x14ac:dyDescent="0.3">
      <c r="A1675" s="2" t="s">
        <v>1811</v>
      </c>
      <c r="B1675" s="3" t="s">
        <v>1699</v>
      </c>
      <c r="C1675" s="3" t="s">
        <v>1812</v>
      </c>
      <c r="D1675" s="112" t="s">
        <v>1813</v>
      </c>
      <c r="E1675" s="109"/>
      <c r="F1675" s="3" t="s">
        <v>122</v>
      </c>
      <c r="G1675" s="25">
        <v>1</v>
      </c>
      <c r="H1675" s="62"/>
      <c r="I1675" s="25">
        <f>ROUND(G1675*AM1675,2)</f>
        <v>0</v>
      </c>
      <c r="J1675" s="25">
        <f>ROUND(G1675*AN1675,2)</f>
        <v>0</v>
      </c>
      <c r="K1675" s="25">
        <f>ROUND(G1675*H1675,2)</f>
        <v>0</v>
      </c>
      <c r="L1675" s="25">
        <v>0</v>
      </c>
      <c r="M1675" s="25">
        <f>G1675*L1675</f>
        <v>0</v>
      </c>
      <c r="N1675" s="102"/>
      <c r="X1675" s="25">
        <f>ROUND(IF(AO1675="5",BH1675,0),2)</f>
        <v>0</v>
      </c>
      <c r="Z1675" s="25">
        <f>ROUND(IF(AO1675="1",BF1675,0),2)</f>
        <v>0</v>
      </c>
      <c r="AA1675" s="25">
        <f>ROUND(IF(AO1675="1",BG1675,0),2)</f>
        <v>0</v>
      </c>
      <c r="AB1675" s="25">
        <f>ROUND(IF(AO1675="7",BF1675,0),2)</f>
        <v>0</v>
      </c>
      <c r="AC1675" s="25">
        <f>ROUND(IF(AO1675="7",BG1675,0),2)</f>
        <v>0</v>
      </c>
      <c r="AD1675" s="25">
        <f>ROUND(IF(AO1675="2",BF1675,0),2)</f>
        <v>0</v>
      </c>
      <c r="AE1675" s="25">
        <f>ROUND(IF(AO1675="2",BG1675,0),2)</f>
        <v>0</v>
      </c>
      <c r="AF1675" s="25">
        <f>ROUND(IF(AO1675="0",BH1675,0),2)</f>
        <v>0</v>
      </c>
      <c r="AG1675" s="10" t="s">
        <v>1699</v>
      </c>
      <c r="AH1675" s="25">
        <f>IF(AL1675=0,K1675,0)</f>
        <v>0</v>
      </c>
      <c r="AI1675" s="25">
        <f>IF(AL1675=12,K1675,0)</f>
        <v>0</v>
      </c>
      <c r="AJ1675" s="25">
        <f>IF(AL1675=21,K1675,0)</f>
        <v>0</v>
      </c>
      <c r="AL1675" s="25">
        <v>21</v>
      </c>
      <c r="AM1675" s="25">
        <f>H1675*1</f>
        <v>0</v>
      </c>
      <c r="AN1675" s="25">
        <f>H1675*(1-1)</f>
        <v>0</v>
      </c>
      <c r="AO1675" s="27" t="s">
        <v>57</v>
      </c>
      <c r="AT1675" s="25">
        <f>ROUND(AU1675+AV1675,2)</f>
        <v>0</v>
      </c>
      <c r="AU1675" s="25">
        <f>ROUND(G1675*AM1675,2)</f>
        <v>0</v>
      </c>
      <c r="AV1675" s="25">
        <f>ROUND(G1675*AN1675,2)</f>
        <v>0</v>
      </c>
      <c r="AW1675" s="27" t="s">
        <v>1755</v>
      </c>
      <c r="AX1675" s="27" t="s">
        <v>1756</v>
      </c>
      <c r="AY1675" s="10" t="s">
        <v>1707</v>
      </c>
      <c r="BA1675" s="25">
        <f>AU1675+AV1675</f>
        <v>0</v>
      </c>
      <c r="BB1675" s="25">
        <f>H1675/(100-BC1675)*100</f>
        <v>0</v>
      </c>
      <c r="BC1675" s="25">
        <v>0</v>
      </c>
      <c r="BD1675" s="25">
        <f>M1675</f>
        <v>0</v>
      </c>
      <c r="BF1675" s="25">
        <f>G1675*AM1675</f>
        <v>0</v>
      </c>
      <c r="BG1675" s="25">
        <f>G1675*AN1675</f>
        <v>0</v>
      </c>
      <c r="BH1675" s="25">
        <f>G1675*H1675</f>
        <v>0</v>
      </c>
      <c r="BI1675" s="27" t="s">
        <v>65</v>
      </c>
      <c r="BJ1675" s="25">
        <v>103</v>
      </c>
      <c r="BU1675" s="25" t="e">
        <f>#REF!</f>
        <v>#REF!</v>
      </c>
      <c r="BV1675" s="4" t="s">
        <v>1813</v>
      </c>
    </row>
    <row r="1676" spans="1:74" ht="14.4" x14ac:dyDescent="0.3">
      <c r="A1676" s="28"/>
      <c r="D1676" s="29" t="s">
        <v>57</v>
      </c>
      <c r="E1676" s="29" t="s">
        <v>52</v>
      </c>
      <c r="G1676" s="30">
        <v>1</v>
      </c>
      <c r="H1676" s="63"/>
      <c r="N1676" s="31"/>
    </row>
    <row r="1677" spans="1:74" ht="26.4" x14ac:dyDescent="0.3">
      <c r="A1677" s="2" t="s">
        <v>1814</v>
      </c>
      <c r="B1677" s="3" t="s">
        <v>1699</v>
      </c>
      <c r="C1677" s="3" t="s">
        <v>1815</v>
      </c>
      <c r="D1677" s="112" t="s">
        <v>1816</v>
      </c>
      <c r="E1677" s="109"/>
      <c r="F1677" s="3" t="s">
        <v>122</v>
      </c>
      <c r="G1677" s="25">
        <v>1</v>
      </c>
      <c r="H1677" s="62"/>
      <c r="I1677" s="25">
        <f>ROUND(G1677*AM1677,2)</f>
        <v>0</v>
      </c>
      <c r="J1677" s="25">
        <f>ROUND(G1677*AN1677,2)</f>
        <v>0</v>
      </c>
      <c r="K1677" s="25">
        <f>ROUND(G1677*H1677,2)</f>
        <v>0</v>
      </c>
      <c r="L1677" s="25">
        <v>0</v>
      </c>
      <c r="M1677" s="25">
        <f>G1677*L1677</f>
        <v>0</v>
      </c>
      <c r="N1677" s="102"/>
      <c r="X1677" s="25">
        <f>ROUND(IF(AO1677="5",BH1677,0),2)</f>
        <v>0</v>
      </c>
      <c r="Z1677" s="25">
        <f>ROUND(IF(AO1677="1",BF1677,0),2)</f>
        <v>0</v>
      </c>
      <c r="AA1677" s="25">
        <f>ROUND(IF(AO1677="1",BG1677,0),2)</f>
        <v>0</v>
      </c>
      <c r="AB1677" s="25">
        <f>ROUND(IF(AO1677="7",BF1677,0),2)</f>
        <v>0</v>
      </c>
      <c r="AC1677" s="25">
        <f>ROUND(IF(AO1677="7",BG1677,0),2)</f>
        <v>0</v>
      </c>
      <c r="AD1677" s="25">
        <f>ROUND(IF(AO1677="2",BF1677,0),2)</f>
        <v>0</v>
      </c>
      <c r="AE1677" s="25">
        <f>ROUND(IF(AO1677="2",BG1677,0),2)</f>
        <v>0</v>
      </c>
      <c r="AF1677" s="25">
        <f>ROUND(IF(AO1677="0",BH1677,0),2)</f>
        <v>0</v>
      </c>
      <c r="AG1677" s="10" t="s">
        <v>1699</v>
      </c>
      <c r="AH1677" s="25">
        <f>IF(AL1677=0,K1677,0)</f>
        <v>0</v>
      </c>
      <c r="AI1677" s="25">
        <f>IF(AL1677=12,K1677,0)</f>
        <v>0</v>
      </c>
      <c r="AJ1677" s="25">
        <f>IF(AL1677=21,K1677,0)</f>
        <v>0</v>
      </c>
      <c r="AL1677" s="25">
        <v>21</v>
      </c>
      <c r="AM1677" s="25">
        <f>H1677*1</f>
        <v>0</v>
      </c>
      <c r="AN1677" s="25">
        <f>H1677*(1-1)</f>
        <v>0</v>
      </c>
      <c r="AO1677" s="27" t="s">
        <v>57</v>
      </c>
      <c r="AT1677" s="25">
        <f>ROUND(AU1677+AV1677,2)</f>
        <v>0</v>
      </c>
      <c r="AU1677" s="25">
        <f>ROUND(G1677*AM1677,2)</f>
        <v>0</v>
      </c>
      <c r="AV1677" s="25">
        <f>ROUND(G1677*AN1677,2)</f>
        <v>0</v>
      </c>
      <c r="AW1677" s="27" t="s">
        <v>1755</v>
      </c>
      <c r="AX1677" s="27" t="s">
        <v>1756</v>
      </c>
      <c r="AY1677" s="10" t="s">
        <v>1707</v>
      </c>
      <c r="BA1677" s="25">
        <f>AU1677+AV1677</f>
        <v>0</v>
      </c>
      <c r="BB1677" s="25">
        <f>H1677/(100-BC1677)*100</f>
        <v>0</v>
      </c>
      <c r="BC1677" s="25">
        <v>0</v>
      </c>
      <c r="BD1677" s="25">
        <f>M1677</f>
        <v>0</v>
      </c>
      <c r="BF1677" s="25">
        <f>G1677*AM1677</f>
        <v>0</v>
      </c>
      <c r="BG1677" s="25">
        <f>G1677*AN1677</f>
        <v>0</v>
      </c>
      <c r="BH1677" s="25">
        <f>G1677*H1677</f>
        <v>0</v>
      </c>
      <c r="BI1677" s="27" t="s">
        <v>65</v>
      </c>
      <c r="BJ1677" s="25">
        <v>103</v>
      </c>
      <c r="BU1677" s="25" t="e">
        <f>#REF!</f>
        <v>#REF!</v>
      </c>
      <c r="BV1677" s="4" t="s">
        <v>1816</v>
      </c>
    </row>
    <row r="1678" spans="1:74" ht="14.4" x14ac:dyDescent="0.3">
      <c r="A1678" s="28"/>
      <c r="D1678" s="29" t="s">
        <v>57</v>
      </c>
      <c r="E1678" s="29" t="s">
        <v>52</v>
      </c>
      <c r="G1678" s="30">
        <v>1</v>
      </c>
      <c r="H1678" s="63"/>
      <c r="N1678" s="31"/>
    </row>
    <row r="1679" spans="1:74" ht="26.4" x14ac:dyDescent="0.3">
      <c r="A1679" s="2" t="s">
        <v>1817</v>
      </c>
      <c r="B1679" s="3" t="s">
        <v>1699</v>
      </c>
      <c r="C1679" s="3" t="s">
        <v>1818</v>
      </c>
      <c r="D1679" s="112" t="s">
        <v>1819</v>
      </c>
      <c r="E1679" s="109"/>
      <c r="F1679" s="3" t="s">
        <v>122</v>
      </c>
      <c r="G1679" s="25">
        <v>2</v>
      </c>
      <c r="H1679" s="62"/>
      <c r="I1679" s="25">
        <f>ROUND(G1679*AM1679,2)</f>
        <v>0</v>
      </c>
      <c r="J1679" s="25">
        <f>ROUND(G1679*AN1679,2)</f>
        <v>0</v>
      </c>
      <c r="K1679" s="25">
        <f>ROUND(G1679*H1679,2)</f>
        <v>0</v>
      </c>
      <c r="L1679" s="25">
        <v>0</v>
      </c>
      <c r="M1679" s="25">
        <f>G1679*L1679</f>
        <v>0</v>
      </c>
      <c r="N1679" s="102"/>
      <c r="X1679" s="25">
        <f>ROUND(IF(AO1679="5",BH1679,0),2)</f>
        <v>0</v>
      </c>
      <c r="Z1679" s="25">
        <f>ROUND(IF(AO1679="1",BF1679,0),2)</f>
        <v>0</v>
      </c>
      <c r="AA1679" s="25">
        <f>ROUND(IF(AO1679="1",BG1679,0),2)</f>
        <v>0</v>
      </c>
      <c r="AB1679" s="25">
        <f>ROUND(IF(AO1679="7",BF1679,0),2)</f>
        <v>0</v>
      </c>
      <c r="AC1679" s="25">
        <f>ROUND(IF(AO1679="7",BG1679,0),2)</f>
        <v>0</v>
      </c>
      <c r="AD1679" s="25">
        <f>ROUND(IF(AO1679="2",BF1679,0),2)</f>
        <v>0</v>
      </c>
      <c r="AE1679" s="25">
        <f>ROUND(IF(AO1679="2",BG1679,0),2)</f>
        <v>0</v>
      </c>
      <c r="AF1679" s="25">
        <f>ROUND(IF(AO1679="0",BH1679,0),2)</f>
        <v>0</v>
      </c>
      <c r="AG1679" s="10" t="s">
        <v>1699</v>
      </c>
      <c r="AH1679" s="25">
        <f>IF(AL1679=0,K1679,0)</f>
        <v>0</v>
      </c>
      <c r="AI1679" s="25">
        <f>IF(AL1679=12,K1679,0)</f>
        <v>0</v>
      </c>
      <c r="AJ1679" s="25">
        <f>IF(AL1679=21,K1679,0)</f>
        <v>0</v>
      </c>
      <c r="AL1679" s="25">
        <v>21</v>
      </c>
      <c r="AM1679" s="25">
        <f>H1679*1</f>
        <v>0</v>
      </c>
      <c r="AN1679" s="25">
        <f>H1679*(1-1)</f>
        <v>0</v>
      </c>
      <c r="AO1679" s="27" t="s">
        <v>57</v>
      </c>
      <c r="AT1679" s="25">
        <f>ROUND(AU1679+AV1679,2)</f>
        <v>0</v>
      </c>
      <c r="AU1679" s="25">
        <f>ROUND(G1679*AM1679,2)</f>
        <v>0</v>
      </c>
      <c r="AV1679" s="25">
        <f>ROUND(G1679*AN1679,2)</f>
        <v>0</v>
      </c>
      <c r="AW1679" s="27" t="s">
        <v>1755</v>
      </c>
      <c r="AX1679" s="27" t="s">
        <v>1756</v>
      </c>
      <c r="AY1679" s="10" t="s">
        <v>1707</v>
      </c>
      <c r="BA1679" s="25">
        <f>AU1679+AV1679</f>
        <v>0</v>
      </c>
      <c r="BB1679" s="25">
        <f>H1679/(100-BC1679)*100</f>
        <v>0</v>
      </c>
      <c r="BC1679" s="25">
        <v>0</v>
      </c>
      <c r="BD1679" s="25">
        <f>M1679</f>
        <v>0</v>
      </c>
      <c r="BF1679" s="25">
        <f>G1679*AM1679</f>
        <v>0</v>
      </c>
      <c r="BG1679" s="25">
        <f>G1679*AN1679</f>
        <v>0</v>
      </c>
      <c r="BH1679" s="25">
        <f>G1679*H1679</f>
        <v>0</v>
      </c>
      <c r="BI1679" s="27" t="s">
        <v>65</v>
      </c>
      <c r="BJ1679" s="25">
        <v>103</v>
      </c>
      <c r="BU1679" s="25" t="e">
        <f>#REF!</f>
        <v>#REF!</v>
      </c>
      <c r="BV1679" s="4" t="s">
        <v>1819</v>
      </c>
    </row>
    <row r="1680" spans="1:74" ht="14.4" x14ac:dyDescent="0.3">
      <c r="A1680" s="28"/>
      <c r="D1680" s="29" t="s">
        <v>81</v>
      </c>
      <c r="E1680" s="29" t="s">
        <v>52</v>
      </c>
      <c r="G1680" s="30">
        <v>2</v>
      </c>
      <c r="H1680" s="63"/>
      <c r="N1680" s="31"/>
    </row>
    <row r="1681" spans="1:74" ht="26.4" x14ac:dyDescent="0.3">
      <c r="A1681" s="2" t="s">
        <v>1820</v>
      </c>
      <c r="B1681" s="3" t="s">
        <v>1699</v>
      </c>
      <c r="C1681" s="3" t="s">
        <v>1821</v>
      </c>
      <c r="D1681" s="112" t="s">
        <v>1822</v>
      </c>
      <c r="E1681" s="109"/>
      <c r="F1681" s="3" t="s">
        <v>122</v>
      </c>
      <c r="G1681" s="25">
        <v>1</v>
      </c>
      <c r="H1681" s="62"/>
      <c r="I1681" s="25">
        <f>ROUND(G1681*AM1681,2)</f>
        <v>0</v>
      </c>
      <c r="J1681" s="25">
        <f>ROUND(G1681*AN1681,2)</f>
        <v>0</v>
      </c>
      <c r="K1681" s="25">
        <f>ROUND(G1681*H1681,2)</f>
        <v>0</v>
      </c>
      <c r="L1681" s="25">
        <v>0</v>
      </c>
      <c r="M1681" s="25">
        <f>G1681*L1681</f>
        <v>0</v>
      </c>
      <c r="N1681" s="102"/>
      <c r="X1681" s="25">
        <f>ROUND(IF(AO1681="5",BH1681,0),2)</f>
        <v>0</v>
      </c>
      <c r="Z1681" s="25">
        <f>ROUND(IF(AO1681="1",BF1681,0),2)</f>
        <v>0</v>
      </c>
      <c r="AA1681" s="25">
        <f>ROUND(IF(AO1681="1",BG1681,0),2)</f>
        <v>0</v>
      </c>
      <c r="AB1681" s="25">
        <f>ROUND(IF(AO1681="7",BF1681,0),2)</f>
        <v>0</v>
      </c>
      <c r="AC1681" s="25">
        <f>ROUND(IF(AO1681="7",BG1681,0),2)</f>
        <v>0</v>
      </c>
      <c r="AD1681" s="25">
        <f>ROUND(IF(AO1681="2",BF1681,0),2)</f>
        <v>0</v>
      </c>
      <c r="AE1681" s="25">
        <f>ROUND(IF(AO1681="2",BG1681,0),2)</f>
        <v>0</v>
      </c>
      <c r="AF1681" s="25">
        <f>ROUND(IF(AO1681="0",BH1681,0),2)</f>
        <v>0</v>
      </c>
      <c r="AG1681" s="10" t="s">
        <v>1699</v>
      </c>
      <c r="AH1681" s="25">
        <f>IF(AL1681=0,K1681,0)</f>
        <v>0</v>
      </c>
      <c r="AI1681" s="25">
        <f>IF(AL1681=12,K1681,0)</f>
        <v>0</v>
      </c>
      <c r="AJ1681" s="25">
        <f>IF(AL1681=21,K1681,0)</f>
        <v>0</v>
      </c>
      <c r="AL1681" s="25">
        <v>21</v>
      </c>
      <c r="AM1681" s="25">
        <f>H1681*1</f>
        <v>0</v>
      </c>
      <c r="AN1681" s="25">
        <f>H1681*(1-1)</f>
        <v>0</v>
      </c>
      <c r="AO1681" s="27" t="s">
        <v>57</v>
      </c>
      <c r="AT1681" s="25">
        <f>ROUND(AU1681+AV1681,2)</f>
        <v>0</v>
      </c>
      <c r="AU1681" s="25">
        <f>ROUND(G1681*AM1681,2)</f>
        <v>0</v>
      </c>
      <c r="AV1681" s="25">
        <f>ROUND(G1681*AN1681,2)</f>
        <v>0</v>
      </c>
      <c r="AW1681" s="27" t="s">
        <v>1755</v>
      </c>
      <c r="AX1681" s="27" t="s">
        <v>1756</v>
      </c>
      <c r="AY1681" s="10" t="s">
        <v>1707</v>
      </c>
      <c r="BA1681" s="25">
        <f>AU1681+AV1681</f>
        <v>0</v>
      </c>
      <c r="BB1681" s="25">
        <f>H1681/(100-BC1681)*100</f>
        <v>0</v>
      </c>
      <c r="BC1681" s="25">
        <v>0</v>
      </c>
      <c r="BD1681" s="25">
        <f>M1681</f>
        <v>0</v>
      </c>
      <c r="BF1681" s="25">
        <f>G1681*AM1681</f>
        <v>0</v>
      </c>
      <c r="BG1681" s="25">
        <f>G1681*AN1681</f>
        <v>0</v>
      </c>
      <c r="BH1681" s="25">
        <f>G1681*H1681</f>
        <v>0</v>
      </c>
      <c r="BI1681" s="27" t="s">
        <v>65</v>
      </c>
      <c r="BJ1681" s="25">
        <v>103</v>
      </c>
      <c r="BU1681" s="25" t="e">
        <f>#REF!</f>
        <v>#REF!</v>
      </c>
      <c r="BV1681" s="4" t="s">
        <v>1822</v>
      </c>
    </row>
    <row r="1682" spans="1:74" ht="14.4" x14ac:dyDescent="0.3">
      <c r="A1682" s="28"/>
      <c r="D1682" s="29" t="s">
        <v>57</v>
      </c>
      <c r="E1682" s="29" t="s">
        <v>52</v>
      </c>
      <c r="G1682" s="30">
        <v>1</v>
      </c>
      <c r="H1682" s="63"/>
      <c r="N1682" s="31"/>
    </row>
    <row r="1683" spans="1:74" ht="14.4" x14ac:dyDescent="0.3">
      <c r="A1683" s="2" t="s">
        <v>1823</v>
      </c>
      <c r="B1683" s="3" t="s">
        <v>1699</v>
      </c>
      <c r="C1683" s="3" t="s">
        <v>1824</v>
      </c>
      <c r="D1683" s="112" t="s">
        <v>1825</v>
      </c>
      <c r="E1683" s="109"/>
      <c r="F1683" s="3" t="s">
        <v>122</v>
      </c>
      <c r="G1683" s="25">
        <v>1</v>
      </c>
      <c r="H1683" s="62"/>
      <c r="I1683" s="25">
        <f>ROUND(G1683*AM1683,2)</f>
        <v>0</v>
      </c>
      <c r="J1683" s="25">
        <f>ROUND(G1683*AN1683,2)</f>
        <v>0</v>
      </c>
      <c r="K1683" s="25">
        <f>ROUND(G1683*H1683,2)</f>
        <v>0</v>
      </c>
      <c r="L1683" s="25">
        <v>0</v>
      </c>
      <c r="M1683" s="25">
        <f>G1683*L1683</f>
        <v>0</v>
      </c>
      <c r="N1683" s="102"/>
      <c r="X1683" s="25">
        <f>ROUND(IF(AO1683="5",BH1683,0),2)</f>
        <v>0</v>
      </c>
      <c r="Z1683" s="25">
        <f>ROUND(IF(AO1683="1",BF1683,0),2)</f>
        <v>0</v>
      </c>
      <c r="AA1683" s="25">
        <f>ROUND(IF(AO1683="1",BG1683,0),2)</f>
        <v>0</v>
      </c>
      <c r="AB1683" s="25">
        <f>ROUND(IF(AO1683="7",BF1683,0),2)</f>
        <v>0</v>
      </c>
      <c r="AC1683" s="25">
        <f>ROUND(IF(AO1683="7",BG1683,0),2)</f>
        <v>0</v>
      </c>
      <c r="AD1683" s="25">
        <f>ROUND(IF(AO1683="2",BF1683,0),2)</f>
        <v>0</v>
      </c>
      <c r="AE1683" s="25">
        <f>ROUND(IF(AO1683="2",BG1683,0),2)</f>
        <v>0</v>
      </c>
      <c r="AF1683" s="25">
        <f>ROUND(IF(AO1683="0",BH1683,0),2)</f>
        <v>0</v>
      </c>
      <c r="AG1683" s="10" t="s">
        <v>1699</v>
      </c>
      <c r="AH1683" s="25">
        <f>IF(AL1683=0,K1683,0)</f>
        <v>0</v>
      </c>
      <c r="AI1683" s="25">
        <f>IF(AL1683=12,K1683,0)</f>
        <v>0</v>
      </c>
      <c r="AJ1683" s="25">
        <f>IF(AL1683=21,K1683,0)</f>
        <v>0</v>
      </c>
      <c r="AL1683" s="25">
        <v>21</v>
      </c>
      <c r="AM1683" s="25">
        <f>H1683*1</f>
        <v>0</v>
      </c>
      <c r="AN1683" s="25">
        <f>H1683*(1-1)</f>
        <v>0</v>
      </c>
      <c r="AO1683" s="27" t="s">
        <v>57</v>
      </c>
      <c r="AT1683" s="25">
        <f>ROUND(AU1683+AV1683,2)</f>
        <v>0</v>
      </c>
      <c r="AU1683" s="25">
        <f>ROUND(G1683*AM1683,2)</f>
        <v>0</v>
      </c>
      <c r="AV1683" s="25">
        <f>ROUND(G1683*AN1683,2)</f>
        <v>0</v>
      </c>
      <c r="AW1683" s="27" t="s">
        <v>1755</v>
      </c>
      <c r="AX1683" s="27" t="s">
        <v>1756</v>
      </c>
      <c r="AY1683" s="10" t="s">
        <v>1707</v>
      </c>
      <c r="BA1683" s="25">
        <f>AU1683+AV1683</f>
        <v>0</v>
      </c>
      <c r="BB1683" s="25">
        <f>H1683/(100-BC1683)*100</f>
        <v>0</v>
      </c>
      <c r="BC1683" s="25">
        <v>0</v>
      </c>
      <c r="BD1683" s="25">
        <f>M1683</f>
        <v>0</v>
      </c>
      <c r="BF1683" s="25">
        <f>G1683*AM1683</f>
        <v>0</v>
      </c>
      <c r="BG1683" s="25">
        <f>G1683*AN1683</f>
        <v>0</v>
      </c>
      <c r="BH1683" s="25">
        <f>G1683*H1683</f>
        <v>0</v>
      </c>
      <c r="BI1683" s="27" t="s">
        <v>65</v>
      </c>
      <c r="BJ1683" s="25">
        <v>103</v>
      </c>
      <c r="BU1683" s="25" t="e">
        <f>#REF!</f>
        <v>#REF!</v>
      </c>
      <c r="BV1683" s="4" t="s">
        <v>1825</v>
      </c>
    </row>
    <row r="1684" spans="1:74" ht="14.4" x14ac:dyDescent="0.3">
      <c r="A1684" s="28"/>
      <c r="D1684" s="29" t="s">
        <v>57</v>
      </c>
      <c r="E1684" s="29" t="s">
        <v>52</v>
      </c>
      <c r="G1684" s="30">
        <v>1</v>
      </c>
      <c r="H1684" s="63"/>
      <c r="N1684" s="31"/>
    </row>
    <row r="1685" spans="1:74" ht="14.4" x14ac:dyDescent="0.3">
      <c r="A1685" s="2" t="s">
        <v>1826</v>
      </c>
      <c r="B1685" s="3" t="s">
        <v>1699</v>
      </c>
      <c r="C1685" s="3" t="s">
        <v>1827</v>
      </c>
      <c r="D1685" s="112" t="s">
        <v>1828</v>
      </c>
      <c r="E1685" s="109"/>
      <c r="F1685" s="3" t="s">
        <v>122</v>
      </c>
      <c r="G1685" s="25">
        <v>18</v>
      </c>
      <c r="H1685" s="62"/>
      <c r="I1685" s="25">
        <f>ROUND(G1685*AM1685,2)</f>
        <v>0</v>
      </c>
      <c r="J1685" s="25">
        <f>ROUND(G1685*AN1685,2)</f>
        <v>0</v>
      </c>
      <c r="K1685" s="25">
        <f>ROUND(G1685*H1685,2)</f>
        <v>0</v>
      </c>
      <c r="L1685" s="25">
        <v>0.23996999999999999</v>
      </c>
      <c r="M1685" s="25">
        <f>G1685*L1685</f>
        <v>4.3194599999999994</v>
      </c>
      <c r="N1685" s="102"/>
      <c r="X1685" s="25">
        <f>ROUND(IF(AO1685="5",BH1685,0),2)</f>
        <v>0</v>
      </c>
      <c r="Z1685" s="25">
        <f>ROUND(IF(AO1685="1",BF1685,0),2)</f>
        <v>0</v>
      </c>
      <c r="AA1685" s="25">
        <f>ROUND(IF(AO1685="1",BG1685,0),2)</f>
        <v>0</v>
      </c>
      <c r="AB1685" s="25">
        <f>ROUND(IF(AO1685="7",BF1685,0),2)</f>
        <v>0</v>
      </c>
      <c r="AC1685" s="25">
        <f>ROUND(IF(AO1685="7",BG1685,0),2)</f>
        <v>0</v>
      </c>
      <c r="AD1685" s="25">
        <f>ROUND(IF(AO1685="2",BF1685,0),2)</f>
        <v>0</v>
      </c>
      <c r="AE1685" s="25">
        <f>ROUND(IF(AO1685="2",BG1685,0),2)</f>
        <v>0</v>
      </c>
      <c r="AF1685" s="25">
        <f>ROUND(IF(AO1685="0",BH1685,0),2)</f>
        <v>0</v>
      </c>
      <c r="AG1685" s="10" t="s">
        <v>1699</v>
      </c>
      <c r="AH1685" s="25">
        <f>IF(AL1685=0,K1685,0)</f>
        <v>0</v>
      </c>
      <c r="AI1685" s="25">
        <f>IF(AL1685=12,K1685,0)</f>
        <v>0</v>
      </c>
      <c r="AJ1685" s="25">
        <f>IF(AL1685=21,K1685,0)</f>
        <v>0</v>
      </c>
      <c r="AL1685" s="25">
        <v>21</v>
      </c>
      <c r="AM1685" s="25">
        <f>H1685*0</f>
        <v>0</v>
      </c>
      <c r="AN1685" s="25">
        <f>H1685*(1-0)</f>
        <v>0</v>
      </c>
      <c r="AO1685" s="27" t="s">
        <v>57</v>
      </c>
      <c r="AT1685" s="25">
        <f>ROUND(AU1685+AV1685,2)</f>
        <v>0</v>
      </c>
      <c r="AU1685" s="25">
        <f>ROUND(G1685*AM1685,2)</f>
        <v>0</v>
      </c>
      <c r="AV1685" s="25">
        <f>ROUND(G1685*AN1685,2)</f>
        <v>0</v>
      </c>
      <c r="AW1685" s="27" t="s">
        <v>1755</v>
      </c>
      <c r="AX1685" s="27" t="s">
        <v>1756</v>
      </c>
      <c r="AY1685" s="10" t="s">
        <v>1707</v>
      </c>
      <c r="BA1685" s="25">
        <f>AU1685+AV1685</f>
        <v>0</v>
      </c>
      <c r="BB1685" s="25">
        <f>H1685/(100-BC1685)*100</f>
        <v>0</v>
      </c>
      <c r="BC1685" s="25">
        <v>0</v>
      </c>
      <c r="BD1685" s="25">
        <f>M1685</f>
        <v>4.3194599999999994</v>
      </c>
      <c r="BF1685" s="25">
        <f>G1685*AM1685</f>
        <v>0</v>
      </c>
      <c r="BG1685" s="25">
        <f>G1685*AN1685</f>
        <v>0</v>
      </c>
      <c r="BH1685" s="25">
        <f>G1685*H1685</f>
        <v>0</v>
      </c>
      <c r="BI1685" s="27" t="s">
        <v>65</v>
      </c>
      <c r="BJ1685" s="25">
        <v>103</v>
      </c>
      <c r="BU1685" s="25" t="e">
        <f>#REF!</f>
        <v>#REF!</v>
      </c>
      <c r="BV1685" s="4" t="s">
        <v>1828</v>
      </c>
    </row>
    <row r="1686" spans="1:74" ht="14.4" x14ac:dyDescent="0.3">
      <c r="A1686" s="28"/>
      <c r="D1686" s="29" t="s">
        <v>187</v>
      </c>
      <c r="E1686" s="29" t="s">
        <v>52</v>
      </c>
      <c r="G1686" s="30">
        <v>18</v>
      </c>
      <c r="H1686" s="63"/>
      <c r="N1686" s="31"/>
    </row>
    <row r="1687" spans="1:74" ht="14.4" x14ac:dyDescent="0.3">
      <c r="A1687" s="2" t="s">
        <v>1829</v>
      </c>
      <c r="B1687" s="3" t="s">
        <v>1699</v>
      </c>
      <c r="C1687" s="3" t="s">
        <v>882</v>
      </c>
      <c r="D1687" s="112" t="s">
        <v>883</v>
      </c>
      <c r="E1687" s="109"/>
      <c r="F1687" s="3" t="s">
        <v>278</v>
      </c>
      <c r="G1687" s="25">
        <v>1.26</v>
      </c>
      <c r="H1687" s="62"/>
      <c r="I1687" s="25">
        <f>ROUND(G1687*AM1687,2)</f>
        <v>0</v>
      </c>
      <c r="J1687" s="25">
        <f>ROUND(G1687*AN1687,2)</f>
        <v>0</v>
      </c>
      <c r="K1687" s="25">
        <f>ROUND(G1687*H1687,2)</f>
        <v>0</v>
      </c>
      <c r="L1687" s="25">
        <v>0</v>
      </c>
      <c r="M1687" s="25">
        <f>G1687*L1687</f>
        <v>0</v>
      </c>
      <c r="N1687" s="26"/>
      <c r="X1687" s="25">
        <f>ROUND(IF(AO1687="5",BH1687,0),2)</f>
        <v>0</v>
      </c>
      <c r="Z1687" s="25">
        <f>ROUND(IF(AO1687="1",BF1687,0),2)</f>
        <v>0</v>
      </c>
      <c r="AA1687" s="25">
        <f>ROUND(IF(AO1687="1",BG1687,0),2)</f>
        <v>0</v>
      </c>
      <c r="AB1687" s="25">
        <f>ROUND(IF(AO1687="7",BF1687,0),2)</f>
        <v>0</v>
      </c>
      <c r="AC1687" s="25">
        <f>ROUND(IF(AO1687="7",BG1687,0),2)</f>
        <v>0</v>
      </c>
      <c r="AD1687" s="25">
        <f>ROUND(IF(AO1687="2",BF1687,0),2)</f>
        <v>0</v>
      </c>
      <c r="AE1687" s="25">
        <f>ROUND(IF(AO1687="2",BG1687,0),2)</f>
        <v>0</v>
      </c>
      <c r="AF1687" s="25">
        <f>ROUND(IF(AO1687="0",BH1687,0),2)</f>
        <v>0</v>
      </c>
      <c r="AG1687" s="10" t="s">
        <v>1699</v>
      </c>
      <c r="AH1687" s="25">
        <f>IF(AL1687=0,K1687,0)</f>
        <v>0</v>
      </c>
      <c r="AI1687" s="25">
        <f>IF(AL1687=12,K1687,0)</f>
        <v>0</v>
      </c>
      <c r="AJ1687" s="25">
        <f>IF(AL1687=21,K1687,0)</f>
        <v>0</v>
      </c>
      <c r="AL1687" s="25">
        <v>21</v>
      </c>
      <c r="AM1687" s="25">
        <f>H1687*0</f>
        <v>0</v>
      </c>
      <c r="AN1687" s="25">
        <f>H1687*(1-0)</f>
        <v>0</v>
      </c>
      <c r="AO1687" s="27" t="s">
        <v>97</v>
      </c>
      <c r="AT1687" s="25">
        <f>ROUND(AU1687+AV1687,2)</f>
        <v>0</v>
      </c>
      <c r="AU1687" s="25">
        <f>ROUND(G1687*AM1687,2)</f>
        <v>0</v>
      </c>
      <c r="AV1687" s="25">
        <f>ROUND(G1687*AN1687,2)</f>
        <v>0</v>
      </c>
      <c r="AW1687" s="27" t="s">
        <v>1755</v>
      </c>
      <c r="AX1687" s="27" t="s">
        <v>1756</v>
      </c>
      <c r="AY1687" s="10" t="s">
        <v>1707</v>
      </c>
      <c r="BA1687" s="25">
        <f>AU1687+AV1687</f>
        <v>0</v>
      </c>
      <c r="BB1687" s="25">
        <f>H1687/(100-BC1687)*100</f>
        <v>0</v>
      </c>
      <c r="BC1687" s="25">
        <v>0</v>
      </c>
      <c r="BD1687" s="25">
        <f>M1687</f>
        <v>0</v>
      </c>
      <c r="BF1687" s="25">
        <f>G1687*AM1687</f>
        <v>0</v>
      </c>
      <c r="BG1687" s="25">
        <f>G1687*AN1687</f>
        <v>0</v>
      </c>
      <c r="BH1687" s="25">
        <f>G1687*H1687</f>
        <v>0</v>
      </c>
      <c r="BI1687" s="27" t="s">
        <v>65</v>
      </c>
      <c r="BJ1687" s="25">
        <v>103</v>
      </c>
      <c r="BU1687" s="25" t="e">
        <f>#REF!</f>
        <v>#REF!</v>
      </c>
      <c r="BV1687" s="4" t="s">
        <v>883</v>
      </c>
    </row>
    <row r="1688" spans="1:74" ht="14.4" x14ac:dyDescent="0.3">
      <c r="A1688" s="28"/>
      <c r="D1688" s="29" t="s">
        <v>1830</v>
      </c>
      <c r="E1688" s="29" t="s">
        <v>52</v>
      </c>
      <c r="G1688" s="30">
        <v>1.26</v>
      </c>
      <c r="H1688" s="63"/>
      <c r="N1688" s="31"/>
    </row>
    <row r="1689" spans="1:74" ht="14.4" x14ac:dyDescent="0.3">
      <c r="A1689" s="21" t="s">
        <v>52</v>
      </c>
      <c r="B1689" s="22" t="s">
        <v>1699</v>
      </c>
      <c r="C1689" s="22" t="s">
        <v>291</v>
      </c>
      <c r="D1689" s="170" t="s">
        <v>1831</v>
      </c>
      <c r="E1689" s="171"/>
      <c r="F1689" s="23" t="s">
        <v>32</v>
      </c>
      <c r="G1689" s="23" t="s">
        <v>32</v>
      </c>
      <c r="H1689" s="64"/>
      <c r="I1689" s="1">
        <f>SUM(I1690:I1715)</f>
        <v>0</v>
      </c>
      <c r="J1689" s="1">
        <f>SUM(J1690:J1715)</f>
        <v>0</v>
      </c>
      <c r="K1689" s="1">
        <f>SUM(K1690:K1715)</f>
        <v>0</v>
      </c>
      <c r="L1689" s="10" t="s">
        <v>52</v>
      </c>
      <c r="M1689" s="1">
        <f>SUM(M1690:M1715)</f>
        <v>5.8469999999999994E-2</v>
      </c>
      <c r="N1689" s="24"/>
      <c r="AG1689" s="10" t="s">
        <v>1699</v>
      </c>
      <c r="AQ1689" s="1">
        <f>SUM(AH1690:AH1715)</f>
        <v>0</v>
      </c>
      <c r="AR1689" s="1">
        <f>SUM(AI1690:AI1715)</f>
        <v>0</v>
      </c>
      <c r="AS1689" s="1">
        <f>SUM(AJ1690:AJ1715)</f>
        <v>0</v>
      </c>
    </row>
    <row r="1690" spans="1:74" ht="14.4" x14ac:dyDescent="0.3">
      <c r="A1690" s="2" t="s">
        <v>1832</v>
      </c>
      <c r="B1690" s="3" t="s">
        <v>1699</v>
      </c>
      <c r="C1690" s="3" t="s">
        <v>1833</v>
      </c>
      <c r="D1690" s="112" t="s">
        <v>1834</v>
      </c>
      <c r="E1690" s="109"/>
      <c r="F1690" s="3" t="s">
        <v>115</v>
      </c>
      <c r="G1690" s="25">
        <v>6</v>
      </c>
      <c r="H1690" s="62"/>
      <c r="I1690" s="25">
        <f>ROUND(G1690*AM1690,2)</f>
        <v>0</v>
      </c>
      <c r="J1690" s="25">
        <f>ROUND(G1690*AN1690,2)</f>
        <v>0</v>
      </c>
      <c r="K1690" s="25">
        <f>ROUND(G1690*H1690,2)</f>
        <v>0</v>
      </c>
      <c r="L1690" s="25">
        <v>0</v>
      </c>
      <c r="M1690" s="25">
        <f>G1690*L1690</f>
        <v>0</v>
      </c>
      <c r="N1690" s="26"/>
      <c r="X1690" s="25">
        <f>ROUND(IF(AO1690="5",BH1690,0),2)</f>
        <v>0</v>
      </c>
      <c r="Z1690" s="25">
        <f>ROUND(IF(AO1690="1",BF1690,0),2)</f>
        <v>0</v>
      </c>
      <c r="AA1690" s="25">
        <f>ROUND(IF(AO1690="1",BG1690,0),2)</f>
        <v>0</v>
      </c>
      <c r="AB1690" s="25">
        <f>ROUND(IF(AO1690="7",BF1690,0),2)</f>
        <v>0</v>
      </c>
      <c r="AC1690" s="25">
        <f>ROUND(IF(AO1690="7",BG1690,0),2)</f>
        <v>0</v>
      </c>
      <c r="AD1690" s="25">
        <f>ROUND(IF(AO1690="2",BF1690,0),2)</f>
        <v>0</v>
      </c>
      <c r="AE1690" s="25">
        <f>ROUND(IF(AO1690="2",BG1690,0),2)</f>
        <v>0</v>
      </c>
      <c r="AF1690" s="25">
        <f>ROUND(IF(AO1690="0",BH1690,0),2)</f>
        <v>0</v>
      </c>
      <c r="AG1690" s="10" t="s">
        <v>1699</v>
      </c>
      <c r="AH1690" s="25">
        <f>IF(AL1690=0,K1690,0)</f>
        <v>0</v>
      </c>
      <c r="AI1690" s="25">
        <f>IF(AL1690=12,K1690,0)</f>
        <v>0</v>
      </c>
      <c r="AJ1690" s="25">
        <f>IF(AL1690=21,K1690,0)</f>
        <v>0</v>
      </c>
      <c r="AL1690" s="25">
        <v>21</v>
      </c>
      <c r="AM1690" s="25">
        <f>H1690*0</f>
        <v>0</v>
      </c>
      <c r="AN1690" s="25">
        <f>H1690*(1-0)</f>
        <v>0</v>
      </c>
      <c r="AO1690" s="27" t="s">
        <v>57</v>
      </c>
      <c r="AT1690" s="25">
        <f>ROUND(AU1690+AV1690,2)</f>
        <v>0</v>
      </c>
      <c r="AU1690" s="25">
        <f>ROUND(G1690*AM1690,2)</f>
        <v>0</v>
      </c>
      <c r="AV1690" s="25">
        <f>ROUND(G1690*AN1690,2)</f>
        <v>0</v>
      </c>
      <c r="AW1690" s="27" t="s">
        <v>1835</v>
      </c>
      <c r="AX1690" s="27" t="s">
        <v>1836</v>
      </c>
      <c r="AY1690" s="10" t="s">
        <v>1707</v>
      </c>
      <c r="BA1690" s="25">
        <f>AU1690+AV1690</f>
        <v>0</v>
      </c>
      <c r="BB1690" s="25">
        <f>H1690/(100-BC1690)*100</f>
        <v>0</v>
      </c>
      <c r="BC1690" s="25">
        <v>0</v>
      </c>
      <c r="BD1690" s="25">
        <f>M1690</f>
        <v>0</v>
      </c>
      <c r="BF1690" s="25">
        <f>G1690*AM1690</f>
        <v>0</v>
      </c>
      <c r="BG1690" s="25">
        <f>G1690*AN1690</f>
        <v>0</v>
      </c>
      <c r="BH1690" s="25">
        <f>G1690*H1690</f>
        <v>0</v>
      </c>
      <c r="BI1690" s="27" t="s">
        <v>65</v>
      </c>
      <c r="BJ1690" s="25">
        <v>35</v>
      </c>
      <c r="BU1690" s="25" t="e">
        <f>#REF!</f>
        <v>#REF!</v>
      </c>
      <c r="BV1690" s="4" t="s">
        <v>1834</v>
      </c>
    </row>
    <row r="1691" spans="1:74" ht="14.4" x14ac:dyDescent="0.3">
      <c r="A1691" s="28"/>
      <c r="D1691" s="29" t="s">
        <v>106</v>
      </c>
      <c r="E1691" s="29" t="s">
        <v>52</v>
      </c>
      <c r="G1691" s="30">
        <v>6</v>
      </c>
      <c r="H1691" s="63"/>
      <c r="N1691" s="31"/>
    </row>
    <row r="1692" spans="1:74" ht="14.4" x14ac:dyDescent="0.3">
      <c r="A1692" s="2" t="s">
        <v>1837</v>
      </c>
      <c r="B1692" s="3" t="s">
        <v>1699</v>
      </c>
      <c r="C1692" s="3" t="s">
        <v>1838</v>
      </c>
      <c r="D1692" s="112" t="s">
        <v>1839</v>
      </c>
      <c r="E1692" s="109"/>
      <c r="F1692" s="3" t="s">
        <v>115</v>
      </c>
      <c r="G1692" s="25">
        <v>24</v>
      </c>
      <c r="H1692" s="62"/>
      <c r="I1692" s="25">
        <f>ROUND(G1692*AM1692,2)</f>
        <v>0</v>
      </c>
      <c r="J1692" s="25">
        <f>ROUND(G1692*AN1692,2)</f>
        <v>0</v>
      </c>
      <c r="K1692" s="25">
        <f>ROUND(G1692*H1692,2)</f>
        <v>0</v>
      </c>
      <c r="L1692" s="25">
        <v>0</v>
      </c>
      <c r="M1692" s="25">
        <f>G1692*L1692</f>
        <v>0</v>
      </c>
      <c r="N1692" s="26"/>
      <c r="X1692" s="25">
        <f>ROUND(IF(AO1692="5",BH1692,0),2)</f>
        <v>0</v>
      </c>
      <c r="Z1692" s="25">
        <f>ROUND(IF(AO1692="1",BF1692,0),2)</f>
        <v>0</v>
      </c>
      <c r="AA1692" s="25">
        <f>ROUND(IF(AO1692="1",BG1692,0),2)</f>
        <v>0</v>
      </c>
      <c r="AB1692" s="25">
        <f>ROUND(IF(AO1692="7",BF1692,0),2)</f>
        <v>0</v>
      </c>
      <c r="AC1692" s="25">
        <f>ROUND(IF(AO1692="7",BG1692,0),2)</f>
        <v>0</v>
      </c>
      <c r="AD1692" s="25">
        <f>ROUND(IF(AO1692="2",BF1692,0),2)</f>
        <v>0</v>
      </c>
      <c r="AE1692" s="25">
        <f>ROUND(IF(AO1692="2",BG1692,0),2)</f>
        <v>0</v>
      </c>
      <c r="AF1692" s="25">
        <f>ROUND(IF(AO1692="0",BH1692,0),2)</f>
        <v>0</v>
      </c>
      <c r="AG1692" s="10" t="s">
        <v>1699</v>
      </c>
      <c r="AH1692" s="25">
        <f>IF(AL1692=0,K1692,0)</f>
        <v>0</v>
      </c>
      <c r="AI1692" s="25">
        <f>IF(AL1692=12,K1692,0)</f>
        <v>0</v>
      </c>
      <c r="AJ1692" s="25">
        <f>IF(AL1692=21,K1692,0)</f>
        <v>0</v>
      </c>
      <c r="AL1692" s="25">
        <v>21</v>
      </c>
      <c r="AM1692" s="25">
        <f>H1692*0</f>
        <v>0</v>
      </c>
      <c r="AN1692" s="25">
        <f>H1692*(1-0)</f>
        <v>0</v>
      </c>
      <c r="AO1692" s="27" t="s">
        <v>57</v>
      </c>
      <c r="AT1692" s="25">
        <f>ROUND(AU1692+AV1692,2)</f>
        <v>0</v>
      </c>
      <c r="AU1692" s="25">
        <f>ROUND(G1692*AM1692,2)</f>
        <v>0</v>
      </c>
      <c r="AV1692" s="25">
        <f>ROUND(G1692*AN1692,2)</f>
        <v>0</v>
      </c>
      <c r="AW1692" s="27" t="s">
        <v>1835</v>
      </c>
      <c r="AX1692" s="27" t="s">
        <v>1836</v>
      </c>
      <c r="AY1692" s="10" t="s">
        <v>1707</v>
      </c>
      <c r="BA1692" s="25">
        <f>AU1692+AV1692</f>
        <v>0</v>
      </c>
      <c r="BB1692" s="25">
        <f>H1692/(100-BC1692)*100</f>
        <v>0</v>
      </c>
      <c r="BC1692" s="25">
        <v>0</v>
      </c>
      <c r="BD1692" s="25">
        <f>M1692</f>
        <v>0</v>
      </c>
      <c r="BF1692" s="25">
        <f>G1692*AM1692</f>
        <v>0</v>
      </c>
      <c r="BG1692" s="25">
        <f>G1692*AN1692</f>
        <v>0</v>
      </c>
      <c r="BH1692" s="25">
        <f>G1692*H1692</f>
        <v>0</v>
      </c>
      <c r="BI1692" s="27" t="s">
        <v>65</v>
      </c>
      <c r="BJ1692" s="25">
        <v>35</v>
      </c>
      <c r="BU1692" s="25" t="e">
        <f>#REF!</f>
        <v>#REF!</v>
      </c>
      <c r="BV1692" s="4" t="s">
        <v>1839</v>
      </c>
    </row>
    <row r="1693" spans="1:74" ht="14.4" x14ac:dyDescent="0.3">
      <c r="A1693" s="28"/>
      <c r="D1693" s="29" t="s">
        <v>232</v>
      </c>
      <c r="E1693" s="29" t="s">
        <v>52</v>
      </c>
      <c r="G1693" s="30">
        <v>24</v>
      </c>
      <c r="H1693" s="63"/>
      <c r="N1693" s="31"/>
    </row>
    <row r="1694" spans="1:74" ht="14.4" x14ac:dyDescent="0.3">
      <c r="A1694" s="2" t="s">
        <v>1840</v>
      </c>
      <c r="B1694" s="3" t="s">
        <v>1699</v>
      </c>
      <c r="C1694" s="3" t="s">
        <v>1841</v>
      </c>
      <c r="D1694" s="112" t="s">
        <v>1842</v>
      </c>
      <c r="E1694" s="109"/>
      <c r="F1694" s="3" t="s">
        <v>860</v>
      </c>
      <c r="G1694" s="25">
        <v>1</v>
      </c>
      <c r="H1694" s="62"/>
      <c r="I1694" s="25">
        <f>ROUND(G1694*AM1694,2)</f>
        <v>0</v>
      </c>
      <c r="J1694" s="25">
        <f>ROUND(G1694*AN1694,2)</f>
        <v>0</v>
      </c>
      <c r="K1694" s="25">
        <f>ROUND(G1694*H1694,2)</f>
        <v>0</v>
      </c>
      <c r="L1694" s="25">
        <v>1.0000000000000001E-5</v>
      </c>
      <c r="M1694" s="25">
        <f>G1694*L1694</f>
        <v>1.0000000000000001E-5</v>
      </c>
      <c r="N1694" s="102"/>
      <c r="X1694" s="25">
        <f>ROUND(IF(AO1694="5",BH1694,0),2)</f>
        <v>0</v>
      </c>
      <c r="Z1694" s="25">
        <f>ROUND(IF(AO1694="1",BF1694,0),2)</f>
        <v>0</v>
      </c>
      <c r="AA1694" s="25">
        <f>ROUND(IF(AO1694="1",BG1694,0),2)</f>
        <v>0</v>
      </c>
      <c r="AB1694" s="25">
        <f>ROUND(IF(AO1694="7",BF1694,0),2)</f>
        <v>0</v>
      </c>
      <c r="AC1694" s="25">
        <f>ROUND(IF(AO1694="7",BG1694,0),2)</f>
        <v>0</v>
      </c>
      <c r="AD1694" s="25">
        <f>ROUND(IF(AO1694="2",BF1694,0),2)</f>
        <v>0</v>
      </c>
      <c r="AE1694" s="25">
        <f>ROUND(IF(AO1694="2",BG1694,0),2)</f>
        <v>0</v>
      </c>
      <c r="AF1694" s="25">
        <f>ROUND(IF(AO1694="0",BH1694,0),2)</f>
        <v>0</v>
      </c>
      <c r="AG1694" s="10" t="s">
        <v>1699</v>
      </c>
      <c r="AH1694" s="25">
        <f>IF(AL1694=0,K1694,0)</f>
        <v>0</v>
      </c>
      <c r="AI1694" s="25">
        <f>IF(AL1694=12,K1694,0)</f>
        <v>0</v>
      </c>
      <c r="AJ1694" s="25">
        <f>IF(AL1694=21,K1694,0)</f>
        <v>0</v>
      </c>
      <c r="AL1694" s="25">
        <v>21</v>
      </c>
      <c r="AM1694" s="25">
        <f>H1694*0.049212941</f>
        <v>0</v>
      </c>
      <c r="AN1694" s="25">
        <f>H1694*(1-0.049212941)</f>
        <v>0</v>
      </c>
      <c r="AO1694" s="27" t="s">
        <v>57</v>
      </c>
      <c r="AT1694" s="25">
        <f>ROUND(AU1694+AV1694,2)</f>
        <v>0</v>
      </c>
      <c r="AU1694" s="25">
        <f>ROUND(G1694*AM1694,2)</f>
        <v>0</v>
      </c>
      <c r="AV1694" s="25">
        <f>ROUND(G1694*AN1694,2)</f>
        <v>0</v>
      </c>
      <c r="AW1694" s="27" t="s">
        <v>1835</v>
      </c>
      <c r="AX1694" s="27" t="s">
        <v>1836</v>
      </c>
      <c r="AY1694" s="10" t="s">
        <v>1707</v>
      </c>
      <c r="BA1694" s="25">
        <f>AU1694+AV1694</f>
        <v>0</v>
      </c>
      <c r="BB1694" s="25">
        <f>H1694/(100-BC1694)*100</f>
        <v>0</v>
      </c>
      <c r="BC1694" s="25">
        <v>0</v>
      </c>
      <c r="BD1694" s="25">
        <f>M1694</f>
        <v>1.0000000000000001E-5</v>
      </c>
      <c r="BF1694" s="25">
        <f>G1694*AM1694</f>
        <v>0</v>
      </c>
      <c r="BG1694" s="25">
        <f>G1694*AN1694</f>
        <v>0</v>
      </c>
      <c r="BH1694" s="25">
        <f>G1694*H1694</f>
        <v>0</v>
      </c>
      <c r="BI1694" s="27" t="s">
        <v>65</v>
      </c>
      <c r="BJ1694" s="25">
        <v>35</v>
      </c>
      <c r="BU1694" s="25" t="e">
        <f>#REF!</f>
        <v>#REF!</v>
      </c>
      <c r="BV1694" s="4" t="s">
        <v>1842</v>
      </c>
    </row>
    <row r="1695" spans="1:74" ht="14.4" x14ac:dyDescent="0.3">
      <c r="A1695" s="2" t="s">
        <v>1843</v>
      </c>
      <c r="B1695" s="3" t="s">
        <v>1699</v>
      </c>
      <c r="C1695" s="3" t="s">
        <v>1844</v>
      </c>
      <c r="D1695" s="112" t="s">
        <v>1845</v>
      </c>
      <c r="E1695" s="109"/>
      <c r="F1695" s="3" t="s">
        <v>122</v>
      </c>
      <c r="G1695" s="25">
        <v>2</v>
      </c>
      <c r="H1695" s="62"/>
      <c r="I1695" s="25">
        <f>ROUND(G1695*AM1695,2)</f>
        <v>0</v>
      </c>
      <c r="J1695" s="25">
        <f>ROUND(G1695*AN1695,2)</f>
        <v>0</v>
      </c>
      <c r="K1695" s="25">
        <f>ROUND(G1695*H1695,2)</f>
        <v>0</v>
      </c>
      <c r="L1695" s="25">
        <v>0</v>
      </c>
      <c r="M1695" s="25">
        <f>G1695*L1695</f>
        <v>0</v>
      </c>
      <c r="N1695" s="26"/>
      <c r="X1695" s="25">
        <f>ROUND(IF(AO1695="5",BH1695,0),2)</f>
        <v>0</v>
      </c>
      <c r="Z1695" s="25">
        <f>ROUND(IF(AO1695="1",BF1695,0),2)</f>
        <v>0</v>
      </c>
      <c r="AA1695" s="25">
        <f>ROUND(IF(AO1695="1",BG1695,0),2)</f>
        <v>0</v>
      </c>
      <c r="AB1695" s="25">
        <f>ROUND(IF(AO1695="7",BF1695,0),2)</f>
        <v>0</v>
      </c>
      <c r="AC1695" s="25">
        <f>ROUND(IF(AO1695="7",BG1695,0),2)</f>
        <v>0</v>
      </c>
      <c r="AD1695" s="25">
        <f>ROUND(IF(AO1695="2",BF1695,0),2)</f>
        <v>0</v>
      </c>
      <c r="AE1695" s="25">
        <f>ROUND(IF(AO1695="2",BG1695,0),2)</f>
        <v>0</v>
      </c>
      <c r="AF1695" s="25">
        <f>ROUND(IF(AO1695="0",BH1695,0),2)</f>
        <v>0</v>
      </c>
      <c r="AG1695" s="10" t="s">
        <v>1699</v>
      </c>
      <c r="AH1695" s="25">
        <f>IF(AL1695=0,K1695,0)</f>
        <v>0</v>
      </c>
      <c r="AI1695" s="25">
        <f>IF(AL1695=12,K1695,0)</f>
        <v>0</v>
      </c>
      <c r="AJ1695" s="25">
        <f>IF(AL1695=21,K1695,0)</f>
        <v>0</v>
      </c>
      <c r="AL1695" s="25">
        <v>21</v>
      </c>
      <c r="AM1695" s="25">
        <f>H1695*0</f>
        <v>0</v>
      </c>
      <c r="AN1695" s="25">
        <f>H1695*(1-0)</f>
        <v>0</v>
      </c>
      <c r="AO1695" s="27" t="s">
        <v>57</v>
      </c>
      <c r="AT1695" s="25">
        <f>ROUND(AU1695+AV1695,2)</f>
        <v>0</v>
      </c>
      <c r="AU1695" s="25">
        <f>ROUND(G1695*AM1695,2)</f>
        <v>0</v>
      </c>
      <c r="AV1695" s="25">
        <f>ROUND(G1695*AN1695,2)</f>
        <v>0</v>
      </c>
      <c r="AW1695" s="27" t="s">
        <v>1835</v>
      </c>
      <c r="AX1695" s="27" t="s">
        <v>1836</v>
      </c>
      <c r="AY1695" s="10" t="s">
        <v>1707</v>
      </c>
      <c r="BA1695" s="25">
        <f>AU1695+AV1695</f>
        <v>0</v>
      </c>
      <c r="BB1695" s="25">
        <f>H1695/(100-BC1695)*100</f>
        <v>0</v>
      </c>
      <c r="BC1695" s="25">
        <v>0</v>
      </c>
      <c r="BD1695" s="25">
        <f>M1695</f>
        <v>0</v>
      </c>
      <c r="BF1695" s="25">
        <f>G1695*AM1695</f>
        <v>0</v>
      </c>
      <c r="BG1695" s="25">
        <f>G1695*AN1695</f>
        <v>0</v>
      </c>
      <c r="BH1695" s="25">
        <f>G1695*H1695</f>
        <v>0</v>
      </c>
      <c r="BI1695" s="27" t="s">
        <v>65</v>
      </c>
      <c r="BJ1695" s="25">
        <v>35</v>
      </c>
      <c r="BU1695" s="25" t="e">
        <f>#REF!</f>
        <v>#REF!</v>
      </c>
      <c r="BV1695" s="4" t="s">
        <v>1845</v>
      </c>
    </row>
    <row r="1696" spans="1:74" ht="26.4" x14ac:dyDescent="0.3">
      <c r="A1696" s="2" t="s">
        <v>1846</v>
      </c>
      <c r="B1696" s="3" t="s">
        <v>1699</v>
      </c>
      <c r="C1696" s="3" t="s">
        <v>1847</v>
      </c>
      <c r="D1696" s="112" t="s">
        <v>1848</v>
      </c>
      <c r="E1696" s="109"/>
      <c r="F1696" s="3" t="s">
        <v>860</v>
      </c>
      <c r="G1696" s="25">
        <v>2</v>
      </c>
      <c r="H1696" s="62"/>
      <c r="I1696" s="25">
        <f>ROUND(G1696*AM1696,2)</f>
        <v>0</v>
      </c>
      <c r="J1696" s="25">
        <f>ROUND(G1696*AN1696,2)</f>
        <v>0</v>
      </c>
      <c r="K1696" s="25">
        <f>ROUND(G1696*H1696,2)</f>
        <v>0</v>
      </c>
      <c r="L1696" s="25">
        <v>3.46E-3</v>
      </c>
      <c r="M1696" s="25">
        <f>G1696*L1696</f>
        <v>6.9199999999999999E-3</v>
      </c>
      <c r="N1696" s="102"/>
      <c r="X1696" s="25">
        <f>ROUND(IF(AO1696="5",BH1696,0),2)</f>
        <v>0</v>
      </c>
      <c r="Z1696" s="25">
        <f>ROUND(IF(AO1696="1",BF1696,0),2)</f>
        <v>0</v>
      </c>
      <c r="AA1696" s="25">
        <f>ROUND(IF(AO1696="1",BG1696,0),2)</f>
        <v>0</v>
      </c>
      <c r="AB1696" s="25">
        <f>ROUND(IF(AO1696="7",BF1696,0),2)</f>
        <v>0</v>
      </c>
      <c r="AC1696" s="25">
        <f>ROUND(IF(AO1696="7",BG1696,0),2)</f>
        <v>0</v>
      </c>
      <c r="AD1696" s="25">
        <f>ROUND(IF(AO1696="2",BF1696,0),2)</f>
        <v>0</v>
      </c>
      <c r="AE1696" s="25">
        <f>ROUND(IF(AO1696="2",BG1696,0),2)</f>
        <v>0</v>
      </c>
      <c r="AF1696" s="25">
        <f>ROUND(IF(AO1696="0",BH1696,0),2)</f>
        <v>0</v>
      </c>
      <c r="AG1696" s="10" t="s">
        <v>1699</v>
      </c>
      <c r="AH1696" s="25">
        <f>IF(AL1696=0,K1696,0)</f>
        <v>0</v>
      </c>
      <c r="AI1696" s="25">
        <f>IF(AL1696=12,K1696,0)</f>
        <v>0</v>
      </c>
      <c r="AJ1696" s="25">
        <f>IF(AL1696=21,K1696,0)</f>
        <v>0</v>
      </c>
      <c r="AL1696" s="25">
        <v>21</v>
      </c>
      <c r="AM1696" s="25">
        <f>H1696*1</f>
        <v>0</v>
      </c>
      <c r="AN1696" s="25">
        <f>H1696*(1-1)</f>
        <v>0</v>
      </c>
      <c r="AO1696" s="27" t="s">
        <v>57</v>
      </c>
      <c r="AT1696" s="25">
        <f>ROUND(AU1696+AV1696,2)</f>
        <v>0</v>
      </c>
      <c r="AU1696" s="25">
        <f>ROUND(G1696*AM1696,2)</f>
        <v>0</v>
      </c>
      <c r="AV1696" s="25">
        <f>ROUND(G1696*AN1696,2)</f>
        <v>0</v>
      </c>
      <c r="AW1696" s="27" t="s">
        <v>1835</v>
      </c>
      <c r="AX1696" s="27" t="s">
        <v>1836</v>
      </c>
      <c r="AY1696" s="10" t="s">
        <v>1707</v>
      </c>
      <c r="BA1696" s="25">
        <f>AU1696+AV1696</f>
        <v>0</v>
      </c>
      <c r="BB1696" s="25">
        <f>H1696/(100-BC1696)*100</f>
        <v>0</v>
      </c>
      <c r="BC1696" s="25">
        <v>0</v>
      </c>
      <c r="BD1696" s="25">
        <f>M1696</f>
        <v>6.9199999999999999E-3</v>
      </c>
      <c r="BF1696" s="25">
        <f>G1696*AM1696</f>
        <v>0</v>
      </c>
      <c r="BG1696" s="25">
        <f>G1696*AN1696</f>
        <v>0</v>
      </c>
      <c r="BH1696" s="25">
        <f>G1696*H1696</f>
        <v>0</v>
      </c>
      <c r="BI1696" s="27" t="s">
        <v>65</v>
      </c>
      <c r="BJ1696" s="25">
        <v>35</v>
      </c>
      <c r="BU1696" s="25" t="e">
        <f>#REF!</f>
        <v>#REF!</v>
      </c>
      <c r="BV1696" s="4" t="s">
        <v>1848</v>
      </c>
    </row>
    <row r="1697" spans="1:74" ht="14.4" x14ac:dyDescent="0.3">
      <c r="A1697" s="28"/>
      <c r="D1697" s="29" t="s">
        <v>81</v>
      </c>
      <c r="E1697" s="29" t="s">
        <v>52</v>
      </c>
      <c r="G1697" s="30">
        <v>2</v>
      </c>
      <c r="H1697" s="63"/>
      <c r="N1697" s="31"/>
    </row>
    <row r="1698" spans="1:74" ht="14.4" x14ac:dyDescent="0.3">
      <c r="A1698" s="2" t="s">
        <v>1849</v>
      </c>
      <c r="B1698" s="3" t="s">
        <v>1699</v>
      </c>
      <c r="C1698" s="3" t="s">
        <v>1709</v>
      </c>
      <c r="D1698" s="112" t="s">
        <v>1710</v>
      </c>
      <c r="E1698" s="109"/>
      <c r="F1698" s="3" t="s">
        <v>115</v>
      </c>
      <c r="G1698" s="25">
        <v>6</v>
      </c>
      <c r="H1698" s="62"/>
      <c r="I1698" s="25">
        <f>ROUND(G1698*AM1698,2)</f>
        <v>0</v>
      </c>
      <c r="J1698" s="25">
        <f>ROUND(G1698*AN1698,2)</f>
        <v>0</v>
      </c>
      <c r="K1698" s="25">
        <f>ROUND(G1698*H1698,2)</f>
        <v>0</v>
      </c>
      <c r="L1698" s="25">
        <v>0</v>
      </c>
      <c r="M1698" s="25">
        <f>G1698*L1698</f>
        <v>0</v>
      </c>
      <c r="N1698" s="26"/>
      <c r="X1698" s="25">
        <f>ROUND(IF(AO1698="5",BH1698,0),2)</f>
        <v>0</v>
      </c>
      <c r="Z1698" s="25">
        <f>ROUND(IF(AO1698="1",BF1698,0),2)</f>
        <v>0</v>
      </c>
      <c r="AA1698" s="25">
        <f>ROUND(IF(AO1698="1",BG1698,0),2)</f>
        <v>0</v>
      </c>
      <c r="AB1698" s="25">
        <f>ROUND(IF(AO1698="7",BF1698,0),2)</f>
        <v>0</v>
      </c>
      <c r="AC1698" s="25">
        <f>ROUND(IF(AO1698="7",BG1698,0),2)</f>
        <v>0</v>
      </c>
      <c r="AD1698" s="25">
        <f>ROUND(IF(AO1698="2",BF1698,0),2)</f>
        <v>0</v>
      </c>
      <c r="AE1698" s="25">
        <f>ROUND(IF(AO1698="2",BG1698,0),2)</f>
        <v>0</v>
      </c>
      <c r="AF1698" s="25">
        <f>ROUND(IF(AO1698="0",BH1698,0),2)</f>
        <v>0</v>
      </c>
      <c r="AG1698" s="10" t="s">
        <v>1699</v>
      </c>
      <c r="AH1698" s="25">
        <f>IF(AL1698=0,K1698,0)</f>
        <v>0</v>
      </c>
      <c r="AI1698" s="25">
        <f>IF(AL1698=12,K1698,0)</f>
        <v>0</v>
      </c>
      <c r="AJ1698" s="25">
        <f>IF(AL1698=21,K1698,0)</f>
        <v>0</v>
      </c>
      <c r="AL1698" s="25">
        <v>21</v>
      </c>
      <c r="AM1698" s="25">
        <f>H1698*0</f>
        <v>0</v>
      </c>
      <c r="AN1698" s="25">
        <f>H1698*(1-0)</f>
        <v>0</v>
      </c>
      <c r="AO1698" s="27" t="s">
        <v>57</v>
      </c>
      <c r="AT1698" s="25">
        <f>ROUND(AU1698+AV1698,2)</f>
        <v>0</v>
      </c>
      <c r="AU1698" s="25">
        <f>ROUND(G1698*AM1698,2)</f>
        <v>0</v>
      </c>
      <c r="AV1698" s="25">
        <f>ROUND(G1698*AN1698,2)</f>
        <v>0</v>
      </c>
      <c r="AW1698" s="27" t="s">
        <v>1835</v>
      </c>
      <c r="AX1698" s="27" t="s">
        <v>1836</v>
      </c>
      <c r="AY1698" s="10" t="s">
        <v>1707</v>
      </c>
      <c r="BA1698" s="25">
        <f>AU1698+AV1698</f>
        <v>0</v>
      </c>
      <c r="BB1698" s="25">
        <f>H1698/(100-BC1698)*100</f>
        <v>0</v>
      </c>
      <c r="BC1698" s="25">
        <v>0</v>
      </c>
      <c r="BD1698" s="25">
        <f>M1698</f>
        <v>0</v>
      </c>
      <c r="BF1698" s="25">
        <f>G1698*AM1698</f>
        <v>0</v>
      </c>
      <c r="BG1698" s="25">
        <f>G1698*AN1698</f>
        <v>0</v>
      </c>
      <c r="BH1698" s="25">
        <f>G1698*H1698</f>
        <v>0</v>
      </c>
      <c r="BI1698" s="27" t="s">
        <v>65</v>
      </c>
      <c r="BJ1698" s="25">
        <v>35</v>
      </c>
      <c r="BU1698" s="25" t="e">
        <f>#REF!</f>
        <v>#REF!</v>
      </c>
      <c r="BV1698" s="4" t="s">
        <v>1710</v>
      </c>
    </row>
    <row r="1699" spans="1:74" ht="14.4" x14ac:dyDescent="0.3">
      <c r="A1699" s="2" t="s">
        <v>1850</v>
      </c>
      <c r="B1699" s="3" t="s">
        <v>1699</v>
      </c>
      <c r="C1699" s="3" t="s">
        <v>1712</v>
      </c>
      <c r="D1699" s="112" t="s">
        <v>1713</v>
      </c>
      <c r="E1699" s="109"/>
      <c r="F1699" s="3" t="s">
        <v>115</v>
      </c>
      <c r="G1699" s="25">
        <v>24</v>
      </c>
      <c r="H1699" s="62"/>
      <c r="I1699" s="25">
        <f>ROUND(G1699*AM1699,2)</f>
        <v>0</v>
      </c>
      <c r="J1699" s="25">
        <f>ROUND(G1699*AN1699,2)</f>
        <v>0</v>
      </c>
      <c r="K1699" s="25">
        <f>ROUND(G1699*H1699,2)</f>
        <v>0</v>
      </c>
      <c r="L1699" s="25">
        <v>0</v>
      </c>
      <c r="M1699" s="25">
        <f>G1699*L1699</f>
        <v>0</v>
      </c>
      <c r="N1699" s="26"/>
      <c r="X1699" s="25">
        <f>ROUND(IF(AO1699="5",BH1699,0),2)</f>
        <v>0</v>
      </c>
      <c r="Z1699" s="25">
        <f>ROUND(IF(AO1699="1",BF1699,0),2)</f>
        <v>0</v>
      </c>
      <c r="AA1699" s="25">
        <f>ROUND(IF(AO1699="1",BG1699,0),2)</f>
        <v>0</v>
      </c>
      <c r="AB1699" s="25">
        <f>ROUND(IF(AO1699="7",BF1699,0),2)</f>
        <v>0</v>
      </c>
      <c r="AC1699" s="25">
        <f>ROUND(IF(AO1699="7",BG1699,0),2)</f>
        <v>0</v>
      </c>
      <c r="AD1699" s="25">
        <f>ROUND(IF(AO1699="2",BF1699,0),2)</f>
        <v>0</v>
      </c>
      <c r="AE1699" s="25">
        <f>ROUND(IF(AO1699="2",BG1699,0),2)</f>
        <v>0</v>
      </c>
      <c r="AF1699" s="25">
        <f>ROUND(IF(AO1699="0",BH1699,0),2)</f>
        <v>0</v>
      </c>
      <c r="AG1699" s="10" t="s">
        <v>1699</v>
      </c>
      <c r="AH1699" s="25">
        <f>IF(AL1699=0,K1699,0)</f>
        <v>0</v>
      </c>
      <c r="AI1699" s="25">
        <f>IF(AL1699=12,K1699,0)</f>
        <v>0</v>
      </c>
      <c r="AJ1699" s="25">
        <f>IF(AL1699=21,K1699,0)</f>
        <v>0</v>
      </c>
      <c r="AL1699" s="25">
        <v>21</v>
      </c>
      <c r="AM1699" s="25">
        <f>H1699*0</f>
        <v>0</v>
      </c>
      <c r="AN1699" s="25">
        <f>H1699*(1-0)</f>
        <v>0</v>
      </c>
      <c r="AO1699" s="27" t="s">
        <v>57</v>
      </c>
      <c r="AT1699" s="25">
        <f>ROUND(AU1699+AV1699,2)</f>
        <v>0</v>
      </c>
      <c r="AU1699" s="25">
        <f>ROUND(G1699*AM1699,2)</f>
        <v>0</v>
      </c>
      <c r="AV1699" s="25">
        <f>ROUND(G1699*AN1699,2)</f>
        <v>0</v>
      </c>
      <c r="AW1699" s="27" t="s">
        <v>1835</v>
      </c>
      <c r="AX1699" s="27" t="s">
        <v>1836</v>
      </c>
      <c r="AY1699" s="10" t="s">
        <v>1707</v>
      </c>
      <c r="BA1699" s="25">
        <f>AU1699+AV1699</f>
        <v>0</v>
      </c>
      <c r="BB1699" s="25">
        <f>H1699/(100-BC1699)*100</f>
        <v>0</v>
      </c>
      <c r="BC1699" s="25">
        <v>0</v>
      </c>
      <c r="BD1699" s="25">
        <f>M1699</f>
        <v>0</v>
      </c>
      <c r="BF1699" s="25">
        <f>G1699*AM1699</f>
        <v>0</v>
      </c>
      <c r="BG1699" s="25">
        <f>G1699*AN1699</f>
        <v>0</v>
      </c>
      <c r="BH1699" s="25">
        <f>G1699*H1699</f>
        <v>0</v>
      </c>
      <c r="BI1699" s="27" t="s">
        <v>65</v>
      </c>
      <c r="BJ1699" s="25">
        <v>35</v>
      </c>
      <c r="BU1699" s="25" t="e">
        <f>#REF!</f>
        <v>#REF!</v>
      </c>
      <c r="BV1699" s="4" t="s">
        <v>1713</v>
      </c>
    </row>
    <row r="1700" spans="1:74" ht="14.4" x14ac:dyDescent="0.3">
      <c r="A1700" s="2" t="s">
        <v>1851</v>
      </c>
      <c r="B1700" s="3" t="s">
        <v>1699</v>
      </c>
      <c r="C1700" s="3" t="s">
        <v>1852</v>
      </c>
      <c r="D1700" s="112" t="s">
        <v>1853</v>
      </c>
      <c r="E1700" s="109"/>
      <c r="F1700" s="3" t="s">
        <v>115</v>
      </c>
      <c r="G1700" s="25">
        <v>6</v>
      </c>
      <c r="H1700" s="62"/>
      <c r="I1700" s="25">
        <f>ROUND(G1700*AM1700,2)</f>
        <v>0</v>
      </c>
      <c r="J1700" s="25">
        <f>ROUND(G1700*AN1700,2)</f>
        <v>0</v>
      </c>
      <c r="K1700" s="25">
        <f>ROUND(G1700*H1700,2)</f>
        <v>0</v>
      </c>
      <c r="L1700" s="25">
        <v>6.9999999999999994E-5</v>
      </c>
      <c r="M1700" s="25">
        <f>G1700*L1700</f>
        <v>4.1999999999999996E-4</v>
      </c>
      <c r="N1700" s="26"/>
      <c r="X1700" s="25">
        <f>ROUND(IF(AO1700="5",BH1700,0),2)</f>
        <v>0</v>
      </c>
      <c r="Z1700" s="25">
        <f>ROUND(IF(AO1700="1",BF1700,0),2)</f>
        <v>0</v>
      </c>
      <c r="AA1700" s="25">
        <f>ROUND(IF(AO1700="1",BG1700,0),2)</f>
        <v>0</v>
      </c>
      <c r="AB1700" s="25">
        <f>ROUND(IF(AO1700="7",BF1700,0),2)</f>
        <v>0</v>
      </c>
      <c r="AC1700" s="25">
        <f>ROUND(IF(AO1700="7",BG1700,0),2)</f>
        <v>0</v>
      </c>
      <c r="AD1700" s="25">
        <f>ROUND(IF(AO1700="2",BF1700,0),2)</f>
        <v>0</v>
      </c>
      <c r="AE1700" s="25">
        <f>ROUND(IF(AO1700="2",BG1700,0),2)</f>
        <v>0</v>
      </c>
      <c r="AF1700" s="25">
        <f>ROUND(IF(AO1700="0",BH1700,0),2)</f>
        <v>0</v>
      </c>
      <c r="AG1700" s="10" t="s">
        <v>1699</v>
      </c>
      <c r="AH1700" s="25">
        <f>IF(AL1700=0,K1700,0)</f>
        <v>0</v>
      </c>
      <c r="AI1700" s="25">
        <f>IF(AL1700=12,K1700,0)</f>
        <v>0</v>
      </c>
      <c r="AJ1700" s="25">
        <f>IF(AL1700=21,K1700,0)</f>
        <v>0</v>
      </c>
      <c r="AL1700" s="25">
        <v>21</v>
      </c>
      <c r="AM1700" s="25">
        <f>H1700*0.252702703</f>
        <v>0</v>
      </c>
      <c r="AN1700" s="25">
        <f>H1700*(1-0.252702703)</f>
        <v>0</v>
      </c>
      <c r="AO1700" s="27" t="s">
        <v>57</v>
      </c>
      <c r="AT1700" s="25">
        <f>ROUND(AU1700+AV1700,2)</f>
        <v>0</v>
      </c>
      <c r="AU1700" s="25">
        <f>ROUND(G1700*AM1700,2)</f>
        <v>0</v>
      </c>
      <c r="AV1700" s="25">
        <f>ROUND(G1700*AN1700,2)</f>
        <v>0</v>
      </c>
      <c r="AW1700" s="27" t="s">
        <v>1835</v>
      </c>
      <c r="AX1700" s="27" t="s">
        <v>1836</v>
      </c>
      <c r="AY1700" s="10" t="s">
        <v>1707</v>
      </c>
      <c r="BA1700" s="25">
        <f>AU1700+AV1700</f>
        <v>0</v>
      </c>
      <c r="BB1700" s="25">
        <f>H1700/(100-BC1700)*100</f>
        <v>0</v>
      </c>
      <c r="BC1700" s="25">
        <v>0</v>
      </c>
      <c r="BD1700" s="25">
        <f>M1700</f>
        <v>4.1999999999999996E-4</v>
      </c>
      <c r="BF1700" s="25">
        <f>G1700*AM1700</f>
        <v>0</v>
      </c>
      <c r="BG1700" s="25">
        <f>G1700*AN1700</f>
        <v>0</v>
      </c>
      <c r="BH1700" s="25">
        <f>G1700*H1700</f>
        <v>0</v>
      </c>
      <c r="BI1700" s="27" t="s">
        <v>65</v>
      </c>
      <c r="BJ1700" s="25">
        <v>35</v>
      </c>
      <c r="BU1700" s="25" t="e">
        <f>#REF!</f>
        <v>#REF!</v>
      </c>
      <c r="BV1700" s="4" t="s">
        <v>1853</v>
      </c>
    </row>
    <row r="1701" spans="1:74" ht="14.4" x14ac:dyDescent="0.3">
      <c r="A1701" s="28"/>
      <c r="D1701" s="29" t="s">
        <v>106</v>
      </c>
      <c r="E1701" s="29" t="s">
        <v>52</v>
      </c>
      <c r="G1701" s="30">
        <v>6</v>
      </c>
      <c r="H1701" s="63"/>
      <c r="N1701" s="31"/>
    </row>
    <row r="1702" spans="1:74" ht="14.4" x14ac:dyDescent="0.3">
      <c r="A1702" s="2" t="s">
        <v>1854</v>
      </c>
      <c r="B1702" s="3" t="s">
        <v>1699</v>
      </c>
      <c r="C1702" s="3" t="s">
        <v>1855</v>
      </c>
      <c r="D1702" s="112" t="s">
        <v>1856</v>
      </c>
      <c r="E1702" s="109"/>
      <c r="F1702" s="3" t="s">
        <v>115</v>
      </c>
      <c r="G1702" s="25">
        <v>24</v>
      </c>
      <c r="H1702" s="62"/>
      <c r="I1702" s="25">
        <f>ROUND(G1702*AM1702,2)</f>
        <v>0</v>
      </c>
      <c r="J1702" s="25">
        <f>ROUND(G1702*AN1702,2)</f>
        <v>0</v>
      </c>
      <c r="K1702" s="25">
        <f>ROUND(G1702*H1702,2)</f>
        <v>0</v>
      </c>
      <c r="L1702" s="25">
        <v>1.2999999999999999E-4</v>
      </c>
      <c r="M1702" s="25">
        <f>G1702*L1702</f>
        <v>3.1199999999999995E-3</v>
      </c>
      <c r="N1702" s="26"/>
      <c r="X1702" s="25">
        <f>ROUND(IF(AO1702="5",BH1702,0),2)</f>
        <v>0</v>
      </c>
      <c r="Z1702" s="25">
        <f>ROUND(IF(AO1702="1",BF1702,0),2)</f>
        <v>0</v>
      </c>
      <c r="AA1702" s="25">
        <f>ROUND(IF(AO1702="1",BG1702,0),2)</f>
        <v>0</v>
      </c>
      <c r="AB1702" s="25">
        <f>ROUND(IF(AO1702="7",BF1702,0),2)</f>
        <v>0</v>
      </c>
      <c r="AC1702" s="25">
        <f>ROUND(IF(AO1702="7",BG1702,0),2)</f>
        <v>0</v>
      </c>
      <c r="AD1702" s="25">
        <f>ROUND(IF(AO1702="2",BF1702,0),2)</f>
        <v>0</v>
      </c>
      <c r="AE1702" s="25">
        <f>ROUND(IF(AO1702="2",BG1702,0),2)</f>
        <v>0</v>
      </c>
      <c r="AF1702" s="25">
        <f>ROUND(IF(AO1702="0",BH1702,0),2)</f>
        <v>0</v>
      </c>
      <c r="AG1702" s="10" t="s">
        <v>1699</v>
      </c>
      <c r="AH1702" s="25">
        <f>IF(AL1702=0,K1702,0)</f>
        <v>0</v>
      </c>
      <c r="AI1702" s="25">
        <f>IF(AL1702=12,K1702,0)</f>
        <v>0</v>
      </c>
      <c r="AJ1702" s="25">
        <f>IF(AL1702=21,K1702,0)</f>
        <v>0</v>
      </c>
      <c r="AL1702" s="25">
        <v>21</v>
      </c>
      <c r="AM1702" s="25">
        <f>H1702*0.259328358</f>
        <v>0</v>
      </c>
      <c r="AN1702" s="25">
        <f>H1702*(1-0.259328358)</f>
        <v>0</v>
      </c>
      <c r="AO1702" s="27" t="s">
        <v>57</v>
      </c>
      <c r="AT1702" s="25">
        <f>ROUND(AU1702+AV1702,2)</f>
        <v>0</v>
      </c>
      <c r="AU1702" s="25">
        <f>ROUND(G1702*AM1702,2)</f>
        <v>0</v>
      </c>
      <c r="AV1702" s="25">
        <f>ROUND(G1702*AN1702,2)</f>
        <v>0</v>
      </c>
      <c r="AW1702" s="27" t="s">
        <v>1835</v>
      </c>
      <c r="AX1702" s="27" t="s">
        <v>1836</v>
      </c>
      <c r="AY1702" s="10" t="s">
        <v>1707</v>
      </c>
      <c r="BA1702" s="25">
        <f>AU1702+AV1702</f>
        <v>0</v>
      </c>
      <c r="BB1702" s="25">
        <f>H1702/(100-BC1702)*100</f>
        <v>0</v>
      </c>
      <c r="BC1702" s="25">
        <v>0</v>
      </c>
      <c r="BD1702" s="25">
        <f>M1702</f>
        <v>3.1199999999999995E-3</v>
      </c>
      <c r="BF1702" s="25">
        <f>G1702*AM1702</f>
        <v>0</v>
      </c>
      <c r="BG1702" s="25">
        <f>G1702*AN1702</f>
        <v>0</v>
      </c>
      <c r="BH1702" s="25">
        <f>G1702*H1702</f>
        <v>0</v>
      </c>
      <c r="BI1702" s="27" t="s">
        <v>65</v>
      </c>
      <c r="BJ1702" s="25">
        <v>35</v>
      </c>
      <c r="BU1702" s="25" t="e">
        <f>#REF!</f>
        <v>#REF!</v>
      </c>
      <c r="BV1702" s="4" t="s">
        <v>1856</v>
      </c>
    </row>
    <row r="1703" spans="1:74" ht="14.4" x14ac:dyDescent="0.3">
      <c r="A1703" s="28"/>
      <c r="D1703" s="29" t="s">
        <v>232</v>
      </c>
      <c r="E1703" s="29" t="s">
        <v>52</v>
      </c>
      <c r="G1703" s="30">
        <v>24</v>
      </c>
      <c r="H1703" s="63"/>
      <c r="N1703" s="31"/>
    </row>
    <row r="1704" spans="1:74" ht="14.4" x14ac:dyDescent="0.3">
      <c r="A1704" s="2" t="s">
        <v>1857</v>
      </c>
      <c r="B1704" s="3" t="s">
        <v>1699</v>
      </c>
      <c r="C1704" s="3" t="s">
        <v>1858</v>
      </c>
      <c r="D1704" s="112" t="s">
        <v>1859</v>
      </c>
      <c r="E1704" s="109"/>
      <c r="F1704" s="3" t="s">
        <v>115</v>
      </c>
      <c r="G1704" s="25">
        <v>22</v>
      </c>
      <c r="H1704" s="62"/>
      <c r="I1704" s="25">
        <f t="shared" ref="I1704:I1715" si="0">ROUND(G1704*AM1704,2)</f>
        <v>0</v>
      </c>
      <c r="J1704" s="25">
        <f t="shared" ref="J1704:J1715" si="1">ROUND(G1704*AN1704,2)</f>
        <v>0</v>
      </c>
      <c r="K1704" s="25">
        <f t="shared" ref="K1704:K1715" si="2">ROUND(G1704*H1704,2)</f>
        <v>0</v>
      </c>
      <c r="L1704" s="25">
        <v>0</v>
      </c>
      <c r="M1704" s="25">
        <f t="shared" ref="M1704:M1715" si="3">G1704*L1704</f>
        <v>0</v>
      </c>
      <c r="N1704" s="26"/>
      <c r="X1704" s="25">
        <f t="shared" ref="X1704:X1715" si="4">ROUND(IF(AO1704="5",BH1704,0),2)</f>
        <v>0</v>
      </c>
      <c r="Z1704" s="25">
        <f t="shared" ref="Z1704:Z1715" si="5">ROUND(IF(AO1704="1",BF1704,0),2)</f>
        <v>0</v>
      </c>
      <c r="AA1704" s="25">
        <f t="shared" ref="AA1704:AA1715" si="6">ROUND(IF(AO1704="1",BG1704,0),2)</f>
        <v>0</v>
      </c>
      <c r="AB1704" s="25">
        <f t="shared" ref="AB1704:AB1715" si="7">ROUND(IF(AO1704="7",BF1704,0),2)</f>
        <v>0</v>
      </c>
      <c r="AC1704" s="25">
        <f t="shared" ref="AC1704:AC1715" si="8">ROUND(IF(AO1704="7",BG1704,0),2)</f>
        <v>0</v>
      </c>
      <c r="AD1704" s="25">
        <f t="shared" ref="AD1704:AD1715" si="9">ROUND(IF(AO1704="2",BF1704,0),2)</f>
        <v>0</v>
      </c>
      <c r="AE1704" s="25">
        <f t="shared" ref="AE1704:AE1715" si="10">ROUND(IF(AO1704="2",BG1704,0),2)</f>
        <v>0</v>
      </c>
      <c r="AF1704" s="25">
        <f t="shared" ref="AF1704:AF1715" si="11">ROUND(IF(AO1704="0",BH1704,0),2)</f>
        <v>0</v>
      </c>
      <c r="AG1704" s="10" t="s">
        <v>1699</v>
      </c>
      <c r="AH1704" s="25">
        <f t="shared" ref="AH1704:AH1715" si="12">IF(AL1704=0,K1704,0)</f>
        <v>0</v>
      </c>
      <c r="AI1704" s="25">
        <f t="shared" ref="AI1704:AI1715" si="13">IF(AL1704=12,K1704,0)</f>
        <v>0</v>
      </c>
      <c r="AJ1704" s="25">
        <f t="shared" ref="AJ1704:AJ1715" si="14">IF(AL1704=21,K1704,0)</f>
        <v>0</v>
      </c>
      <c r="AL1704" s="25">
        <v>21</v>
      </c>
      <c r="AM1704" s="25">
        <f>H1704*0.022137669</f>
        <v>0</v>
      </c>
      <c r="AN1704" s="25">
        <f>H1704*(1-0.022137669)</f>
        <v>0</v>
      </c>
      <c r="AO1704" s="27" t="s">
        <v>57</v>
      </c>
      <c r="AT1704" s="25">
        <f t="shared" ref="AT1704:AT1715" si="15">ROUND(AU1704+AV1704,2)</f>
        <v>0</v>
      </c>
      <c r="AU1704" s="25">
        <f t="shared" ref="AU1704:AU1715" si="16">ROUND(G1704*AM1704,2)</f>
        <v>0</v>
      </c>
      <c r="AV1704" s="25">
        <f t="shared" ref="AV1704:AV1715" si="17">ROUND(G1704*AN1704,2)</f>
        <v>0</v>
      </c>
      <c r="AW1704" s="27" t="s">
        <v>1835</v>
      </c>
      <c r="AX1704" s="27" t="s">
        <v>1836</v>
      </c>
      <c r="AY1704" s="10" t="s">
        <v>1707</v>
      </c>
      <c r="BA1704" s="25">
        <f t="shared" ref="BA1704:BA1715" si="18">AU1704+AV1704</f>
        <v>0</v>
      </c>
      <c r="BB1704" s="25">
        <f t="shared" ref="BB1704:BB1715" si="19">H1704/(100-BC1704)*100</f>
        <v>0</v>
      </c>
      <c r="BC1704" s="25">
        <v>0</v>
      </c>
      <c r="BD1704" s="25">
        <f t="shared" ref="BD1704:BD1715" si="20">M1704</f>
        <v>0</v>
      </c>
      <c r="BF1704" s="25">
        <f t="shared" ref="BF1704:BF1715" si="21">G1704*AM1704</f>
        <v>0</v>
      </c>
      <c r="BG1704" s="25">
        <f t="shared" ref="BG1704:BG1715" si="22">G1704*AN1704</f>
        <v>0</v>
      </c>
      <c r="BH1704" s="25">
        <f t="shared" ref="BH1704:BH1715" si="23">G1704*H1704</f>
        <v>0</v>
      </c>
      <c r="BI1704" s="27" t="s">
        <v>65</v>
      </c>
      <c r="BJ1704" s="25">
        <v>35</v>
      </c>
      <c r="BU1704" s="25" t="e">
        <f>#REF!</f>
        <v>#REF!</v>
      </c>
      <c r="BV1704" s="4" t="s">
        <v>1859</v>
      </c>
    </row>
    <row r="1705" spans="1:74" ht="14.4" x14ac:dyDescent="0.3">
      <c r="A1705" s="2" t="s">
        <v>1860</v>
      </c>
      <c r="B1705" s="3" t="s">
        <v>1699</v>
      </c>
      <c r="C1705" s="3" t="s">
        <v>1861</v>
      </c>
      <c r="D1705" s="112" t="s">
        <v>1862</v>
      </c>
      <c r="E1705" s="109"/>
      <c r="F1705" s="3" t="s">
        <v>122</v>
      </c>
      <c r="G1705" s="25">
        <v>2</v>
      </c>
      <c r="H1705" s="62"/>
      <c r="I1705" s="25">
        <f t="shared" si="0"/>
        <v>0</v>
      </c>
      <c r="J1705" s="25">
        <f t="shared" si="1"/>
        <v>0</v>
      </c>
      <c r="K1705" s="25">
        <f t="shared" si="2"/>
        <v>0</v>
      </c>
      <c r="L1705" s="25">
        <v>4.0000000000000003E-5</v>
      </c>
      <c r="M1705" s="25">
        <f t="shared" si="3"/>
        <v>8.0000000000000007E-5</v>
      </c>
      <c r="N1705" s="26"/>
      <c r="X1705" s="25">
        <f t="shared" si="4"/>
        <v>0</v>
      </c>
      <c r="Z1705" s="25">
        <f t="shared" si="5"/>
        <v>0</v>
      </c>
      <c r="AA1705" s="25">
        <f t="shared" si="6"/>
        <v>0</v>
      </c>
      <c r="AB1705" s="25">
        <f t="shared" si="7"/>
        <v>0</v>
      </c>
      <c r="AC1705" s="25">
        <f t="shared" si="8"/>
        <v>0</v>
      </c>
      <c r="AD1705" s="25">
        <f t="shared" si="9"/>
        <v>0</v>
      </c>
      <c r="AE1705" s="25">
        <f t="shared" si="10"/>
        <v>0</v>
      </c>
      <c r="AF1705" s="25">
        <f t="shared" si="11"/>
        <v>0</v>
      </c>
      <c r="AG1705" s="10" t="s">
        <v>1699</v>
      </c>
      <c r="AH1705" s="25">
        <f t="shared" si="12"/>
        <v>0</v>
      </c>
      <c r="AI1705" s="25">
        <f t="shared" si="13"/>
        <v>0</v>
      </c>
      <c r="AJ1705" s="25">
        <f t="shared" si="14"/>
        <v>0</v>
      </c>
      <c r="AL1705" s="25">
        <v>21</v>
      </c>
      <c r="AM1705" s="25">
        <f>H1705*0.339139785</f>
        <v>0</v>
      </c>
      <c r="AN1705" s="25">
        <f>H1705*(1-0.339139785)</f>
        <v>0</v>
      </c>
      <c r="AO1705" s="27" t="s">
        <v>57</v>
      </c>
      <c r="AT1705" s="25">
        <f t="shared" si="15"/>
        <v>0</v>
      </c>
      <c r="AU1705" s="25">
        <f t="shared" si="16"/>
        <v>0</v>
      </c>
      <c r="AV1705" s="25">
        <f t="shared" si="17"/>
        <v>0</v>
      </c>
      <c r="AW1705" s="27" t="s">
        <v>1835</v>
      </c>
      <c r="AX1705" s="27" t="s">
        <v>1836</v>
      </c>
      <c r="AY1705" s="10" t="s">
        <v>1707</v>
      </c>
      <c r="BA1705" s="25">
        <f t="shared" si="18"/>
        <v>0</v>
      </c>
      <c r="BB1705" s="25">
        <f t="shared" si="19"/>
        <v>0</v>
      </c>
      <c r="BC1705" s="25">
        <v>0</v>
      </c>
      <c r="BD1705" s="25">
        <f t="shared" si="20"/>
        <v>8.0000000000000007E-5</v>
      </c>
      <c r="BF1705" s="25">
        <f t="shared" si="21"/>
        <v>0</v>
      </c>
      <c r="BG1705" s="25">
        <f t="shared" si="22"/>
        <v>0</v>
      </c>
      <c r="BH1705" s="25">
        <f t="shared" si="23"/>
        <v>0</v>
      </c>
      <c r="BI1705" s="27" t="s">
        <v>65</v>
      </c>
      <c r="BJ1705" s="25">
        <v>35</v>
      </c>
      <c r="BU1705" s="25" t="e">
        <f>#REF!</f>
        <v>#REF!</v>
      </c>
      <c r="BV1705" s="4" t="s">
        <v>1862</v>
      </c>
    </row>
    <row r="1706" spans="1:74" ht="14.4" x14ac:dyDescent="0.3">
      <c r="A1706" s="2" t="s">
        <v>1863</v>
      </c>
      <c r="B1706" s="3" t="s">
        <v>1699</v>
      </c>
      <c r="C1706" s="3" t="s">
        <v>1864</v>
      </c>
      <c r="D1706" s="112" t="s">
        <v>1865</v>
      </c>
      <c r="E1706" s="109"/>
      <c r="F1706" s="3" t="s">
        <v>122</v>
      </c>
      <c r="G1706" s="25">
        <v>2</v>
      </c>
      <c r="H1706" s="62"/>
      <c r="I1706" s="25">
        <f t="shared" si="0"/>
        <v>0</v>
      </c>
      <c r="J1706" s="25">
        <f t="shared" si="1"/>
        <v>0</v>
      </c>
      <c r="K1706" s="25">
        <f t="shared" si="2"/>
        <v>0</v>
      </c>
      <c r="L1706" s="25">
        <v>0</v>
      </c>
      <c r="M1706" s="25">
        <f t="shared" si="3"/>
        <v>0</v>
      </c>
      <c r="N1706" s="26"/>
      <c r="X1706" s="25">
        <f t="shared" si="4"/>
        <v>0</v>
      </c>
      <c r="Z1706" s="25">
        <f t="shared" si="5"/>
        <v>0</v>
      </c>
      <c r="AA1706" s="25">
        <f t="shared" si="6"/>
        <v>0</v>
      </c>
      <c r="AB1706" s="25">
        <f t="shared" si="7"/>
        <v>0</v>
      </c>
      <c r="AC1706" s="25">
        <f t="shared" si="8"/>
        <v>0</v>
      </c>
      <c r="AD1706" s="25">
        <f t="shared" si="9"/>
        <v>0</v>
      </c>
      <c r="AE1706" s="25">
        <f t="shared" si="10"/>
        <v>0</v>
      </c>
      <c r="AF1706" s="25">
        <f t="shared" si="11"/>
        <v>0</v>
      </c>
      <c r="AG1706" s="10" t="s">
        <v>1699</v>
      </c>
      <c r="AH1706" s="25">
        <f t="shared" si="12"/>
        <v>0</v>
      </c>
      <c r="AI1706" s="25">
        <f t="shared" si="13"/>
        <v>0</v>
      </c>
      <c r="AJ1706" s="25">
        <f t="shared" si="14"/>
        <v>0</v>
      </c>
      <c r="AL1706" s="25">
        <v>21</v>
      </c>
      <c r="AM1706" s="25">
        <f>H1706*0.05627451</f>
        <v>0</v>
      </c>
      <c r="AN1706" s="25">
        <f>H1706*(1-0.05627451)</f>
        <v>0</v>
      </c>
      <c r="AO1706" s="27" t="s">
        <v>57</v>
      </c>
      <c r="AT1706" s="25">
        <f t="shared" si="15"/>
        <v>0</v>
      </c>
      <c r="AU1706" s="25">
        <f t="shared" si="16"/>
        <v>0</v>
      </c>
      <c r="AV1706" s="25">
        <f t="shared" si="17"/>
        <v>0</v>
      </c>
      <c r="AW1706" s="27" t="s">
        <v>1835</v>
      </c>
      <c r="AX1706" s="27" t="s">
        <v>1836</v>
      </c>
      <c r="AY1706" s="10" t="s">
        <v>1707</v>
      </c>
      <c r="BA1706" s="25">
        <f t="shared" si="18"/>
        <v>0</v>
      </c>
      <c r="BB1706" s="25">
        <f t="shared" si="19"/>
        <v>0</v>
      </c>
      <c r="BC1706" s="25">
        <v>0</v>
      </c>
      <c r="BD1706" s="25">
        <f t="shared" si="20"/>
        <v>0</v>
      </c>
      <c r="BF1706" s="25">
        <f t="shared" si="21"/>
        <v>0</v>
      </c>
      <c r="BG1706" s="25">
        <f t="shared" si="22"/>
        <v>0</v>
      </c>
      <c r="BH1706" s="25">
        <f t="shared" si="23"/>
        <v>0</v>
      </c>
      <c r="BI1706" s="27" t="s">
        <v>65</v>
      </c>
      <c r="BJ1706" s="25">
        <v>35</v>
      </c>
      <c r="BU1706" s="25" t="e">
        <f>#REF!</f>
        <v>#REF!</v>
      </c>
      <c r="BV1706" s="4" t="s">
        <v>1865</v>
      </c>
    </row>
    <row r="1707" spans="1:74" ht="14.4" x14ac:dyDescent="0.3">
      <c r="A1707" s="2" t="s">
        <v>1866</v>
      </c>
      <c r="B1707" s="3" t="s">
        <v>1699</v>
      </c>
      <c r="C1707" s="3" t="s">
        <v>1867</v>
      </c>
      <c r="D1707" s="112" t="s">
        <v>1868</v>
      </c>
      <c r="E1707" s="109"/>
      <c r="F1707" s="3" t="s">
        <v>122</v>
      </c>
      <c r="G1707" s="25">
        <v>3</v>
      </c>
      <c r="H1707" s="62"/>
      <c r="I1707" s="25">
        <f t="shared" si="0"/>
        <v>0</v>
      </c>
      <c r="J1707" s="25">
        <f t="shared" si="1"/>
        <v>0</v>
      </c>
      <c r="K1707" s="25">
        <f t="shared" si="2"/>
        <v>0</v>
      </c>
      <c r="L1707" s="25">
        <v>0</v>
      </c>
      <c r="M1707" s="25">
        <f t="shared" si="3"/>
        <v>0</v>
      </c>
      <c r="N1707" s="26"/>
      <c r="X1707" s="25">
        <f t="shared" si="4"/>
        <v>0</v>
      </c>
      <c r="Z1707" s="25">
        <f t="shared" si="5"/>
        <v>0</v>
      </c>
      <c r="AA1707" s="25">
        <f t="shared" si="6"/>
        <v>0</v>
      </c>
      <c r="AB1707" s="25">
        <f t="shared" si="7"/>
        <v>0</v>
      </c>
      <c r="AC1707" s="25">
        <f t="shared" si="8"/>
        <v>0</v>
      </c>
      <c r="AD1707" s="25">
        <f t="shared" si="9"/>
        <v>0</v>
      </c>
      <c r="AE1707" s="25">
        <f t="shared" si="10"/>
        <v>0</v>
      </c>
      <c r="AF1707" s="25">
        <f t="shared" si="11"/>
        <v>0</v>
      </c>
      <c r="AG1707" s="10" t="s">
        <v>1699</v>
      </c>
      <c r="AH1707" s="25">
        <f t="shared" si="12"/>
        <v>0</v>
      </c>
      <c r="AI1707" s="25">
        <f t="shared" si="13"/>
        <v>0</v>
      </c>
      <c r="AJ1707" s="25">
        <f t="shared" si="14"/>
        <v>0</v>
      </c>
      <c r="AL1707" s="25">
        <v>21</v>
      </c>
      <c r="AM1707" s="25">
        <f>H1707*0.066022342</f>
        <v>0</v>
      </c>
      <c r="AN1707" s="25">
        <f>H1707*(1-0.066022342)</f>
        <v>0</v>
      </c>
      <c r="AO1707" s="27" t="s">
        <v>57</v>
      </c>
      <c r="AT1707" s="25">
        <f t="shared" si="15"/>
        <v>0</v>
      </c>
      <c r="AU1707" s="25">
        <f t="shared" si="16"/>
        <v>0</v>
      </c>
      <c r="AV1707" s="25">
        <f t="shared" si="17"/>
        <v>0</v>
      </c>
      <c r="AW1707" s="27" t="s">
        <v>1835</v>
      </c>
      <c r="AX1707" s="27" t="s">
        <v>1836</v>
      </c>
      <c r="AY1707" s="10" t="s">
        <v>1707</v>
      </c>
      <c r="BA1707" s="25">
        <f t="shared" si="18"/>
        <v>0</v>
      </c>
      <c r="BB1707" s="25">
        <f t="shared" si="19"/>
        <v>0</v>
      </c>
      <c r="BC1707" s="25">
        <v>0</v>
      </c>
      <c r="BD1707" s="25">
        <f t="shared" si="20"/>
        <v>0</v>
      </c>
      <c r="BF1707" s="25">
        <f t="shared" si="21"/>
        <v>0</v>
      </c>
      <c r="BG1707" s="25">
        <f t="shared" si="22"/>
        <v>0</v>
      </c>
      <c r="BH1707" s="25">
        <f t="shared" si="23"/>
        <v>0</v>
      </c>
      <c r="BI1707" s="27" t="s">
        <v>65</v>
      </c>
      <c r="BJ1707" s="25">
        <v>35</v>
      </c>
      <c r="BU1707" s="25" t="e">
        <f>#REF!</f>
        <v>#REF!</v>
      </c>
      <c r="BV1707" s="4" t="s">
        <v>1868</v>
      </c>
    </row>
    <row r="1708" spans="1:74" ht="14.4" x14ac:dyDescent="0.3">
      <c r="A1708" s="2" t="s">
        <v>1869</v>
      </c>
      <c r="B1708" s="3" t="s">
        <v>1699</v>
      </c>
      <c r="C1708" s="3" t="s">
        <v>1870</v>
      </c>
      <c r="D1708" s="112" t="s">
        <v>1871</v>
      </c>
      <c r="E1708" s="109"/>
      <c r="F1708" s="3" t="s">
        <v>122</v>
      </c>
      <c r="G1708" s="25">
        <v>2</v>
      </c>
      <c r="H1708" s="62"/>
      <c r="I1708" s="25">
        <f t="shared" si="0"/>
        <v>0</v>
      </c>
      <c r="J1708" s="25">
        <f t="shared" si="1"/>
        <v>0</v>
      </c>
      <c r="K1708" s="25">
        <f t="shared" si="2"/>
        <v>0</v>
      </c>
      <c r="L1708" s="25">
        <v>3.2000000000000003E-4</v>
      </c>
      <c r="M1708" s="25">
        <f t="shared" si="3"/>
        <v>6.4000000000000005E-4</v>
      </c>
      <c r="N1708" s="26"/>
      <c r="X1708" s="25">
        <f t="shared" si="4"/>
        <v>0</v>
      </c>
      <c r="Z1708" s="25">
        <f t="shared" si="5"/>
        <v>0</v>
      </c>
      <c r="AA1708" s="25">
        <f t="shared" si="6"/>
        <v>0</v>
      </c>
      <c r="AB1708" s="25">
        <f t="shared" si="7"/>
        <v>0</v>
      </c>
      <c r="AC1708" s="25">
        <f t="shared" si="8"/>
        <v>0</v>
      </c>
      <c r="AD1708" s="25">
        <f t="shared" si="9"/>
        <v>0</v>
      </c>
      <c r="AE1708" s="25">
        <f t="shared" si="10"/>
        <v>0</v>
      </c>
      <c r="AF1708" s="25">
        <f t="shared" si="11"/>
        <v>0</v>
      </c>
      <c r="AG1708" s="10" t="s">
        <v>1699</v>
      </c>
      <c r="AH1708" s="25">
        <f t="shared" si="12"/>
        <v>0</v>
      </c>
      <c r="AI1708" s="25">
        <f t="shared" si="13"/>
        <v>0</v>
      </c>
      <c r="AJ1708" s="25">
        <f t="shared" si="14"/>
        <v>0</v>
      </c>
      <c r="AL1708" s="25">
        <v>21</v>
      </c>
      <c r="AM1708" s="25">
        <f>H1708*0.710200803</f>
        <v>0</v>
      </c>
      <c r="AN1708" s="25">
        <f>H1708*(1-0.710200803)</f>
        <v>0</v>
      </c>
      <c r="AO1708" s="27" t="s">
        <v>57</v>
      </c>
      <c r="AT1708" s="25">
        <f t="shared" si="15"/>
        <v>0</v>
      </c>
      <c r="AU1708" s="25">
        <f t="shared" si="16"/>
        <v>0</v>
      </c>
      <c r="AV1708" s="25">
        <f t="shared" si="17"/>
        <v>0</v>
      </c>
      <c r="AW1708" s="27" t="s">
        <v>1835</v>
      </c>
      <c r="AX1708" s="27" t="s">
        <v>1836</v>
      </c>
      <c r="AY1708" s="10" t="s">
        <v>1707</v>
      </c>
      <c r="BA1708" s="25">
        <f t="shared" si="18"/>
        <v>0</v>
      </c>
      <c r="BB1708" s="25">
        <f t="shared" si="19"/>
        <v>0</v>
      </c>
      <c r="BC1708" s="25">
        <v>0</v>
      </c>
      <c r="BD1708" s="25">
        <f t="shared" si="20"/>
        <v>6.4000000000000005E-4</v>
      </c>
      <c r="BF1708" s="25">
        <f t="shared" si="21"/>
        <v>0</v>
      </c>
      <c r="BG1708" s="25">
        <f t="shared" si="22"/>
        <v>0</v>
      </c>
      <c r="BH1708" s="25">
        <f t="shared" si="23"/>
        <v>0</v>
      </c>
      <c r="BI1708" s="27" t="s">
        <v>65</v>
      </c>
      <c r="BJ1708" s="25">
        <v>35</v>
      </c>
      <c r="BU1708" s="25" t="e">
        <f>#REF!</f>
        <v>#REF!</v>
      </c>
      <c r="BV1708" s="4" t="s">
        <v>1871</v>
      </c>
    </row>
    <row r="1709" spans="1:74" ht="14.4" x14ac:dyDescent="0.3">
      <c r="A1709" s="2" t="s">
        <v>1872</v>
      </c>
      <c r="B1709" s="3" t="s">
        <v>1699</v>
      </c>
      <c r="C1709" s="3" t="s">
        <v>1873</v>
      </c>
      <c r="D1709" s="112" t="s">
        <v>1874</v>
      </c>
      <c r="E1709" s="109"/>
      <c r="F1709" s="3" t="s">
        <v>122</v>
      </c>
      <c r="G1709" s="25">
        <v>2</v>
      </c>
      <c r="H1709" s="62"/>
      <c r="I1709" s="25">
        <f t="shared" si="0"/>
        <v>0</v>
      </c>
      <c r="J1709" s="25">
        <f t="shared" si="1"/>
        <v>0</v>
      </c>
      <c r="K1709" s="25">
        <f t="shared" si="2"/>
        <v>0</v>
      </c>
      <c r="L1709" s="25">
        <v>7.6999999999999996E-4</v>
      </c>
      <c r="M1709" s="25">
        <f t="shared" si="3"/>
        <v>1.5399999999999999E-3</v>
      </c>
      <c r="N1709" s="26"/>
      <c r="X1709" s="25">
        <f t="shared" si="4"/>
        <v>0</v>
      </c>
      <c r="Z1709" s="25">
        <f t="shared" si="5"/>
        <v>0</v>
      </c>
      <c r="AA1709" s="25">
        <f t="shared" si="6"/>
        <v>0</v>
      </c>
      <c r="AB1709" s="25">
        <f t="shared" si="7"/>
        <v>0</v>
      </c>
      <c r="AC1709" s="25">
        <f t="shared" si="8"/>
        <v>0</v>
      </c>
      <c r="AD1709" s="25">
        <f t="shared" si="9"/>
        <v>0</v>
      </c>
      <c r="AE1709" s="25">
        <f t="shared" si="10"/>
        <v>0</v>
      </c>
      <c r="AF1709" s="25">
        <f t="shared" si="11"/>
        <v>0</v>
      </c>
      <c r="AG1709" s="10" t="s">
        <v>1699</v>
      </c>
      <c r="AH1709" s="25">
        <f t="shared" si="12"/>
        <v>0</v>
      </c>
      <c r="AI1709" s="25">
        <f t="shared" si="13"/>
        <v>0</v>
      </c>
      <c r="AJ1709" s="25">
        <f t="shared" si="14"/>
        <v>0</v>
      </c>
      <c r="AL1709" s="25">
        <v>21</v>
      </c>
      <c r="AM1709" s="25">
        <f>H1709*0.798965775</f>
        <v>0</v>
      </c>
      <c r="AN1709" s="25">
        <f>H1709*(1-0.798965775)</f>
        <v>0</v>
      </c>
      <c r="AO1709" s="27" t="s">
        <v>57</v>
      </c>
      <c r="AT1709" s="25">
        <f t="shared" si="15"/>
        <v>0</v>
      </c>
      <c r="AU1709" s="25">
        <f t="shared" si="16"/>
        <v>0</v>
      </c>
      <c r="AV1709" s="25">
        <f t="shared" si="17"/>
        <v>0</v>
      </c>
      <c r="AW1709" s="27" t="s">
        <v>1835</v>
      </c>
      <c r="AX1709" s="27" t="s">
        <v>1836</v>
      </c>
      <c r="AY1709" s="10" t="s">
        <v>1707</v>
      </c>
      <c r="BA1709" s="25">
        <f t="shared" si="18"/>
        <v>0</v>
      </c>
      <c r="BB1709" s="25">
        <f t="shared" si="19"/>
        <v>0</v>
      </c>
      <c r="BC1709" s="25">
        <v>0</v>
      </c>
      <c r="BD1709" s="25">
        <f t="shared" si="20"/>
        <v>1.5399999999999999E-3</v>
      </c>
      <c r="BF1709" s="25">
        <f t="shared" si="21"/>
        <v>0</v>
      </c>
      <c r="BG1709" s="25">
        <f t="shared" si="22"/>
        <v>0</v>
      </c>
      <c r="BH1709" s="25">
        <f t="shared" si="23"/>
        <v>0</v>
      </c>
      <c r="BI1709" s="27" t="s">
        <v>65</v>
      </c>
      <c r="BJ1709" s="25">
        <v>35</v>
      </c>
      <c r="BU1709" s="25" t="e">
        <f>#REF!</f>
        <v>#REF!</v>
      </c>
      <c r="BV1709" s="4" t="s">
        <v>1874</v>
      </c>
    </row>
    <row r="1710" spans="1:74" ht="14.4" x14ac:dyDescent="0.3">
      <c r="A1710" s="2" t="s">
        <v>1875</v>
      </c>
      <c r="B1710" s="3" t="s">
        <v>1699</v>
      </c>
      <c r="C1710" s="3" t="s">
        <v>1876</v>
      </c>
      <c r="D1710" s="112" t="s">
        <v>1877</v>
      </c>
      <c r="E1710" s="109"/>
      <c r="F1710" s="3" t="s">
        <v>122</v>
      </c>
      <c r="G1710" s="25">
        <v>2</v>
      </c>
      <c r="H1710" s="62"/>
      <c r="I1710" s="25">
        <f t="shared" si="0"/>
        <v>0</v>
      </c>
      <c r="J1710" s="25">
        <f t="shared" si="1"/>
        <v>0</v>
      </c>
      <c r="K1710" s="25">
        <f t="shared" si="2"/>
        <v>0</v>
      </c>
      <c r="L1710" s="25">
        <v>2.9999999999999997E-4</v>
      </c>
      <c r="M1710" s="25">
        <f t="shared" si="3"/>
        <v>5.9999999999999995E-4</v>
      </c>
      <c r="N1710" s="26"/>
      <c r="X1710" s="25">
        <f t="shared" si="4"/>
        <v>0</v>
      </c>
      <c r="Z1710" s="25">
        <f t="shared" si="5"/>
        <v>0</v>
      </c>
      <c r="AA1710" s="25">
        <f t="shared" si="6"/>
        <v>0</v>
      </c>
      <c r="AB1710" s="25">
        <f t="shared" si="7"/>
        <v>0</v>
      </c>
      <c r="AC1710" s="25">
        <f t="shared" si="8"/>
        <v>0</v>
      </c>
      <c r="AD1710" s="25">
        <f t="shared" si="9"/>
        <v>0</v>
      </c>
      <c r="AE1710" s="25">
        <f t="shared" si="10"/>
        <v>0</v>
      </c>
      <c r="AF1710" s="25">
        <f t="shared" si="11"/>
        <v>0</v>
      </c>
      <c r="AG1710" s="10" t="s">
        <v>1699</v>
      </c>
      <c r="AH1710" s="25">
        <f t="shared" si="12"/>
        <v>0</v>
      </c>
      <c r="AI1710" s="25">
        <f t="shared" si="13"/>
        <v>0</v>
      </c>
      <c r="AJ1710" s="25">
        <f t="shared" si="14"/>
        <v>0</v>
      </c>
      <c r="AL1710" s="25">
        <v>21</v>
      </c>
      <c r="AM1710" s="25">
        <f>H1710*0.743847386</f>
        <v>0</v>
      </c>
      <c r="AN1710" s="25">
        <f>H1710*(1-0.743847386)</f>
        <v>0</v>
      </c>
      <c r="AO1710" s="27" t="s">
        <v>57</v>
      </c>
      <c r="AT1710" s="25">
        <f t="shared" si="15"/>
        <v>0</v>
      </c>
      <c r="AU1710" s="25">
        <f t="shared" si="16"/>
        <v>0</v>
      </c>
      <c r="AV1710" s="25">
        <f t="shared" si="17"/>
        <v>0</v>
      </c>
      <c r="AW1710" s="27" t="s">
        <v>1835</v>
      </c>
      <c r="AX1710" s="27" t="s">
        <v>1836</v>
      </c>
      <c r="AY1710" s="10" t="s">
        <v>1707</v>
      </c>
      <c r="BA1710" s="25">
        <f t="shared" si="18"/>
        <v>0</v>
      </c>
      <c r="BB1710" s="25">
        <f t="shared" si="19"/>
        <v>0</v>
      </c>
      <c r="BC1710" s="25">
        <v>0</v>
      </c>
      <c r="BD1710" s="25">
        <f t="shared" si="20"/>
        <v>5.9999999999999995E-4</v>
      </c>
      <c r="BF1710" s="25">
        <f t="shared" si="21"/>
        <v>0</v>
      </c>
      <c r="BG1710" s="25">
        <f t="shared" si="22"/>
        <v>0</v>
      </c>
      <c r="BH1710" s="25">
        <f t="shared" si="23"/>
        <v>0</v>
      </c>
      <c r="BI1710" s="27" t="s">
        <v>65</v>
      </c>
      <c r="BJ1710" s="25">
        <v>35</v>
      </c>
      <c r="BU1710" s="25" t="e">
        <f>#REF!</f>
        <v>#REF!</v>
      </c>
      <c r="BV1710" s="4" t="s">
        <v>1877</v>
      </c>
    </row>
    <row r="1711" spans="1:74" ht="14.4" x14ac:dyDescent="0.3">
      <c r="A1711" s="2" t="s">
        <v>1878</v>
      </c>
      <c r="B1711" s="3" t="s">
        <v>1699</v>
      </c>
      <c r="C1711" s="3" t="s">
        <v>1879</v>
      </c>
      <c r="D1711" s="112" t="s">
        <v>1880</v>
      </c>
      <c r="E1711" s="109"/>
      <c r="F1711" s="3" t="s">
        <v>122</v>
      </c>
      <c r="G1711" s="25">
        <v>1</v>
      </c>
      <c r="H1711" s="62"/>
      <c r="I1711" s="25">
        <f t="shared" si="0"/>
        <v>0</v>
      </c>
      <c r="J1711" s="25">
        <f t="shared" si="1"/>
        <v>0</v>
      </c>
      <c r="K1711" s="25">
        <f t="shared" si="2"/>
        <v>0</v>
      </c>
      <c r="L1711" s="25">
        <v>8.0000000000000004E-4</v>
      </c>
      <c r="M1711" s="25">
        <f t="shared" si="3"/>
        <v>8.0000000000000004E-4</v>
      </c>
      <c r="N1711" s="26"/>
      <c r="X1711" s="25">
        <f t="shared" si="4"/>
        <v>0</v>
      </c>
      <c r="Z1711" s="25">
        <f t="shared" si="5"/>
        <v>0</v>
      </c>
      <c r="AA1711" s="25">
        <f t="shared" si="6"/>
        <v>0</v>
      </c>
      <c r="AB1711" s="25">
        <f t="shared" si="7"/>
        <v>0</v>
      </c>
      <c r="AC1711" s="25">
        <f t="shared" si="8"/>
        <v>0</v>
      </c>
      <c r="AD1711" s="25">
        <f t="shared" si="9"/>
        <v>0</v>
      </c>
      <c r="AE1711" s="25">
        <f t="shared" si="10"/>
        <v>0</v>
      </c>
      <c r="AF1711" s="25">
        <f t="shared" si="11"/>
        <v>0</v>
      </c>
      <c r="AG1711" s="10" t="s">
        <v>1699</v>
      </c>
      <c r="AH1711" s="25">
        <f t="shared" si="12"/>
        <v>0</v>
      </c>
      <c r="AI1711" s="25">
        <f t="shared" si="13"/>
        <v>0</v>
      </c>
      <c r="AJ1711" s="25">
        <f t="shared" si="14"/>
        <v>0</v>
      </c>
      <c r="AL1711" s="25">
        <v>21</v>
      </c>
      <c r="AM1711" s="25">
        <f>H1711*0.798784501</f>
        <v>0</v>
      </c>
      <c r="AN1711" s="25">
        <f>H1711*(1-0.798784501)</f>
        <v>0</v>
      </c>
      <c r="AO1711" s="27" t="s">
        <v>57</v>
      </c>
      <c r="AT1711" s="25">
        <f t="shared" si="15"/>
        <v>0</v>
      </c>
      <c r="AU1711" s="25">
        <f t="shared" si="16"/>
        <v>0</v>
      </c>
      <c r="AV1711" s="25">
        <f t="shared" si="17"/>
        <v>0</v>
      </c>
      <c r="AW1711" s="27" t="s">
        <v>1835</v>
      </c>
      <c r="AX1711" s="27" t="s">
        <v>1836</v>
      </c>
      <c r="AY1711" s="10" t="s">
        <v>1707</v>
      </c>
      <c r="BA1711" s="25">
        <f t="shared" si="18"/>
        <v>0</v>
      </c>
      <c r="BB1711" s="25">
        <f t="shared" si="19"/>
        <v>0</v>
      </c>
      <c r="BC1711" s="25">
        <v>0</v>
      </c>
      <c r="BD1711" s="25">
        <f t="shared" si="20"/>
        <v>8.0000000000000004E-4</v>
      </c>
      <c r="BF1711" s="25">
        <f t="shared" si="21"/>
        <v>0</v>
      </c>
      <c r="BG1711" s="25">
        <f t="shared" si="22"/>
        <v>0</v>
      </c>
      <c r="BH1711" s="25">
        <f t="shared" si="23"/>
        <v>0</v>
      </c>
      <c r="BI1711" s="27" t="s">
        <v>65</v>
      </c>
      <c r="BJ1711" s="25">
        <v>35</v>
      </c>
      <c r="BU1711" s="25" t="e">
        <f>#REF!</f>
        <v>#REF!</v>
      </c>
      <c r="BV1711" s="4" t="s">
        <v>1880</v>
      </c>
    </row>
    <row r="1712" spans="1:74" ht="14.4" x14ac:dyDescent="0.3">
      <c r="A1712" s="2" t="s">
        <v>1881</v>
      </c>
      <c r="B1712" s="3" t="s">
        <v>1699</v>
      </c>
      <c r="C1712" s="3" t="s">
        <v>1882</v>
      </c>
      <c r="D1712" s="112" t="s">
        <v>1883</v>
      </c>
      <c r="E1712" s="109"/>
      <c r="F1712" s="3" t="s">
        <v>278</v>
      </c>
      <c r="G1712" s="25">
        <v>0.69</v>
      </c>
      <c r="H1712" s="62"/>
      <c r="I1712" s="25">
        <f t="shared" si="0"/>
        <v>0</v>
      </c>
      <c r="J1712" s="25">
        <f t="shared" si="1"/>
        <v>0</v>
      </c>
      <c r="K1712" s="25">
        <f t="shared" si="2"/>
        <v>0</v>
      </c>
      <c r="L1712" s="25">
        <v>0</v>
      </c>
      <c r="M1712" s="25">
        <f t="shared" si="3"/>
        <v>0</v>
      </c>
      <c r="N1712" s="26"/>
      <c r="X1712" s="25">
        <f t="shared" si="4"/>
        <v>0</v>
      </c>
      <c r="Z1712" s="25">
        <f t="shared" si="5"/>
        <v>0</v>
      </c>
      <c r="AA1712" s="25">
        <f t="shared" si="6"/>
        <v>0</v>
      </c>
      <c r="AB1712" s="25">
        <f t="shared" si="7"/>
        <v>0</v>
      </c>
      <c r="AC1712" s="25">
        <f t="shared" si="8"/>
        <v>0</v>
      </c>
      <c r="AD1712" s="25">
        <f t="shared" si="9"/>
        <v>0</v>
      </c>
      <c r="AE1712" s="25">
        <f t="shared" si="10"/>
        <v>0</v>
      </c>
      <c r="AF1712" s="25">
        <f t="shared" si="11"/>
        <v>0</v>
      </c>
      <c r="AG1712" s="10" t="s">
        <v>1699</v>
      </c>
      <c r="AH1712" s="25">
        <f t="shared" si="12"/>
        <v>0</v>
      </c>
      <c r="AI1712" s="25">
        <f t="shared" si="13"/>
        <v>0</v>
      </c>
      <c r="AJ1712" s="25">
        <f t="shared" si="14"/>
        <v>0</v>
      </c>
      <c r="AL1712" s="25">
        <v>21</v>
      </c>
      <c r="AM1712" s="25">
        <f>H1712*0</f>
        <v>0</v>
      </c>
      <c r="AN1712" s="25">
        <f>H1712*(1-0)</f>
        <v>0</v>
      </c>
      <c r="AO1712" s="27" t="s">
        <v>97</v>
      </c>
      <c r="AT1712" s="25">
        <f t="shared" si="15"/>
        <v>0</v>
      </c>
      <c r="AU1712" s="25">
        <f t="shared" si="16"/>
        <v>0</v>
      </c>
      <c r="AV1712" s="25">
        <f t="shared" si="17"/>
        <v>0</v>
      </c>
      <c r="AW1712" s="27" t="s">
        <v>1835</v>
      </c>
      <c r="AX1712" s="27" t="s">
        <v>1836</v>
      </c>
      <c r="AY1712" s="10" t="s">
        <v>1707</v>
      </c>
      <c r="BA1712" s="25">
        <f t="shared" si="18"/>
        <v>0</v>
      </c>
      <c r="BB1712" s="25">
        <f t="shared" si="19"/>
        <v>0</v>
      </c>
      <c r="BC1712" s="25">
        <v>0</v>
      </c>
      <c r="BD1712" s="25">
        <f t="shared" si="20"/>
        <v>0</v>
      </c>
      <c r="BF1712" s="25">
        <f t="shared" si="21"/>
        <v>0</v>
      </c>
      <c r="BG1712" s="25">
        <f t="shared" si="22"/>
        <v>0</v>
      </c>
      <c r="BH1712" s="25">
        <f t="shared" si="23"/>
        <v>0</v>
      </c>
      <c r="BI1712" s="27" t="s">
        <v>65</v>
      </c>
      <c r="BJ1712" s="25">
        <v>35</v>
      </c>
      <c r="BU1712" s="25" t="e">
        <f>#REF!</f>
        <v>#REF!</v>
      </c>
      <c r="BV1712" s="4" t="s">
        <v>1883</v>
      </c>
    </row>
    <row r="1713" spans="1:74" ht="14.4" x14ac:dyDescent="0.3">
      <c r="A1713" s="2" t="s">
        <v>1884</v>
      </c>
      <c r="B1713" s="3" t="s">
        <v>1699</v>
      </c>
      <c r="C1713" s="3" t="s">
        <v>1885</v>
      </c>
      <c r="D1713" s="112" t="s">
        <v>1886</v>
      </c>
      <c r="E1713" s="109"/>
      <c r="F1713" s="3" t="s">
        <v>115</v>
      </c>
      <c r="G1713" s="25">
        <v>6</v>
      </c>
      <c r="H1713" s="62"/>
      <c r="I1713" s="25">
        <f t="shared" si="0"/>
        <v>0</v>
      </c>
      <c r="J1713" s="25">
        <f t="shared" si="1"/>
        <v>0</v>
      </c>
      <c r="K1713" s="25">
        <f t="shared" si="2"/>
        <v>0</v>
      </c>
      <c r="L1713" s="25">
        <v>1.2700000000000001E-3</v>
      </c>
      <c r="M1713" s="25">
        <f t="shared" si="3"/>
        <v>7.62E-3</v>
      </c>
      <c r="N1713" s="26"/>
      <c r="X1713" s="25">
        <f t="shared" si="4"/>
        <v>0</v>
      </c>
      <c r="Z1713" s="25">
        <f t="shared" si="5"/>
        <v>0</v>
      </c>
      <c r="AA1713" s="25">
        <f t="shared" si="6"/>
        <v>0</v>
      </c>
      <c r="AB1713" s="25">
        <f t="shared" si="7"/>
        <v>0</v>
      </c>
      <c r="AC1713" s="25">
        <f t="shared" si="8"/>
        <v>0</v>
      </c>
      <c r="AD1713" s="25">
        <f t="shared" si="9"/>
        <v>0</v>
      </c>
      <c r="AE1713" s="25">
        <f t="shared" si="10"/>
        <v>0</v>
      </c>
      <c r="AF1713" s="25">
        <f t="shared" si="11"/>
        <v>0</v>
      </c>
      <c r="AG1713" s="10" t="s">
        <v>1699</v>
      </c>
      <c r="AH1713" s="25">
        <f t="shared" si="12"/>
        <v>0</v>
      </c>
      <c r="AI1713" s="25">
        <f t="shared" si="13"/>
        <v>0</v>
      </c>
      <c r="AJ1713" s="25">
        <f t="shared" si="14"/>
        <v>0</v>
      </c>
      <c r="AL1713" s="25">
        <v>21</v>
      </c>
      <c r="AM1713" s="25">
        <f>H1713*1</f>
        <v>0</v>
      </c>
      <c r="AN1713" s="25">
        <f>H1713*(1-1)</f>
        <v>0</v>
      </c>
      <c r="AO1713" s="27" t="s">
        <v>57</v>
      </c>
      <c r="AT1713" s="25">
        <f t="shared" si="15"/>
        <v>0</v>
      </c>
      <c r="AU1713" s="25">
        <f t="shared" si="16"/>
        <v>0</v>
      </c>
      <c r="AV1713" s="25">
        <f t="shared" si="17"/>
        <v>0</v>
      </c>
      <c r="AW1713" s="27" t="s">
        <v>1835</v>
      </c>
      <c r="AX1713" s="27" t="s">
        <v>1836</v>
      </c>
      <c r="AY1713" s="10" t="s">
        <v>1707</v>
      </c>
      <c r="BA1713" s="25">
        <f t="shared" si="18"/>
        <v>0</v>
      </c>
      <c r="BB1713" s="25">
        <f t="shared" si="19"/>
        <v>0</v>
      </c>
      <c r="BC1713" s="25">
        <v>0</v>
      </c>
      <c r="BD1713" s="25">
        <f t="shared" si="20"/>
        <v>7.62E-3</v>
      </c>
      <c r="BF1713" s="25">
        <f t="shared" si="21"/>
        <v>0</v>
      </c>
      <c r="BG1713" s="25">
        <f t="shared" si="22"/>
        <v>0</v>
      </c>
      <c r="BH1713" s="25">
        <f t="shared" si="23"/>
        <v>0</v>
      </c>
      <c r="BI1713" s="27" t="s">
        <v>576</v>
      </c>
      <c r="BJ1713" s="25">
        <v>35</v>
      </c>
      <c r="BU1713" s="25" t="e">
        <f>#REF!</f>
        <v>#REF!</v>
      </c>
      <c r="BV1713" s="4" t="s">
        <v>1886</v>
      </c>
    </row>
    <row r="1714" spans="1:74" ht="14.4" x14ac:dyDescent="0.3">
      <c r="A1714" s="2" t="s">
        <v>1887</v>
      </c>
      <c r="B1714" s="3" t="s">
        <v>1699</v>
      </c>
      <c r="C1714" s="3" t="s">
        <v>1888</v>
      </c>
      <c r="D1714" s="112" t="s">
        <v>1889</v>
      </c>
      <c r="E1714" s="109"/>
      <c r="F1714" s="3" t="s">
        <v>115</v>
      </c>
      <c r="G1714" s="25">
        <v>24</v>
      </c>
      <c r="H1714" s="62"/>
      <c r="I1714" s="25">
        <f t="shared" si="0"/>
        <v>0</v>
      </c>
      <c r="J1714" s="25">
        <f t="shared" si="1"/>
        <v>0</v>
      </c>
      <c r="K1714" s="25">
        <f t="shared" si="2"/>
        <v>0</v>
      </c>
      <c r="L1714" s="25">
        <v>1.5299999999999999E-3</v>
      </c>
      <c r="M1714" s="25">
        <f t="shared" si="3"/>
        <v>3.6719999999999996E-2</v>
      </c>
      <c r="N1714" s="26"/>
      <c r="X1714" s="25">
        <f t="shared" si="4"/>
        <v>0</v>
      </c>
      <c r="Z1714" s="25">
        <f t="shared" si="5"/>
        <v>0</v>
      </c>
      <c r="AA1714" s="25">
        <f t="shared" si="6"/>
        <v>0</v>
      </c>
      <c r="AB1714" s="25">
        <f t="shared" si="7"/>
        <v>0</v>
      </c>
      <c r="AC1714" s="25">
        <f t="shared" si="8"/>
        <v>0</v>
      </c>
      <c r="AD1714" s="25">
        <f t="shared" si="9"/>
        <v>0</v>
      </c>
      <c r="AE1714" s="25">
        <f t="shared" si="10"/>
        <v>0</v>
      </c>
      <c r="AF1714" s="25">
        <f t="shared" si="11"/>
        <v>0</v>
      </c>
      <c r="AG1714" s="10" t="s">
        <v>1699</v>
      </c>
      <c r="AH1714" s="25">
        <f t="shared" si="12"/>
        <v>0</v>
      </c>
      <c r="AI1714" s="25">
        <f t="shared" si="13"/>
        <v>0</v>
      </c>
      <c r="AJ1714" s="25">
        <f t="shared" si="14"/>
        <v>0</v>
      </c>
      <c r="AL1714" s="25">
        <v>21</v>
      </c>
      <c r="AM1714" s="25">
        <f>H1714*1</f>
        <v>0</v>
      </c>
      <c r="AN1714" s="25">
        <f>H1714*(1-1)</f>
        <v>0</v>
      </c>
      <c r="AO1714" s="27" t="s">
        <v>57</v>
      </c>
      <c r="AT1714" s="25">
        <f t="shared" si="15"/>
        <v>0</v>
      </c>
      <c r="AU1714" s="25">
        <f t="shared" si="16"/>
        <v>0</v>
      </c>
      <c r="AV1714" s="25">
        <f t="shared" si="17"/>
        <v>0</v>
      </c>
      <c r="AW1714" s="27" t="s">
        <v>1835</v>
      </c>
      <c r="AX1714" s="27" t="s">
        <v>1836</v>
      </c>
      <c r="AY1714" s="10" t="s">
        <v>1707</v>
      </c>
      <c r="BA1714" s="25">
        <f t="shared" si="18"/>
        <v>0</v>
      </c>
      <c r="BB1714" s="25">
        <f t="shared" si="19"/>
        <v>0</v>
      </c>
      <c r="BC1714" s="25">
        <v>0</v>
      </c>
      <c r="BD1714" s="25">
        <f t="shared" si="20"/>
        <v>3.6719999999999996E-2</v>
      </c>
      <c r="BF1714" s="25">
        <f t="shared" si="21"/>
        <v>0</v>
      </c>
      <c r="BG1714" s="25">
        <f t="shared" si="22"/>
        <v>0</v>
      </c>
      <c r="BH1714" s="25">
        <f t="shared" si="23"/>
        <v>0</v>
      </c>
      <c r="BI1714" s="27" t="s">
        <v>576</v>
      </c>
      <c r="BJ1714" s="25">
        <v>35</v>
      </c>
      <c r="BU1714" s="25" t="e">
        <f>#REF!</f>
        <v>#REF!</v>
      </c>
      <c r="BV1714" s="4" t="s">
        <v>1889</v>
      </c>
    </row>
    <row r="1715" spans="1:74" ht="14.4" x14ac:dyDescent="0.3">
      <c r="A1715" s="2" t="s">
        <v>1890</v>
      </c>
      <c r="B1715" s="3" t="s">
        <v>1699</v>
      </c>
      <c r="C1715" s="3" t="s">
        <v>1891</v>
      </c>
      <c r="D1715" s="112" t="s">
        <v>1892</v>
      </c>
      <c r="E1715" s="109"/>
      <c r="F1715" s="3" t="s">
        <v>122</v>
      </c>
      <c r="G1715" s="25">
        <v>1</v>
      </c>
      <c r="H1715" s="62"/>
      <c r="I1715" s="25">
        <f t="shared" si="0"/>
        <v>0</v>
      </c>
      <c r="J1715" s="25">
        <f t="shared" si="1"/>
        <v>0</v>
      </c>
      <c r="K1715" s="25">
        <f t="shared" si="2"/>
        <v>0</v>
      </c>
      <c r="L1715" s="25">
        <v>0</v>
      </c>
      <c r="M1715" s="25">
        <f t="shared" si="3"/>
        <v>0</v>
      </c>
      <c r="N1715" s="26"/>
      <c r="X1715" s="25">
        <f t="shared" si="4"/>
        <v>0</v>
      </c>
      <c r="Z1715" s="25">
        <f t="shared" si="5"/>
        <v>0</v>
      </c>
      <c r="AA1715" s="25">
        <f t="shared" si="6"/>
        <v>0</v>
      </c>
      <c r="AB1715" s="25">
        <f t="shared" si="7"/>
        <v>0</v>
      </c>
      <c r="AC1715" s="25">
        <f t="shared" si="8"/>
        <v>0</v>
      </c>
      <c r="AD1715" s="25">
        <f t="shared" si="9"/>
        <v>0</v>
      </c>
      <c r="AE1715" s="25">
        <f t="shared" si="10"/>
        <v>0</v>
      </c>
      <c r="AF1715" s="25">
        <f t="shared" si="11"/>
        <v>0</v>
      </c>
      <c r="AG1715" s="10" t="s">
        <v>1699</v>
      </c>
      <c r="AH1715" s="25">
        <f t="shared" si="12"/>
        <v>0</v>
      </c>
      <c r="AI1715" s="25">
        <f t="shared" si="13"/>
        <v>0</v>
      </c>
      <c r="AJ1715" s="25">
        <f t="shared" si="14"/>
        <v>0</v>
      </c>
      <c r="AL1715" s="25">
        <v>21</v>
      </c>
      <c r="AM1715" s="25">
        <f>H1715*1</f>
        <v>0</v>
      </c>
      <c r="AN1715" s="25">
        <f>H1715*(1-1)</f>
        <v>0</v>
      </c>
      <c r="AO1715" s="27" t="s">
        <v>57</v>
      </c>
      <c r="AT1715" s="25">
        <f t="shared" si="15"/>
        <v>0</v>
      </c>
      <c r="AU1715" s="25">
        <f t="shared" si="16"/>
        <v>0</v>
      </c>
      <c r="AV1715" s="25">
        <f t="shared" si="17"/>
        <v>0</v>
      </c>
      <c r="AW1715" s="27" t="s">
        <v>1835</v>
      </c>
      <c r="AX1715" s="27" t="s">
        <v>1836</v>
      </c>
      <c r="AY1715" s="10" t="s">
        <v>1707</v>
      </c>
      <c r="BA1715" s="25">
        <f t="shared" si="18"/>
        <v>0</v>
      </c>
      <c r="BB1715" s="25">
        <f t="shared" si="19"/>
        <v>0</v>
      </c>
      <c r="BC1715" s="25">
        <v>0</v>
      </c>
      <c r="BD1715" s="25">
        <f t="shared" si="20"/>
        <v>0</v>
      </c>
      <c r="BF1715" s="25">
        <f t="shared" si="21"/>
        <v>0</v>
      </c>
      <c r="BG1715" s="25">
        <f t="shared" si="22"/>
        <v>0</v>
      </c>
      <c r="BH1715" s="25">
        <f t="shared" si="23"/>
        <v>0</v>
      </c>
      <c r="BI1715" s="27" t="s">
        <v>576</v>
      </c>
      <c r="BJ1715" s="25">
        <v>35</v>
      </c>
      <c r="BU1715" s="25" t="e">
        <f>#REF!</f>
        <v>#REF!</v>
      </c>
      <c r="BV1715" s="4" t="s">
        <v>1892</v>
      </c>
    </row>
    <row r="1716" spans="1:74" ht="14.4" x14ac:dyDescent="0.3">
      <c r="A1716" s="28"/>
      <c r="D1716" s="29" t="s">
        <v>57</v>
      </c>
      <c r="E1716" s="29" t="s">
        <v>52</v>
      </c>
      <c r="G1716" s="30">
        <v>1</v>
      </c>
      <c r="H1716" s="63"/>
      <c r="N1716" s="31"/>
    </row>
    <row r="1717" spans="1:74" ht="14.4" x14ac:dyDescent="0.3">
      <c r="A1717" s="21" t="s">
        <v>52</v>
      </c>
      <c r="B1717" s="22" t="s">
        <v>1699</v>
      </c>
      <c r="C1717" s="22" t="s">
        <v>320</v>
      </c>
      <c r="D1717" s="170" t="s">
        <v>617</v>
      </c>
      <c r="E1717" s="171"/>
      <c r="F1717" s="23" t="s">
        <v>32</v>
      </c>
      <c r="G1717" s="23" t="s">
        <v>32</v>
      </c>
      <c r="H1717" s="64"/>
      <c r="I1717" s="1">
        <f>SUM(I1718:I1718)</f>
        <v>0</v>
      </c>
      <c r="J1717" s="1">
        <f>SUM(J1718:J1718)</f>
        <v>0</v>
      </c>
      <c r="K1717" s="1">
        <f>SUM(K1718:K1718)</f>
        <v>0</v>
      </c>
      <c r="L1717" s="10" t="s">
        <v>52</v>
      </c>
      <c r="M1717" s="1">
        <f>SUM(M1718:M1718)</f>
        <v>1.618512</v>
      </c>
      <c r="N1717" s="24"/>
      <c r="AG1717" s="10" t="s">
        <v>1699</v>
      </c>
      <c r="AQ1717" s="1">
        <f>SUM(AH1718:AH1718)</f>
        <v>0</v>
      </c>
      <c r="AR1717" s="1">
        <f>SUM(AI1718:AI1718)</f>
        <v>0</v>
      </c>
      <c r="AS1717" s="1">
        <f>SUM(AJ1718:AJ1718)</f>
        <v>0</v>
      </c>
    </row>
    <row r="1718" spans="1:74" ht="14.4" x14ac:dyDescent="0.3">
      <c r="A1718" s="2" t="s">
        <v>1893</v>
      </c>
      <c r="B1718" s="3" t="s">
        <v>1699</v>
      </c>
      <c r="C1718" s="3" t="s">
        <v>1894</v>
      </c>
      <c r="D1718" s="112" t="s">
        <v>1895</v>
      </c>
      <c r="E1718" s="109"/>
      <c r="F1718" s="3" t="s">
        <v>60</v>
      </c>
      <c r="G1718" s="25">
        <v>2.4</v>
      </c>
      <c r="H1718" s="62"/>
      <c r="I1718" s="25">
        <f>ROUND(G1718*AM1718,2)</f>
        <v>0</v>
      </c>
      <c r="J1718" s="25">
        <f>ROUND(G1718*AN1718,2)</f>
        <v>0</v>
      </c>
      <c r="K1718" s="25">
        <f>ROUND(G1718*H1718,2)</f>
        <v>0</v>
      </c>
      <c r="L1718" s="25">
        <v>0.67437999999999998</v>
      </c>
      <c r="M1718" s="25">
        <f>G1718*L1718</f>
        <v>1.618512</v>
      </c>
      <c r="N1718" s="26"/>
      <c r="X1718" s="25">
        <f>ROUND(IF(AO1718="5",BH1718,0),2)</f>
        <v>0</v>
      </c>
      <c r="Z1718" s="25">
        <f>ROUND(IF(AO1718="1",BF1718,0),2)</f>
        <v>0</v>
      </c>
      <c r="AA1718" s="25">
        <f>ROUND(IF(AO1718="1",BG1718,0),2)</f>
        <v>0</v>
      </c>
      <c r="AB1718" s="25">
        <f>ROUND(IF(AO1718="7",BF1718,0),2)</f>
        <v>0</v>
      </c>
      <c r="AC1718" s="25">
        <f>ROUND(IF(AO1718="7",BG1718,0),2)</f>
        <v>0</v>
      </c>
      <c r="AD1718" s="25">
        <f>ROUND(IF(AO1718="2",BF1718,0),2)</f>
        <v>0</v>
      </c>
      <c r="AE1718" s="25">
        <f>ROUND(IF(AO1718="2",BG1718,0),2)</f>
        <v>0</v>
      </c>
      <c r="AF1718" s="25">
        <f>ROUND(IF(AO1718="0",BH1718,0),2)</f>
        <v>0</v>
      </c>
      <c r="AG1718" s="10" t="s">
        <v>1699</v>
      </c>
      <c r="AH1718" s="25">
        <f>IF(AL1718=0,K1718,0)</f>
        <v>0</v>
      </c>
      <c r="AI1718" s="25">
        <f>IF(AL1718=12,K1718,0)</f>
        <v>0</v>
      </c>
      <c r="AJ1718" s="25">
        <f>IF(AL1718=21,K1718,0)</f>
        <v>0</v>
      </c>
      <c r="AL1718" s="25">
        <v>21</v>
      </c>
      <c r="AM1718" s="25">
        <f>H1718*0.314212138</f>
        <v>0</v>
      </c>
      <c r="AN1718" s="25">
        <f>H1718*(1-0.314212138)</f>
        <v>0</v>
      </c>
      <c r="AO1718" s="27" t="s">
        <v>57</v>
      </c>
      <c r="AT1718" s="25">
        <f>ROUND(AU1718+AV1718,2)</f>
        <v>0</v>
      </c>
      <c r="AU1718" s="25">
        <f>ROUND(G1718*AM1718,2)</f>
        <v>0</v>
      </c>
      <c r="AV1718" s="25">
        <f>ROUND(G1718*AN1718,2)</f>
        <v>0</v>
      </c>
      <c r="AW1718" s="27" t="s">
        <v>621</v>
      </c>
      <c r="AX1718" s="27" t="s">
        <v>1896</v>
      </c>
      <c r="AY1718" s="10" t="s">
        <v>1707</v>
      </c>
      <c r="BA1718" s="25">
        <f>AU1718+AV1718</f>
        <v>0</v>
      </c>
      <c r="BB1718" s="25">
        <f>H1718/(100-BC1718)*100</f>
        <v>0</v>
      </c>
      <c r="BC1718" s="25">
        <v>0</v>
      </c>
      <c r="BD1718" s="25">
        <f>M1718</f>
        <v>1.618512</v>
      </c>
      <c r="BF1718" s="25">
        <f>G1718*AM1718</f>
        <v>0</v>
      </c>
      <c r="BG1718" s="25">
        <f>G1718*AN1718</f>
        <v>0</v>
      </c>
      <c r="BH1718" s="25">
        <f>G1718*H1718</f>
        <v>0</v>
      </c>
      <c r="BI1718" s="27" t="s">
        <v>65</v>
      </c>
      <c r="BJ1718" s="25">
        <v>41</v>
      </c>
      <c r="BU1718" s="25" t="e">
        <f>#REF!</f>
        <v>#REF!</v>
      </c>
      <c r="BV1718" s="4" t="s">
        <v>1895</v>
      </c>
    </row>
    <row r="1719" spans="1:74" ht="14.4" x14ac:dyDescent="0.3">
      <c r="A1719" s="28"/>
      <c r="D1719" s="29" t="s">
        <v>1897</v>
      </c>
      <c r="E1719" s="29" t="s">
        <v>52</v>
      </c>
      <c r="G1719" s="30">
        <v>2.4</v>
      </c>
      <c r="H1719" s="63"/>
      <c r="N1719" s="31"/>
    </row>
    <row r="1720" spans="1:74" ht="14.4" x14ac:dyDescent="0.3">
      <c r="A1720" s="21" t="s">
        <v>52</v>
      </c>
      <c r="B1720" s="22" t="s">
        <v>1699</v>
      </c>
      <c r="C1720" s="22" t="s">
        <v>429</v>
      </c>
      <c r="D1720" s="170" t="s">
        <v>1898</v>
      </c>
      <c r="E1720" s="171"/>
      <c r="F1720" s="23" t="s">
        <v>32</v>
      </c>
      <c r="G1720" s="23" t="s">
        <v>32</v>
      </c>
      <c r="H1720" s="64"/>
      <c r="I1720" s="1">
        <f>SUM(I1721:I1735)</f>
        <v>0</v>
      </c>
      <c r="J1720" s="1">
        <f>SUM(J1721:J1735)</f>
        <v>0</v>
      </c>
      <c r="K1720" s="1">
        <f>SUM(K1721:K1735)</f>
        <v>0</v>
      </c>
      <c r="L1720" s="10" t="s">
        <v>52</v>
      </c>
      <c r="M1720" s="1">
        <f>SUM(M1721:M1735)</f>
        <v>9.75E-3</v>
      </c>
      <c r="N1720" s="24"/>
      <c r="AG1720" s="10" t="s">
        <v>1699</v>
      </c>
      <c r="AQ1720" s="1">
        <f>SUM(AH1721:AH1735)</f>
        <v>0</v>
      </c>
      <c r="AR1720" s="1">
        <f>SUM(AI1721:AI1735)</f>
        <v>0</v>
      </c>
      <c r="AS1720" s="1">
        <f>SUM(AJ1721:AJ1735)</f>
        <v>0</v>
      </c>
    </row>
    <row r="1721" spans="1:74" ht="14.4" x14ac:dyDescent="0.3">
      <c r="A1721" s="2" t="s">
        <v>1899</v>
      </c>
      <c r="B1721" s="3" t="s">
        <v>1699</v>
      </c>
      <c r="C1721" s="3" t="s">
        <v>1900</v>
      </c>
      <c r="D1721" s="112" t="s">
        <v>1901</v>
      </c>
      <c r="E1721" s="109"/>
      <c r="F1721" s="3" t="s">
        <v>860</v>
      </c>
      <c r="G1721" s="25">
        <v>1</v>
      </c>
      <c r="H1721" s="62"/>
      <c r="I1721" s="25">
        <f>ROUND(G1721*AM1721,2)</f>
        <v>0</v>
      </c>
      <c r="J1721" s="25">
        <f>ROUND(G1721*AN1721,2)</f>
        <v>0</v>
      </c>
      <c r="K1721" s="25">
        <f>ROUND(G1721*H1721,2)</f>
        <v>0</v>
      </c>
      <c r="L1721" s="25">
        <v>0</v>
      </c>
      <c r="M1721" s="25">
        <f>G1721*L1721</f>
        <v>0</v>
      </c>
      <c r="N1721" s="102"/>
      <c r="X1721" s="25">
        <f>ROUND(IF(AO1721="5",BH1721,0),2)</f>
        <v>0</v>
      </c>
      <c r="Z1721" s="25">
        <f>ROUND(IF(AO1721="1",BF1721,0),2)</f>
        <v>0</v>
      </c>
      <c r="AA1721" s="25">
        <f>ROUND(IF(AO1721="1",BG1721,0),2)</f>
        <v>0</v>
      </c>
      <c r="AB1721" s="25">
        <f>ROUND(IF(AO1721="7",BF1721,0),2)</f>
        <v>0</v>
      </c>
      <c r="AC1721" s="25">
        <f>ROUND(IF(AO1721="7",BG1721,0),2)</f>
        <v>0</v>
      </c>
      <c r="AD1721" s="25">
        <f>ROUND(IF(AO1721="2",BF1721,0),2)</f>
        <v>0</v>
      </c>
      <c r="AE1721" s="25">
        <f>ROUND(IF(AO1721="2",BG1721,0),2)</f>
        <v>0</v>
      </c>
      <c r="AF1721" s="25">
        <f>ROUND(IF(AO1721="0",BH1721,0),2)</f>
        <v>0</v>
      </c>
      <c r="AG1721" s="10" t="s">
        <v>1699</v>
      </c>
      <c r="AH1721" s="25">
        <f>IF(AL1721=0,K1721,0)</f>
        <v>0</v>
      </c>
      <c r="AI1721" s="25">
        <f>IF(AL1721=12,K1721,0)</f>
        <v>0</v>
      </c>
      <c r="AJ1721" s="25">
        <f>IF(AL1721=21,K1721,0)</f>
        <v>0</v>
      </c>
      <c r="AL1721" s="25">
        <v>21</v>
      </c>
      <c r="AM1721" s="25">
        <f>H1721*0.929795573</f>
        <v>0</v>
      </c>
      <c r="AN1721" s="25">
        <f>H1721*(1-0.929795573)</f>
        <v>0</v>
      </c>
      <c r="AO1721" s="27" t="s">
        <v>57</v>
      </c>
      <c r="AT1721" s="25">
        <f>ROUND(AU1721+AV1721,2)</f>
        <v>0</v>
      </c>
      <c r="AU1721" s="25">
        <f>ROUND(G1721*AM1721,2)</f>
        <v>0</v>
      </c>
      <c r="AV1721" s="25">
        <f>ROUND(G1721*AN1721,2)</f>
        <v>0</v>
      </c>
      <c r="AW1721" s="27" t="s">
        <v>1902</v>
      </c>
      <c r="AX1721" s="27" t="s">
        <v>1903</v>
      </c>
      <c r="AY1721" s="10" t="s">
        <v>1707</v>
      </c>
      <c r="BA1721" s="25">
        <f>AU1721+AV1721</f>
        <v>0</v>
      </c>
      <c r="BB1721" s="25">
        <f>H1721/(100-BC1721)*100</f>
        <v>0</v>
      </c>
      <c r="BC1721" s="25">
        <v>0</v>
      </c>
      <c r="BD1721" s="25">
        <f>M1721</f>
        <v>0</v>
      </c>
      <c r="BF1721" s="25">
        <f>G1721*AM1721</f>
        <v>0</v>
      </c>
      <c r="BG1721" s="25">
        <f>G1721*AN1721</f>
        <v>0</v>
      </c>
      <c r="BH1721" s="25">
        <f>G1721*H1721</f>
        <v>0</v>
      </c>
      <c r="BI1721" s="27" t="s">
        <v>65</v>
      </c>
      <c r="BJ1721" s="25">
        <v>60</v>
      </c>
      <c r="BU1721" s="25" t="e">
        <f>#REF!</f>
        <v>#REF!</v>
      </c>
      <c r="BV1721" s="4" t="s">
        <v>1901</v>
      </c>
    </row>
    <row r="1722" spans="1:74" ht="14.4" x14ac:dyDescent="0.3">
      <c r="A1722" s="28"/>
      <c r="D1722" s="29" t="s">
        <v>57</v>
      </c>
      <c r="E1722" s="29" t="s">
        <v>52</v>
      </c>
      <c r="G1722" s="30">
        <v>1</v>
      </c>
      <c r="H1722" s="63"/>
      <c r="N1722" s="31"/>
    </row>
    <row r="1723" spans="1:74" ht="14.4" x14ac:dyDescent="0.3">
      <c r="A1723" s="2" t="s">
        <v>1904</v>
      </c>
      <c r="B1723" s="3" t="s">
        <v>1699</v>
      </c>
      <c r="C1723" s="3" t="s">
        <v>1905</v>
      </c>
      <c r="D1723" s="112" t="s">
        <v>1906</v>
      </c>
      <c r="E1723" s="109"/>
      <c r="F1723" s="3" t="s">
        <v>100</v>
      </c>
      <c r="G1723" s="25">
        <v>16</v>
      </c>
      <c r="H1723" s="62"/>
      <c r="I1723" s="25">
        <f>ROUND(G1723*AM1723,2)</f>
        <v>0</v>
      </c>
      <c r="J1723" s="25">
        <f>ROUND(G1723*AN1723,2)</f>
        <v>0</v>
      </c>
      <c r="K1723" s="25">
        <f>ROUND(G1723*H1723,2)</f>
        <v>0</v>
      </c>
      <c r="L1723" s="25">
        <v>0</v>
      </c>
      <c r="M1723" s="25">
        <f>G1723*L1723</f>
        <v>0</v>
      </c>
      <c r="N1723" s="102"/>
      <c r="X1723" s="25">
        <f>ROUND(IF(AO1723="5",BH1723,0),2)</f>
        <v>0</v>
      </c>
      <c r="Z1723" s="25">
        <f>ROUND(IF(AO1723="1",BF1723,0),2)</f>
        <v>0</v>
      </c>
      <c r="AA1723" s="25">
        <f>ROUND(IF(AO1723="1",BG1723,0),2)</f>
        <v>0</v>
      </c>
      <c r="AB1723" s="25">
        <f>ROUND(IF(AO1723="7",BF1723,0),2)</f>
        <v>0</v>
      </c>
      <c r="AC1723" s="25">
        <f>ROUND(IF(AO1723="7",BG1723,0),2)</f>
        <v>0</v>
      </c>
      <c r="AD1723" s="25">
        <f>ROUND(IF(AO1723="2",BF1723,0),2)</f>
        <v>0</v>
      </c>
      <c r="AE1723" s="25">
        <f>ROUND(IF(AO1723="2",BG1723,0),2)</f>
        <v>0</v>
      </c>
      <c r="AF1723" s="25">
        <f>ROUND(IF(AO1723="0",BH1723,0),2)</f>
        <v>0</v>
      </c>
      <c r="AG1723" s="10" t="s">
        <v>1699</v>
      </c>
      <c r="AH1723" s="25">
        <f>IF(AL1723=0,K1723,0)</f>
        <v>0</v>
      </c>
      <c r="AI1723" s="25">
        <f>IF(AL1723=12,K1723,0)</f>
        <v>0</v>
      </c>
      <c r="AJ1723" s="25">
        <f>IF(AL1723=21,K1723,0)</f>
        <v>0</v>
      </c>
      <c r="AL1723" s="25">
        <v>21</v>
      </c>
      <c r="AM1723" s="25">
        <f>H1723*0</f>
        <v>0</v>
      </c>
      <c r="AN1723" s="25">
        <f>H1723*(1-0)</f>
        <v>0</v>
      </c>
      <c r="AO1723" s="27" t="s">
        <v>57</v>
      </c>
      <c r="AT1723" s="25">
        <f>ROUND(AU1723+AV1723,2)</f>
        <v>0</v>
      </c>
      <c r="AU1723" s="25">
        <f>ROUND(G1723*AM1723,2)</f>
        <v>0</v>
      </c>
      <c r="AV1723" s="25">
        <f>ROUND(G1723*AN1723,2)</f>
        <v>0</v>
      </c>
      <c r="AW1723" s="27" t="s">
        <v>1902</v>
      </c>
      <c r="AX1723" s="27" t="s">
        <v>1903</v>
      </c>
      <c r="AY1723" s="10" t="s">
        <v>1707</v>
      </c>
      <c r="BA1723" s="25">
        <f>AU1723+AV1723</f>
        <v>0</v>
      </c>
      <c r="BB1723" s="25">
        <f>H1723/(100-BC1723)*100</f>
        <v>0</v>
      </c>
      <c r="BC1723" s="25">
        <v>0</v>
      </c>
      <c r="BD1723" s="25">
        <f>M1723</f>
        <v>0</v>
      </c>
      <c r="BF1723" s="25">
        <f>G1723*AM1723</f>
        <v>0</v>
      </c>
      <c r="BG1723" s="25">
        <f>G1723*AN1723</f>
        <v>0</v>
      </c>
      <c r="BH1723" s="25">
        <f>G1723*H1723</f>
        <v>0</v>
      </c>
      <c r="BI1723" s="27" t="s">
        <v>65</v>
      </c>
      <c r="BJ1723" s="25">
        <v>60</v>
      </c>
      <c r="BU1723" s="25" t="e">
        <f>#REF!</f>
        <v>#REF!</v>
      </c>
      <c r="BV1723" s="4" t="s">
        <v>1906</v>
      </c>
    </row>
    <row r="1724" spans="1:74" ht="14.4" x14ac:dyDescent="0.3">
      <c r="A1724" s="28"/>
      <c r="D1724" s="29" t="s">
        <v>1907</v>
      </c>
      <c r="E1724" s="29" t="s">
        <v>52</v>
      </c>
      <c r="G1724" s="30">
        <v>16</v>
      </c>
      <c r="H1724" s="63"/>
      <c r="N1724" s="31"/>
    </row>
    <row r="1725" spans="1:74" ht="14.4" x14ac:dyDescent="0.3">
      <c r="A1725" s="2" t="s">
        <v>1908</v>
      </c>
      <c r="B1725" s="3" t="s">
        <v>1699</v>
      </c>
      <c r="C1725" s="3" t="s">
        <v>1909</v>
      </c>
      <c r="D1725" s="112" t="s">
        <v>1910</v>
      </c>
      <c r="E1725" s="109"/>
      <c r="F1725" s="3" t="s">
        <v>860</v>
      </c>
      <c r="G1725" s="25">
        <v>1</v>
      </c>
      <c r="H1725" s="62"/>
      <c r="I1725" s="25">
        <f>ROUND(G1725*AM1725,2)</f>
        <v>0</v>
      </c>
      <c r="J1725" s="25">
        <f>ROUND(G1725*AN1725,2)</f>
        <v>0</v>
      </c>
      <c r="K1725" s="25">
        <f>ROUND(G1725*H1725,2)</f>
        <v>0</v>
      </c>
      <c r="L1725" s="25">
        <v>1.0000000000000001E-5</v>
      </c>
      <c r="M1725" s="25">
        <f>G1725*L1725</f>
        <v>1.0000000000000001E-5</v>
      </c>
      <c r="N1725" s="102"/>
      <c r="X1725" s="25">
        <f>ROUND(IF(AO1725="5",BH1725,0),2)</f>
        <v>0</v>
      </c>
      <c r="Z1725" s="25">
        <f>ROUND(IF(AO1725="1",BF1725,0),2)</f>
        <v>0</v>
      </c>
      <c r="AA1725" s="25">
        <f>ROUND(IF(AO1725="1",BG1725,0),2)</f>
        <v>0</v>
      </c>
      <c r="AB1725" s="25">
        <f>ROUND(IF(AO1725="7",BF1725,0),2)</f>
        <v>0</v>
      </c>
      <c r="AC1725" s="25">
        <f>ROUND(IF(AO1725="7",BG1725,0),2)</f>
        <v>0</v>
      </c>
      <c r="AD1725" s="25">
        <f>ROUND(IF(AO1725="2",BF1725,0),2)</f>
        <v>0</v>
      </c>
      <c r="AE1725" s="25">
        <f>ROUND(IF(AO1725="2",BG1725,0),2)</f>
        <v>0</v>
      </c>
      <c r="AF1725" s="25">
        <f>ROUND(IF(AO1725="0",BH1725,0),2)</f>
        <v>0</v>
      </c>
      <c r="AG1725" s="10" t="s">
        <v>1699</v>
      </c>
      <c r="AH1725" s="25">
        <f>IF(AL1725=0,K1725,0)</f>
        <v>0</v>
      </c>
      <c r="AI1725" s="25">
        <f>IF(AL1725=12,K1725,0)</f>
        <v>0</v>
      </c>
      <c r="AJ1725" s="25">
        <f>IF(AL1725=21,K1725,0)</f>
        <v>0</v>
      </c>
      <c r="AL1725" s="25">
        <v>21</v>
      </c>
      <c r="AM1725" s="25">
        <f>H1725*0</f>
        <v>0</v>
      </c>
      <c r="AN1725" s="25">
        <f>H1725*(1-0)</f>
        <v>0</v>
      </c>
      <c r="AO1725" s="27" t="s">
        <v>57</v>
      </c>
      <c r="AT1725" s="25">
        <f>ROUND(AU1725+AV1725,2)</f>
        <v>0</v>
      </c>
      <c r="AU1725" s="25">
        <f>ROUND(G1725*AM1725,2)</f>
        <v>0</v>
      </c>
      <c r="AV1725" s="25">
        <f>ROUND(G1725*AN1725,2)</f>
        <v>0</v>
      </c>
      <c r="AW1725" s="27" t="s">
        <v>1902</v>
      </c>
      <c r="AX1725" s="27" t="s">
        <v>1903</v>
      </c>
      <c r="AY1725" s="10" t="s">
        <v>1707</v>
      </c>
      <c r="BA1725" s="25">
        <f>AU1725+AV1725</f>
        <v>0</v>
      </c>
      <c r="BB1725" s="25">
        <f>H1725/(100-BC1725)*100</f>
        <v>0</v>
      </c>
      <c r="BC1725" s="25">
        <v>0</v>
      </c>
      <c r="BD1725" s="25">
        <f>M1725</f>
        <v>1.0000000000000001E-5</v>
      </c>
      <c r="BF1725" s="25">
        <f>G1725*AM1725</f>
        <v>0</v>
      </c>
      <c r="BG1725" s="25">
        <f>G1725*AN1725</f>
        <v>0</v>
      </c>
      <c r="BH1725" s="25">
        <f>G1725*H1725</f>
        <v>0</v>
      </c>
      <c r="BI1725" s="27" t="s">
        <v>65</v>
      </c>
      <c r="BJ1725" s="25">
        <v>60</v>
      </c>
      <c r="BU1725" s="25" t="e">
        <f>#REF!</f>
        <v>#REF!</v>
      </c>
      <c r="BV1725" s="4" t="s">
        <v>1910</v>
      </c>
    </row>
    <row r="1726" spans="1:74" ht="14.4" x14ac:dyDescent="0.3">
      <c r="A1726" s="28"/>
      <c r="D1726" s="29" t="s">
        <v>57</v>
      </c>
      <c r="E1726" s="29" t="s">
        <v>52</v>
      </c>
      <c r="G1726" s="30">
        <v>1</v>
      </c>
      <c r="H1726" s="63"/>
      <c r="N1726" s="31"/>
    </row>
    <row r="1727" spans="1:74" ht="26.4" x14ac:dyDescent="0.3">
      <c r="A1727" s="2" t="s">
        <v>1911</v>
      </c>
      <c r="B1727" s="3" t="s">
        <v>1699</v>
      </c>
      <c r="C1727" s="3" t="s">
        <v>1912</v>
      </c>
      <c r="D1727" s="112" t="s">
        <v>1913</v>
      </c>
      <c r="E1727" s="109"/>
      <c r="F1727" s="3" t="s">
        <v>100</v>
      </c>
      <c r="G1727" s="25">
        <v>18</v>
      </c>
      <c r="H1727" s="62"/>
      <c r="I1727" s="25">
        <f>ROUND(G1727*AM1727,2)</f>
        <v>0</v>
      </c>
      <c r="J1727" s="25">
        <f>ROUND(G1727*AN1727,2)</f>
        <v>0</v>
      </c>
      <c r="K1727" s="25">
        <f>ROUND(G1727*H1727,2)</f>
        <v>0</v>
      </c>
      <c r="L1727" s="25">
        <v>0</v>
      </c>
      <c r="M1727" s="25">
        <f>G1727*L1727</f>
        <v>0</v>
      </c>
      <c r="N1727" s="26"/>
      <c r="X1727" s="25">
        <f>ROUND(IF(AO1727="5",BH1727,0),2)</f>
        <v>0</v>
      </c>
      <c r="Z1727" s="25">
        <f>ROUND(IF(AO1727="1",BF1727,0),2)</f>
        <v>0</v>
      </c>
      <c r="AA1727" s="25">
        <f>ROUND(IF(AO1727="1",BG1727,0),2)</f>
        <v>0</v>
      </c>
      <c r="AB1727" s="25">
        <f>ROUND(IF(AO1727="7",BF1727,0),2)</f>
        <v>0</v>
      </c>
      <c r="AC1727" s="25">
        <f>ROUND(IF(AO1727="7",BG1727,0),2)</f>
        <v>0</v>
      </c>
      <c r="AD1727" s="25">
        <f>ROUND(IF(AO1727="2",BF1727,0),2)</f>
        <v>0</v>
      </c>
      <c r="AE1727" s="25">
        <f>ROUND(IF(AO1727="2",BG1727,0),2)</f>
        <v>0</v>
      </c>
      <c r="AF1727" s="25">
        <f>ROUND(IF(AO1727="0",BH1727,0),2)</f>
        <v>0</v>
      </c>
      <c r="AG1727" s="10" t="s">
        <v>1699</v>
      </c>
      <c r="AH1727" s="25">
        <f>IF(AL1727=0,K1727,0)</f>
        <v>0</v>
      </c>
      <c r="AI1727" s="25">
        <f>IF(AL1727=12,K1727,0)</f>
        <v>0</v>
      </c>
      <c r="AJ1727" s="25">
        <f>IF(AL1727=21,K1727,0)</f>
        <v>0</v>
      </c>
      <c r="AL1727" s="25">
        <v>21</v>
      </c>
      <c r="AM1727" s="25">
        <f>H1727*0</f>
        <v>0</v>
      </c>
      <c r="AN1727" s="25">
        <f>H1727*(1-0)</f>
        <v>0</v>
      </c>
      <c r="AO1727" s="27" t="s">
        <v>57</v>
      </c>
      <c r="AT1727" s="25">
        <f>ROUND(AU1727+AV1727,2)</f>
        <v>0</v>
      </c>
      <c r="AU1727" s="25">
        <f>ROUND(G1727*AM1727,2)</f>
        <v>0</v>
      </c>
      <c r="AV1727" s="25">
        <f>ROUND(G1727*AN1727,2)</f>
        <v>0</v>
      </c>
      <c r="AW1727" s="27" t="s">
        <v>1902</v>
      </c>
      <c r="AX1727" s="27" t="s">
        <v>1903</v>
      </c>
      <c r="AY1727" s="10" t="s">
        <v>1707</v>
      </c>
      <c r="BA1727" s="25">
        <f>AU1727+AV1727</f>
        <v>0</v>
      </c>
      <c r="BB1727" s="25">
        <f>H1727/(100-BC1727)*100</f>
        <v>0</v>
      </c>
      <c r="BC1727" s="25">
        <v>0</v>
      </c>
      <c r="BD1727" s="25">
        <f>M1727</f>
        <v>0</v>
      </c>
      <c r="BF1727" s="25">
        <f>G1727*AM1727</f>
        <v>0</v>
      </c>
      <c r="BG1727" s="25">
        <f>G1727*AN1727</f>
        <v>0</v>
      </c>
      <c r="BH1727" s="25">
        <f>G1727*H1727</f>
        <v>0</v>
      </c>
      <c r="BI1727" s="27" t="s">
        <v>65</v>
      </c>
      <c r="BJ1727" s="25">
        <v>60</v>
      </c>
      <c r="BU1727" s="25" t="e">
        <f>#REF!</f>
        <v>#REF!</v>
      </c>
      <c r="BV1727" s="4" t="s">
        <v>1913</v>
      </c>
    </row>
    <row r="1728" spans="1:74" ht="14.4" x14ac:dyDescent="0.3">
      <c r="A1728" s="28"/>
      <c r="D1728" s="29" t="s">
        <v>187</v>
      </c>
      <c r="E1728" s="29" t="s">
        <v>52</v>
      </c>
      <c r="G1728" s="30">
        <v>18</v>
      </c>
      <c r="H1728" s="63"/>
      <c r="N1728" s="31"/>
    </row>
    <row r="1729" spans="1:74" ht="14.4" x14ac:dyDescent="0.3">
      <c r="A1729" s="2" t="s">
        <v>1914</v>
      </c>
      <c r="B1729" s="3" t="s">
        <v>1699</v>
      </c>
      <c r="C1729" s="3" t="s">
        <v>1915</v>
      </c>
      <c r="D1729" s="112" t="s">
        <v>1916</v>
      </c>
      <c r="E1729" s="109"/>
      <c r="F1729" s="3" t="s">
        <v>860</v>
      </c>
      <c r="G1729" s="25">
        <v>1</v>
      </c>
      <c r="H1729" s="62"/>
      <c r="I1729" s="25">
        <f>ROUND(G1729*AM1729,2)</f>
        <v>0</v>
      </c>
      <c r="J1729" s="25">
        <f>ROUND(G1729*AN1729,2)</f>
        <v>0</v>
      </c>
      <c r="K1729" s="25">
        <f>ROUND(G1729*H1729,2)</f>
        <v>0</v>
      </c>
      <c r="L1729" s="25">
        <v>4.8700000000000002E-3</v>
      </c>
      <c r="M1729" s="25">
        <f>G1729*L1729</f>
        <v>4.8700000000000002E-3</v>
      </c>
      <c r="N1729" s="102"/>
      <c r="X1729" s="25">
        <f>ROUND(IF(AO1729="5",BH1729,0),2)</f>
        <v>0</v>
      </c>
      <c r="Z1729" s="25">
        <f>ROUND(IF(AO1729="1",BF1729,0),2)</f>
        <v>0</v>
      </c>
      <c r="AA1729" s="25">
        <f>ROUND(IF(AO1729="1",BG1729,0),2)</f>
        <v>0</v>
      </c>
      <c r="AB1729" s="25">
        <f>ROUND(IF(AO1729="7",BF1729,0),2)</f>
        <v>0</v>
      </c>
      <c r="AC1729" s="25">
        <f>ROUND(IF(AO1729="7",BG1729,0),2)</f>
        <v>0</v>
      </c>
      <c r="AD1729" s="25">
        <f>ROUND(IF(AO1729="2",BF1729,0),2)</f>
        <v>0</v>
      </c>
      <c r="AE1729" s="25">
        <f>ROUND(IF(AO1729="2",BG1729,0),2)</f>
        <v>0</v>
      </c>
      <c r="AF1729" s="25">
        <f>ROUND(IF(AO1729="0",BH1729,0),2)</f>
        <v>0</v>
      </c>
      <c r="AG1729" s="10" t="s">
        <v>1699</v>
      </c>
      <c r="AH1729" s="25">
        <f>IF(AL1729=0,K1729,0)</f>
        <v>0</v>
      </c>
      <c r="AI1729" s="25">
        <f>IF(AL1729=12,K1729,0)</f>
        <v>0</v>
      </c>
      <c r="AJ1729" s="25">
        <f>IF(AL1729=21,K1729,0)</f>
        <v>0</v>
      </c>
      <c r="AL1729" s="25">
        <v>21</v>
      </c>
      <c r="AM1729" s="25">
        <f>H1729*0</f>
        <v>0</v>
      </c>
      <c r="AN1729" s="25">
        <f>H1729*(1-0)</f>
        <v>0</v>
      </c>
      <c r="AO1729" s="27" t="s">
        <v>57</v>
      </c>
      <c r="AT1729" s="25">
        <f>ROUND(AU1729+AV1729,2)</f>
        <v>0</v>
      </c>
      <c r="AU1729" s="25">
        <f>ROUND(G1729*AM1729,2)</f>
        <v>0</v>
      </c>
      <c r="AV1729" s="25">
        <f>ROUND(G1729*AN1729,2)</f>
        <v>0</v>
      </c>
      <c r="AW1729" s="27" t="s">
        <v>1902</v>
      </c>
      <c r="AX1729" s="27" t="s">
        <v>1903</v>
      </c>
      <c r="AY1729" s="10" t="s">
        <v>1707</v>
      </c>
      <c r="BA1729" s="25">
        <f>AU1729+AV1729</f>
        <v>0</v>
      </c>
      <c r="BB1729" s="25">
        <f>H1729/(100-BC1729)*100</f>
        <v>0</v>
      </c>
      <c r="BC1729" s="25">
        <v>0</v>
      </c>
      <c r="BD1729" s="25">
        <f>M1729</f>
        <v>4.8700000000000002E-3</v>
      </c>
      <c r="BF1729" s="25">
        <f>G1729*AM1729</f>
        <v>0</v>
      </c>
      <c r="BG1729" s="25">
        <f>G1729*AN1729</f>
        <v>0</v>
      </c>
      <c r="BH1729" s="25">
        <f>G1729*H1729</f>
        <v>0</v>
      </c>
      <c r="BI1729" s="27" t="s">
        <v>65</v>
      </c>
      <c r="BJ1729" s="25">
        <v>60</v>
      </c>
      <c r="BU1729" s="25" t="e">
        <f>#REF!</f>
        <v>#REF!</v>
      </c>
      <c r="BV1729" s="4" t="s">
        <v>1916</v>
      </c>
    </row>
    <row r="1730" spans="1:74" ht="14.4" x14ac:dyDescent="0.3">
      <c r="A1730" s="28"/>
      <c r="D1730" s="29" t="s">
        <v>57</v>
      </c>
      <c r="E1730" s="29" t="s">
        <v>52</v>
      </c>
      <c r="G1730" s="30">
        <v>1</v>
      </c>
      <c r="H1730" s="63"/>
      <c r="N1730" s="31"/>
    </row>
    <row r="1731" spans="1:74" ht="14.4" x14ac:dyDescent="0.3">
      <c r="A1731" s="2" t="s">
        <v>1917</v>
      </c>
      <c r="B1731" s="3" t="s">
        <v>1699</v>
      </c>
      <c r="C1731" s="3" t="s">
        <v>1918</v>
      </c>
      <c r="D1731" s="112" t="s">
        <v>1919</v>
      </c>
      <c r="E1731" s="109"/>
      <c r="F1731" s="3" t="s">
        <v>860</v>
      </c>
      <c r="G1731" s="25">
        <v>1</v>
      </c>
      <c r="H1731" s="62"/>
      <c r="I1731" s="25">
        <f>ROUND(G1731*AM1731,2)</f>
        <v>0</v>
      </c>
      <c r="J1731" s="25">
        <f>ROUND(G1731*AN1731,2)</f>
        <v>0</v>
      </c>
      <c r="K1731" s="25">
        <f>ROUND(G1731*H1731,2)</f>
        <v>0</v>
      </c>
      <c r="L1731" s="25">
        <v>4.8700000000000002E-3</v>
      </c>
      <c r="M1731" s="25">
        <f>G1731*L1731</f>
        <v>4.8700000000000002E-3</v>
      </c>
      <c r="N1731" s="102"/>
      <c r="X1731" s="25">
        <f>ROUND(IF(AO1731="5",BH1731,0),2)</f>
        <v>0</v>
      </c>
      <c r="Z1731" s="25">
        <f>ROUND(IF(AO1731="1",BF1731,0),2)</f>
        <v>0</v>
      </c>
      <c r="AA1731" s="25">
        <f>ROUND(IF(AO1731="1",BG1731,0),2)</f>
        <v>0</v>
      </c>
      <c r="AB1731" s="25">
        <f>ROUND(IF(AO1731="7",BF1731,0),2)</f>
        <v>0</v>
      </c>
      <c r="AC1731" s="25">
        <f>ROUND(IF(AO1731="7",BG1731,0),2)</f>
        <v>0</v>
      </c>
      <c r="AD1731" s="25">
        <f>ROUND(IF(AO1731="2",BF1731,0),2)</f>
        <v>0</v>
      </c>
      <c r="AE1731" s="25">
        <f>ROUND(IF(AO1731="2",BG1731,0),2)</f>
        <v>0</v>
      </c>
      <c r="AF1731" s="25">
        <f>ROUND(IF(AO1731="0",BH1731,0),2)</f>
        <v>0</v>
      </c>
      <c r="AG1731" s="10" t="s">
        <v>1699</v>
      </c>
      <c r="AH1731" s="25">
        <f>IF(AL1731=0,K1731,0)</f>
        <v>0</v>
      </c>
      <c r="AI1731" s="25">
        <f>IF(AL1731=12,K1731,0)</f>
        <v>0</v>
      </c>
      <c r="AJ1731" s="25">
        <f>IF(AL1731=21,K1731,0)</f>
        <v>0</v>
      </c>
      <c r="AL1731" s="25">
        <v>21</v>
      </c>
      <c r="AM1731" s="25">
        <f>H1731*0</f>
        <v>0</v>
      </c>
      <c r="AN1731" s="25">
        <f>H1731*(1-0)</f>
        <v>0</v>
      </c>
      <c r="AO1731" s="27" t="s">
        <v>57</v>
      </c>
      <c r="AT1731" s="25">
        <f>ROUND(AU1731+AV1731,2)</f>
        <v>0</v>
      </c>
      <c r="AU1731" s="25">
        <f>ROUND(G1731*AM1731,2)</f>
        <v>0</v>
      </c>
      <c r="AV1731" s="25">
        <f>ROUND(G1731*AN1731,2)</f>
        <v>0</v>
      </c>
      <c r="AW1731" s="27" t="s">
        <v>1902</v>
      </c>
      <c r="AX1731" s="27" t="s">
        <v>1903</v>
      </c>
      <c r="AY1731" s="10" t="s">
        <v>1707</v>
      </c>
      <c r="BA1731" s="25">
        <f>AU1731+AV1731</f>
        <v>0</v>
      </c>
      <c r="BB1731" s="25">
        <f>H1731/(100-BC1731)*100</f>
        <v>0</v>
      </c>
      <c r="BC1731" s="25">
        <v>0</v>
      </c>
      <c r="BD1731" s="25">
        <f>M1731</f>
        <v>4.8700000000000002E-3</v>
      </c>
      <c r="BF1731" s="25">
        <f>G1731*AM1731</f>
        <v>0</v>
      </c>
      <c r="BG1731" s="25">
        <f>G1731*AN1731</f>
        <v>0</v>
      </c>
      <c r="BH1731" s="25">
        <f>G1731*H1731</f>
        <v>0</v>
      </c>
      <c r="BI1731" s="27" t="s">
        <v>65</v>
      </c>
      <c r="BJ1731" s="25">
        <v>60</v>
      </c>
      <c r="BU1731" s="25" t="e">
        <f>#REF!</f>
        <v>#REF!</v>
      </c>
      <c r="BV1731" s="4" t="s">
        <v>1919</v>
      </c>
    </row>
    <row r="1732" spans="1:74" ht="14.4" x14ac:dyDescent="0.3">
      <c r="A1732" s="28"/>
      <c r="D1732" s="29" t="s">
        <v>57</v>
      </c>
      <c r="E1732" s="29" t="s">
        <v>52</v>
      </c>
      <c r="G1732" s="30">
        <v>1</v>
      </c>
      <c r="H1732" s="63"/>
      <c r="N1732" s="31"/>
    </row>
    <row r="1733" spans="1:74" ht="14.4" x14ac:dyDescent="0.3">
      <c r="A1733" s="2" t="s">
        <v>1920</v>
      </c>
      <c r="B1733" s="3" t="s">
        <v>1699</v>
      </c>
      <c r="C1733" s="3" t="s">
        <v>1921</v>
      </c>
      <c r="D1733" s="112" t="s">
        <v>1922</v>
      </c>
      <c r="E1733" s="109"/>
      <c r="F1733" s="3" t="s">
        <v>860</v>
      </c>
      <c r="G1733" s="25">
        <v>1</v>
      </c>
      <c r="H1733" s="62"/>
      <c r="I1733" s="25">
        <f>ROUND(G1733*AM1733,2)</f>
        <v>0</v>
      </c>
      <c r="J1733" s="25">
        <f>ROUND(G1733*AN1733,2)</f>
        <v>0</v>
      </c>
      <c r="K1733" s="25">
        <f>ROUND(G1733*H1733,2)</f>
        <v>0</v>
      </c>
      <c r="L1733" s="25">
        <v>0</v>
      </c>
      <c r="M1733" s="25">
        <f>G1733*L1733</f>
        <v>0</v>
      </c>
      <c r="N1733" s="102"/>
      <c r="X1733" s="25">
        <f>ROUND(IF(AO1733="5",BH1733,0),2)</f>
        <v>0</v>
      </c>
      <c r="Z1733" s="25">
        <f>ROUND(IF(AO1733="1",BF1733,0),2)</f>
        <v>0</v>
      </c>
      <c r="AA1733" s="25">
        <f>ROUND(IF(AO1733="1",BG1733,0),2)</f>
        <v>0</v>
      </c>
      <c r="AB1733" s="25">
        <f>ROUND(IF(AO1733="7",BF1733,0),2)</f>
        <v>0</v>
      </c>
      <c r="AC1733" s="25">
        <f>ROUND(IF(AO1733="7",BG1733,0),2)</f>
        <v>0</v>
      </c>
      <c r="AD1733" s="25">
        <f>ROUND(IF(AO1733="2",BF1733,0),2)</f>
        <v>0</v>
      </c>
      <c r="AE1733" s="25">
        <f>ROUND(IF(AO1733="2",BG1733,0),2)</f>
        <v>0</v>
      </c>
      <c r="AF1733" s="25">
        <f>ROUND(IF(AO1733="0",BH1733,0),2)</f>
        <v>0</v>
      </c>
      <c r="AG1733" s="10" t="s">
        <v>1699</v>
      </c>
      <c r="AH1733" s="25">
        <f>IF(AL1733=0,K1733,0)</f>
        <v>0</v>
      </c>
      <c r="AI1733" s="25">
        <f>IF(AL1733=12,K1733,0)</f>
        <v>0</v>
      </c>
      <c r="AJ1733" s="25">
        <f>IF(AL1733=21,K1733,0)</f>
        <v>0</v>
      </c>
      <c r="AL1733" s="25">
        <v>21</v>
      </c>
      <c r="AM1733" s="25">
        <f>H1733*0.432432381</f>
        <v>0</v>
      </c>
      <c r="AN1733" s="25">
        <f>H1733*(1-0.432432381)</f>
        <v>0</v>
      </c>
      <c r="AO1733" s="27" t="s">
        <v>57</v>
      </c>
      <c r="AT1733" s="25">
        <f>ROUND(AU1733+AV1733,2)</f>
        <v>0</v>
      </c>
      <c r="AU1733" s="25">
        <f>ROUND(G1733*AM1733,2)</f>
        <v>0</v>
      </c>
      <c r="AV1733" s="25">
        <f>ROUND(G1733*AN1733,2)</f>
        <v>0</v>
      </c>
      <c r="AW1733" s="27" t="s">
        <v>1902</v>
      </c>
      <c r="AX1733" s="27" t="s">
        <v>1903</v>
      </c>
      <c r="AY1733" s="10" t="s">
        <v>1707</v>
      </c>
      <c r="BA1733" s="25">
        <f>AU1733+AV1733</f>
        <v>0</v>
      </c>
      <c r="BB1733" s="25">
        <f>H1733/(100-BC1733)*100</f>
        <v>0</v>
      </c>
      <c r="BC1733" s="25">
        <v>0</v>
      </c>
      <c r="BD1733" s="25">
        <f>M1733</f>
        <v>0</v>
      </c>
      <c r="BF1733" s="25">
        <f>G1733*AM1733</f>
        <v>0</v>
      </c>
      <c r="BG1733" s="25">
        <f>G1733*AN1733</f>
        <v>0</v>
      </c>
      <c r="BH1733" s="25">
        <f>G1733*H1733</f>
        <v>0</v>
      </c>
      <c r="BI1733" s="27" t="s">
        <v>65</v>
      </c>
      <c r="BJ1733" s="25">
        <v>60</v>
      </c>
      <c r="BU1733" s="25" t="e">
        <f>#REF!</f>
        <v>#REF!</v>
      </c>
      <c r="BV1733" s="4" t="s">
        <v>1922</v>
      </c>
    </row>
    <row r="1734" spans="1:74" ht="14.4" x14ac:dyDescent="0.3">
      <c r="A1734" s="28"/>
      <c r="D1734" s="29" t="s">
        <v>57</v>
      </c>
      <c r="E1734" s="29" t="s">
        <v>52</v>
      </c>
      <c r="G1734" s="30">
        <v>1</v>
      </c>
      <c r="H1734" s="63"/>
      <c r="N1734" s="31"/>
    </row>
    <row r="1735" spans="1:74" ht="14.4" x14ac:dyDescent="0.3">
      <c r="A1735" s="2" t="s">
        <v>1923</v>
      </c>
      <c r="B1735" s="3" t="s">
        <v>1699</v>
      </c>
      <c r="C1735" s="3" t="s">
        <v>1924</v>
      </c>
      <c r="D1735" s="112" t="s">
        <v>1925</v>
      </c>
      <c r="E1735" s="109"/>
      <c r="F1735" s="3" t="s">
        <v>860</v>
      </c>
      <c r="G1735" s="25">
        <v>1</v>
      </c>
      <c r="H1735" s="62"/>
      <c r="I1735" s="25">
        <f>ROUND(G1735*AM1735,2)</f>
        <v>0</v>
      </c>
      <c r="J1735" s="25">
        <f>ROUND(G1735*AN1735,2)</f>
        <v>0</v>
      </c>
      <c r="K1735" s="25">
        <f>ROUND(G1735*H1735,2)</f>
        <v>0</v>
      </c>
      <c r="L1735" s="25">
        <v>0</v>
      </c>
      <c r="M1735" s="25">
        <f>G1735*L1735</f>
        <v>0</v>
      </c>
      <c r="N1735" s="102"/>
      <c r="X1735" s="25">
        <f>ROUND(IF(AO1735="5",BH1735,0),2)</f>
        <v>0</v>
      </c>
      <c r="Z1735" s="25">
        <f>ROUND(IF(AO1735="1",BF1735,0),2)</f>
        <v>0</v>
      </c>
      <c r="AA1735" s="25">
        <f>ROUND(IF(AO1735="1",BG1735,0),2)</f>
        <v>0</v>
      </c>
      <c r="AB1735" s="25">
        <f>ROUND(IF(AO1735="7",BF1735,0),2)</f>
        <v>0</v>
      </c>
      <c r="AC1735" s="25">
        <f>ROUND(IF(AO1735="7",BG1735,0),2)</f>
        <v>0</v>
      </c>
      <c r="AD1735" s="25">
        <f>ROUND(IF(AO1735="2",BF1735,0),2)</f>
        <v>0</v>
      </c>
      <c r="AE1735" s="25">
        <f>ROUND(IF(AO1735="2",BG1735,0),2)</f>
        <v>0</v>
      </c>
      <c r="AF1735" s="25">
        <f>ROUND(IF(AO1735="0",BH1735,0),2)</f>
        <v>0</v>
      </c>
      <c r="AG1735" s="10" t="s">
        <v>1699</v>
      </c>
      <c r="AH1735" s="25">
        <f>IF(AL1735=0,K1735,0)</f>
        <v>0</v>
      </c>
      <c r="AI1735" s="25">
        <f>IF(AL1735=12,K1735,0)</f>
        <v>0</v>
      </c>
      <c r="AJ1735" s="25">
        <f>IF(AL1735=21,K1735,0)</f>
        <v>0</v>
      </c>
      <c r="AL1735" s="25">
        <v>21</v>
      </c>
      <c r="AM1735" s="25">
        <f>H1735*0</f>
        <v>0</v>
      </c>
      <c r="AN1735" s="25">
        <f>H1735*(1-0)</f>
        <v>0</v>
      </c>
      <c r="AO1735" s="27" t="s">
        <v>57</v>
      </c>
      <c r="AT1735" s="25">
        <f>ROUND(AU1735+AV1735,2)</f>
        <v>0</v>
      </c>
      <c r="AU1735" s="25">
        <f>ROUND(G1735*AM1735,2)</f>
        <v>0</v>
      </c>
      <c r="AV1735" s="25">
        <f>ROUND(G1735*AN1735,2)</f>
        <v>0</v>
      </c>
      <c r="AW1735" s="27" t="s">
        <v>1902</v>
      </c>
      <c r="AX1735" s="27" t="s">
        <v>1903</v>
      </c>
      <c r="AY1735" s="10" t="s">
        <v>1707</v>
      </c>
      <c r="BA1735" s="25">
        <f>AU1735+AV1735</f>
        <v>0</v>
      </c>
      <c r="BB1735" s="25">
        <f>H1735/(100-BC1735)*100</f>
        <v>0</v>
      </c>
      <c r="BC1735" s="25">
        <v>0</v>
      </c>
      <c r="BD1735" s="25">
        <f>M1735</f>
        <v>0</v>
      </c>
      <c r="BF1735" s="25">
        <f>G1735*AM1735</f>
        <v>0</v>
      </c>
      <c r="BG1735" s="25">
        <f>G1735*AN1735</f>
        <v>0</v>
      </c>
      <c r="BH1735" s="25">
        <f>G1735*H1735</f>
        <v>0</v>
      </c>
      <c r="BI1735" s="27" t="s">
        <v>65</v>
      </c>
      <c r="BJ1735" s="25">
        <v>60</v>
      </c>
      <c r="BU1735" s="25" t="e">
        <f>#REF!</f>
        <v>#REF!</v>
      </c>
      <c r="BV1735" s="4" t="s">
        <v>1925</v>
      </c>
    </row>
    <row r="1736" spans="1:74" ht="14.4" x14ac:dyDescent="0.3">
      <c r="A1736" s="28"/>
      <c r="D1736" s="29" t="s">
        <v>57</v>
      </c>
      <c r="E1736" s="29" t="s">
        <v>52</v>
      </c>
      <c r="G1736" s="30">
        <v>1</v>
      </c>
      <c r="H1736" s="63"/>
      <c r="N1736" s="31"/>
    </row>
    <row r="1737" spans="1:74" ht="14.4" x14ac:dyDescent="0.3">
      <c r="A1737" s="21" t="s">
        <v>52</v>
      </c>
      <c r="B1737" s="22" t="s">
        <v>1699</v>
      </c>
      <c r="C1737" s="22" t="s">
        <v>434</v>
      </c>
      <c r="D1737" s="170" t="s">
        <v>661</v>
      </c>
      <c r="E1737" s="171"/>
      <c r="F1737" s="23" t="s">
        <v>32</v>
      </c>
      <c r="G1737" s="23" t="s">
        <v>32</v>
      </c>
      <c r="H1737" s="64"/>
      <c r="I1737" s="1">
        <f>SUM(I1738:I1744)</f>
        <v>0</v>
      </c>
      <c r="J1737" s="1">
        <f>SUM(J1738:J1744)</f>
        <v>0</v>
      </c>
      <c r="K1737" s="1">
        <f>SUM(K1738:K1744)</f>
        <v>0</v>
      </c>
      <c r="L1737" s="10" t="s">
        <v>52</v>
      </c>
      <c r="M1737" s="1">
        <f>SUM(M1738:M1744)</f>
        <v>2.4760900000000001</v>
      </c>
      <c r="N1737" s="24"/>
      <c r="AG1737" s="10" t="s">
        <v>1699</v>
      </c>
      <c r="AQ1737" s="1">
        <f>SUM(AH1738:AH1744)</f>
        <v>0</v>
      </c>
      <c r="AR1737" s="1">
        <f>SUM(AI1738:AI1744)</f>
        <v>0</v>
      </c>
      <c r="AS1737" s="1">
        <f>SUM(AJ1738:AJ1744)</f>
        <v>0</v>
      </c>
    </row>
    <row r="1738" spans="1:74" ht="14.4" x14ac:dyDescent="0.3">
      <c r="A1738" s="2" t="s">
        <v>1926</v>
      </c>
      <c r="B1738" s="3" t="s">
        <v>1699</v>
      </c>
      <c r="C1738" s="3" t="s">
        <v>1927</v>
      </c>
      <c r="D1738" s="112" t="s">
        <v>1928</v>
      </c>
      <c r="E1738" s="109"/>
      <c r="F1738" s="3" t="s">
        <v>115</v>
      </c>
      <c r="G1738" s="25">
        <v>98</v>
      </c>
      <c r="H1738" s="62"/>
      <c r="I1738" s="25">
        <f>ROUND(G1738*AM1738,2)</f>
        <v>0</v>
      </c>
      <c r="J1738" s="25">
        <f>ROUND(G1738*AN1738,2)</f>
        <v>0</v>
      </c>
      <c r="K1738" s="25">
        <f>ROUND(G1738*H1738,2)</f>
        <v>0</v>
      </c>
      <c r="L1738" s="25">
        <v>4.3299999999999996E-3</v>
      </c>
      <c r="M1738" s="25">
        <f>G1738*L1738</f>
        <v>0.42433999999999994</v>
      </c>
      <c r="N1738" s="26"/>
      <c r="X1738" s="25">
        <f>ROUND(IF(AO1738="5",BH1738,0),2)</f>
        <v>0</v>
      </c>
      <c r="Z1738" s="25">
        <f>ROUND(IF(AO1738="1",BF1738,0),2)</f>
        <v>0</v>
      </c>
      <c r="AA1738" s="25">
        <f>ROUND(IF(AO1738="1",BG1738,0),2)</f>
        <v>0</v>
      </c>
      <c r="AB1738" s="25">
        <f>ROUND(IF(AO1738="7",BF1738,0),2)</f>
        <v>0</v>
      </c>
      <c r="AC1738" s="25">
        <f>ROUND(IF(AO1738="7",BG1738,0),2)</f>
        <v>0</v>
      </c>
      <c r="AD1738" s="25">
        <f>ROUND(IF(AO1738="2",BF1738,0),2)</f>
        <v>0</v>
      </c>
      <c r="AE1738" s="25">
        <f>ROUND(IF(AO1738="2",BG1738,0),2)</f>
        <v>0</v>
      </c>
      <c r="AF1738" s="25">
        <f>ROUND(IF(AO1738="0",BH1738,0),2)</f>
        <v>0</v>
      </c>
      <c r="AG1738" s="10" t="s">
        <v>1699</v>
      </c>
      <c r="AH1738" s="25">
        <f>IF(AL1738=0,K1738,0)</f>
        <v>0</v>
      </c>
      <c r="AI1738" s="25">
        <f>IF(AL1738=12,K1738,0)</f>
        <v>0</v>
      </c>
      <c r="AJ1738" s="25">
        <f>IF(AL1738=21,K1738,0)</f>
        <v>0</v>
      </c>
      <c r="AL1738" s="25">
        <v>21</v>
      </c>
      <c r="AM1738" s="25">
        <f>H1738*0.247542628</f>
        <v>0</v>
      </c>
      <c r="AN1738" s="25">
        <f>H1738*(1-0.247542628)</f>
        <v>0</v>
      </c>
      <c r="AO1738" s="27" t="s">
        <v>57</v>
      </c>
      <c r="AT1738" s="25">
        <f>ROUND(AU1738+AV1738,2)</f>
        <v>0</v>
      </c>
      <c r="AU1738" s="25">
        <f>ROUND(G1738*AM1738,2)</f>
        <v>0</v>
      </c>
      <c r="AV1738" s="25">
        <f>ROUND(G1738*AN1738,2)</f>
        <v>0</v>
      </c>
      <c r="AW1738" s="27" t="s">
        <v>665</v>
      </c>
      <c r="AX1738" s="27" t="s">
        <v>1903</v>
      </c>
      <c r="AY1738" s="10" t="s">
        <v>1707</v>
      </c>
      <c r="BA1738" s="25">
        <f>AU1738+AV1738</f>
        <v>0</v>
      </c>
      <c r="BB1738" s="25">
        <f>H1738/(100-BC1738)*100</f>
        <v>0</v>
      </c>
      <c r="BC1738" s="25">
        <v>0</v>
      </c>
      <c r="BD1738" s="25">
        <f>M1738</f>
        <v>0.42433999999999994</v>
      </c>
      <c r="BF1738" s="25">
        <f>G1738*AM1738</f>
        <v>0</v>
      </c>
      <c r="BG1738" s="25">
        <f>G1738*AN1738</f>
        <v>0</v>
      </c>
      <c r="BH1738" s="25">
        <f>G1738*H1738</f>
        <v>0</v>
      </c>
      <c r="BI1738" s="27" t="s">
        <v>65</v>
      </c>
      <c r="BJ1738" s="25">
        <v>61</v>
      </c>
      <c r="BU1738" s="25" t="e">
        <f>#REF!</f>
        <v>#REF!</v>
      </c>
      <c r="BV1738" s="4" t="s">
        <v>1928</v>
      </c>
    </row>
    <row r="1739" spans="1:74" ht="14.4" x14ac:dyDescent="0.3">
      <c r="A1739" s="28"/>
      <c r="D1739" s="29" t="s">
        <v>1929</v>
      </c>
      <c r="E1739" s="29" t="s">
        <v>52</v>
      </c>
      <c r="G1739" s="30">
        <v>98</v>
      </c>
      <c r="H1739" s="63"/>
      <c r="N1739" s="31"/>
    </row>
    <row r="1740" spans="1:74" ht="14.4" x14ac:dyDescent="0.3">
      <c r="A1740" s="2" t="s">
        <v>1930</v>
      </c>
      <c r="B1740" s="3" t="s">
        <v>1699</v>
      </c>
      <c r="C1740" s="3" t="s">
        <v>1931</v>
      </c>
      <c r="D1740" s="112" t="s">
        <v>1932</v>
      </c>
      <c r="E1740" s="109"/>
      <c r="F1740" s="3" t="s">
        <v>115</v>
      </c>
      <c r="G1740" s="25">
        <v>44</v>
      </c>
      <c r="H1740" s="62"/>
      <c r="I1740" s="25">
        <f>ROUND(G1740*AM1740,2)</f>
        <v>0</v>
      </c>
      <c r="J1740" s="25">
        <f>ROUND(G1740*AN1740,2)</f>
        <v>0</v>
      </c>
      <c r="K1740" s="25">
        <f>ROUND(G1740*H1740,2)</f>
        <v>0</v>
      </c>
      <c r="L1740" s="25">
        <v>8.4899999999999993E-3</v>
      </c>
      <c r="M1740" s="25">
        <f>G1740*L1740</f>
        <v>0.37355999999999995</v>
      </c>
      <c r="N1740" s="26"/>
      <c r="X1740" s="25">
        <f>ROUND(IF(AO1740="5",BH1740,0),2)</f>
        <v>0</v>
      </c>
      <c r="Z1740" s="25">
        <f>ROUND(IF(AO1740="1",BF1740,0),2)</f>
        <v>0</v>
      </c>
      <c r="AA1740" s="25">
        <f>ROUND(IF(AO1740="1",BG1740,0),2)</f>
        <v>0</v>
      </c>
      <c r="AB1740" s="25">
        <f>ROUND(IF(AO1740="7",BF1740,0),2)</f>
        <v>0</v>
      </c>
      <c r="AC1740" s="25">
        <f>ROUND(IF(AO1740="7",BG1740,0),2)</f>
        <v>0</v>
      </c>
      <c r="AD1740" s="25">
        <f>ROUND(IF(AO1740="2",BF1740,0),2)</f>
        <v>0</v>
      </c>
      <c r="AE1740" s="25">
        <f>ROUND(IF(AO1740="2",BG1740,0),2)</f>
        <v>0</v>
      </c>
      <c r="AF1740" s="25">
        <f>ROUND(IF(AO1740="0",BH1740,0),2)</f>
        <v>0</v>
      </c>
      <c r="AG1740" s="10" t="s">
        <v>1699</v>
      </c>
      <c r="AH1740" s="25">
        <f>IF(AL1740=0,K1740,0)</f>
        <v>0</v>
      </c>
      <c r="AI1740" s="25">
        <f>IF(AL1740=12,K1740,0)</f>
        <v>0</v>
      </c>
      <c r="AJ1740" s="25">
        <f>IF(AL1740=21,K1740,0)</f>
        <v>0</v>
      </c>
      <c r="AL1740" s="25">
        <v>21</v>
      </c>
      <c r="AM1740" s="25">
        <f>H1740*0.29261109</f>
        <v>0</v>
      </c>
      <c r="AN1740" s="25">
        <f>H1740*(1-0.29261109)</f>
        <v>0</v>
      </c>
      <c r="AO1740" s="27" t="s">
        <v>57</v>
      </c>
      <c r="AT1740" s="25">
        <f>ROUND(AU1740+AV1740,2)</f>
        <v>0</v>
      </c>
      <c r="AU1740" s="25">
        <f>ROUND(G1740*AM1740,2)</f>
        <v>0</v>
      </c>
      <c r="AV1740" s="25">
        <f>ROUND(G1740*AN1740,2)</f>
        <v>0</v>
      </c>
      <c r="AW1740" s="27" t="s">
        <v>665</v>
      </c>
      <c r="AX1740" s="27" t="s">
        <v>1903</v>
      </c>
      <c r="AY1740" s="10" t="s">
        <v>1707</v>
      </c>
      <c r="BA1740" s="25">
        <f>AU1740+AV1740</f>
        <v>0</v>
      </c>
      <c r="BB1740" s="25">
        <f>H1740/(100-BC1740)*100</f>
        <v>0</v>
      </c>
      <c r="BC1740" s="25">
        <v>0</v>
      </c>
      <c r="BD1740" s="25">
        <f>M1740</f>
        <v>0.37355999999999995</v>
      </c>
      <c r="BF1740" s="25">
        <f>G1740*AM1740</f>
        <v>0</v>
      </c>
      <c r="BG1740" s="25">
        <f>G1740*AN1740</f>
        <v>0</v>
      </c>
      <c r="BH1740" s="25">
        <f>G1740*H1740</f>
        <v>0</v>
      </c>
      <c r="BI1740" s="27" t="s">
        <v>65</v>
      </c>
      <c r="BJ1740" s="25">
        <v>61</v>
      </c>
      <c r="BU1740" s="25" t="e">
        <f>#REF!</f>
        <v>#REF!</v>
      </c>
      <c r="BV1740" s="4" t="s">
        <v>1932</v>
      </c>
    </row>
    <row r="1741" spans="1:74" ht="14.4" x14ac:dyDescent="0.3">
      <c r="A1741" s="28"/>
      <c r="D1741" s="29" t="s">
        <v>1933</v>
      </c>
      <c r="E1741" s="29" t="s">
        <v>52</v>
      </c>
      <c r="G1741" s="30">
        <v>44</v>
      </c>
      <c r="H1741" s="63"/>
      <c r="N1741" s="31"/>
    </row>
    <row r="1742" spans="1:74" ht="14.4" x14ac:dyDescent="0.3">
      <c r="A1742" s="2" t="s">
        <v>1934</v>
      </c>
      <c r="B1742" s="3" t="s">
        <v>1699</v>
      </c>
      <c r="C1742" s="3" t="s">
        <v>1935</v>
      </c>
      <c r="D1742" s="112" t="s">
        <v>1936</v>
      </c>
      <c r="E1742" s="109"/>
      <c r="F1742" s="3" t="s">
        <v>115</v>
      </c>
      <c r="G1742" s="25">
        <v>43</v>
      </c>
      <c r="H1742" s="62"/>
      <c r="I1742" s="25">
        <f>ROUND(G1742*AM1742,2)</f>
        <v>0</v>
      </c>
      <c r="J1742" s="25">
        <f>ROUND(G1742*AN1742,2)</f>
        <v>0</v>
      </c>
      <c r="K1742" s="25">
        <f>ROUND(G1742*H1742,2)</f>
        <v>0</v>
      </c>
      <c r="L1742" s="25">
        <v>3.7130000000000003E-2</v>
      </c>
      <c r="M1742" s="25">
        <f>G1742*L1742</f>
        <v>1.5965900000000002</v>
      </c>
      <c r="N1742" s="26"/>
      <c r="X1742" s="25">
        <f>ROUND(IF(AO1742="5",BH1742,0),2)</f>
        <v>0</v>
      </c>
      <c r="Z1742" s="25">
        <f>ROUND(IF(AO1742="1",BF1742,0),2)</f>
        <v>0</v>
      </c>
      <c r="AA1742" s="25">
        <f>ROUND(IF(AO1742="1",BG1742,0),2)</f>
        <v>0</v>
      </c>
      <c r="AB1742" s="25">
        <f>ROUND(IF(AO1742="7",BF1742,0),2)</f>
        <v>0</v>
      </c>
      <c r="AC1742" s="25">
        <f>ROUND(IF(AO1742="7",BG1742,0),2)</f>
        <v>0</v>
      </c>
      <c r="AD1742" s="25">
        <f>ROUND(IF(AO1742="2",BF1742,0),2)</f>
        <v>0</v>
      </c>
      <c r="AE1742" s="25">
        <f>ROUND(IF(AO1742="2",BG1742,0),2)</f>
        <v>0</v>
      </c>
      <c r="AF1742" s="25">
        <f>ROUND(IF(AO1742="0",BH1742,0),2)</f>
        <v>0</v>
      </c>
      <c r="AG1742" s="10" t="s">
        <v>1699</v>
      </c>
      <c r="AH1742" s="25">
        <f>IF(AL1742=0,K1742,0)</f>
        <v>0</v>
      </c>
      <c r="AI1742" s="25">
        <f>IF(AL1742=12,K1742,0)</f>
        <v>0</v>
      </c>
      <c r="AJ1742" s="25">
        <f>IF(AL1742=21,K1742,0)</f>
        <v>0</v>
      </c>
      <c r="AL1742" s="25">
        <v>21</v>
      </c>
      <c r="AM1742" s="25">
        <f>H1742*0.605978039</f>
        <v>0</v>
      </c>
      <c r="AN1742" s="25">
        <f>H1742*(1-0.605978039)</f>
        <v>0</v>
      </c>
      <c r="AO1742" s="27" t="s">
        <v>57</v>
      </c>
      <c r="AT1742" s="25">
        <f>ROUND(AU1742+AV1742,2)</f>
        <v>0</v>
      </c>
      <c r="AU1742" s="25">
        <f>ROUND(G1742*AM1742,2)</f>
        <v>0</v>
      </c>
      <c r="AV1742" s="25">
        <f>ROUND(G1742*AN1742,2)</f>
        <v>0</v>
      </c>
      <c r="AW1742" s="27" t="s">
        <v>665</v>
      </c>
      <c r="AX1742" s="27" t="s">
        <v>1903</v>
      </c>
      <c r="AY1742" s="10" t="s">
        <v>1707</v>
      </c>
      <c r="BA1742" s="25">
        <f>AU1742+AV1742</f>
        <v>0</v>
      </c>
      <c r="BB1742" s="25">
        <f>H1742/(100-BC1742)*100</f>
        <v>0</v>
      </c>
      <c r="BC1742" s="25">
        <v>0</v>
      </c>
      <c r="BD1742" s="25">
        <f>M1742</f>
        <v>1.5965900000000002</v>
      </c>
      <c r="BF1742" s="25">
        <f>G1742*AM1742</f>
        <v>0</v>
      </c>
      <c r="BG1742" s="25">
        <f>G1742*AN1742</f>
        <v>0</v>
      </c>
      <c r="BH1742" s="25">
        <f>G1742*H1742</f>
        <v>0</v>
      </c>
      <c r="BI1742" s="27" t="s">
        <v>65</v>
      </c>
      <c r="BJ1742" s="25">
        <v>61</v>
      </c>
      <c r="BU1742" s="25" t="e">
        <f>#REF!</f>
        <v>#REF!</v>
      </c>
      <c r="BV1742" s="4" t="s">
        <v>1936</v>
      </c>
    </row>
    <row r="1743" spans="1:74" ht="14.4" x14ac:dyDescent="0.3">
      <c r="A1743" s="28"/>
      <c r="D1743" s="29" t="s">
        <v>1937</v>
      </c>
      <c r="E1743" s="29" t="s">
        <v>52</v>
      </c>
      <c r="G1743" s="30">
        <v>43</v>
      </c>
      <c r="H1743" s="63"/>
      <c r="N1743" s="31"/>
    </row>
    <row r="1744" spans="1:74" ht="14.4" x14ac:dyDescent="0.3">
      <c r="A1744" s="2" t="s">
        <v>1938</v>
      </c>
      <c r="B1744" s="3" t="s">
        <v>1699</v>
      </c>
      <c r="C1744" s="3" t="s">
        <v>1939</v>
      </c>
      <c r="D1744" s="112" t="s">
        <v>1940</v>
      </c>
      <c r="E1744" s="109"/>
      <c r="F1744" s="3" t="s">
        <v>60</v>
      </c>
      <c r="G1744" s="25">
        <v>1.2</v>
      </c>
      <c r="H1744" s="62"/>
      <c r="I1744" s="25">
        <f>ROUND(G1744*AM1744,2)</f>
        <v>0</v>
      </c>
      <c r="J1744" s="25">
        <f>ROUND(G1744*AN1744,2)</f>
        <v>0</v>
      </c>
      <c r="K1744" s="25">
        <f>ROUND(G1744*H1744,2)</f>
        <v>0</v>
      </c>
      <c r="L1744" s="25">
        <v>6.8000000000000005E-2</v>
      </c>
      <c r="M1744" s="25">
        <f>G1744*L1744</f>
        <v>8.1600000000000006E-2</v>
      </c>
      <c r="N1744" s="26"/>
      <c r="X1744" s="25">
        <f>ROUND(IF(AO1744="5",BH1744,0),2)</f>
        <v>0</v>
      </c>
      <c r="Z1744" s="25">
        <f>ROUND(IF(AO1744="1",BF1744,0),2)</f>
        <v>0</v>
      </c>
      <c r="AA1744" s="25">
        <f>ROUND(IF(AO1744="1",BG1744,0),2)</f>
        <v>0</v>
      </c>
      <c r="AB1744" s="25">
        <f>ROUND(IF(AO1744="7",BF1744,0),2)</f>
        <v>0</v>
      </c>
      <c r="AC1744" s="25">
        <f>ROUND(IF(AO1744="7",BG1744,0),2)</f>
        <v>0</v>
      </c>
      <c r="AD1744" s="25">
        <f>ROUND(IF(AO1744="2",BF1744,0),2)</f>
        <v>0</v>
      </c>
      <c r="AE1744" s="25">
        <f>ROUND(IF(AO1744="2",BG1744,0),2)</f>
        <v>0</v>
      </c>
      <c r="AF1744" s="25">
        <f>ROUND(IF(AO1744="0",BH1744,0),2)</f>
        <v>0</v>
      </c>
      <c r="AG1744" s="10" t="s">
        <v>1699</v>
      </c>
      <c r="AH1744" s="25">
        <f>IF(AL1744=0,K1744,0)</f>
        <v>0</v>
      </c>
      <c r="AI1744" s="25">
        <f>IF(AL1744=12,K1744,0)</f>
        <v>0</v>
      </c>
      <c r="AJ1744" s="25">
        <f>IF(AL1744=21,K1744,0)</f>
        <v>0</v>
      </c>
      <c r="AL1744" s="25">
        <v>21</v>
      </c>
      <c r="AM1744" s="25">
        <f>H1744*0.451109898</f>
        <v>0</v>
      </c>
      <c r="AN1744" s="25">
        <f>H1744*(1-0.451109898)</f>
        <v>0</v>
      </c>
      <c r="AO1744" s="27" t="s">
        <v>57</v>
      </c>
      <c r="AT1744" s="25">
        <f>ROUND(AU1744+AV1744,2)</f>
        <v>0</v>
      </c>
      <c r="AU1744" s="25">
        <f>ROUND(G1744*AM1744,2)</f>
        <v>0</v>
      </c>
      <c r="AV1744" s="25">
        <f>ROUND(G1744*AN1744,2)</f>
        <v>0</v>
      </c>
      <c r="AW1744" s="27" t="s">
        <v>665</v>
      </c>
      <c r="AX1744" s="27" t="s">
        <v>1903</v>
      </c>
      <c r="AY1744" s="10" t="s">
        <v>1707</v>
      </c>
      <c r="BA1744" s="25">
        <f>AU1744+AV1744</f>
        <v>0</v>
      </c>
      <c r="BB1744" s="25">
        <f>H1744/(100-BC1744)*100</f>
        <v>0</v>
      </c>
      <c r="BC1744" s="25">
        <v>0</v>
      </c>
      <c r="BD1744" s="25">
        <f>M1744</f>
        <v>8.1600000000000006E-2</v>
      </c>
      <c r="BF1744" s="25">
        <f>G1744*AM1744</f>
        <v>0</v>
      </c>
      <c r="BG1744" s="25">
        <f>G1744*AN1744</f>
        <v>0</v>
      </c>
      <c r="BH1744" s="25">
        <f>G1744*H1744</f>
        <v>0</v>
      </c>
      <c r="BI1744" s="27" t="s">
        <v>65</v>
      </c>
      <c r="BJ1744" s="25">
        <v>61</v>
      </c>
      <c r="BU1744" s="25" t="e">
        <f>#REF!</f>
        <v>#REF!</v>
      </c>
      <c r="BV1744" s="4" t="s">
        <v>1940</v>
      </c>
    </row>
    <row r="1745" spans="1:74" ht="14.4" x14ac:dyDescent="0.3">
      <c r="A1745" s="28"/>
      <c r="D1745" s="29" t="s">
        <v>1941</v>
      </c>
      <c r="E1745" s="29" t="s">
        <v>52</v>
      </c>
      <c r="G1745" s="30">
        <v>1.2</v>
      </c>
      <c r="H1745" s="63"/>
      <c r="N1745" s="31"/>
    </row>
    <row r="1746" spans="1:74" ht="14.4" x14ac:dyDescent="0.3">
      <c r="A1746" s="21" t="s">
        <v>52</v>
      </c>
      <c r="B1746" s="22" t="s">
        <v>1699</v>
      </c>
      <c r="C1746" s="22" t="s">
        <v>1362</v>
      </c>
      <c r="D1746" s="170" t="s">
        <v>1363</v>
      </c>
      <c r="E1746" s="171"/>
      <c r="F1746" s="23" t="s">
        <v>32</v>
      </c>
      <c r="G1746" s="23" t="s">
        <v>32</v>
      </c>
      <c r="H1746" s="64"/>
      <c r="I1746" s="1">
        <f>SUM(I1747:I1755)</f>
        <v>0</v>
      </c>
      <c r="J1746" s="1">
        <f>SUM(J1747:J1755)</f>
        <v>0</v>
      </c>
      <c r="K1746" s="1">
        <f>SUM(K1747:K1755)</f>
        <v>0</v>
      </c>
      <c r="L1746" s="10" t="s">
        <v>52</v>
      </c>
      <c r="M1746" s="1">
        <f>SUM(M1747:M1755)</f>
        <v>4.0499999999999994E-2</v>
      </c>
      <c r="N1746" s="24"/>
      <c r="AG1746" s="10" t="s">
        <v>1699</v>
      </c>
      <c r="AQ1746" s="1">
        <f>SUM(AH1747:AH1755)</f>
        <v>0</v>
      </c>
      <c r="AR1746" s="1">
        <f>SUM(AI1747:AI1755)</f>
        <v>0</v>
      </c>
      <c r="AS1746" s="1">
        <f>SUM(AJ1747:AJ1755)</f>
        <v>0</v>
      </c>
    </row>
    <row r="1747" spans="1:74" ht="14.4" x14ac:dyDescent="0.3">
      <c r="A1747" s="2" t="s">
        <v>1942</v>
      </c>
      <c r="B1747" s="3" t="s">
        <v>1699</v>
      </c>
      <c r="C1747" s="3" t="s">
        <v>1388</v>
      </c>
      <c r="D1747" s="112" t="s">
        <v>1389</v>
      </c>
      <c r="E1747" s="109"/>
      <c r="F1747" s="3" t="s">
        <v>122</v>
      </c>
      <c r="G1747" s="25">
        <v>5</v>
      </c>
      <c r="H1747" s="62"/>
      <c r="I1747" s="25">
        <f>ROUND(G1747*AM1747,2)</f>
        <v>0</v>
      </c>
      <c r="J1747" s="25">
        <f>ROUND(G1747*AN1747,2)</f>
        <v>0</v>
      </c>
      <c r="K1747" s="25">
        <f>ROUND(G1747*H1747,2)</f>
        <v>0</v>
      </c>
      <c r="L1747" s="25">
        <v>1.25E-3</v>
      </c>
      <c r="M1747" s="25">
        <f>G1747*L1747</f>
        <v>6.2500000000000003E-3</v>
      </c>
      <c r="N1747" s="26"/>
      <c r="X1747" s="25">
        <f>ROUND(IF(AO1747="5",BH1747,0),2)</f>
        <v>0</v>
      </c>
      <c r="Z1747" s="25">
        <f>ROUND(IF(AO1747="1",BF1747,0),2)</f>
        <v>0</v>
      </c>
      <c r="AA1747" s="25">
        <f>ROUND(IF(AO1747="1",BG1747,0),2)</f>
        <v>0</v>
      </c>
      <c r="AB1747" s="25">
        <f>ROUND(IF(AO1747="7",BF1747,0),2)</f>
        <v>0</v>
      </c>
      <c r="AC1747" s="25">
        <f>ROUND(IF(AO1747="7",BG1747,0),2)</f>
        <v>0</v>
      </c>
      <c r="AD1747" s="25">
        <f>ROUND(IF(AO1747="2",BF1747,0),2)</f>
        <v>0</v>
      </c>
      <c r="AE1747" s="25">
        <f>ROUND(IF(AO1747="2",BG1747,0),2)</f>
        <v>0</v>
      </c>
      <c r="AF1747" s="25">
        <f>ROUND(IF(AO1747="0",BH1747,0),2)</f>
        <v>0</v>
      </c>
      <c r="AG1747" s="10" t="s">
        <v>1699</v>
      </c>
      <c r="AH1747" s="25">
        <f>IF(AL1747=0,K1747,0)</f>
        <v>0</v>
      </c>
      <c r="AI1747" s="25">
        <f>IF(AL1747=12,K1747,0)</f>
        <v>0</v>
      </c>
      <c r="AJ1747" s="25">
        <f>IF(AL1747=21,K1747,0)</f>
        <v>0</v>
      </c>
      <c r="AL1747" s="25">
        <v>21</v>
      </c>
      <c r="AM1747" s="25">
        <f>H1747*0</f>
        <v>0</v>
      </c>
      <c r="AN1747" s="25">
        <f>H1747*(1-0)</f>
        <v>0</v>
      </c>
      <c r="AO1747" s="27" t="s">
        <v>61</v>
      </c>
      <c r="AT1747" s="25">
        <f>ROUND(AU1747+AV1747,2)</f>
        <v>0</v>
      </c>
      <c r="AU1747" s="25">
        <f>ROUND(G1747*AM1747,2)</f>
        <v>0</v>
      </c>
      <c r="AV1747" s="25">
        <f>ROUND(G1747*AN1747,2)</f>
        <v>0</v>
      </c>
      <c r="AW1747" s="27" t="s">
        <v>1367</v>
      </c>
      <c r="AX1747" s="27" t="s">
        <v>1943</v>
      </c>
      <c r="AY1747" s="10" t="s">
        <v>1707</v>
      </c>
      <c r="BA1747" s="25">
        <f>AU1747+AV1747</f>
        <v>0</v>
      </c>
      <c r="BB1747" s="25">
        <f>H1747/(100-BC1747)*100</f>
        <v>0</v>
      </c>
      <c r="BC1747" s="25">
        <v>0</v>
      </c>
      <c r="BD1747" s="25">
        <f>M1747</f>
        <v>6.2500000000000003E-3</v>
      </c>
      <c r="BF1747" s="25">
        <f>G1747*AM1747</f>
        <v>0</v>
      </c>
      <c r="BG1747" s="25">
        <f>G1747*AN1747</f>
        <v>0</v>
      </c>
      <c r="BH1747" s="25">
        <f>G1747*H1747</f>
        <v>0</v>
      </c>
      <c r="BI1747" s="27" t="s">
        <v>65</v>
      </c>
      <c r="BJ1747" s="25">
        <v>712</v>
      </c>
      <c r="BU1747" s="25" t="e">
        <f>#REF!</f>
        <v>#REF!</v>
      </c>
      <c r="BV1747" s="4" t="s">
        <v>1389</v>
      </c>
    </row>
    <row r="1748" spans="1:74" ht="14.4" x14ac:dyDescent="0.3">
      <c r="A1748" s="28"/>
      <c r="D1748" s="29" t="s">
        <v>97</v>
      </c>
      <c r="E1748" s="29" t="s">
        <v>52</v>
      </c>
      <c r="G1748" s="30">
        <v>5</v>
      </c>
      <c r="H1748" s="63"/>
      <c r="N1748" s="31"/>
    </row>
    <row r="1749" spans="1:74" ht="14.4" x14ac:dyDescent="0.3">
      <c r="A1749" s="2" t="s">
        <v>1944</v>
      </c>
      <c r="B1749" s="3" t="s">
        <v>1699</v>
      </c>
      <c r="C1749" s="3" t="s">
        <v>1397</v>
      </c>
      <c r="D1749" s="112" t="s">
        <v>1398</v>
      </c>
      <c r="E1749" s="109"/>
      <c r="F1749" s="3" t="s">
        <v>122</v>
      </c>
      <c r="G1749" s="25">
        <v>5</v>
      </c>
      <c r="H1749" s="62"/>
      <c r="I1749" s="25">
        <f>ROUND(G1749*AM1749,2)</f>
        <v>0</v>
      </c>
      <c r="J1749" s="25">
        <f>ROUND(G1749*AN1749,2)</f>
        <v>0</v>
      </c>
      <c r="K1749" s="25">
        <f>ROUND(G1749*H1749,2)</f>
        <v>0</v>
      </c>
      <c r="L1749" s="25">
        <v>1E-3</v>
      </c>
      <c r="M1749" s="25">
        <f>G1749*L1749</f>
        <v>5.0000000000000001E-3</v>
      </c>
      <c r="N1749" s="26"/>
      <c r="X1749" s="25">
        <f>ROUND(IF(AO1749="5",BH1749,0),2)</f>
        <v>0</v>
      </c>
      <c r="Z1749" s="25">
        <f>ROUND(IF(AO1749="1",BF1749,0),2)</f>
        <v>0</v>
      </c>
      <c r="AA1749" s="25">
        <f>ROUND(IF(AO1749="1",BG1749,0),2)</f>
        <v>0</v>
      </c>
      <c r="AB1749" s="25">
        <f>ROUND(IF(AO1749="7",BF1749,0),2)</f>
        <v>0</v>
      </c>
      <c r="AC1749" s="25">
        <f>ROUND(IF(AO1749="7",BG1749,0),2)</f>
        <v>0</v>
      </c>
      <c r="AD1749" s="25">
        <f>ROUND(IF(AO1749="2",BF1749,0),2)</f>
        <v>0</v>
      </c>
      <c r="AE1749" s="25">
        <f>ROUND(IF(AO1749="2",BG1749,0),2)</f>
        <v>0</v>
      </c>
      <c r="AF1749" s="25">
        <f>ROUND(IF(AO1749="0",BH1749,0),2)</f>
        <v>0</v>
      </c>
      <c r="AG1749" s="10" t="s">
        <v>1699</v>
      </c>
      <c r="AH1749" s="25">
        <f>IF(AL1749=0,K1749,0)</f>
        <v>0</v>
      </c>
      <c r="AI1749" s="25">
        <f>IF(AL1749=12,K1749,0)</f>
        <v>0</v>
      </c>
      <c r="AJ1749" s="25">
        <f>IF(AL1749=21,K1749,0)</f>
        <v>0</v>
      </c>
      <c r="AL1749" s="25">
        <v>21</v>
      </c>
      <c r="AM1749" s="25">
        <f>H1749*0</f>
        <v>0</v>
      </c>
      <c r="AN1749" s="25">
        <f>H1749*(1-0)</f>
        <v>0</v>
      </c>
      <c r="AO1749" s="27" t="s">
        <v>61</v>
      </c>
      <c r="AT1749" s="25">
        <f>ROUND(AU1749+AV1749,2)</f>
        <v>0</v>
      </c>
      <c r="AU1749" s="25">
        <f>ROUND(G1749*AM1749,2)</f>
        <v>0</v>
      </c>
      <c r="AV1749" s="25">
        <f>ROUND(G1749*AN1749,2)</f>
        <v>0</v>
      </c>
      <c r="AW1749" s="27" t="s">
        <v>1367</v>
      </c>
      <c r="AX1749" s="27" t="s">
        <v>1943</v>
      </c>
      <c r="AY1749" s="10" t="s">
        <v>1707</v>
      </c>
      <c r="BA1749" s="25">
        <f>AU1749+AV1749</f>
        <v>0</v>
      </c>
      <c r="BB1749" s="25">
        <f>H1749/(100-BC1749)*100</f>
        <v>0</v>
      </c>
      <c r="BC1749" s="25">
        <v>0</v>
      </c>
      <c r="BD1749" s="25">
        <f>M1749</f>
        <v>5.0000000000000001E-3</v>
      </c>
      <c r="BF1749" s="25">
        <f>G1749*AM1749</f>
        <v>0</v>
      </c>
      <c r="BG1749" s="25">
        <f>G1749*AN1749</f>
        <v>0</v>
      </c>
      <c r="BH1749" s="25">
        <f>G1749*H1749</f>
        <v>0</v>
      </c>
      <c r="BI1749" s="27" t="s">
        <v>65</v>
      </c>
      <c r="BJ1749" s="25">
        <v>712</v>
      </c>
      <c r="BU1749" s="25" t="e">
        <f>#REF!</f>
        <v>#REF!</v>
      </c>
      <c r="BV1749" s="4" t="s">
        <v>1398</v>
      </c>
    </row>
    <row r="1750" spans="1:74" ht="14.4" x14ac:dyDescent="0.3">
      <c r="A1750" s="28"/>
      <c r="D1750" s="29" t="s">
        <v>97</v>
      </c>
      <c r="E1750" s="29" t="s">
        <v>52</v>
      </c>
      <c r="G1750" s="30">
        <v>5</v>
      </c>
      <c r="H1750" s="63"/>
      <c r="N1750" s="31"/>
    </row>
    <row r="1751" spans="1:74" ht="14.4" x14ac:dyDescent="0.3">
      <c r="A1751" s="2" t="s">
        <v>1945</v>
      </c>
      <c r="B1751" s="3" t="s">
        <v>1699</v>
      </c>
      <c r="C1751" s="3" t="s">
        <v>1394</v>
      </c>
      <c r="D1751" s="112" t="s">
        <v>1395</v>
      </c>
      <c r="E1751" s="109"/>
      <c r="F1751" s="3" t="s">
        <v>122</v>
      </c>
      <c r="G1751" s="25">
        <v>5</v>
      </c>
      <c r="H1751" s="62"/>
      <c r="I1751" s="25">
        <f>ROUND(G1751*AM1751,2)</f>
        <v>0</v>
      </c>
      <c r="J1751" s="25">
        <f>ROUND(G1751*AN1751,2)</f>
        <v>0</v>
      </c>
      <c r="K1751" s="25">
        <f>ROUND(G1751*H1751,2)</f>
        <v>0</v>
      </c>
      <c r="L1751" s="25">
        <v>3.7499999999999999E-3</v>
      </c>
      <c r="M1751" s="25">
        <f>G1751*L1751</f>
        <v>1.8749999999999999E-2</v>
      </c>
      <c r="N1751" s="26"/>
      <c r="X1751" s="25">
        <f>ROUND(IF(AO1751="5",BH1751,0),2)</f>
        <v>0</v>
      </c>
      <c r="Z1751" s="25">
        <f>ROUND(IF(AO1751="1",BF1751,0),2)</f>
        <v>0</v>
      </c>
      <c r="AA1751" s="25">
        <f>ROUND(IF(AO1751="1",BG1751,0),2)</f>
        <v>0</v>
      </c>
      <c r="AB1751" s="25">
        <f>ROUND(IF(AO1751="7",BF1751,0),2)</f>
        <v>0</v>
      </c>
      <c r="AC1751" s="25">
        <f>ROUND(IF(AO1751="7",BG1751,0),2)</f>
        <v>0</v>
      </c>
      <c r="AD1751" s="25">
        <f>ROUND(IF(AO1751="2",BF1751,0),2)</f>
        <v>0</v>
      </c>
      <c r="AE1751" s="25">
        <f>ROUND(IF(AO1751="2",BG1751,0),2)</f>
        <v>0</v>
      </c>
      <c r="AF1751" s="25">
        <f>ROUND(IF(AO1751="0",BH1751,0),2)</f>
        <v>0</v>
      </c>
      <c r="AG1751" s="10" t="s">
        <v>1699</v>
      </c>
      <c r="AH1751" s="25">
        <f>IF(AL1751=0,K1751,0)</f>
        <v>0</v>
      </c>
      <c r="AI1751" s="25">
        <f>IF(AL1751=12,K1751,0)</f>
        <v>0</v>
      </c>
      <c r="AJ1751" s="25">
        <f>IF(AL1751=21,K1751,0)</f>
        <v>0</v>
      </c>
      <c r="AL1751" s="25">
        <v>21</v>
      </c>
      <c r="AM1751" s="25">
        <f>H1751*1</f>
        <v>0</v>
      </c>
      <c r="AN1751" s="25">
        <f>H1751*(1-1)</f>
        <v>0</v>
      </c>
      <c r="AO1751" s="27" t="s">
        <v>61</v>
      </c>
      <c r="AT1751" s="25">
        <f>ROUND(AU1751+AV1751,2)</f>
        <v>0</v>
      </c>
      <c r="AU1751" s="25">
        <f>ROUND(G1751*AM1751,2)</f>
        <v>0</v>
      </c>
      <c r="AV1751" s="25">
        <f>ROUND(G1751*AN1751,2)</f>
        <v>0</v>
      </c>
      <c r="AW1751" s="27" t="s">
        <v>1367</v>
      </c>
      <c r="AX1751" s="27" t="s">
        <v>1943</v>
      </c>
      <c r="AY1751" s="10" t="s">
        <v>1707</v>
      </c>
      <c r="BA1751" s="25">
        <f>AU1751+AV1751</f>
        <v>0</v>
      </c>
      <c r="BB1751" s="25">
        <f>H1751/(100-BC1751)*100</f>
        <v>0</v>
      </c>
      <c r="BC1751" s="25">
        <v>0</v>
      </c>
      <c r="BD1751" s="25">
        <f>M1751</f>
        <v>1.8749999999999999E-2</v>
      </c>
      <c r="BF1751" s="25">
        <f>G1751*AM1751</f>
        <v>0</v>
      </c>
      <c r="BG1751" s="25">
        <f>G1751*AN1751</f>
        <v>0</v>
      </c>
      <c r="BH1751" s="25">
        <f>G1751*H1751</f>
        <v>0</v>
      </c>
      <c r="BI1751" s="27" t="s">
        <v>65</v>
      </c>
      <c r="BJ1751" s="25">
        <v>712</v>
      </c>
      <c r="BU1751" s="25" t="e">
        <f>#REF!</f>
        <v>#REF!</v>
      </c>
      <c r="BV1751" s="4" t="s">
        <v>1395</v>
      </c>
    </row>
    <row r="1752" spans="1:74" ht="14.4" x14ac:dyDescent="0.3">
      <c r="A1752" s="28"/>
      <c r="D1752" s="29" t="s">
        <v>97</v>
      </c>
      <c r="E1752" s="29" t="s">
        <v>52</v>
      </c>
      <c r="G1752" s="30">
        <v>5</v>
      </c>
      <c r="H1752" s="63"/>
      <c r="N1752" s="31"/>
    </row>
    <row r="1753" spans="1:74" ht="14.4" x14ac:dyDescent="0.3">
      <c r="A1753" s="2" t="s">
        <v>1946</v>
      </c>
      <c r="B1753" s="3" t="s">
        <v>1699</v>
      </c>
      <c r="C1753" s="3" t="s">
        <v>1391</v>
      </c>
      <c r="D1753" s="112" t="s">
        <v>1392</v>
      </c>
      <c r="E1753" s="109"/>
      <c r="F1753" s="3" t="s">
        <v>122</v>
      </c>
      <c r="G1753" s="25">
        <v>5</v>
      </c>
      <c r="H1753" s="62"/>
      <c r="I1753" s="25">
        <f>ROUND(G1753*AM1753,2)</f>
        <v>0</v>
      </c>
      <c r="J1753" s="25">
        <f>ROUND(G1753*AN1753,2)</f>
        <v>0</v>
      </c>
      <c r="K1753" s="25">
        <f>ROUND(G1753*H1753,2)</f>
        <v>0</v>
      </c>
      <c r="L1753" s="25">
        <v>2.0999999999999999E-3</v>
      </c>
      <c r="M1753" s="25">
        <f>G1753*L1753</f>
        <v>1.0499999999999999E-2</v>
      </c>
      <c r="N1753" s="26"/>
      <c r="X1753" s="25">
        <f>ROUND(IF(AO1753="5",BH1753,0),2)</f>
        <v>0</v>
      </c>
      <c r="Z1753" s="25">
        <f>ROUND(IF(AO1753="1",BF1753,0),2)</f>
        <v>0</v>
      </c>
      <c r="AA1753" s="25">
        <f>ROUND(IF(AO1753="1",BG1753,0),2)</f>
        <v>0</v>
      </c>
      <c r="AB1753" s="25">
        <f>ROUND(IF(AO1753="7",BF1753,0),2)</f>
        <v>0</v>
      </c>
      <c r="AC1753" s="25">
        <f>ROUND(IF(AO1753="7",BG1753,0),2)</f>
        <v>0</v>
      </c>
      <c r="AD1753" s="25">
        <f>ROUND(IF(AO1753="2",BF1753,0),2)</f>
        <v>0</v>
      </c>
      <c r="AE1753" s="25">
        <f>ROUND(IF(AO1753="2",BG1753,0),2)</f>
        <v>0</v>
      </c>
      <c r="AF1753" s="25">
        <f>ROUND(IF(AO1753="0",BH1753,0),2)</f>
        <v>0</v>
      </c>
      <c r="AG1753" s="10" t="s">
        <v>1699</v>
      </c>
      <c r="AH1753" s="25">
        <f>IF(AL1753=0,K1753,0)</f>
        <v>0</v>
      </c>
      <c r="AI1753" s="25">
        <f>IF(AL1753=12,K1753,0)</f>
        <v>0</v>
      </c>
      <c r="AJ1753" s="25">
        <f>IF(AL1753=21,K1753,0)</f>
        <v>0</v>
      </c>
      <c r="AL1753" s="25">
        <v>21</v>
      </c>
      <c r="AM1753" s="25">
        <f>H1753*1</f>
        <v>0</v>
      </c>
      <c r="AN1753" s="25">
        <f>H1753*(1-1)</f>
        <v>0</v>
      </c>
      <c r="AO1753" s="27" t="s">
        <v>61</v>
      </c>
      <c r="AT1753" s="25">
        <f>ROUND(AU1753+AV1753,2)</f>
        <v>0</v>
      </c>
      <c r="AU1753" s="25">
        <f>ROUND(G1753*AM1753,2)</f>
        <v>0</v>
      </c>
      <c r="AV1753" s="25">
        <f>ROUND(G1753*AN1753,2)</f>
        <v>0</v>
      </c>
      <c r="AW1753" s="27" t="s">
        <v>1367</v>
      </c>
      <c r="AX1753" s="27" t="s">
        <v>1943</v>
      </c>
      <c r="AY1753" s="10" t="s">
        <v>1707</v>
      </c>
      <c r="BA1753" s="25">
        <f>AU1753+AV1753</f>
        <v>0</v>
      </c>
      <c r="BB1753" s="25">
        <f>H1753/(100-BC1753)*100</f>
        <v>0</v>
      </c>
      <c r="BC1753" s="25">
        <v>0</v>
      </c>
      <c r="BD1753" s="25">
        <f>M1753</f>
        <v>1.0499999999999999E-2</v>
      </c>
      <c r="BF1753" s="25">
        <f>G1753*AM1753</f>
        <v>0</v>
      </c>
      <c r="BG1753" s="25">
        <f>G1753*AN1753</f>
        <v>0</v>
      </c>
      <c r="BH1753" s="25">
        <f>G1753*H1753</f>
        <v>0</v>
      </c>
      <c r="BI1753" s="27" t="s">
        <v>576</v>
      </c>
      <c r="BJ1753" s="25">
        <v>712</v>
      </c>
      <c r="BU1753" s="25" t="e">
        <f>#REF!</f>
        <v>#REF!</v>
      </c>
      <c r="BV1753" s="4" t="s">
        <v>1392</v>
      </c>
    </row>
    <row r="1754" spans="1:74" ht="14.4" x14ac:dyDescent="0.3">
      <c r="A1754" s="28"/>
      <c r="D1754" s="29" t="s">
        <v>97</v>
      </c>
      <c r="E1754" s="29" t="s">
        <v>52</v>
      </c>
      <c r="G1754" s="30">
        <v>5</v>
      </c>
      <c r="H1754" s="63"/>
      <c r="N1754" s="31"/>
    </row>
    <row r="1755" spans="1:74" ht="14.4" x14ac:dyDescent="0.3">
      <c r="A1755" s="2" t="s">
        <v>1947</v>
      </c>
      <c r="B1755" s="3" t="s">
        <v>1699</v>
      </c>
      <c r="C1755" s="3" t="s">
        <v>1400</v>
      </c>
      <c r="D1755" s="112" t="s">
        <v>1401</v>
      </c>
      <c r="E1755" s="109"/>
      <c r="F1755" s="3" t="s">
        <v>278</v>
      </c>
      <c r="G1755" s="25">
        <v>4.0500000000000001E-2</v>
      </c>
      <c r="H1755" s="62"/>
      <c r="I1755" s="25">
        <f>ROUND(G1755*AM1755,2)</f>
        <v>0</v>
      </c>
      <c r="J1755" s="25">
        <f>ROUND(G1755*AN1755,2)</f>
        <v>0</v>
      </c>
      <c r="K1755" s="25">
        <f>ROUND(G1755*H1755,2)</f>
        <v>0</v>
      </c>
      <c r="L1755" s="25">
        <v>0</v>
      </c>
      <c r="M1755" s="25">
        <f>G1755*L1755</f>
        <v>0</v>
      </c>
      <c r="N1755" s="26"/>
      <c r="X1755" s="25">
        <f>ROUND(IF(AO1755="5",BH1755,0),2)</f>
        <v>0</v>
      </c>
      <c r="Z1755" s="25">
        <f>ROUND(IF(AO1755="1",BF1755,0),2)</f>
        <v>0</v>
      </c>
      <c r="AA1755" s="25">
        <f>ROUND(IF(AO1755="1",BG1755,0),2)</f>
        <v>0</v>
      </c>
      <c r="AB1755" s="25">
        <f>ROUND(IF(AO1755="7",BF1755,0),2)</f>
        <v>0</v>
      </c>
      <c r="AC1755" s="25">
        <f>ROUND(IF(AO1755="7",BG1755,0),2)</f>
        <v>0</v>
      </c>
      <c r="AD1755" s="25">
        <f>ROUND(IF(AO1755="2",BF1755,0),2)</f>
        <v>0</v>
      </c>
      <c r="AE1755" s="25">
        <f>ROUND(IF(AO1755="2",BG1755,0),2)</f>
        <v>0</v>
      </c>
      <c r="AF1755" s="25">
        <f>ROUND(IF(AO1755="0",BH1755,0),2)</f>
        <v>0</v>
      </c>
      <c r="AG1755" s="10" t="s">
        <v>1699</v>
      </c>
      <c r="AH1755" s="25">
        <f>IF(AL1755=0,K1755,0)</f>
        <v>0</v>
      </c>
      <c r="AI1755" s="25">
        <f>IF(AL1755=12,K1755,0)</f>
        <v>0</v>
      </c>
      <c r="AJ1755" s="25">
        <f>IF(AL1755=21,K1755,0)</f>
        <v>0</v>
      </c>
      <c r="AL1755" s="25">
        <v>21</v>
      </c>
      <c r="AM1755" s="25">
        <f>H1755*0</f>
        <v>0</v>
      </c>
      <c r="AN1755" s="25">
        <f>H1755*(1-0)</f>
        <v>0</v>
      </c>
      <c r="AO1755" s="27" t="s">
        <v>97</v>
      </c>
      <c r="AT1755" s="25">
        <f>ROUND(AU1755+AV1755,2)</f>
        <v>0</v>
      </c>
      <c r="AU1755" s="25">
        <f>ROUND(G1755*AM1755,2)</f>
        <v>0</v>
      </c>
      <c r="AV1755" s="25">
        <f>ROUND(G1755*AN1755,2)</f>
        <v>0</v>
      </c>
      <c r="AW1755" s="27" t="s">
        <v>1367</v>
      </c>
      <c r="AX1755" s="27" t="s">
        <v>1943</v>
      </c>
      <c r="AY1755" s="10" t="s">
        <v>1707</v>
      </c>
      <c r="BA1755" s="25">
        <f>AU1755+AV1755</f>
        <v>0</v>
      </c>
      <c r="BB1755" s="25">
        <f>H1755/(100-BC1755)*100</f>
        <v>0</v>
      </c>
      <c r="BC1755" s="25">
        <v>0</v>
      </c>
      <c r="BD1755" s="25">
        <f>M1755</f>
        <v>0</v>
      </c>
      <c r="BF1755" s="25">
        <f>G1755*AM1755</f>
        <v>0</v>
      </c>
      <c r="BG1755" s="25">
        <f>G1755*AN1755</f>
        <v>0</v>
      </c>
      <c r="BH1755" s="25">
        <f>G1755*H1755</f>
        <v>0</v>
      </c>
      <c r="BI1755" s="27" t="s">
        <v>65</v>
      </c>
      <c r="BJ1755" s="25">
        <v>712</v>
      </c>
      <c r="BU1755" s="25" t="e">
        <f>#REF!</f>
        <v>#REF!</v>
      </c>
      <c r="BV1755" s="4" t="s">
        <v>1401</v>
      </c>
    </row>
    <row r="1756" spans="1:74" ht="14.4" x14ac:dyDescent="0.3">
      <c r="A1756" s="28"/>
      <c r="D1756" s="29" t="s">
        <v>57</v>
      </c>
      <c r="E1756" s="29" t="s">
        <v>52</v>
      </c>
      <c r="G1756" s="30">
        <v>1</v>
      </c>
      <c r="H1756" s="63"/>
      <c r="N1756" s="31"/>
    </row>
    <row r="1757" spans="1:74" ht="14.4" x14ac:dyDescent="0.3">
      <c r="A1757" s="21" t="s">
        <v>52</v>
      </c>
      <c r="B1757" s="22" t="s">
        <v>1699</v>
      </c>
      <c r="C1757" s="22" t="s">
        <v>1948</v>
      </c>
      <c r="D1757" s="170" t="s">
        <v>1949</v>
      </c>
      <c r="E1757" s="171"/>
      <c r="F1757" s="23" t="s">
        <v>32</v>
      </c>
      <c r="G1757" s="23" t="s">
        <v>32</v>
      </c>
      <c r="H1757" s="64"/>
      <c r="I1757" s="1">
        <f>SUM(I1758:I1798)</f>
        <v>0</v>
      </c>
      <c r="J1757" s="1">
        <f>SUM(J1758:J1798)</f>
        <v>0</v>
      </c>
      <c r="K1757" s="1">
        <f>SUM(K1758:K1798)</f>
        <v>0</v>
      </c>
      <c r="L1757" s="10" t="s">
        <v>52</v>
      </c>
      <c r="M1757" s="1">
        <f>SUM(M1758:M1798)</f>
        <v>0.46315000000000001</v>
      </c>
      <c r="N1757" s="24"/>
      <c r="AG1757" s="10" t="s">
        <v>1699</v>
      </c>
      <c r="AQ1757" s="1">
        <f>SUM(AH1758:AH1798)</f>
        <v>0</v>
      </c>
      <c r="AR1757" s="1">
        <f>SUM(AI1758:AI1798)</f>
        <v>0</v>
      </c>
      <c r="AS1757" s="1">
        <f>SUM(AJ1758:AJ1798)</f>
        <v>0</v>
      </c>
    </row>
    <row r="1758" spans="1:74" ht="14.4" x14ac:dyDescent="0.3">
      <c r="A1758" s="2" t="s">
        <v>1950</v>
      </c>
      <c r="B1758" s="3" t="s">
        <v>1699</v>
      </c>
      <c r="C1758" s="3" t="s">
        <v>1951</v>
      </c>
      <c r="D1758" s="112" t="s">
        <v>1952</v>
      </c>
      <c r="E1758" s="109"/>
      <c r="F1758" s="3" t="s">
        <v>115</v>
      </c>
      <c r="G1758" s="25">
        <v>8</v>
      </c>
      <c r="H1758" s="62"/>
      <c r="I1758" s="25">
        <f>ROUND(G1758*AM1758,2)</f>
        <v>0</v>
      </c>
      <c r="J1758" s="25">
        <f>ROUND(G1758*AN1758,2)</f>
        <v>0</v>
      </c>
      <c r="K1758" s="25">
        <f>ROUND(G1758*H1758,2)</f>
        <v>0</v>
      </c>
      <c r="L1758" s="25">
        <v>3.4000000000000002E-4</v>
      </c>
      <c r="M1758" s="25">
        <f>G1758*L1758</f>
        <v>2.7200000000000002E-3</v>
      </c>
      <c r="N1758" s="26"/>
      <c r="X1758" s="25">
        <f>ROUND(IF(AO1758="5",BH1758,0),2)</f>
        <v>0</v>
      </c>
      <c r="Z1758" s="25">
        <f>ROUND(IF(AO1758="1",BF1758,0),2)</f>
        <v>0</v>
      </c>
      <c r="AA1758" s="25">
        <f>ROUND(IF(AO1758="1",BG1758,0),2)</f>
        <v>0</v>
      </c>
      <c r="AB1758" s="25">
        <f>ROUND(IF(AO1758="7",BF1758,0),2)</f>
        <v>0</v>
      </c>
      <c r="AC1758" s="25">
        <f>ROUND(IF(AO1758="7",BG1758,0),2)</f>
        <v>0</v>
      </c>
      <c r="AD1758" s="25">
        <f>ROUND(IF(AO1758="2",BF1758,0),2)</f>
        <v>0</v>
      </c>
      <c r="AE1758" s="25">
        <f>ROUND(IF(AO1758="2",BG1758,0),2)</f>
        <v>0</v>
      </c>
      <c r="AF1758" s="25">
        <f>ROUND(IF(AO1758="0",BH1758,0),2)</f>
        <v>0</v>
      </c>
      <c r="AG1758" s="10" t="s">
        <v>1699</v>
      </c>
      <c r="AH1758" s="25">
        <f>IF(AL1758=0,K1758,0)</f>
        <v>0</v>
      </c>
      <c r="AI1758" s="25">
        <f>IF(AL1758=12,K1758,0)</f>
        <v>0</v>
      </c>
      <c r="AJ1758" s="25">
        <f>IF(AL1758=21,K1758,0)</f>
        <v>0</v>
      </c>
      <c r="AL1758" s="25">
        <v>21</v>
      </c>
      <c r="AM1758" s="25">
        <f>H1758*0.328580858</f>
        <v>0</v>
      </c>
      <c r="AN1758" s="25">
        <f>H1758*(1-0.328580858)</f>
        <v>0</v>
      </c>
      <c r="AO1758" s="27" t="s">
        <v>61</v>
      </c>
      <c r="AT1758" s="25">
        <f>ROUND(AU1758+AV1758,2)</f>
        <v>0</v>
      </c>
      <c r="AU1758" s="25">
        <f>ROUND(G1758*AM1758,2)</f>
        <v>0</v>
      </c>
      <c r="AV1758" s="25">
        <f>ROUND(G1758*AN1758,2)</f>
        <v>0</v>
      </c>
      <c r="AW1758" s="27" t="s">
        <v>1953</v>
      </c>
      <c r="AX1758" s="27" t="s">
        <v>1954</v>
      </c>
      <c r="AY1758" s="10" t="s">
        <v>1707</v>
      </c>
      <c r="BA1758" s="25">
        <f>AU1758+AV1758</f>
        <v>0</v>
      </c>
      <c r="BB1758" s="25">
        <f>H1758/(100-BC1758)*100</f>
        <v>0</v>
      </c>
      <c r="BC1758" s="25">
        <v>0</v>
      </c>
      <c r="BD1758" s="25">
        <f>M1758</f>
        <v>2.7200000000000002E-3</v>
      </c>
      <c r="BF1758" s="25">
        <f>G1758*AM1758</f>
        <v>0</v>
      </c>
      <c r="BG1758" s="25">
        <f>G1758*AN1758</f>
        <v>0</v>
      </c>
      <c r="BH1758" s="25">
        <f>G1758*H1758</f>
        <v>0</v>
      </c>
      <c r="BI1758" s="27" t="s">
        <v>65</v>
      </c>
      <c r="BJ1758" s="25">
        <v>721</v>
      </c>
      <c r="BU1758" s="25" t="e">
        <f>#REF!</f>
        <v>#REF!</v>
      </c>
      <c r="BV1758" s="4" t="s">
        <v>1952</v>
      </c>
    </row>
    <row r="1759" spans="1:74" ht="14.4" x14ac:dyDescent="0.3">
      <c r="A1759" s="28"/>
      <c r="D1759" s="29" t="s">
        <v>119</v>
      </c>
      <c r="E1759" s="29" t="s">
        <v>52</v>
      </c>
      <c r="G1759" s="30">
        <v>8</v>
      </c>
      <c r="H1759" s="63"/>
      <c r="N1759" s="31"/>
    </row>
    <row r="1760" spans="1:74" ht="14.4" x14ac:dyDescent="0.3">
      <c r="A1760" s="2" t="s">
        <v>1955</v>
      </c>
      <c r="B1760" s="3" t="s">
        <v>1699</v>
      </c>
      <c r="C1760" s="3" t="s">
        <v>1956</v>
      </c>
      <c r="D1760" s="112" t="s">
        <v>1957</v>
      </c>
      <c r="E1760" s="109"/>
      <c r="F1760" s="3" t="s">
        <v>115</v>
      </c>
      <c r="G1760" s="25">
        <v>45</v>
      </c>
      <c r="H1760" s="62"/>
      <c r="I1760" s="25">
        <f>ROUND(G1760*AM1760,2)</f>
        <v>0</v>
      </c>
      <c r="J1760" s="25">
        <f>ROUND(G1760*AN1760,2)</f>
        <v>0</v>
      </c>
      <c r="K1760" s="25">
        <f>ROUND(G1760*H1760,2)</f>
        <v>0</v>
      </c>
      <c r="L1760" s="25">
        <v>4.6999999999999999E-4</v>
      </c>
      <c r="M1760" s="25">
        <f>G1760*L1760</f>
        <v>2.1149999999999999E-2</v>
      </c>
      <c r="N1760" s="26"/>
      <c r="X1760" s="25">
        <f>ROUND(IF(AO1760="5",BH1760,0),2)</f>
        <v>0</v>
      </c>
      <c r="Z1760" s="25">
        <f>ROUND(IF(AO1760="1",BF1760,0),2)</f>
        <v>0</v>
      </c>
      <c r="AA1760" s="25">
        <f>ROUND(IF(AO1760="1",BG1760,0),2)</f>
        <v>0</v>
      </c>
      <c r="AB1760" s="25">
        <f>ROUND(IF(AO1760="7",BF1760,0),2)</f>
        <v>0</v>
      </c>
      <c r="AC1760" s="25">
        <f>ROUND(IF(AO1760="7",BG1760,0),2)</f>
        <v>0</v>
      </c>
      <c r="AD1760" s="25">
        <f>ROUND(IF(AO1760="2",BF1760,0),2)</f>
        <v>0</v>
      </c>
      <c r="AE1760" s="25">
        <f>ROUND(IF(AO1760="2",BG1760,0),2)</f>
        <v>0</v>
      </c>
      <c r="AF1760" s="25">
        <f>ROUND(IF(AO1760="0",BH1760,0),2)</f>
        <v>0</v>
      </c>
      <c r="AG1760" s="10" t="s">
        <v>1699</v>
      </c>
      <c r="AH1760" s="25">
        <f>IF(AL1760=0,K1760,0)</f>
        <v>0</v>
      </c>
      <c r="AI1760" s="25">
        <f>IF(AL1760=12,K1760,0)</f>
        <v>0</v>
      </c>
      <c r="AJ1760" s="25">
        <f>IF(AL1760=21,K1760,0)</f>
        <v>0</v>
      </c>
      <c r="AL1760" s="25">
        <v>21</v>
      </c>
      <c r="AM1760" s="25">
        <f>H1760*0.288317757</f>
        <v>0</v>
      </c>
      <c r="AN1760" s="25">
        <f>H1760*(1-0.288317757)</f>
        <v>0</v>
      </c>
      <c r="AO1760" s="27" t="s">
        <v>61</v>
      </c>
      <c r="AT1760" s="25">
        <f>ROUND(AU1760+AV1760,2)</f>
        <v>0</v>
      </c>
      <c r="AU1760" s="25">
        <f>ROUND(G1760*AM1760,2)</f>
        <v>0</v>
      </c>
      <c r="AV1760" s="25">
        <f>ROUND(G1760*AN1760,2)</f>
        <v>0</v>
      </c>
      <c r="AW1760" s="27" t="s">
        <v>1953</v>
      </c>
      <c r="AX1760" s="27" t="s">
        <v>1954</v>
      </c>
      <c r="AY1760" s="10" t="s">
        <v>1707</v>
      </c>
      <c r="BA1760" s="25">
        <f>AU1760+AV1760</f>
        <v>0</v>
      </c>
      <c r="BB1760" s="25">
        <f>H1760/(100-BC1760)*100</f>
        <v>0</v>
      </c>
      <c r="BC1760" s="25">
        <v>0</v>
      </c>
      <c r="BD1760" s="25">
        <f>M1760</f>
        <v>2.1149999999999999E-2</v>
      </c>
      <c r="BF1760" s="25">
        <f>G1760*AM1760</f>
        <v>0</v>
      </c>
      <c r="BG1760" s="25">
        <f>G1760*AN1760</f>
        <v>0</v>
      </c>
      <c r="BH1760" s="25">
        <f>G1760*H1760</f>
        <v>0</v>
      </c>
      <c r="BI1760" s="27" t="s">
        <v>65</v>
      </c>
      <c r="BJ1760" s="25">
        <v>721</v>
      </c>
      <c r="BU1760" s="25" t="e">
        <f>#REF!</f>
        <v>#REF!</v>
      </c>
      <c r="BV1760" s="4" t="s">
        <v>1957</v>
      </c>
    </row>
    <row r="1761" spans="1:74" ht="14.4" x14ac:dyDescent="0.3">
      <c r="A1761" s="28"/>
      <c r="D1761" s="29" t="s">
        <v>343</v>
      </c>
      <c r="E1761" s="29" t="s">
        <v>52</v>
      </c>
      <c r="G1761" s="30">
        <v>45</v>
      </c>
      <c r="H1761" s="63"/>
      <c r="N1761" s="31"/>
    </row>
    <row r="1762" spans="1:74" ht="14.4" x14ac:dyDescent="0.3">
      <c r="A1762" s="2" t="s">
        <v>1958</v>
      </c>
      <c r="B1762" s="3" t="s">
        <v>1699</v>
      </c>
      <c r="C1762" s="3" t="s">
        <v>1959</v>
      </c>
      <c r="D1762" s="112" t="s">
        <v>1960</v>
      </c>
      <c r="E1762" s="109"/>
      <c r="F1762" s="3" t="s">
        <v>115</v>
      </c>
      <c r="G1762" s="25">
        <v>36</v>
      </c>
      <c r="H1762" s="62"/>
      <c r="I1762" s="25">
        <f>ROUND(G1762*AM1762,2)</f>
        <v>0</v>
      </c>
      <c r="J1762" s="25">
        <f>ROUND(G1762*AN1762,2)</f>
        <v>0</v>
      </c>
      <c r="K1762" s="25">
        <f>ROUND(G1762*H1762,2)</f>
        <v>0</v>
      </c>
      <c r="L1762" s="25">
        <v>1.5200000000000001E-3</v>
      </c>
      <c r="M1762" s="25">
        <f>G1762*L1762</f>
        <v>5.4720000000000005E-2</v>
      </c>
      <c r="N1762" s="26"/>
      <c r="X1762" s="25">
        <f>ROUND(IF(AO1762="5",BH1762,0),2)</f>
        <v>0</v>
      </c>
      <c r="Z1762" s="25">
        <f>ROUND(IF(AO1762="1",BF1762,0),2)</f>
        <v>0</v>
      </c>
      <c r="AA1762" s="25">
        <f>ROUND(IF(AO1762="1",BG1762,0),2)</f>
        <v>0</v>
      </c>
      <c r="AB1762" s="25">
        <f>ROUND(IF(AO1762="7",BF1762,0),2)</f>
        <v>0</v>
      </c>
      <c r="AC1762" s="25">
        <f>ROUND(IF(AO1762="7",BG1762,0),2)</f>
        <v>0</v>
      </c>
      <c r="AD1762" s="25">
        <f>ROUND(IF(AO1762="2",BF1762,0),2)</f>
        <v>0</v>
      </c>
      <c r="AE1762" s="25">
        <f>ROUND(IF(AO1762="2",BG1762,0),2)</f>
        <v>0</v>
      </c>
      <c r="AF1762" s="25">
        <f>ROUND(IF(AO1762="0",BH1762,0),2)</f>
        <v>0</v>
      </c>
      <c r="AG1762" s="10" t="s">
        <v>1699</v>
      </c>
      <c r="AH1762" s="25">
        <f>IF(AL1762=0,K1762,0)</f>
        <v>0</v>
      </c>
      <c r="AI1762" s="25">
        <f>IF(AL1762=12,K1762,0)</f>
        <v>0</v>
      </c>
      <c r="AJ1762" s="25">
        <f>IF(AL1762=21,K1762,0)</f>
        <v>0</v>
      </c>
      <c r="AL1762" s="25">
        <v>21</v>
      </c>
      <c r="AM1762" s="25">
        <f>H1762*0.262895257</f>
        <v>0</v>
      </c>
      <c r="AN1762" s="25">
        <f>H1762*(1-0.262895257)</f>
        <v>0</v>
      </c>
      <c r="AO1762" s="27" t="s">
        <v>61</v>
      </c>
      <c r="AT1762" s="25">
        <f>ROUND(AU1762+AV1762,2)</f>
        <v>0</v>
      </c>
      <c r="AU1762" s="25">
        <f>ROUND(G1762*AM1762,2)</f>
        <v>0</v>
      </c>
      <c r="AV1762" s="25">
        <f>ROUND(G1762*AN1762,2)</f>
        <v>0</v>
      </c>
      <c r="AW1762" s="27" t="s">
        <v>1953</v>
      </c>
      <c r="AX1762" s="27" t="s">
        <v>1954</v>
      </c>
      <c r="AY1762" s="10" t="s">
        <v>1707</v>
      </c>
      <c r="BA1762" s="25">
        <f>AU1762+AV1762</f>
        <v>0</v>
      </c>
      <c r="BB1762" s="25">
        <f>H1762/(100-BC1762)*100</f>
        <v>0</v>
      </c>
      <c r="BC1762" s="25">
        <v>0</v>
      </c>
      <c r="BD1762" s="25">
        <f>M1762</f>
        <v>5.4720000000000005E-2</v>
      </c>
      <c r="BF1762" s="25">
        <f>G1762*AM1762</f>
        <v>0</v>
      </c>
      <c r="BG1762" s="25">
        <f>G1762*AN1762</f>
        <v>0</v>
      </c>
      <c r="BH1762" s="25">
        <f>G1762*H1762</f>
        <v>0</v>
      </c>
      <c r="BI1762" s="27" t="s">
        <v>65</v>
      </c>
      <c r="BJ1762" s="25">
        <v>721</v>
      </c>
      <c r="BU1762" s="25" t="e">
        <f>#REF!</f>
        <v>#REF!</v>
      </c>
      <c r="BV1762" s="4" t="s">
        <v>1960</v>
      </c>
    </row>
    <row r="1763" spans="1:74" ht="14.4" x14ac:dyDescent="0.3">
      <c r="A1763" s="28"/>
      <c r="D1763" s="29" t="s">
        <v>294</v>
      </c>
      <c r="E1763" s="29" t="s">
        <v>52</v>
      </c>
      <c r="G1763" s="30">
        <v>36</v>
      </c>
      <c r="H1763" s="63"/>
      <c r="N1763" s="31"/>
    </row>
    <row r="1764" spans="1:74" ht="14.4" x14ac:dyDescent="0.3">
      <c r="A1764" s="2" t="s">
        <v>1961</v>
      </c>
      <c r="B1764" s="3" t="s">
        <v>1699</v>
      </c>
      <c r="C1764" s="3" t="s">
        <v>1962</v>
      </c>
      <c r="D1764" s="112" t="s">
        <v>1963</v>
      </c>
      <c r="E1764" s="109"/>
      <c r="F1764" s="3" t="s">
        <v>115</v>
      </c>
      <c r="G1764" s="25">
        <v>45</v>
      </c>
      <c r="H1764" s="62"/>
      <c r="I1764" s="25">
        <f>ROUND(G1764*AM1764,2)</f>
        <v>0</v>
      </c>
      <c r="J1764" s="25">
        <f>ROUND(G1764*AN1764,2)</f>
        <v>0</v>
      </c>
      <c r="K1764" s="25">
        <f>ROUND(G1764*H1764,2)</f>
        <v>0</v>
      </c>
      <c r="L1764" s="25">
        <v>7.7999999999999999E-4</v>
      </c>
      <c r="M1764" s="25">
        <f>G1764*L1764</f>
        <v>3.5099999999999999E-2</v>
      </c>
      <c r="N1764" s="26"/>
      <c r="X1764" s="25">
        <f>ROUND(IF(AO1764="5",BH1764,0),2)</f>
        <v>0</v>
      </c>
      <c r="Z1764" s="25">
        <f>ROUND(IF(AO1764="1",BF1764,0),2)</f>
        <v>0</v>
      </c>
      <c r="AA1764" s="25">
        <f>ROUND(IF(AO1764="1",BG1764,0),2)</f>
        <v>0</v>
      </c>
      <c r="AB1764" s="25">
        <f>ROUND(IF(AO1764="7",BF1764,0),2)</f>
        <v>0</v>
      </c>
      <c r="AC1764" s="25">
        <f>ROUND(IF(AO1764="7",BG1764,0),2)</f>
        <v>0</v>
      </c>
      <c r="AD1764" s="25">
        <f>ROUND(IF(AO1764="2",BF1764,0),2)</f>
        <v>0</v>
      </c>
      <c r="AE1764" s="25">
        <f>ROUND(IF(AO1764="2",BG1764,0),2)</f>
        <v>0</v>
      </c>
      <c r="AF1764" s="25">
        <f>ROUND(IF(AO1764="0",BH1764,0),2)</f>
        <v>0</v>
      </c>
      <c r="AG1764" s="10" t="s">
        <v>1699</v>
      </c>
      <c r="AH1764" s="25">
        <f>IF(AL1764=0,K1764,0)</f>
        <v>0</v>
      </c>
      <c r="AI1764" s="25">
        <f>IF(AL1764=12,K1764,0)</f>
        <v>0</v>
      </c>
      <c r="AJ1764" s="25">
        <f>IF(AL1764=21,K1764,0)</f>
        <v>0</v>
      </c>
      <c r="AL1764" s="25">
        <v>21</v>
      </c>
      <c r="AM1764" s="25">
        <f>H1764*0.29672973</f>
        <v>0</v>
      </c>
      <c r="AN1764" s="25">
        <f>H1764*(1-0.29672973)</f>
        <v>0</v>
      </c>
      <c r="AO1764" s="27" t="s">
        <v>61</v>
      </c>
      <c r="AT1764" s="25">
        <f>ROUND(AU1764+AV1764,2)</f>
        <v>0</v>
      </c>
      <c r="AU1764" s="25">
        <f>ROUND(G1764*AM1764,2)</f>
        <v>0</v>
      </c>
      <c r="AV1764" s="25">
        <f>ROUND(G1764*AN1764,2)</f>
        <v>0</v>
      </c>
      <c r="AW1764" s="27" t="s">
        <v>1953</v>
      </c>
      <c r="AX1764" s="27" t="s">
        <v>1954</v>
      </c>
      <c r="AY1764" s="10" t="s">
        <v>1707</v>
      </c>
      <c r="BA1764" s="25">
        <f>AU1764+AV1764</f>
        <v>0</v>
      </c>
      <c r="BB1764" s="25">
        <f>H1764/(100-BC1764)*100</f>
        <v>0</v>
      </c>
      <c r="BC1764" s="25">
        <v>0</v>
      </c>
      <c r="BD1764" s="25">
        <f>M1764</f>
        <v>3.5099999999999999E-2</v>
      </c>
      <c r="BF1764" s="25">
        <f>G1764*AM1764</f>
        <v>0</v>
      </c>
      <c r="BG1764" s="25">
        <f>G1764*AN1764</f>
        <v>0</v>
      </c>
      <c r="BH1764" s="25">
        <f>G1764*H1764</f>
        <v>0</v>
      </c>
      <c r="BI1764" s="27" t="s">
        <v>65</v>
      </c>
      <c r="BJ1764" s="25">
        <v>721</v>
      </c>
      <c r="BU1764" s="25" t="e">
        <f>#REF!</f>
        <v>#REF!</v>
      </c>
      <c r="BV1764" s="4" t="s">
        <v>1963</v>
      </c>
    </row>
    <row r="1765" spans="1:74" ht="14.4" x14ac:dyDescent="0.3">
      <c r="A1765" s="28"/>
      <c r="D1765" s="29" t="s">
        <v>343</v>
      </c>
      <c r="E1765" s="29" t="s">
        <v>52</v>
      </c>
      <c r="G1765" s="30">
        <v>45</v>
      </c>
      <c r="H1765" s="63"/>
      <c r="N1765" s="31"/>
    </row>
    <row r="1766" spans="1:74" ht="14.4" x14ac:dyDescent="0.3">
      <c r="A1766" s="2" t="s">
        <v>1964</v>
      </c>
      <c r="B1766" s="3" t="s">
        <v>1699</v>
      </c>
      <c r="C1766" s="3" t="s">
        <v>1965</v>
      </c>
      <c r="D1766" s="112" t="s">
        <v>1966</v>
      </c>
      <c r="E1766" s="109"/>
      <c r="F1766" s="3" t="s">
        <v>115</v>
      </c>
      <c r="G1766" s="25">
        <v>91</v>
      </c>
      <c r="H1766" s="62"/>
      <c r="I1766" s="25">
        <f>ROUND(G1766*AM1766,2)</f>
        <v>0</v>
      </c>
      <c r="J1766" s="25">
        <f>ROUND(G1766*AN1766,2)</f>
        <v>0</v>
      </c>
      <c r="K1766" s="25">
        <f>ROUND(G1766*H1766,2)</f>
        <v>0</v>
      </c>
      <c r="L1766" s="25">
        <v>1.31E-3</v>
      </c>
      <c r="M1766" s="25">
        <f>G1766*L1766</f>
        <v>0.11921</v>
      </c>
      <c r="N1766" s="26"/>
      <c r="X1766" s="25">
        <f>ROUND(IF(AO1766="5",BH1766,0),2)</f>
        <v>0</v>
      </c>
      <c r="Z1766" s="25">
        <f>ROUND(IF(AO1766="1",BF1766,0),2)</f>
        <v>0</v>
      </c>
      <c r="AA1766" s="25">
        <f>ROUND(IF(AO1766="1",BG1766,0),2)</f>
        <v>0</v>
      </c>
      <c r="AB1766" s="25">
        <f>ROUND(IF(AO1766="7",BF1766,0),2)</f>
        <v>0</v>
      </c>
      <c r="AC1766" s="25">
        <f>ROUND(IF(AO1766="7",BG1766,0),2)</f>
        <v>0</v>
      </c>
      <c r="AD1766" s="25">
        <f>ROUND(IF(AO1766="2",BF1766,0),2)</f>
        <v>0</v>
      </c>
      <c r="AE1766" s="25">
        <f>ROUND(IF(AO1766="2",BG1766,0),2)</f>
        <v>0</v>
      </c>
      <c r="AF1766" s="25">
        <f>ROUND(IF(AO1766="0",BH1766,0),2)</f>
        <v>0</v>
      </c>
      <c r="AG1766" s="10" t="s">
        <v>1699</v>
      </c>
      <c r="AH1766" s="25">
        <f>IF(AL1766=0,K1766,0)</f>
        <v>0</v>
      </c>
      <c r="AI1766" s="25">
        <f>IF(AL1766=12,K1766,0)</f>
        <v>0</v>
      </c>
      <c r="AJ1766" s="25">
        <f>IF(AL1766=21,K1766,0)</f>
        <v>0</v>
      </c>
      <c r="AL1766" s="25">
        <v>21</v>
      </c>
      <c r="AM1766" s="25">
        <f>H1766*0.372245658</f>
        <v>0</v>
      </c>
      <c r="AN1766" s="25">
        <f>H1766*(1-0.372245658)</f>
        <v>0</v>
      </c>
      <c r="AO1766" s="27" t="s">
        <v>61</v>
      </c>
      <c r="AT1766" s="25">
        <f>ROUND(AU1766+AV1766,2)</f>
        <v>0</v>
      </c>
      <c r="AU1766" s="25">
        <f>ROUND(G1766*AM1766,2)</f>
        <v>0</v>
      </c>
      <c r="AV1766" s="25">
        <f>ROUND(G1766*AN1766,2)</f>
        <v>0</v>
      </c>
      <c r="AW1766" s="27" t="s">
        <v>1953</v>
      </c>
      <c r="AX1766" s="27" t="s">
        <v>1954</v>
      </c>
      <c r="AY1766" s="10" t="s">
        <v>1707</v>
      </c>
      <c r="BA1766" s="25">
        <f>AU1766+AV1766</f>
        <v>0</v>
      </c>
      <c r="BB1766" s="25">
        <f>H1766/(100-BC1766)*100</f>
        <v>0</v>
      </c>
      <c r="BC1766" s="25">
        <v>0</v>
      </c>
      <c r="BD1766" s="25">
        <f>M1766</f>
        <v>0.11921</v>
      </c>
      <c r="BF1766" s="25">
        <f>G1766*AM1766</f>
        <v>0</v>
      </c>
      <c r="BG1766" s="25">
        <f>G1766*AN1766</f>
        <v>0</v>
      </c>
      <c r="BH1766" s="25">
        <f>G1766*H1766</f>
        <v>0</v>
      </c>
      <c r="BI1766" s="27" t="s">
        <v>65</v>
      </c>
      <c r="BJ1766" s="25">
        <v>721</v>
      </c>
      <c r="BU1766" s="25" t="e">
        <f>#REF!</f>
        <v>#REF!</v>
      </c>
      <c r="BV1766" s="4" t="s">
        <v>1966</v>
      </c>
    </row>
    <row r="1767" spans="1:74" ht="14.4" x14ac:dyDescent="0.3">
      <c r="A1767" s="28"/>
      <c r="D1767" s="29" t="s">
        <v>1967</v>
      </c>
      <c r="E1767" s="29" t="s">
        <v>52</v>
      </c>
      <c r="G1767" s="30">
        <v>91</v>
      </c>
      <c r="H1767" s="63"/>
      <c r="N1767" s="31"/>
    </row>
    <row r="1768" spans="1:74" ht="14.4" x14ac:dyDescent="0.3">
      <c r="A1768" s="2" t="s">
        <v>1968</v>
      </c>
      <c r="B1768" s="3" t="s">
        <v>1699</v>
      </c>
      <c r="C1768" s="3" t="s">
        <v>1969</v>
      </c>
      <c r="D1768" s="112" t="s">
        <v>1970</v>
      </c>
      <c r="E1768" s="109"/>
      <c r="F1768" s="3" t="s">
        <v>115</v>
      </c>
      <c r="G1768" s="25">
        <v>41</v>
      </c>
      <c r="H1768" s="62"/>
      <c r="I1768" s="25">
        <f>ROUND(G1768*AM1768,2)</f>
        <v>0</v>
      </c>
      <c r="J1768" s="25">
        <f>ROUND(G1768*AN1768,2)</f>
        <v>0</v>
      </c>
      <c r="K1768" s="25">
        <f>ROUND(G1768*H1768,2)</f>
        <v>0</v>
      </c>
      <c r="L1768" s="25">
        <v>7.3999999999999999E-4</v>
      </c>
      <c r="M1768" s="25">
        <f>G1768*L1768</f>
        <v>3.0339999999999999E-2</v>
      </c>
      <c r="N1768" s="26"/>
      <c r="X1768" s="25">
        <f>ROUND(IF(AO1768="5",BH1768,0),2)</f>
        <v>0</v>
      </c>
      <c r="Z1768" s="25">
        <f>ROUND(IF(AO1768="1",BF1768,0),2)</f>
        <v>0</v>
      </c>
      <c r="AA1768" s="25">
        <f>ROUND(IF(AO1768="1",BG1768,0),2)</f>
        <v>0</v>
      </c>
      <c r="AB1768" s="25">
        <f>ROUND(IF(AO1768="7",BF1768,0),2)</f>
        <v>0</v>
      </c>
      <c r="AC1768" s="25">
        <f>ROUND(IF(AO1768="7",BG1768,0),2)</f>
        <v>0</v>
      </c>
      <c r="AD1768" s="25">
        <f>ROUND(IF(AO1768="2",BF1768,0),2)</f>
        <v>0</v>
      </c>
      <c r="AE1768" s="25">
        <f>ROUND(IF(AO1768="2",BG1768,0),2)</f>
        <v>0</v>
      </c>
      <c r="AF1768" s="25">
        <f>ROUND(IF(AO1768="0",BH1768,0),2)</f>
        <v>0</v>
      </c>
      <c r="AG1768" s="10" t="s">
        <v>1699</v>
      </c>
      <c r="AH1768" s="25">
        <f>IF(AL1768=0,K1768,0)</f>
        <v>0</v>
      </c>
      <c r="AI1768" s="25">
        <f>IF(AL1768=12,K1768,0)</f>
        <v>0</v>
      </c>
      <c r="AJ1768" s="25">
        <f>IF(AL1768=21,K1768,0)</f>
        <v>0</v>
      </c>
      <c r="AL1768" s="25">
        <v>21</v>
      </c>
      <c r="AM1768" s="25">
        <f>H1768*0.330047393</f>
        <v>0</v>
      </c>
      <c r="AN1768" s="25">
        <f>H1768*(1-0.330047393)</f>
        <v>0</v>
      </c>
      <c r="AO1768" s="27" t="s">
        <v>61</v>
      </c>
      <c r="AT1768" s="25">
        <f>ROUND(AU1768+AV1768,2)</f>
        <v>0</v>
      </c>
      <c r="AU1768" s="25">
        <f>ROUND(G1768*AM1768,2)</f>
        <v>0</v>
      </c>
      <c r="AV1768" s="25">
        <f>ROUND(G1768*AN1768,2)</f>
        <v>0</v>
      </c>
      <c r="AW1768" s="27" t="s">
        <v>1953</v>
      </c>
      <c r="AX1768" s="27" t="s">
        <v>1954</v>
      </c>
      <c r="AY1768" s="10" t="s">
        <v>1707</v>
      </c>
      <c r="BA1768" s="25">
        <f>AU1768+AV1768</f>
        <v>0</v>
      </c>
      <c r="BB1768" s="25">
        <f>H1768/(100-BC1768)*100</f>
        <v>0</v>
      </c>
      <c r="BC1768" s="25">
        <v>0</v>
      </c>
      <c r="BD1768" s="25">
        <f>M1768</f>
        <v>3.0339999999999999E-2</v>
      </c>
      <c r="BF1768" s="25">
        <f>G1768*AM1768</f>
        <v>0</v>
      </c>
      <c r="BG1768" s="25">
        <f>G1768*AN1768</f>
        <v>0</v>
      </c>
      <c r="BH1768" s="25">
        <f>G1768*H1768</f>
        <v>0</v>
      </c>
      <c r="BI1768" s="27" t="s">
        <v>65</v>
      </c>
      <c r="BJ1768" s="25">
        <v>721</v>
      </c>
      <c r="BU1768" s="25" t="e">
        <f>#REF!</f>
        <v>#REF!</v>
      </c>
      <c r="BV1768" s="4" t="s">
        <v>1970</v>
      </c>
    </row>
    <row r="1769" spans="1:74" ht="14.4" x14ac:dyDescent="0.3">
      <c r="A1769" s="28"/>
      <c r="D1769" s="29" t="s">
        <v>320</v>
      </c>
      <c r="E1769" s="29" t="s">
        <v>52</v>
      </c>
      <c r="G1769" s="30">
        <v>41</v>
      </c>
      <c r="H1769" s="63"/>
      <c r="N1769" s="31"/>
    </row>
    <row r="1770" spans="1:74" ht="14.4" x14ac:dyDescent="0.3">
      <c r="A1770" s="2" t="s">
        <v>1971</v>
      </c>
      <c r="B1770" s="3" t="s">
        <v>1699</v>
      </c>
      <c r="C1770" s="3" t="s">
        <v>1972</v>
      </c>
      <c r="D1770" s="112" t="s">
        <v>1973</v>
      </c>
      <c r="E1770" s="109"/>
      <c r="F1770" s="3" t="s">
        <v>115</v>
      </c>
      <c r="G1770" s="25">
        <v>81</v>
      </c>
      <c r="H1770" s="62"/>
      <c r="I1770" s="25">
        <f>ROUND(G1770*AM1770,2)</f>
        <v>0</v>
      </c>
      <c r="J1770" s="25">
        <f>ROUND(G1770*AN1770,2)</f>
        <v>0</v>
      </c>
      <c r="K1770" s="25">
        <f>ROUND(G1770*H1770,2)</f>
        <v>0</v>
      </c>
      <c r="L1770" s="25">
        <v>1.3699999999999999E-3</v>
      </c>
      <c r="M1770" s="25">
        <f>G1770*L1770</f>
        <v>0.11097</v>
      </c>
      <c r="N1770" s="26"/>
      <c r="X1770" s="25">
        <f>ROUND(IF(AO1770="5",BH1770,0),2)</f>
        <v>0</v>
      </c>
      <c r="Z1770" s="25">
        <f>ROUND(IF(AO1770="1",BF1770,0),2)</f>
        <v>0</v>
      </c>
      <c r="AA1770" s="25">
        <f>ROUND(IF(AO1770="1",BG1770,0),2)</f>
        <v>0</v>
      </c>
      <c r="AB1770" s="25">
        <f>ROUND(IF(AO1770="7",BF1770,0),2)</f>
        <v>0</v>
      </c>
      <c r="AC1770" s="25">
        <f>ROUND(IF(AO1770="7",BG1770,0),2)</f>
        <v>0</v>
      </c>
      <c r="AD1770" s="25">
        <f>ROUND(IF(AO1770="2",BF1770,0),2)</f>
        <v>0</v>
      </c>
      <c r="AE1770" s="25">
        <f>ROUND(IF(AO1770="2",BG1770,0),2)</f>
        <v>0</v>
      </c>
      <c r="AF1770" s="25">
        <f>ROUND(IF(AO1770="0",BH1770,0),2)</f>
        <v>0</v>
      </c>
      <c r="AG1770" s="10" t="s">
        <v>1699</v>
      </c>
      <c r="AH1770" s="25">
        <f>IF(AL1770=0,K1770,0)</f>
        <v>0</v>
      </c>
      <c r="AI1770" s="25">
        <f>IF(AL1770=12,K1770,0)</f>
        <v>0</v>
      </c>
      <c r="AJ1770" s="25">
        <f>IF(AL1770=21,K1770,0)</f>
        <v>0</v>
      </c>
      <c r="AL1770" s="25">
        <v>21</v>
      </c>
      <c r="AM1770" s="25">
        <f>H1770*0.417292627</f>
        <v>0</v>
      </c>
      <c r="AN1770" s="25">
        <f>H1770*(1-0.417292627)</f>
        <v>0</v>
      </c>
      <c r="AO1770" s="27" t="s">
        <v>61</v>
      </c>
      <c r="AT1770" s="25">
        <f>ROUND(AU1770+AV1770,2)</f>
        <v>0</v>
      </c>
      <c r="AU1770" s="25">
        <f>ROUND(G1770*AM1770,2)</f>
        <v>0</v>
      </c>
      <c r="AV1770" s="25">
        <f>ROUND(G1770*AN1770,2)</f>
        <v>0</v>
      </c>
      <c r="AW1770" s="27" t="s">
        <v>1953</v>
      </c>
      <c r="AX1770" s="27" t="s">
        <v>1954</v>
      </c>
      <c r="AY1770" s="10" t="s">
        <v>1707</v>
      </c>
      <c r="BA1770" s="25">
        <f>AU1770+AV1770</f>
        <v>0</v>
      </c>
      <c r="BB1770" s="25">
        <f>H1770/(100-BC1770)*100</f>
        <v>0</v>
      </c>
      <c r="BC1770" s="25">
        <v>0</v>
      </c>
      <c r="BD1770" s="25">
        <f>M1770</f>
        <v>0.11097</v>
      </c>
      <c r="BF1770" s="25">
        <f>G1770*AM1770</f>
        <v>0</v>
      </c>
      <c r="BG1770" s="25">
        <f>G1770*AN1770</f>
        <v>0</v>
      </c>
      <c r="BH1770" s="25">
        <f>G1770*H1770</f>
        <v>0</v>
      </c>
      <c r="BI1770" s="27" t="s">
        <v>65</v>
      </c>
      <c r="BJ1770" s="25">
        <v>721</v>
      </c>
      <c r="BU1770" s="25" t="e">
        <f>#REF!</f>
        <v>#REF!</v>
      </c>
      <c r="BV1770" s="4" t="s">
        <v>1973</v>
      </c>
    </row>
    <row r="1771" spans="1:74" ht="14.4" x14ac:dyDescent="0.3">
      <c r="A1771" s="28"/>
      <c r="D1771" s="29" t="s">
        <v>520</v>
      </c>
      <c r="E1771" s="29" t="s">
        <v>52</v>
      </c>
      <c r="G1771" s="30">
        <v>81</v>
      </c>
      <c r="H1771" s="63"/>
      <c r="N1771" s="31"/>
    </row>
    <row r="1772" spans="1:74" ht="14.4" x14ac:dyDescent="0.3">
      <c r="A1772" s="2" t="s">
        <v>1974</v>
      </c>
      <c r="B1772" s="3" t="s">
        <v>1699</v>
      </c>
      <c r="C1772" s="3" t="s">
        <v>1975</v>
      </c>
      <c r="D1772" s="112" t="s">
        <v>1976</v>
      </c>
      <c r="E1772" s="109"/>
      <c r="F1772" s="3" t="s">
        <v>115</v>
      </c>
      <c r="G1772" s="25">
        <v>45</v>
      </c>
      <c r="H1772" s="62"/>
      <c r="I1772" s="25">
        <f>ROUND(G1772*AM1772,2)</f>
        <v>0</v>
      </c>
      <c r="J1772" s="25">
        <f>ROUND(G1772*AN1772,2)</f>
        <v>0</v>
      </c>
      <c r="K1772" s="25">
        <f>ROUND(G1772*H1772,2)</f>
        <v>0</v>
      </c>
      <c r="L1772" s="25">
        <v>2.0000000000000001E-4</v>
      </c>
      <c r="M1772" s="25">
        <f>G1772*L1772</f>
        <v>9.0000000000000011E-3</v>
      </c>
      <c r="N1772" s="26"/>
      <c r="X1772" s="25">
        <f>ROUND(IF(AO1772="5",BH1772,0),2)</f>
        <v>0</v>
      </c>
      <c r="Z1772" s="25">
        <f>ROUND(IF(AO1772="1",BF1772,0),2)</f>
        <v>0</v>
      </c>
      <c r="AA1772" s="25">
        <f>ROUND(IF(AO1772="1",BG1772,0),2)</f>
        <v>0</v>
      </c>
      <c r="AB1772" s="25">
        <f>ROUND(IF(AO1772="7",BF1772,0),2)</f>
        <v>0</v>
      </c>
      <c r="AC1772" s="25">
        <f>ROUND(IF(AO1772="7",BG1772,0),2)</f>
        <v>0</v>
      </c>
      <c r="AD1772" s="25">
        <f>ROUND(IF(AO1772="2",BF1772,0),2)</f>
        <v>0</v>
      </c>
      <c r="AE1772" s="25">
        <f>ROUND(IF(AO1772="2",BG1772,0),2)</f>
        <v>0</v>
      </c>
      <c r="AF1772" s="25">
        <f>ROUND(IF(AO1772="0",BH1772,0),2)</f>
        <v>0</v>
      </c>
      <c r="AG1772" s="10" t="s">
        <v>1699</v>
      </c>
      <c r="AH1772" s="25">
        <f>IF(AL1772=0,K1772,0)</f>
        <v>0</v>
      </c>
      <c r="AI1772" s="25">
        <f>IF(AL1772=12,K1772,0)</f>
        <v>0</v>
      </c>
      <c r="AJ1772" s="25">
        <f>IF(AL1772=21,K1772,0)</f>
        <v>0</v>
      </c>
      <c r="AL1772" s="25">
        <v>21</v>
      </c>
      <c r="AM1772" s="25">
        <f>H1772*0.366379747</f>
        <v>0</v>
      </c>
      <c r="AN1772" s="25">
        <f>H1772*(1-0.366379747)</f>
        <v>0</v>
      </c>
      <c r="AO1772" s="27" t="s">
        <v>61</v>
      </c>
      <c r="AT1772" s="25">
        <f>ROUND(AU1772+AV1772,2)</f>
        <v>0</v>
      </c>
      <c r="AU1772" s="25">
        <f>ROUND(G1772*AM1772,2)</f>
        <v>0</v>
      </c>
      <c r="AV1772" s="25">
        <f>ROUND(G1772*AN1772,2)</f>
        <v>0</v>
      </c>
      <c r="AW1772" s="27" t="s">
        <v>1953</v>
      </c>
      <c r="AX1772" s="27" t="s">
        <v>1954</v>
      </c>
      <c r="AY1772" s="10" t="s">
        <v>1707</v>
      </c>
      <c r="BA1772" s="25">
        <f>AU1772+AV1772</f>
        <v>0</v>
      </c>
      <c r="BB1772" s="25">
        <f>H1772/(100-BC1772)*100</f>
        <v>0</v>
      </c>
      <c r="BC1772" s="25">
        <v>0</v>
      </c>
      <c r="BD1772" s="25">
        <f>M1772</f>
        <v>9.0000000000000011E-3</v>
      </c>
      <c r="BF1772" s="25">
        <f>G1772*AM1772</f>
        <v>0</v>
      </c>
      <c r="BG1772" s="25">
        <f>G1772*AN1772</f>
        <v>0</v>
      </c>
      <c r="BH1772" s="25">
        <f>G1772*H1772</f>
        <v>0</v>
      </c>
      <c r="BI1772" s="27" t="s">
        <v>65</v>
      </c>
      <c r="BJ1772" s="25">
        <v>721</v>
      </c>
      <c r="BU1772" s="25" t="e">
        <f>#REF!</f>
        <v>#REF!</v>
      </c>
      <c r="BV1772" s="4" t="s">
        <v>1976</v>
      </c>
    </row>
    <row r="1773" spans="1:74" ht="14.4" x14ac:dyDescent="0.3">
      <c r="A1773" s="28"/>
      <c r="D1773" s="29" t="s">
        <v>343</v>
      </c>
      <c r="E1773" s="29" t="s">
        <v>52</v>
      </c>
      <c r="G1773" s="30">
        <v>45</v>
      </c>
      <c r="H1773" s="63"/>
      <c r="N1773" s="31"/>
    </row>
    <row r="1774" spans="1:74" ht="14.4" x14ac:dyDescent="0.3">
      <c r="A1774" s="2" t="s">
        <v>1977</v>
      </c>
      <c r="B1774" s="3" t="s">
        <v>1699</v>
      </c>
      <c r="C1774" s="3" t="s">
        <v>1978</v>
      </c>
      <c r="D1774" s="112" t="s">
        <v>1979</v>
      </c>
      <c r="E1774" s="109"/>
      <c r="F1774" s="3" t="s">
        <v>115</v>
      </c>
      <c r="G1774" s="25">
        <v>91</v>
      </c>
      <c r="H1774" s="62"/>
      <c r="I1774" s="25">
        <f>ROUND(G1774*AM1774,2)</f>
        <v>0</v>
      </c>
      <c r="J1774" s="25">
        <f>ROUND(G1774*AN1774,2)</f>
        <v>0</v>
      </c>
      <c r="K1774" s="25">
        <f>ROUND(G1774*H1774,2)</f>
        <v>0</v>
      </c>
      <c r="L1774" s="25">
        <v>4.0000000000000002E-4</v>
      </c>
      <c r="M1774" s="25">
        <f>G1774*L1774</f>
        <v>3.6400000000000002E-2</v>
      </c>
      <c r="N1774" s="26"/>
      <c r="X1774" s="25">
        <f>ROUND(IF(AO1774="5",BH1774,0),2)</f>
        <v>0</v>
      </c>
      <c r="Z1774" s="25">
        <f>ROUND(IF(AO1774="1",BF1774,0),2)</f>
        <v>0</v>
      </c>
      <c r="AA1774" s="25">
        <f>ROUND(IF(AO1774="1",BG1774,0),2)</f>
        <v>0</v>
      </c>
      <c r="AB1774" s="25">
        <f>ROUND(IF(AO1774="7",BF1774,0),2)</f>
        <v>0</v>
      </c>
      <c r="AC1774" s="25">
        <f>ROUND(IF(AO1774="7",BG1774,0),2)</f>
        <v>0</v>
      </c>
      <c r="AD1774" s="25">
        <f>ROUND(IF(AO1774="2",BF1774,0),2)</f>
        <v>0</v>
      </c>
      <c r="AE1774" s="25">
        <f>ROUND(IF(AO1774="2",BG1774,0),2)</f>
        <v>0</v>
      </c>
      <c r="AF1774" s="25">
        <f>ROUND(IF(AO1774="0",BH1774,0),2)</f>
        <v>0</v>
      </c>
      <c r="AG1774" s="10" t="s">
        <v>1699</v>
      </c>
      <c r="AH1774" s="25">
        <f>IF(AL1774=0,K1774,0)</f>
        <v>0</v>
      </c>
      <c r="AI1774" s="25">
        <f>IF(AL1774=12,K1774,0)</f>
        <v>0</v>
      </c>
      <c r="AJ1774" s="25">
        <f>IF(AL1774=21,K1774,0)</f>
        <v>0</v>
      </c>
      <c r="AL1774" s="25">
        <v>21</v>
      </c>
      <c r="AM1774" s="25">
        <f>H1774*0.44296875</f>
        <v>0</v>
      </c>
      <c r="AN1774" s="25">
        <f>H1774*(1-0.44296875)</f>
        <v>0</v>
      </c>
      <c r="AO1774" s="27" t="s">
        <v>61</v>
      </c>
      <c r="AT1774" s="25">
        <f>ROUND(AU1774+AV1774,2)</f>
        <v>0</v>
      </c>
      <c r="AU1774" s="25">
        <f>ROUND(G1774*AM1774,2)</f>
        <v>0</v>
      </c>
      <c r="AV1774" s="25">
        <f>ROUND(G1774*AN1774,2)</f>
        <v>0</v>
      </c>
      <c r="AW1774" s="27" t="s">
        <v>1953</v>
      </c>
      <c r="AX1774" s="27" t="s">
        <v>1954</v>
      </c>
      <c r="AY1774" s="10" t="s">
        <v>1707</v>
      </c>
      <c r="BA1774" s="25">
        <f>AU1774+AV1774</f>
        <v>0</v>
      </c>
      <c r="BB1774" s="25">
        <f>H1774/(100-BC1774)*100</f>
        <v>0</v>
      </c>
      <c r="BC1774" s="25">
        <v>0</v>
      </c>
      <c r="BD1774" s="25">
        <f>M1774</f>
        <v>3.6400000000000002E-2</v>
      </c>
      <c r="BF1774" s="25">
        <f>G1774*AM1774</f>
        <v>0</v>
      </c>
      <c r="BG1774" s="25">
        <f>G1774*AN1774</f>
        <v>0</v>
      </c>
      <c r="BH1774" s="25">
        <f>G1774*H1774</f>
        <v>0</v>
      </c>
      <c r="BI1774" s="27" t="s">
        <v>65</v>
      </c>
      <c r="BJ1774" s="25">
        <v>721</v>
      </c>
      <c r="BU1774" s="25" t="e">
        <f>#REF!</f>
        <v>#REF!</v>
      </c>
      <c r="BV1774" s="4" t="s">
        <v>1979</v>
      </c>
    </row>
    <row r="1775" spans="1:74" ht="14.4" x14ac:dyDescent="0.3">
      <c r="A1775" s="28"/>
      <c r="D1775" s="29" t="s">
        <v>1967</v>
      </c>
      <c r="E1775" s="29" t="s">
        <v>52</v>
      </c>
      <c r="G1775" s="30">
        <v>91</v>
      </c>
      <c r="H1775" s="63"/>
      <c r="N1775" s="31"/>
    </row>
    <row r="1776" spans="1:74" ht="14.4" x14ac:dyDescent="0.3">
      <c r="A1776" s="2" t="s">
        <v>1980</v>
      </c>
      <c r="B1776" s="3" t="s">
        <v>1699</v>
      </c>
      <c r="C1776" s="3" t="s">
        <v>1833</v>
      </c>
      <c r="D1776" s="112" t="s">
        <v>1834</v>
      </c>
      <c r="E1776" s="109"/>
      <c r="F1776" s="3" t="s">
        <v>115</v>
      </c>
      <c r="G1776" s="25">
        <v>15</v>
      </c>
      <c r="H1776" s="62"/>
      <c r="I1776" s="25">
        <f>ROUND(G1776*AM1776,2)</f>
        <v>0</v>
      </c>
      <c r="J1776" s="25">
        <f>ROUND(G1776*AN1776,2)</f>
        <v>0</v>
      </c>
      <c r="K1776" s="25">
        <f>ROUND(G1776*H1776,2)</f>
        <v>0</v>
      </c>
      <c r="L1776" s="25">
        <v>0</v>
      </c>
      <c r="M1776" s="25">
        <f>G1776*L1776</f>
        <v>0</v>
      </c>
      <c r="N1776" s="26"/>
      <c r="X1776" s="25">
        <f>ROUND(IF(AO1776="5",BH1776,0),2)</f>
        <v>0</v>
      </c>
      <c r="Z1776" s="25">
        <f>ROUND(IF(AO1776="1",BF1776,0),2)</f>
        <v>0</v>
      </c>
      <c r="AA1776" s="25">
        <f>ROUND(IF(AO1776="1",BG1776,0),2)</f>
        <v>0</v>
      </c>
      <c r="AB1776" s="25">
        <f>ROUND(IF(AO1776="7",BF1776,0),2)</f>
        <v>0</v>
      </c>
      <c r="AC1776" s="25">
        <f>ROUND(IF(AO1776="7",BG1776,0),2)</f>
        <v>0</v>
      </c>
      <c r="AD1776" s="25">
        <f>ROUND(IF(AO1776="2",BF1776,0),2)</f>
        <v>0</v>
      </c>
      <c r="AE1776" s="25">
        <f>ROUND(IF(AO1776="2",BG1776,0),2)</f>
        <v>0</v>
      </c>
      <c r="AF1776" s="25">
        <f>ROUND(IF(AO1776="0",BH1776,0),2)</f>
        <v>0</v>
      </c>
      <c r="AG1776" s="10" t="s">
        <v>1699</v>
      </c>
      <c r="AH1776" s="25">
        <f>IF(AL1776=0,K1776,0)</f>
        <v>0</v>
      </c>
      <c r="AI1776" s="25">
        <f>IF(AL1776=12,K1776,0)</f>
        <v>0</v>
      </c>
      <c r="AJ1776" s="25">
        <f>IF(AL1776=21,K1776,0)</f>
        <v>0</v>
      </c>
      <c r="AL1776" s="25">
        <v>21</v>
      </c>
      <c r="AM1776" s="25">
        <f>H1776*0</f>
        <v>0</v>
      </c>
      <c r="AN1776" s="25">
        <f>H1776*(1-0)</f>
        <v>0</v>
      </c>
      <c r="AO1776" s="27" t="s">
        <v>61</v>
      </c>
      <c r="AT1776" s="25">
        <f>ROUND(AU1776+AV1776,2)</f>
        <v>0</v>
      </c>
      <c r="AU1776" s="25">
        <f>ROUND(G1776*AM1776,2)</f>
        <v>0</v>
      </c>
      <c r="AV1776" s="25">
        <f>ROUND(G1776*AN1776,2)</f>
        <v>0</v>
      </c>
      <c r="AW1776" s="27" t="s">
        <v>1953</v>
      </c>
      <c r="AX1776" s="27" t="s">
        <v>1954</v>
      </c>
      <c r="AY1776" s="10" t="s">
        <v>1707</v>
      </c>
      <c r="BA1776" s="25">
        <f>AU1776+AV1776</f>
        <v>0</v>
      </c>
      <c r="BB1776" s="25">
        <f>H1776/(100-BC1776)*100</f>
        <v>0</v>
      </c>
      <c r="BC1776" s="25">
        <v>0</v>
      </c>
      <c r="BD1776" s="25">
        <f>M1776</f>
        <v>0</v>
      </c>
      <c r="BF1776" s="25">
        <f>G1776*AM1776</f>
        <v>0</v>
      </c>
      <c r="BG1776" s="25">
        <f>G1776*AN1776</f>
        <v>0</v>
      </c>
      <c r="BH1776" s="25">
        <f>G1776*H1776</f>
        <v>0</v>
      </c>
      <c r="BI1776" s="27" t="s">
        <v>65</v>
      </c>
      <c r="BJ1776" s="25">
        <v>721</v>
      </c>
      <c r="BU1776" s="25" t="e">
        <f>#REF!</f>
        <v>#REF!</v>
      </c>
      <c r="BV1776" s="4" t="s">
        <v>1834</v>
      </c>
    </row>
    <row r="1777" spans="1:74" ht="14.4" x14ac:dyDescent="0.3">
      <c r="A1777" s="28"/>
      <c r="D1777" s="29" t="s">
        <v>166</v>
      </c>
      <c r="E1777" s="29" t="s">
        <v>52</v>
      </c>
      <c r="G1777" s="30">
        <v>15</v>
      </c>
      <c r="H1777" s="63"/>
      <c r="N1777" s="31"/>
    </row>
    <row r="1778" spans="1:74" ht="14.4" x14ac:dyDescent="0.3">
      <c r="A1778" s="2" t="s">
        <v>1981</v>
      </c>
      <c r="B1778" s="3" t="s">
        <v>1699</v>
      </c>
      <c r="C1778" s="3" t="s">
        <v>1982</v>
      </c>
      <c r="D1778" s="112" t="s">
        <v>1983</v>
      </c>
      <c r="E1778" s="109"/>
      <c r="F1778" s="3" t="s">
        <v>122</v>
      </c>
      <c r="G1778" s="25">
        <v>1</v>
      </c>
      <c r="H1778" s="62"/>
      <c r="I1778" s="25">
        <f>ROUND(G1778*AM1778,2)</f>
        <v>0</v>
      </c>
      <c r="J1778" s="25">
        <f>ROUND(G1778*AN1778,2)</f>
        <v>0</v>
      </c>
      <c r="K1778" s="25">
        <f>ROUND(G1778*H1778,2)</f>
        <v>0</v>
      </c>
      <c r="L1778" s="25">
        <v>4.4999999999999999E-4</v>
      </c>
      <c r="M1778" s="25">
        <f>G1778*L1778</f>
        <v>4.4999999999999999E-4</v>
      </c>
      <c r="N1778" s="26"/>
      <c r="X1778" s="25">
        <f>ROUND(IF(AO1778="5",BH1778,0),2)</f>
        <v>0</v>
      </c>
      <c r="Z1778" s="25">
        <f>ROUND(IF(AO1778="1",BF1778,0),2)</f>
        <v>0</v>
      </c>
      <c r="AA1778" s="25">
        <f>ROUND(IF(AO1778="1",BG1778,0),2)</f>
        <v>0</v>
      </c>
      <c r="AB1778" s="25">
        <f>ROUND(IF(AO1778="7",BF1778,0),2)</f>
        <v>0</v>
      </c>
      <c r="AC1778" s="25">
        <f>ROUND(IF(AO1778="7",BG1778,0),2)</f>
        <v>0</v>
      </c>
      <c r="AD1778" s="25">
        <f>ROUND(IF(AO1778="2",BF1778,0),2)</f>
        <v>0</v>
      </c>
      <c r="AE1778" s="25">
        <f>ROUND(IF(AO1778="2",BG1778,0),2)</f>
        <v>0</v>
      </c>
      <c r="AF1778" s="25">
        <f>ROUND(IF(AO1778="0",BH1778,0),2)</f>
        <v>0</v>
      </c>
      <c r="AG1778" s="10" t="s">
        <v>1699</v>
      </c>
      <c r="AH1778" s="25">
        <f>IF(AL1778=0,K1778,0)</f>
        <v>0</v>
      </c>
      <c r="AI1778" s="25">
        <f>IF(AL1778=12,K1778,0)</f>
        <v>0</v>
      </c>
      <c r="AJ1778" s="25">
        <f>IF(AL1778=21,K1778,0)</f>
        <v>0</v>
      </c>
      <c r="AL1778" s="25">
        <v>21</v>
      </c>
      <c r="AM1778" s="25">
        <f>H1778*0.782991347</f>
        <v>0</v>
      </c>
      <c r="AN1778" s="25">
        <f>H1778*(1-0.782991347)</f>
        <v>0</v>
      </c>
      <c r="AO1778" s="27" t="s">
        <v>61</v>
      </c>
      <c r="AT1778" s="25">
        <f>ROUND(AU1778+AV1778,2)</f>
        <v>0</v>
      </c>
      <c r="AU1778" s="25">
        <f>ROUND(G1778*AM1778,2)</f>
        <v>0</v>
      </c>
      <c r="AV1778" s="25">
        <f>ROUND(G1778*AN1778,2)</f>
        <v>0</v>
      </c>
      <c r="AW1778" s="27" t="s">
        <v>1953</v>
      </c>
      <c r="AX1778" s="27" t="s">
        <v>1954</v>
      </c>
      <c r="AY1778" s="10" t="s">
        <v>1707</v>
      </c>
      <c r="BA1778" s="25">
        <f>AU1778+AV1778</f>
        <v>0</v>
      </c>
      <c r="BB1778" s="25">
        <f>H1778/(100-BC1778)*100</f>
        <v>0</v>
      </c>
      <c r="BC1778" s="25">
        <v>0</v>
      </c>
      <c r="BD1778" s="25">
        <f>M1778</f>
        <v>4.4999999999999999E-4</v>
      </c>
      <c r="BF1778" s="25">
        <f>G1778*AM1778</f>
        <v>0</v>
      </c>
      <c r="BG1778" s="25">
        <f>G1778*AN1778</f>
        <v>0</v>
      </c>
      <c r="BH1778" s="25">
        <f>G1778*H1778</f>
        <v>0</v>
      </c>
      <c r="BI1778" s="27" t="s">
        <v>65</v>
      </c>
      <c r="BJ1778" s="25">
        <v>721</v>
      </c>
      <c r="BU1778" s="25" t="e">
        <f>#REF!</f>
        <v>#REF!</v>
      </c>
      <c r="BV1778" s="4" t="s">
        <v>1983</v>
      </c>
    </row>
    <row r="1779" spans="1:74" ht="14.4" x14ac:dyDescent="0.3">
      <c r="A1779" s="28"/>
      <c r="D1779" s="29" t="s">
        <v>57</v>
      </c>
      <c r="E1779" s="29" t="s">
        <v>52</v>
      </c>
      <c r="G1779" s="30">
        <v>1</v>
      </c>
      <c r="H1779" s="63"/>
      <c r="N1779" s="31"/>
    </row>
    <row r="1780" spans="1:74" ht="14.4" x14ac:dyDescent="0.3">
      <c r="A1780" s="2" t="s">
        <v>1984</v>
      </c>
      <c r="B1780" s="3" t="s">
        <v>1699</v>
      </c>
      <c r="C1780" s="3" t="s">
        <v>1985</v>
      </c>
      <c r="D1780" s="112" t="s">
        <v>1986</v>
      </c>
      <c r="E1780" s="109"/>
      <c r="F1780" s="3" t="s">
        <v>122</v>
      </c>
      <c r="G1780" s="25">
        <v>14</v>
      </c>
      <c r="H1780" s="62"/>
      <c r="I1780" s="25">
        <f>ROUND(G1780*AM1780,2)</f>
        <v>0</v>
      </c>
      <c r="J1780" s="25">
        <f>ROUND(G1780*AN1780,2)</f>
        <v>0</v>
      </c>
      <c r="K1780" s="25">
        <f>ROUND(G1780*H1780,2)</f>
        <v>0</v>
      </c>
      <c r="L1780" s="25">
        <v>5.5000000000000003E-4</v>
      </c>
      <c r="M1780" s="25">
        <f>G1780*L1780</f>
        <v>7.7000000000000002E-3</v>
      </c>
      <c r="N1780" s="26"/>
      <c r="X1780" s="25">
        <f>ROUND(IF(AO1780="5",BH1780,0),2)</f>
        <v>0</v>
      </c>
      <c r="Z1780" s="25">
        <f>ROUND(IF(AO1780="1",BF1780,0),2)</f>
        <v>0</v>
      </c>
      <c r="AA1780" s="25">
        <f>ROUND(IF(AO1780="1",BG1780,0),2)</f>
        <v>0</v>
      </c>
      <c r="AB1780" s="25">
        <f>ROUND(IF(AO1780="7",BF1780,0),2)</f>
        <v>0</v>
      </c>
      <c r="AC1780" s="25">
        <f>ROUND(IF(AO1780="7",BG1780,0),2)</f>
        <v>0</v>
      </c>
      <c r="AD1780" s="25">
        <f>ROUND(IF(AO1780="2",BF1780,0),2)</f>
        <v>0</v>
      </c>
      <c r="AE1780" s="25">
        <f>ROUND(IF(AO1780="2",BG1780,0),2)</f>
        <v>0</v>
      </c>
      <c r="AF1780" s="25">
        <f>ROUND(IF(AO1780="0",BH1780,0),2)</f>
        <v>0</v>
      </c>
      <c r="AG1780" s="10" t="s">
        <v>1699</v>
      </c>
      <c r="AH1780" s="25">
        <f>IF(AL1780=0,K1780,0)</f>
        <v>0</v>
      </c>
      <c r="AI1780" s="25">
        <f>IF(AL1780=12,K1780,0)</f>
        <v>0</v>
      </c>
      <c r="AJ1780" s="25">
        <f>IF(AL1780=21,K1780,0)</f>
        <v>0</v>
      </c>
      <c r="AL1780" s="25">
        <v>21</v>
      </c>
      <c r="AM1780" s="25">
        <f>H1780*0.791497976</f>
        <v>0</v>
      </c>
      <c r="AN1780" s="25">
        <f>H1780*(1-0.791497976)</f>
        <v>0</v>
      </c>
      <c r="AO1780" s="27" t="s">
        <v>61</v>
      </c>
      <c r="AT1780" s="25">
        <f>ROUND(AU1780+AV1780,2)</f>
        <v>0</v>
      </c>
      <c r="AU1780" s="25">
        <f>ROUND(G1780*AM1780,2)</f>
        <v>0</v>
      </c>
      <c r="AV1780" s="25">
        <f>ROUND(G1780*AN1780,2)</f>
        <v>0</v>
      </c>
      <c r="AW1780" s="27" t="s">
        <v>1953</v>
      </c>
      <c r="AX1780" s="27" t="s">
        <v>1954</v>
      </c>
      <c r="AY1780" s="10" t="s">
        <v>1707</v>
      </c>
      <c r="BA1780" s="25">
        <f>AU1780+AV1780</f>
        <v>0</v>
      </c>
      <c r="BB1780" s="25">
        <f>H1780/(100-BC1780)*100</f>
        <v>0</v>
      </c>
      <c r="BC1780" s="25">
        <v>0</v>
      </c>
      <c r="BD1780" s="25">
        <f>M1780</f>
        <v>7.7000000000000002E-3</v>
      </c>
      <c r="BF1780" s="25">
        <f>G1780*AM1780</f>
        <v>0</v>
      </c>
      <c r="BG1780" s="25">
        <f>G1780*AN1780</f>
        <v>0</v>
      </c>
      <c r="BH1780" s="25">
        <f>G1780*H1780</f>
        <v>0</v>
      </c>
      <c r="BI1780" s="27" t="s">
        <v>65</v>
      </c>
      <c r="BJ1780" s="25">
        <v>721</v>
      </c>
      <c r="BU1780" s="25" t="e">
        <f>#REF!</f>
        <v>#REF!</v>
      </c>
      <c r="BV1780" s="4" t="s">
        <v>1986</v>
      </c>
    </row>
    <row r="1781" spans="1:74" ht="14.4" x14ac:dyDescent="0.3">
      <c r="A1781" s="28"/>
      <c r="D1781" s="29" t="s">
        <v>159</v>
      </c>
      <c r="E1781" s="29" t="s">
        <v>52</v>
      </c>
      <c r="G1781" s="30">
        <v>14</v>
      </c>
      <c r="H1781" s="63"/>
      <c r="N1781" s="31"/>
    </row>
    <row r="1782" spans="1:74" ht="14.4" x14ac:dyDescent="0.3">
      <c r="A1782" s="2" t="s">
        <v>1987</v>
      </c>
      <c r="B1782" s="3" t="s">
        <v>1699</v>
      </c>
      <c r="C1782" s="3" t="s">
        <v>1988</v>
      </c>
      <c r="D1782" s="112" t="s">
        <v>1989</v>
      </c>
      <c r="E1782" s="109"/>
      <c r="F1782" s="3" t="s">
        <v>122</v>
      </c>
      <c r="G1782" s="25">
        <v>4</v>
      </c>
      <c r="H1782" s="62"/>
      <c r="I1782" s="25">
        <f>ROUND(G1782*AM1782,2)</f>
        <v>0</v>
      </c>
      <c r="J1782" s="25">
        <f>ROUND(G1782*AN1782,2)</f>
        <v>0</v>
      </c>
      <c r="K1782" s="25">
        <f>ROUND(G1782*H1782,2)</f>
        <v>0</v>
      </c>
      <c r="L1782" s="25">
        <v>2.7E-4</v>
      </c>
      <c r="M1782" s="25">
        <f>G1782*L1782</f>
        <v>1.08E-3</v>
      </c>
      <c r="N1782" s="26"/>
      <c r="X1782" s="25">
        <f>ROUND(IF(AO1782="5",BH1782,0),2)</f>
        <v>0</v>
      </c>
      <c r="Z1782" s="25">
        <f>ROUND(IF(AO1782="1",BF1782,0),2)</f>
        <v>0</v>
      </c>
      <c r="AA1782" s="25">
        <f>ROUND(IF(AO1782="1",BG1782,0),2)</f>
        <v>0</v>
      </c>
      <c r="AB1782" s="25">
        <f>ROUND(IF(AO1782="7",BF1782,0),2)</f>
        <v>0</v>
      </c>
      <c r="AC1782" s="25">
        <f>ROUND(IF(AO1782="7",BG1782,0),2)</f>
        <v>0</v>
      </c>
      <c r="AD1782" s="25">
        <f>ROUND(IF(AO1782="2",BF1782,0),2)</f>
        <v>0</v>
      </c>
      <c r="AE1782" s="25">
        <f>ROUND(IF(AO1782="2",BG1782,0),2)</f>
        <v>0</v>
      </c>
      <c r="AF1782" s="25">
        <f>ROUND(IF(AO1782="0",BH1782,0),2)</f>
        <v>0</v>
      </c>
      <c r="AG1782" s="10" t="s">
        <v>1699</v>
      </c>
      <c r="AH1782" s="25">
        <f>IF(AL1782=0,K1782,0)</f>
        <v>0</v>
      </c>
      <c r="AI1782" s="25">
        <f>IF(AL1782=12,K1782,0)</f>
        <v>0</v>
      </c>
      <c r="AJ1782" s="25">
        <f>IF(AL1782=21,K1782,0)</f>
        <v>0</v>
      </c>
      <c r="AL1782" s="25">
        <v>21</v>
      </c>
      <c r="AM1782" s="25">
        <f>H1782*0.793957553</f>
        <v>0</v>
      </c>
      <c r="AN1782" s="25">
        <f>H1782*(1-0.793957553)</f>
        <v>0</v>
      </c>
      <c r="AO1782" s="27" t="s">
        <v>61</v>
      </c>
      <c r="AT1782" s="25">
        <f>ROUND(AU1782+AV1782,2)</f>
        <v>0</v>
      </c>
      <c r="AU1782" s="25">
        <f>ROUND(G1782*AM1782,2)</f>
        <v>0</v>
      </c>
      <c r="AV1782" s="25">
        <f>ROUND(G1782*AN1782,2)</f>
        <v>0</v>
      </c>
      <c r="AW1782" s="27" t="s">
        <v>1953</v>
      </c>
      <c r="AX1782" s="27" t="s">
        <v>1954</v>
      </c>
      <c r="AY1782" s="10" t="s">
        <v>1707</v>
      </c>
      <c r="BA1782" s="25">
        <f>AU1782+AV1782</f>
        <v>0</v>
      </c>
      <c r="BB1782" s="25">
        <f>H1782/(100-BC1782)*100</f>
        <v>0</v>
      </c>
      <c r="BC1782" s="25">
        <v>0</v>
      </c>
      <c r="BD1782" s="25">
        <f>M1782</f>
        <v>1.08E-3</v>
      </c>
      <c r="BF1782" s="25">
        <f>G1782*AM1782</f>
        <v>0</v>
      </c>
      <c r="BG1782" s="25">
        <f>G1782*AN1782</f>
        <v>0</v>
      </c>
      <c r="BH1782" s="25">
        <f>G1782*H1782</f>
        <v>0</v>
      </c>
      <c r="BI1782" s="27" t="s">
        <v>65</v>
      </c>
      <c r="BJ1782" s="25">
        <v>721</v>
      </c>
      <c r="BU1782" s="25" t="e">
        <f>#REF!</f>
        <v>#REF!</v>
      </c>
      <c r="BV1782" s="4" t="s">
        <v>1989</v>
      </c>
    </row>
    <row r="1783" spans="1:74" ht="14.4" x14ac:dyDescent="0.3">
      <c r="A1783" s="28"/>
      <c r="D1783" s="29" t="s">
        <v>90</v>
      </c>
      <c r="E1783" s="29" t="s">
        <v>52</v>
      </c>
      <c r="G1783" s="30">
        <v>4</v>
      </c>
      <c r="H1783" s="63"/>
      <c r="N1783" s="31"/>
    </row>
    <row r="1784" spans="1:74" ht="14.4" x14ac:dyDescent="0.3">
      <c r="A1784" s="2" t="s">
        <v>1990</v>
      </c>
      <c r="B1784" s="3" t="s">
        <v>1699</v>
      </c>
      <c r="C1784" s="3" t="s">
        <v>1991</v>
      </c>
      <c r="D1784" s="112" t="s">
        <v>1992</v>
      </c>
      <c r="E1784" s="109"/>
      <c r="F1784" s="3" t="s">
        <v>122</v>
      </c>
      <c r="G1784" s="25">
        <v>1</v>
      </c>
      <c r="H1784" s="62"/>
      <c r="I1784" s="25">
        <f>ROUND(G1784*AM1784,2)</f>
        <v>0</v>
      </c>
      <c r="J1784" s="25">
        <f>ROUND(G1784*AN1784,2)</f>
        <v>0</v>
      </c>
      <c r="K1784" s="25">
        <f>ROUND(G1784*H1784,2)</f>
        <v>0</v>
      </c>
      <c r="L1784" s="25">
        <v>1.2999999999999999E-4</v>
      </c>
      <c r="M1784" s="25">
        <f>G1784*L1784</f>
        <v>1.2999999999999999E-4</v>
      </c>
      <c r="N1784" s="26"/>
      <c r="X1784" s="25">
        <f>ROUND(IF(AO1784="5",BH1784,0),2)</f>
        <v>0</v>
      </c>
      <c r="Z1784" s="25">
        <f>ROUND(IF(AO1784="1",BF1784,0),2)</f>
        <v>0</v>
      </c>
      <c r="AA1784" s="25">
        <f>ROUND(IF(AO1784="1",BG1784,0),2)</f>
        <v>0</v>
      </c>
      <c r="AB1784" s="25">
        <f>ROUND(IF(AO1784="7",BF1784,0),2)</f>
        <v>0</v>
      </c>
      <c r="AC1784" s="25">
        <f>ROUND(IF(AO1784="7",BG1784,0),2)</f>
        <v>0</v>
      </c>
      <c r="AD1784" s="25">
        <f>ROUND(IF(AO1784="2",BF1784,0),2)</f>
        <v>0</v>
      </c>
      <c r="AE1784" s="25">
        <f>ROUND(IF(AO1784="2",BG1784,0),2)</f>
        <v>0</v>
      </c>
      <c r="AF1784" s="25">
        <f>ROUND(IF(AO1784="0",BH1784,0),2)</f>
        <v>0</v>
      </c>
      <c r="AG1784" s="10" t="s">
        <v>1699</v>
      </c>
      <c r="AH1784" s="25">
        <f>IF(AL1784=0,K1784,0)</f>
        <v>0</v>
      </c>
      <c r="AI1784" s="25">
        <f>IF(AL1784=12,K1784,0)</f>
        <v>0</v>
      </c>
      <c r="AJ1784" s="25">
        <f>IF(AL1784=21,K1784,0)</f>
        <v>0</v>
      </c>
      <c r="AL1784" s="25">
        <v>21</v>
      </c>
      <c r="AM1784" s="25">
        <f>H1784*0.83548335</f>
        <v>0</v>
      </c>
      <c r="AN1784" s="25">
        <f>H1784*(1-0.83548335)</f>
        <v>0</v>
      </c>
      <c r="AO1784" s="27" t="s">
        <v>61</v>
      </c>
      <c r="AT1784" s="25">
        <f>ROUND(AU1784+AV1784,2)</f>
        <v>0</v>
      </c>
      <c r="AU1784" s="25">
        <f>ROUND(G1784*AM1784,2)</f>
        <v>0</v>
      </c>
      <c r="AV1784" s="25">
        <f>ROUND(G1784*AN1784,2)</f>
        <v>0</v>
      </c>
      <c r="AW1784" s="27" t="s">
        <v>1953</v>
      </c>
      <c r="AX1784" s="27" t="s">
        <v>1954</v>
      </c>
      <c r="AY1784" s="10" t="s">
        <v>1707</v>
      </c>
      <c r="BA1784" s="25">
        <f>AU1784+AV1784</f>
        <v>0</v>
      </c>
      <c r="BB1784" s="25">
        <f>H1784/(100-BC1784)*100</f>
        <v>0</v>
      </c>
      <c r="BC1784" s="25">
        <v>0</v>
      </c>
      <c r="BD1784" s="25">
        <f>M1784</f>
        <v>1.2999999999999999E-4</v>
      </c>
      <c r="BF1784" s="25">
        <f>G1784*AM1784</f>
        <v>0</v>
      </c>
      <c r="BG1784" s="25">
        <f>G1784*AN1784</f>
        <v>0</v>
      </c>
      <c r="BH1784" s="25">
        <f>G1784*H1784</f>
        <v>0</v>
      </c>
      <c r="BI1784" s="27" t="s">
        <v>65</v>
      </c>
      <c r="BJ1784" s="25">
        <v>721</v>
      </c>
      <c r="BU1784" s="25" t="e">
        <f>#REF!</f>
        <v>#REF!</v>
      </c>
      <c r="BV1784" s="4" t="s">
        <v>1992</v>
      </c>
    </row>
    <row r="1785" spans="1:74" ht="14.4" x14ac:dyDescent="0.3">
      <c r="A1785" s="28"/>
      <c r="D1785" s="29" t="s">
        <v>57</v>
      </c>
      <c r="E1785" s="29" t="s">
        <v>52</v>
      </c>
      <c r="G1785" s="30">
        <v>1</v>
      </c>
      <c r="H1785" s="63"/>
      <c r="N1785" s="31"/>
    </row>
    <row r="1786" spans="1:74" ht="14.4" x14ac:dyDescent="0.3">
      <c r="A1786" s="2" t="s">
        <v>1993</v>
      </c>
      <c r="B1786" s="3" t="s">
        <v>1699</v>
      </c>
      <c r="C1786" s="3" t="s">
        <v>1994</v>
      </c>
      <c r="D1786" s="112" t="s">
        <v>1995</v>
      </c>
      <c r="E1786" s="109"/>
      <c r="F1786" s="3" t="s">
        <v>122</v>
      </c>
      <c r="G1786" s="25">
        <v>4</v>
      </c>
      <c r="H1786" s="62"/>
      <c r="I1786" s="25">
        <f>ROUND(G1786*AM1786,2)</f>
        <v>0</v>
      </c>
      <c r="J1786" s="25">
        <f>ROUND(G1786*AN1786,2)</f>
        <v>0</v>
      </c>
      <c r="K1786" s="25">
        <f>ROUND(G1786*H1786,2)</f>
        <v>0</v>
      </c>
      <c r="L1786" s="25">
        <v>8.1999999999999998E-4</v>
      </c>
      <c r="M1786" s="25">
        <f>G1786*L1786</f>
        <v>3.2799999999999999E-3</v>
      </c>
      <c r="N1786" s="102"/>
      <c r="X1786" s="25">
        <f>ROUND(IF(AO1786="5",BH1786,0),2)</f>
        <v>0</v>
      </c>
      <c r="Z1786" s="25">
        <f>ROUND(IF(AO1786="1",BF1786,0),2)</f>
        <v>0</v>
      </c>
      <c r="AA1786" s="25">
        <f>ROUND(IF(AO1786="1",BG1786,0),2)</f>
        <v>0</v>
      </c>
      <c r="AB1786" s="25">
        <f>ROUND(IF(AO1786="7",BF1786,0),2)</f>
        <v>0</v>
      </c>
      <c r="AC1786" s="25">
        <f>ROUND(IF(AO1786="7",BG1786,0),2)</f>
        <v>0</v>
      </c>
      <c r="AD1786" s="25">
        <f>ROUND(IF(AO1786="2",BF1786,0),2)</f>
        <v>0</v>
      </c>
      <c r="AE1786" s="25">
        <f>ROUND(IF(AO1786="2",BG1786,0),2)</f>
        <v>0</v>
      </c>
      <c r="AF1786" s="25">
        <f>ROUND(IF(AO1786="0",BH1786,0),2)</f>
        <v>0</v>
      </c>
      <c r="AG1786" s="10" t="s">
        <v>1699</v>
      </c>
      <c r="AH1786" s="25">
        <f>IF(AL1786=0,K1786,0)</f>
        <v>0</v>
      </c>
      <c r="AI1786" s="25">
        <f>IF(AL1786=12,K1786,0)</f>
        <v>0</v>
      </c>
      <c r="AJ1786" s="25">
        <f>IF(AL1786=21,K1786,0)</f>
        <v>0</v>
      </c>
      <c r="AL1786" s="25">
        <v>21</v>
      </c>
      <c r="AM1786" s="25">
        <f>H1786*0.919562251</f>
        <v>0</v>
      </c>
      <c r="AN1786" s="25">
        <f>H1786*(1-0.919562251)</f>
        <v>0</v>
      </c>
      <c r="AO1786" s="27" t="s">
        <v>61</v>
      </c>
      <c r="AT1786" s="25">
        <f>ROUND(AU1786+AV1786,2)</f>
        <v>0</v>
      </c>
      <c r="AU1786" s="25">
        <f>ROUND(G1786*AM1786,2)</f>
        <v>0</v>
      </c>
      <c r="AV1786" s="25">
        <f>ROUND(G1786*AN1786,2)</f>
        <v>0</v>
      </c>
      <c r="AW1786" s="27" t="s">
        <v>1953</v>
      </c>
      <c r="AX1786" s="27" t="s">
        <v>1954</v>
      </c>
      <c r="AY1786" s="10" t="s">
        <v>1707</v>
      </c>
      <c r="BA1786" s="25">
        <f>AU1786+AV1786</f>
        <v>0</v>
      </c>
      <c r="BB1786" s="25">
        <f>H1786/(100-BC1786)*100</f>
        <v>0</v>
      </c>
      <c r="BC1786" s="25">
        <v>0</v>
      </c>
      <c r="BD1786" s="25">
        <f>M1786</f>
        <v>3.2799999999999999E-3</v>
      </c>
      <c r="BF1786" s="25">
        <f>G1786*AM1786</f>
        <v>0</v>
      </c>
      <c r="BG1786" s="25">
        <f>G1786*AN1786</f>
        <v>0</v>
      </c>
      <c r="BH1786" s="25">
        <f>G1786*H1786</f>
        <v>0</v>
      </c>
      <c r="BI1786" s="27" t="s">
        <v>65</v>
      </c>
      <c r="BJ1786" s="25">
        <v>721</v>
      </c>
      <c r="BU1786" s="25" t="e">
        <f>#REF!</f>
        <v>#REF!</v>
      </c>
      <c r="BV1786" s="4" t="s">
        <v>1995</v>
      </c>
    </row>
    <row r="1787" spans="1:74" ht="14.4" x14ac:dyDescent="0.3">
      <c r="A1787" s="28"/>
      <c r="D1787" s="29" t="s">
        <v>90</v>
      </c>
      <c r="E1787" s="29" t="s">
        <v>52</v>
      </c>
      <c r="G1787" s="30">
        <v>4</v>
      </c>
      <c r="H1787" s="63"/>
      <c r="N1787" s="31"/>
    </row>
    <row r="1788" spans="1:74" ht="14.4" x14ac:dyDescent="0.3">
      <c r="A1788" s="2" t="s">
        <v>1996</v>
      </c>
      <c r="B1788" s="3" t="s">
        <v>1699</v>
      </c>
      <c r="C1788" s="3" t="s">
        <v>1997</v>
      </c>
      <c r="D1788" s="112" t="s">
        <v>1998</v>
      </c>
      <c r="E1788" s="109"/>
      <c r="F1788" s="3" t="s">
        <v>122</v>
      </c>
      <c r="G1788" s="25">
        <v>2</v>
      </c>
      <c r="H1788" s="62"/>
      <c r="I1788" s="25">
        <f>ROUND(G1788*AM1788,2)</f>
        <v>0</v>
      </c>
      <c r="J1788" s="25">
        <f>ROUND(G1788*AN1788,2)</f>
        <v>0</v>
      </c>
      <c r="K1788" s="25">
        <f>ROUND(G1788*H1788,2)</f>
        <v>0</v>
      </c>
      <c r="L1788" s="25">
        <v>8.1999999999999998E-4</v>
      </c>
      <c r="M1788" s="25">
        <f>G1788*L1788</f>
        <v>1.64E-3</v>
      </c>
      <c r="N1788" s="102"/>
      <c r="X1788" s="25">
        <f>ROUND(IF(AO1788="5",BH1788,0),2)</f>
        <v>0</v>
      </c>
      <c r="Z1788" s="25">
        <f>ROUND(IF(AO1788="1",BF1788,0),2)</f>
        <v>0</v>
      </c>
      <c r="AA1788" s="25">
        <f>ROUND(IF(AO1788="1",BG1788,0),2)</f>
        <v>0</v>
      </c>
      <c r="AB1788" s="25">
        <f>ROUND(IF(AO1788="7",BF1788,0),2)</f>
        <v>0</v>
      </c>
      <c r="AC1788" s="25">
        <f>ROUND(IF(AO1788="7",BG1788,0),2)</f>
        <v>0</v>
      </c>
      <c r="AD1788" s="25">
        <f>ROUND(IF(AO1788="2",BF1788,0),2)</f>
        <v>0</v>
      </c>
      <c r="AE1788" s="25">
        <f>ROUND(IF(AO1788="2",BG1788,0),2)</f>
        <v>0</v>
      </c>
      <c r="AF1788" s="25">
        <f>ROUND(IF(AO1788="0",BH1788,0),2)</f>
        <v>0</v>
      </c>
      <c r="AG1788" s="10" t="s">
        <v>1699</v>
      </c>
      <c r="AH1788" s="25">
        <f>IF(AL1788=0,K1788,0)</f>
        <v>0</v>
      </c>
      <c r="AI1788" s="25">
        <f>IF(AL1788=12,K1788,0)</f>
        <v>0</v>
      </c>
      <c r="AJ1788" s="25">
        <f>IF(AL1788=21,K1788,0)</f>
        <v>0</v>
      </c>
      <c r="AL1788" s="25">
        <v>21</v>
      </c>
      <c r="AM1788" s="25">
        <f>H1788*0.919562251</f>
        <v>0</v>
      </c>
      <c r="AN1788" s="25">
        <f>H1788*(1-0.919562251)</f>
        <v>0</v>
      </c>
      <c r="AO1788" s="27" t="s">
        <v>61</v>
      </c>
      <c r="AT1788" s="25">
        <f>ROUND(AU1788+AV1788,2)</f>
        <v>0</v>
      </c>
      <c r="AU1788" s="25">
        <f>ROUND(G1788*AM1788,2)</f>
        <v>0</v>
      </c>
      <c r="AV1788" s="25">
        <f>ROUND(G1788*AN1788,2)</f>
        <v>0</v>
      </c>
      <c r="AW1788" s="27" t="s">
        <v>1953</v>
      </c>
      <c r="AX1788" s="27" t="s">
        <v>1954</v>
      </c>
      <c r="AY1788" s="10" t="s">
        <v>1707</v>
      </c>
      <c r="BA1788" s="25">
        <f>AU1788+AV1788</f>
        <v>0</v>
      </c>
      <c r="BB1788" s="25">
        <f>H1788/(100-BC1788)*100</f>
        <v>0</v>
      </c>
      <c r="BC1788" s="25">
        <v>0</v>
      </c>
      <c r="BD1788" s="25">
        <f>M1788</f>
        <v>1.64E-3</v>
      </c>
      <c r="BF1788" s="25">
        <f>G1788*AM1788</f>
        <v>0</v>
      </c>
      <c r="BG1788" s="25">
        <f>G1788*AN1788</f>
        <v>0</v>
      </c>
      <c r="BH1788" s="25">
        <f>G1788*H1788</f>
        <v>0</v>
      </c>
      <c r="BI1788" s="27" t="s">
        <v>65</v>
      </c>
      <c r="BJ1788" s="25">
        <v>721</v>
      </c>
      <c r="BU1788" s="25" t="e">
        <f>#REF!</f>
        <v>#REF!</v>
      </c>
      <c r="BV1788" s="4" t="s">
        <v>1998</v>
      </c>
    </row>
    <row r="1789" spans="1:74" ht="14.4" x14ac:dyDescent="0.3">
      <c r="A1789" s="28"/>
      <c r="D1789" s="29" t="s">
        <v>81</v>
      </c>
      <c r="E1789" s="29" t="s">
        <v>52</v>
      </c>
      <c r="G1789" s="30">
        <v>2</v>
      </c>
      <c r="H1789" s="63"/>
      <c r="N1789" s="31"/>
    </row>
    <row r="1790" spans="1:74" ht="14.4" x14ac:dyDescent="0.3">
      <c r="A1790" s="2" t="s">
        <v>1999</v>
      </c>
      <c r="B1790" s="3" t="s">
        <v>1699</v>
      </c>
      <c r="C1790" s="3" t="s">
        <v>2000</v>
      </c>
      <c r="D1790" s="112" t="s">
        <v>2001</v>
      </c>
      <c r="E1790" s="109"/>
      <c r="F1790" s="3" t="s">
        <v>115</v>
      </c>
      <c r="G1790" s="25">
        <v>4</v>
      </c>
      <c r="H1790" s="62"/>
      <c r="I1790" s="25">
        <f>ROUND(G1790*AM1790,2)</f>
        <v>0</v>
      </c>
      <c r="J1790" s="25">
        <f>ROUND(G1790*AN1790,2)</f>
        <v>0</v>
      </c>
      <c r="K1790" s="25">
        <f>ROUND(G1790*H1790,2)</f>
        <v>0</v>
      </c>
      <c r="L1790" s="25">
        <v>2.5200000000000001E-3</v>
      </c>
      <c r="M1790" s="25">
        <f>G1790*L1790</f>
        <v>1.008E-2</v>
      </c>
      <c r="N1790" s="26"/>
      <c r="X1790" s="25">
        <f>ROUND(IF(AO1790="5",BH1790,0),2)</f>
        <v>0</v>
      </c>
      <c r="Z1790" s="25">
        <f>ROUND(IF(AO1790="1",BF1790,0),2)</f>
        <v>0</v>
      </c>
      <c r="AA1790" s="25">
        <f>ROUND(IF(AO1790="1",BG1790,0),2)</f>
        <v>0</v>
      </c>
      <c r="AB1790" s="25">
        <f>ROUND(IF(AO1790="7",BF1790,0),2)</f>
        <v>0</v>
      </c>
      <c r="AC1790" s="25">
        <f>ROUND(IF(AO1790="7",BG1790,0),2)</f>
        <v>0</v>
      </c>
      <c r="AD1790" s="25">
        <f>ROUND(IF(AO1790="2",BF1790,0),2)</f>
        <v>0</v>
      </c>
      <c r="AE1790" s="25">
        <f>ROUND(IF(AO1790="2",BG1790,0),2)</f>
        <v>0</v>
      </c>
      <c r="AF1790" s="25">
        <f>ROUND(IF(AO1790="0",BH1790,0),2)</f>
        <v>0</v>
      </c>
      <c r="AG1790" s="10" t="s">
        <v>1699</v>
      </c>
      <c r="AH1790" s="25">
        <f>IF(AL1790=0,K1790,0)</f>
        <v>0</v>
      </c>
      <c r="AI1790" s="25">
        <f>IF(AL1790=12,K1790,0)</f>
        <v>0</v>
      </c>
      <c r="AJ1790" s="25">
        <f>IF(AL1790=21,K1790,0)</f>
        <v>0</v>
      </c>
      <c r="AL1790" s="25">
        <v>21</v>
      </c>
      <c r="AM1790" s="25">
        <f>H1790*0.442924425</f>
        <v>0</v>
      </c>
      <c r="AN1790" s="25">
        <f>H1790*(1-0.442924425)</f>
        <v>0</v>
      </c>
      <c r="AO1790" s="27" t="s">
        <v>61</v>
      </c>
      <c r="AT1790" s="25">
        <f>ROUND(AU1790+AV1790,2)</f>
        <v>0</v>
      </c>
      <c r="AU1790" s="25">
        <f>ROUND(G1790*AM1790,2)</f>
        <v>0</v>
      </c>
      <c r="AV1790" s="25">
        <f>ROUND(G1790*AN1790,2)</f>
        <v>0</v>
      </c>
      <c r="AW1790" s="27" t="s">
        <v>1953</v>
      </c>
      <c r="AX1790" s="27" t="s">
        <v>1954</v>
      </c>
      <c r="AY1790" s="10" t="s">
        <v>1707</v>
      </c>
      <c r="BA1790" s="25">
        <f>AU1790+AV1790</f>
        <v>0</v>
      </c>
      <c r="BB1790" s="25">
        <f>H1790/(100-BC1790)*100</f>
        <v>0</v>
      </c>
      <c r="BC1790" s="25">
        <v>0</v>
      </c>
      <c r="BD1790" s="25">
        <f>M1790</f>
        <v>1.008E-2</v>
      </c>
      <c r="BF1790" s="25">
        <f>G1790*AM1790</f>
        <v>0</v>
      </c>
      <c r="BG1790" s="25">
        <f>G1790*AN1790</f>
        <v>0</v>
      </c>
      <c r="BH1790" s="25">
        <f>G1790*H1790</f>
        <v>0</v>
      </c>
      <c r="BI1790" s="27" t="s">
        <v>65</v>
      </c>
      <c r="BJ1790" s="25">
        <v>721</v>
      </c>
      <c r="BU1790" s="25" t="e">
        <f>#REF!</f>
        <v>#REF!</v>
      </c>
      <c r="BV1790" s="4" t="s">
        <v>2001</v>
      </c>
    </row>
    <row r="1791" spans="1:74" ht="14.4" x14ac:dyDescent="0.3">
      <c r="A1791" s="28"/>
      <c r="D1791" s="29" t="s">
        <v>90</v>
      </c>
      <c r="E1791" s="29" t="s">
        <v>52</v>
      </c>
      <c r="G1791" s="30">
        <v>4</v>
      </c>
      <c r="H1791" s="63"/>
      <c r="N1791" s="31"/>
    </row>
    <row r="1792" spans="1:74" ht="26.4" x14ac:dyDescent="0.3">
      <c r="A1792" s="2" t="s">
        <v>2002</v>
      </c>
      <c r="B1792" s="3" t="s">
        <v>1699</v>
      </c>
      <c r="C1792" s="3" t="s">
        <v>2003</v>
      </c>
      <c r="D1792" s="112" t="s">
        <v>2004</v>
      </c>
      <c r="E1792" s="109"/>
      <c r="F1792" s="3" t="s">
        <v>860</v>
      </c>
      <c r="G1792" s="25">
        <v>12</v>
      </c>
      <c r="H1792" s="62"/>
      <c r="I1792" s="25">
        <f>ROUND(G1792*AM1792,2)</f>
        <v>0</v>
      </c>
      <c r="J1792" s="25">
        <f>ROUND(G1792*AN1792,2)</f>
        <v>0</v>
      </c>
      <c r="K1792" s="25">
        <f>ROUND(G1792*H1792,2)</f>
        <v>0</v>
      </c>
      <c r="L1792" s="25">
        <v>1.0000000000000001E-5</v>
      </c>
      <c r="M1792" s="25">
        <f>G1792*L1792</f>
        <v>1.2000000000000002E-4</v>
      </c>
      <c r="N1792" s="102"/>
      <c r="X1792" s="25">
        <f>ROUND(IF(AO1792="5",BH1792,0),2)</f>
        <v>0</v>
      </c>
      <c r="Z1792" s="25">
        <f>ROUND(IF(AO1792="1",BF1792,0),2)</f>
        <v>0</v>
      </c>
      <c r="AA1792" s="25">
        <f>ROUND(IF(AO1792="1",BG1792,0),2)</f>
        <v>0</v>
      </c>
      <c r="AB1792" s="25">
        <f>ROUND(IF(AO1792="7",BF1792,0),2)</f>
        <v>0</v>
      </c>
      <c r="AC1792" s="25">
        <f>ROUND(IF(AO1792="7",BG1792,0),2)</f>
        <v>0</v>
      </c>
      <c r="AD1792" s="25">
        <f>ROUND(IF(AO1792="2",BF1792,0),2)</f>
        <v>0</v>
      </c>
      <c r="AE1792" s="25">
        <f>ROUND(IF(AO1792="2",BG1792,0),2)</f>
        <v>0</v>
      </c>
      <c r="AF1792" s="25">
        <f>ROUND(IF(AO1792="0",BH1792,0),2)</f>
        <v>0</v>
      </c>
      <c r="AG1792" s="10" t="s">
        <v>1699</v>
      </c>
      <c r="AH1792" s="25">
        <f>IF(AL1792=0,K1792,0)</f>
        <v>0</v>
      </c>
      <c r="AI1792" s="25">
        <f>IF(AL1792=12,K1792,0)</f>
        <v>0</v>
      </c>
      <c r="AJ1792" s="25">
        <f>IF(AL1792=21,K1792,0)</f>
        <v>0</v>
      </c>
      <c r="AL1792" s="25">
        <v>21</v>
      </c>
      <c r="AM1792" s="25">
        <f>H1792*0.049211765</f>
        <v>0</v>
      </c>
      <c r="AN1792" s="25">
        <f>H1792*(1-0.049211765)</f>
        <v>0</v>
      </c>
      <c r="AO1792" s="27" t="s">
        <v>61</v>
      </c>
      <c r="AT1792" s="25">
        <f>ROUND(AU1792+AV1792,2)</f>
        <v>0</v>
      </c>
      <c r="AU1792" s="25">
        <f>ROUND(G1792*AM1792,2)</f>
        <v>0</v>
      </c>
      <c r="AV1792" s="25">
        <f>ROUND(G1792*AN1792,2)</f>
        <v>0</v>
      </c>
      <c r="AW1792" s="27" t="s">
        <v>1953</v>
      </c>
      <c r="AX1792" s="27" t="s">
        <v>1954</v>
      </c>
      <c r="AY1792" s="10" t="s">
        <v>1707</v>
      </c>
      <c r="BA1792" s="25">
        <f>AU1792+AV1792</f>
        <v>0</v>
      </c>
      <c r="BB1792" s="25">
        <f>H1792/(100-BC1792)*100</f>
        <v>0</v>
      </c>
      <c r="BC1792" s="25">
        <v>0</v>
      </c>
      <c r="BD1792" s="25">
        <f>M1792</f>
        <v>1.2000000000000002E-4</v>
      </c>
      <c r="BF1792" s="25">
        <f>G1792*AM1792</f>
        <v>0</v>
      </c>
      <c r="BG1792" s="25">
        <f>G1792*AN1792</f>
        <v>0</v>
      </c>
      <c r="BH1792" s="25">
        <f>G1792*H1792</f>
        <v>0</v>
      </c>
      <c r="BI1792" s="27" t="s">
        <v>65</v>
      </c>
      <c r="BJ1792" s="25">
        <v>721</v>
      </c>
      <c r="BU1792" s="25" t="e">
        <f>#REF!</f>
        <v>#REF!</v>
      </c>
      <c r="BV1792" s="4" t="s">
        <v>2004</v>
      </c>
    </row>
    <row r="1793" spans="1:74" ht="26.4" x14ac:dyDescent="0.3">
      <c r="A1793" s="2" t="s">
        <v>2005</v>
      </c>
      <c r="B1793" s="3" t="s">
        <v>1699</v>
      </c>
      <c r="C1793" s="3" t="s">
        <v>2006</v>
      </c>
      <c r="D1793" s="112" t="s">
        <v>2007</v>
      </c>
      <c r="E1793" s="109"/>
      <c r="F1793" s="3" t="s">
        <v>860</v>
      </c>
      <c r="G1793" s="25">
        <v>1</v>
      </c>
      <c r="H1793" s="62"/>
      <c r="I1793" s="25">
        <f>ROUND(G1793*AM1793,2)</f>
        <v>0</v>
      </c>
      <c r="J1793" s="25">
        <f>ROUND(G1793*AN1793,2)</f>
        <v>0</v>
      </c>
      <c r="K1793" s="25">
        <f>ROUND(G1793*H1793,2)</f>
        <v>0</v>
      </c>
      <c r="L1793" s="25">
        <v>1.0000000000000001E-5</v>
      </c>
      <c r="M1793" s="25">
        <f>G1793*L1793</f>
        <v>1.0000000000000001E-5</v>
      </c>
      <c r="N1793" s="102"/>
      <c r="X1793" s="25">
        <f>ROUND(IF(AO1793="5",BH1793,0),2)</f>
        <v>0</v>
      </c>
      <c r="Z1793" s="25">
        <f>ROUND(IF(AO1793="1",BF1793,0),2)</f>
        <v>0</v>
      </c>
      <c r="AA1793" s="25">
        <f>ROUND(IF(AO1793="1",BG1793,0),2)</f>
        <v>0</v>
      </c>
      <c r="AB1793" s="25">
        <f>ROUND(IF(AO1793="7",BF1793,0),2)</f>
        <v>0</v>
      </c>
      <c r="AC1793" s="25">
        <f>ROUND(IF(AO1793="7",BG1793,0),2)</f>
        <v>0</v>
      </c>
      <c r="AD1793" s="25">
        <f>ROUND(IF(AO1793="2",BF1793,0),2)</f>
        <v>0</v>
      </c>
      <c r="AE1793" s="25">
        <f>ROUND(IF(AO1793="2",BG1793,0),2)</f>
        <v>0</v>
      </c>
      <c r="AF1793" s="25">
        <f>ROUND(IF(AO1793="0",BH1793,0),2)</f>
        <v>0</v>
      </c>
      <c r="AG1793" s="10" t="s">
        <v>1699</v>
      </c>
      <c r="AH1793" s="25">
        <f>IF(AL1793=0,K1793,0)</f>
        <v>0</v>
      </c>
      <c r="AI1793" s="25">
        <f>IF(AL1793=12,K1793,0)</f>
        <v>0</v>
      </c>
      <c r="AJ1793" s="25">
        <f>IF(AL1793=21,K1793,0)</f>
        <v>0</v>
      </c>
      <c r="AL1793" s="25">
        <v>21</v>
      </c>
      <c r="AM1793" s="25">
        <f>H1793*0.049211429</f>
        <v>0</v>
      </c>
      <c r="AN1793" s="25">
        <f>H1793*(1-0.049211429)</f>
        <v>0</v>
      </c>
      <c r="AO1793" s="27" t="s">
        <v>61</v>
      </c>
      <c r="AT1793" s="25">
        <f>ROUND(AU1793+AV1793,2)</f>
        <v>0</v>
      </c>
      <c r="AU1793" s="25">
        <f>ROUND(G1793*AM1793,2)</f>
        <v>0</v>
      </c>
      <c r="AV1793" s="25">
        <f>ROUND(G1793*AN1793,2)</f>
        <v>0</v>
      </c>
      <c r="AW1793" s="27" t="s">
        <v>1953</v>
      </c>
      <c r="AX1793" s="27" t="s">
        <v>1954</v>
      </c>
      <c r="AY1793" s="10" t="s">
        <v>1707</v>
      </c>
      <c r="BA1793" s="25">
        <f>AU1793+AV1793</f>
        <v>0</v>
      </c>
      <c r="BB1793" s="25">
        <f>H1793/(100-BC1793)*100</f>
        <v>0</v>
      </c>
      <c r="BC1793" s="25">
        <v>0</v>
      </c>
      <c r="BD1793" s="25">
        <f>M1793</f>
        <v>1.0000000000000001E-5</v>
      </c>
      <c r="BF1793" s="25">
        <f>G1793*AM1793</f>
        <v>0</v>
      </c>
      <c r="BG1793" s="25">
        <f>G1793*AN1793</f>
        <v>0</v>
      </c>
      <c r="BH1793" s="25">
        <f>G1793*H1793</f>
        <v>0</v>
      </c>
      <c r="BI1793" s="27" t="s">
        <v>65</v>
      </c>
      <c r="BJ1793" s="25">
        <v>721</v>
      </c>
      <c r="BU1793" s="25" t="e">
        <f>#REF!</f>
        <v>#REF!</v>
      </c>
      <c r="BV1793" s="4" t="s">
        <v>2007</v>
      </c>
    </row>
    <row r="1794" spans="1:74" ht="14.4" x14ac:dyDescent="0.3">
      <c r="A1794" s="2" t="s">
        <v>2008</v>
      </c>
      <c r="B1794" s="3" t="s">
        <v>1699</v>
      </c>
      <c r="C1794" s="3" t="s">
        <v>2009</v>
      </c>
      <c r="D1794" s="112" t="s">
        <v>2010</v>
      </c>
      <c r="E1794" s="109"/>
      <c r="F1794" s="3" t="s">
        <v>115</v>
      </c>
      <c r="G1794" s="25">
        <v>396</v>
      </c>
      <c r="H1794" s="62"/>
      <c r="I1794" s="25">
        <f>ROUND(G1794*AM1794,2)</f>
        <v>0</v>
      </c>
      <c r="J1794" s="25">
        <f>ROUND(G1794*AN1794,2)</f>
        <v>0</v>
      </c>
      <c r="K1794" s="25">
        <f>ROUND(G1794*H1794,2)</f>
        <v>0</v>
      </c>
      <c r="L1794" s="25">
        <v>0</v>
      </c>
      <c r="M1794" s="25">
        <f>G1794*L1794</f>
        <v>0</v>
      </c>
      <c r="N1794" s="26"/>
      <c r="X1794" s="25">
        <f>ROUND(IF(AO1794="5",BH1794,0),2)</f>
        <v>0</v>
      </c>
      <c r="Z1794" s="25">
        <f>ROUND(IF(AO1794="1",BF1794,0),2)</f>
        <v>0</v>
      </c>
      <c r="AA1794" s="25">
        <f>ROUND(IF(AO1794="1",BG1794,0),2)</f>
        <v>0</v>
      </c>
      <c r="AB1794" s="25">
        <f>ROUND(IF(AO1794="7",BF1794,0),2)</f>
        <v>0</v>
      </c>
      <c r="AC1794" s="25">
        <f>ROUND(IF(AO1794="7",BG1794,0),2)</f>
        <v>0</v>
      </c>
      <c r="AD1794" s="25">
        <f>ROUND(IF(AO1794="2",BF1794,0),2)</f>
        <v>0</v>
      </c>
      <c r="AE1794" s="25">
        <f>ROUND(IF(AO1794="2",BG1794,0),2)</f>
        <v>0</v>
      </c>
      <c r="AF1794" s="25">
        <f>ROUND(IF(AO1794="0",BH1794,0),2)</f>
        <v>0</v>
      </c>
      <c r="AG1794" s="10" t="s">
        <v>1699</v>
      </c>
      <c r="AH1794" s="25">
        <f>IF(AL1794=0,K1794,0)</f>
        <v>0</v>
      </c>
      <c r="AI1794" s="25">
        <f>IF(AL1794=12,K1794,0)</f>
        <v>0</v>
      </c>
      <c r="AJ1794" s="25">
        <f>IF(AL1794=21,K1794,0)</f>
        <v>0</v>
      </c>
      <c r="AL1794" s="25">
        <v>21</v>
      </c>
      <c r="AM1794" s="25">
        <f>H1794*0</f>
        <v>0</v>
      </c>
      <c r="AN1794" s="25">
        <f>H1794*(1-0)</f>
        <v>0</v>
      </c>
      <c r="AO1794" s="27" t="s">
        <v>61</v>
      </c>
      <c r="AT1794" s="25">
        <f>ROUND(AU1794+AV1794,2)</f>
        <v>0</v>
      </c>
      <c r="AU1794" s="25">
        <f>ROUND(G1794*AM1794,2)</f>
        <v>0</v>
      </c>
      <c r="AV1794" s="25">
        <f>ROUND(G1794*AN1794,2)</f>
        <v>0</v>
      </c>
      <c r="AW1794" s="27" t="s">
        <v>1953</v>
      </c>
      <c r="AX1794" s="27" t="s">
        <v>1954</v>
      </c>
      <c r="AY1794" s="10" t="s">
        <v>1707</v>
      </c>
      <c r="BA1794" s="25">
        <f>AU1794+AV1794</f>
        <v>0</v>
      </c>
      <c r="BB1794" s="25">
        <f>H1794/(100-BC1794)*100</f>
        <v>0</v>
      </c>
      <c r="BC1794" s="25">
        <v>0</v>
      </c>
      <c r="BD1794" s="25">
        <f>M1794</f>
        <v>0</v>
      </c>
      <c r="BF1794" s="25">
        <f>G1794*AM1794</f>
        <v>0</v>
      </c>
      <c r="BG1794" s="25">
        <f>G1794*AN1794</f>
        <v>0</v>
      </c>
      <c r="BH1794" s="25">
        <f>G1794*H1794</f>
        <v>0</v>
      </c>
      <c r="BI1794" s="27" t="s">
        <v>65</v>
      </c>
      <c r="BJ1794" s="25">
        <v>721</v>
      </c>
      <c r="BU1794" s="25" t="e">
        <f>#REF!</f>
        <v>#REF!</v>
      </c>
      <c r="BV1794" s="4" t="s">
        <v>2010</v>
      </c>
    </row>
    <row r="1795" spans="1:74" ht="14.4" x14ac:dyDescent="0.3">
      <c r="A1795" s="2" t="s">
        <v>2011</v>
      </c>
      <c r="B1795" s="3" t="s">
        <v>1699</v>
      </c>
      <c r="C1795" s="3" t="s">
        <v>2012</v>
      </c>
      <c r="D1795" s="112" t="s">
        <v>2013</v>
      </c>
      <c r="E1795" s="109"/>
      <c r="F1795" s="3" t="s">
        <v>115</v>
      </c>
      <c r="G1795" s="25">
        <v>4</v>
      </c>
      <c r="H1795" s="62"/>
      <c r="I1795" s="25">
        <f>ROUND(G1795*AM1795,2)</f>
        <v>0</v>
      </c>
      <c r="J1795" s="25">
        <f>ROUND(G1795*AN1795,2)</f>
        <v>0</v>
      </c>
      <c r="K1795" s="25">
        <f>ROUND(G1795*H1795,2)</f>
        <v>0</v>
      </c>
      <c r="L1795" s="25">
        <v>0</v>
      </c>
      <c r="M1795" s="25">
        <f>G1795*L1795</f>
        <v>0</v>
      </c>
      <c r="N1795" s="26"/>
      <c r="X1795" s="25">
        <f>ROUND(IF(AO1795="5",BH1795,0),2)</f>
        <v>0</v>
      </c>
      <c r="Z1795" s="25">
        <f>ROUND(IF(AO1795="1",BF1795,0),2)</f>
        <v>0</v>
      </c>
      <c r="AA1795" s="25">
        <f>ROUND(IF(AO1795="1",BG1795,0),2)</f>
        <v>0</v>
      </c>
      <c r="AB1795" s="25">
        <f>ROUND(IF(AO1795="7",BF1795,0),2)</f>
        <v>0</v>
      </c>
      <c r="AC1795" s="25">
        <f>ROUND(IF(AO1795="7",BG1795,0),2)</f>
        <v>0</v>
      </c>
      <c r="AD1795" s="25">
        <f>ROUND(IF(AO1795="2",BF1795,0),2)</f>
        <v>0</v>
      </c>
      <c r="AE1795" s="25">
        <f>ROUND(IF(AO1795="2",BG1795,0),2)</f>
        <v>0</v>
      </c>
      <c r="AF1795" s="25">
        <f>ROUND(IF(AO1795="0",BH1795,0),2)</f>
        <v>0</v>
      </c>
      <c r="AG1795" s="10" t="s">
        <v>1699</v>
      </c>
      <c r="AH1795" s="25">
        <f>IF(AL1795=0,K1795,0)</f>
        <v>0</v>
      </c>
      <c r="AI1795" s="25">
        <f>IF(AL1795=12,K1795,0)</f>
        <v>0</v>
      </c>
      <c r="AJ1795" s="25">
        <f>IF(AL1795=21,K1795,0)</f>
        <v>0</v>
      </c>
      <c r="AL1795" s="25">
        <v>21</v>
      </c>
      <c r="AM1795" s="25">
        <f>H1795*0.087125821</f>
        <v>0</v>
      </c>
      <c r="AN1795" s="25">
        <f>H1795*(1-0.087125821)</f>
        <v>0</v>
      </c>
      <c r="AO1795" s="27" t="s">
        <v>61</v>
      </c>
      <c r="AT1795" s="25">
        <f>ROUND(AU1795+AV1795,2)</f>
        <v>0</v>
      </c>
      <c r="AU1795" s="25">
        <f>ROUND(G1795*AM1795,2)</f>
        <v>0</v>
      </c>
      <c r="AV1795" s="25">
        <f>ROUND(G1795*AN1795,2)</f>
        <v>0</v>
      </c>
      <c r="AW1795" s="27" t="s">
        <v>1953</v>
      </c>
      <c r="AX1795" s="27" t="s">
        <v>1954</v>
      </c>
      <c r="AY1795" s="10" t="s">
        <v>1707</v>
      </c>
      <c r="BA1795" s="25">
        <f>AU1795+AV1795</f>
        <v>0</v>
      </c>
      <c r="BB1795" s="25">
        <f>H1795/(100-BC1795)*100</f>
        <v>0</v>
      </c>
      <c r="BC1795" s="25">
        <v>0</v>
      </c>
      <c r="BD1795" s="25">
        <f>M1795</f>
        <v>0</v>
      </c>
      <c r="BF1795" s="25">
        <f>G1795*AM1795</f>
        <v>0</v>
      </c>
      <c r="BG1795" s="25">
        <f>G1795*AN1795</f>
        <v>0</v>
      </c>
      <c r="BH1795" s="25">
        <f>G1795*H1795</f>
        <v>0</v>
      </c>
      <c r="BI1795" s="27" t="s">
        <v>65</v>
      </c>
      <c r="BJ1795" s="25">
        <v>721</v>
      </c>
      <c r="BU1795" s="25" t="e">
        <f>#REF!</f>
        <v>#REF!</v>
      </c>
      <c r="BV1795" s="4" t="s">
        <v>2013</v>
      </c>
    </row>
    <row r="1796" spans="1:74" ht="14.4" x14ac:dyDescent="0.3">
      <c r="A1796" s="2" t="s">
        <v>2014</v>
      </c>
      <c r="B1796" s="3" t="s">
        <v>1699</v>
      </c>
      <c r="C1796" s="3" t="s">
        <v>2015</v>
      </c>
      <c r="D1796" s="112" t="s">
        <v>2016</v>
      </c>
      <c r="E1796" s="109"/>
      <c r="F1796" s="3" t="s">
        <v>278</v>
      </c>
      <c r="G1796" s="25">
        <v>7.88</v>
      </c>
      <c r="H1796" s="62"/>
      <c r="I1796" s="25">
        <f>ROUND(G1796*AM1796,2)</f>
        <v>0</v>
      </c>
      <c r="J1796" s="25">
        <f>ROUND(G1796*AN1796,2)</f>
        <v>0</v>
      </c>
      <c r="K1796" s="25">
        <f>ROUND(G1796*H1796,2)</f>
        <v>0</v>
      </c>
      <c r="L1796" s="25">
        <v>0</v>
      </c>
      <c r="M1796" s="25">
        <f>G1796*L1796</f>
        <v>0</v>
      </c>
      <c r="N1796" s="26"/>
      <c r="X1796" s="25">
        <f>ROUND(IF(AO1796="5",BH1796,0),2)</f>
        <v>0</v>
      </c>
      <c r="Z1796" s="25">
        <f>ROUND(IF(AO1796="1",BF1796,0),2)</f>
        <v>0</v>
      </c>
      <c r="AA1796" s="25">
        <f>ROUND(IF(AO1796="1",BG1796,0),2)</f>
        <v>0</v>
      </c>
      <c r="AB1796" s="25">
        <f>ROUND(IF(AO1796="7",BF1796,0),2)</f>
        <v>0</v>
      </c>
      <c r="AC1796" s="25">
        <f>ROUND(IF(AO1796="7",BG1796,0),2)</f>
        <v>0</v>
      </c>
      <c r="AD1796" s="25">
        <f>ROUND(IF(AO1796="2",BF1796,0),2)</f>
        <v>0</v>
      </c>
      <c r="AE1796" s="25">
        <f>ROUND(IF(AO1796="2",BG1796,0),2)</f>
        <v>0</v>
      </c>
      <c r="AF1796" s="25">
        <f>ROUND(IF(AO1796="0",BH1796,0),2)</f>
        <v>0</v>
      </c>
      <c r="AG1796" s="10" t="s">
        <v>1699</v>
      </c>
      <c r="AH1796" s="25">
        <f>IF(AL1796=0,K1796,0)</f>
        <v>0</v>
      </c>
      <c r="AI1796" s="25">
        <f>IF(AL1796=12,K1796,0)</f>
        <v>0</v>
      </c>
      <c r="AJ1796" s="25">
        <f>IF(AL1796=21,K1796,0)</f>
        <v>0</v>
      </c>
      <c r="AL1796" s="25">
        <v>21</v>
      </c>
      <c r="AM1796" s="25">
        <f>H1796*0</f>
        <v>0</v>
      </c>
      <c r="AN1796" s="25">
        <f>H1796*(1-0)</f>
        <v>0</v>
      </c>
      <c r="AO1796" s="27" t="s">
        <v>97</v>
      </c>
      <c r="AT1796" s="25">
        <f>ROUND(AU1796+AV1796,2)</f>
        <v>0</v>
      </c>
      <c r="AU1796" s="25">
        <f>ROUND(G1796*AM1796,2)</f>
        <v>0</v>
      </c>
      <c r="AV1796" s="25">
        <f>ROUND(G1796*AN1796,2)</f>
        <v>0</v>
      </c>
      <c r="AW1796" s="27" t="s">
        <v>1953</v>
      </c>
      <c r="AX1796" s="27" t="s">
        <v>1954</v>
      </c>
      <c r="AY1796" s="10" t="s">
        <v>1707</v>
      </c>
      <c r="BA1796" s="25">
        <f>AU1796+AV1796</f>
        <v>0</v>
      </c>
      <c r="BB1796" s="25">
        <f>H1796/(100-BC1796)*100</f>
        <v>0</v>
      </c>
      <c r="BC1796" s="25">
        <v>0</v>
      </c>
      <c r="BD1796" s="25">
        <f>M1796</f>
        <v>0</v>
      </c>
      <c r="BF1796" s="25">
        <f>G1796*AM1796</f>
        <v>0</v>
      </c>
      <c r="BG1796" s="25">
        <f>G1796*AN1796</f>
        <v>0</v>
      </c>
      <c r="BH1796" s="25">
        <f>G1796*H1796</f>
        <v>0</v>
      </c>
      <c r="BI1796" s="27" t="s">
        <v>65</v>
      </c>
      <c r="BJ1796" s="25">
        <v>721</v>
      </c>
      <c r="BU1796" s="25" t="e">
        <f>#REF!</f>
        <v>#REF!</v>
      </c>
      <c r="BV1796" s="4" t="s">
        <v>2016</v>
      </c>
    </row>
    <row r="1797" spans="1:74" ht="14.4" x14ac:dyDescent="0.3">
      <c r="A1797" s="28"/>
      <c r="D1797" s="29" t="s">
        <v>2017</v>
      </c>
      <c r="E1797" s="29" t="s">
        <v>52</v>
      </c>
      <c r="G1797" s="30">
        <v>7.88</v>
      </c>
      <c r="H1797" s="63"/>
      <c r="N1797" s="31"/>
    </row>
    <row r="1798" spans="1:74" ht="14.4" x14ac:dyDescent="0.3">
      <c r="A1798" s="2" t="s">
        <v>2018</v>
      </c>
      <c r="B1798" s="3" t="s">
        <v>1699</v>
      </c>
      <c r="C1798" s="3" t="s">
        <v>1885</v>
      </c>
      <c r="D1798" s="112" t="s">
        <v>1886</v>
      </c>
      <c r="E1798" s="109"/>
      <c r="F1798" s="3" t="s">
        <v>115</v>
      </c>
      <c r="G1798" s="25">
        <v>15</v>
      </c>
      <c r="H1798" s="62"/>
      <c r="I1798" s="25">
        <f>ROUND(G1798*AM1798,2)</f>
        <v>0</v>
      </c>
      <c r="J1798" s="25">
        <f>ROUND(G1798*AN1798,2)</f>
        <v>0</v>
      </c>
      <c r="K1798" s="25">
        <f>ROUND(G1798*H1798,2)</f>
        <v>0</v>
      </c>
      <c r="L1798" s="25">
        <v>1.2700000000000001E-3</v>
      </c>
      <c r="M1798" s="25">
        <f>G1798*L1798</f>
        <v>1.9050000000000001E-2</v>
      </c>
      <c r="N1798" s="26"/>
      <c r="X1798" s="25">
        <f>ROUND(IF(AO1798="5",BH1798,0),2)</f>
        <v>0</v>
      </c>
      <c r="Z1798" s="25">
        <f>ROUND(IF(AO1798="1",BF1798,0),2)</f>
        <v>0</v>
      </c>
      <c r="AA1798" s="25">
        <f>ROUND(IF(AO1798="1",BG1798,0),2)</f>
        <v>0</v>
      </c>
      <c r="AB1798" s="25">
        <f>ROUND(IF(AO1798="7",BF1798,0),2)</f>
        <v>0</v>
      </c>
      <c r="AC1798" s="25">
        <f>ROUND(IF(AO1798="7",BG1798,0),2)</f>
        <v>0</v>
      </c>
      <c r="AD1798" s="25">
        <f>ROUND(IF(AO1798="2",BF1798,0),2)</f>
        <v>0</v>
      </c>
      <c r="AE1798" s="25">
        <f>ROUND(IF(AO1798="2",BG1798,0),2)</f>
        <v>0</v>
      </c>
      <c r="AF1798" s="25">
        <f>ROUND(IF(AO1798="0",BH1798,0),2)</f>
        <v>0</v>
      </c>
      <c r="AG1798" s="10" t="s">
        <v>1699</v>
      </c>
      <c r="AH1798" s="25">
        <f>IF(AL1798=0,K1798,0)</f>
        <v>0</v>
      </c>
      <c r="AI1798" s="25">
        <f>IF(AL1798=12,K1798,0)</f>
        <v>0</v>
      </c>
      <c r="AJ1798" s="25">
        <f>IF(AL1798=21,K1798,0)</f>
        <v>0</v>
      </c>
      <c r="AL1798" s="25">
        <v>21</v>
      </c>
      <c r="AM1798" s="25">
        <f>H1798*1</f>
        <v>0</v>
      </c>
      <c r="AN1798" s="25">
        <f>H1798*(1-1)</f>
        <v>0</v>
      </c>
      <c r="AO1798" s="27" t="s">
        <v>61</v>
      </c>
      <c r="AT1798" s="25">
        <f>ROUND(AU1798+AV1798,2)</f>
        <v>0</v>
      </c>
      <c r="AU1798" s="25">
        <f>ROUND(G1798*AM1798,2)</f>
        <v>0</v>
      </c>
      <c r="AV1798" s="25">
        <f>ROUND(G1798*AN1798,2)</f>
        <v>0</v>
      </c>
      <c r="AW1798" s="27" t="s">
        <v>1953</v>
      </c>
      <c r="AX1798" s="27" t="s">
        <v>1954</v>
      </c>
      <c r="AY1798" s="10" t="s">
        <v>1707</v>
      </c>
      <c r="BA1798" s="25">
        <f>AU1798+AV1798</f>
        <v>0</v>
      </c>
      <c r="BB1798" s="25">
        <f>H1798/(100-BC1798)*100</f>
        <v>0</v>
      </c>
      <c r="BC1798" s="25">
        <v>0</v>
      </c>
      <c r="BD1798" s="25">
        <f>M1798</f>
        <v>1.9050000000000001E-2</v>
      </c>
      <c r="BF1798" s="25">
        <f>G1798*AM1798</f>
        <v>0</v>
      </c>
      <c r="BG1798" s="25">
        <f>G1798*AN1798</f>
        <v>0</v>
      </c>
      <c r="BH1798" s="25">
        <f>G1798*H1798</f>
        <v>0</v>
      </c>
      <c r="BI1798" s="27" t="s">
        <v>576</v>
      </c>
      <c r="BJ1798" s="25">
        <v>721</v>
      </c>
      <c r="BU1798" s="25" t="e">
        <f>#REF!</f>
        <v>#REF!</v>
      </c>
      <c r="BV1798" s="4" t="s">
        <v>1886</v>
      </c>
    </row>
    <row r="1799" spans="1:74" ht="14.4" x14ac:dyDescent="0.3">
      <c r="A1799" s="21" t="s">
        <v>52</v>
      </c>
      <c r="B1799" s="22" t="s">
        <v>1699</v>
      </c>
      <c r="C1799" s="22" t="s">
        <v>2019</v>
      </c>
      <c r="D1799" s="170" t="s">
        <v>2020</v>
      </c>
      <c r="E1799" s="171"/>
      <c r="F1799" s="23" t="s">
        <v>32</v>
      </c>
      <c r="G1799" s="23" t="s">
        <v>32</v>
      </c>
      <c r="H1799" s="64"/>
      <c r="I1799" s="1">
        <f>SUM(I1800:I1828)</f>
        <v>0</v>
      </c>
      <c r="J1799" s="1">
        <f>SUM(J1800:J1828)</f>
        <v>0</v>
      </c>
      <c r="K1799" s="1">
        <f>SUM(K1800:K1828)</f>
        <v>0</v>
      </c>
      <c r="L1799" s="10" t="s">
        <v>52</v>
      </c>
      <c r="M1799" s="1">
        <f>SUM(M1800:M1828)</f>
        <v>0.19247</v>
      </c>
      <c r="N1799" s="24"/>
      <c r="AG1799" s="10" t="s">
        <v>1699</v>
      </c>
      <c r="AQ1799" s="1">
        <f>SUM(AH1800:AH1828)</f>
        <v>0</v>
      </c>
      <c r="AR1799" s="1">
        <f>SUM(AI1800:AI1828)</f>
        <v>0</v>
      </c>
      <c r="AS1799" s="1">
        <f>SUM(AJ1800:AJ1828)</f>
        <v>0</v>
      </c>
    </row>
    <row r="1800" spans="1:74" ht="14.4" x14ac:dyDescent="0.3">
      <c r="A1800" s="2" t="s">
        <v>2021</v>
      </c>
      <c r="B1800" s="3" t="s">
        <v>1699</v>
      </c>
      <c r="C1800" s="3" t="s">
        <v>2022</v>
      </c>
      <c r="D1800" s="112" t="s">
        <v>2023</v>
      </c>
      <c r="E1800" s="109"/>
      <c r="F1800" s="3" t="s">
        <v>115</v>
      </c>
      <c r="G1800" s="25">
        <v>150</v>
      </c>
      <c r="H1800" s="62"/>
      <c r="I1800" s="25">
        <f>ROUND(G1800*AM1800,2)</f>
        <v>0</v>
      </c>
      <c r="J1800" s="25">
        <f>ROUND(G1800*AN1800,2)</f>
        <v>0</v>
      </c>
      <c r="K1800" s="25">
        <f>ROUND(G1800*H1800,2)</f>
        <v>0</v>
      </c>
      <c r="L1800" s="25">
        <v>0</v>
      </c>
      <c r="M1800" s="25">
        <f>G1800*L1800</f>
        <v>0</v>
      </c>
      <c r="N1800" s="26"/>
      <c r="X1800" s="25">
        <f>ROUND(IF(AO1800="5",BH1800,0),2)</f>
        <v>0</v>
      </c>
      <c r="Z1800" s="25">
        <f>ROUND(IF(AO1800="1",BF1800,0),2)</f>
        <v>0</v>
      </c>
      <c r="AA1800" s="25">
        <f>ROUND(IF(AO1800="1",BG1800,0),2)</f>
        <v>0</v>
      </c>
      <c r="AB1800" s="25">
        <f>ROUND(IF(AO1800="7",BF1800,0),2)</f>
        <v>0</v>
      </c>
      <c r="AC1800" s="25">
        <f>ROUND(IF(AO1800="7",BG1800,0),2)</f>
        <v>0</v>
      </c>
      <c r="AD1800" s="25">
        <f>ROUND(IF(AO1800="2",BF1800,0),2)</f>
        <v>0</v>
      </c>
      <c r="AE1800" s="25">
        <f>ROUND(IF(AO1800="2",BG1800,0),2)</f>
        <v>0</v>
      </c>
      <c r="AF1800" s="25">
        <f>ROUND(IF(AO1800="0",BH1800,0),2)</f>
        <v>0</v>
      </c>
      <c r="AG1800" s="10" t="s">
        <v>1699</v>
      </c>
      <c r="AH1800" s="25">
        <f>IF(AL1800=0,K1800,0)</f>
        <v>0</v>
      </c>
      <c r="AI1800" s="25">
        <f>IF(AL1800=12,K1800,0)</f>
        <v>0</v>
      </c>
      <c r="AJ1800" s="25">
        <f>IF(AL1800=21,K1800,0)</f>
        <v>0</v>
      </c>
      <c r="AL1800" s="25">
        <v>21</v>
      </c>
      <c r="AM1800" s="25">
        <f>H1800*0</f>
        <v>0</v>
      </c>
      <c r="AN1800" s="25">
        <f>H1800*(1-0)</f>
        <v>0</v>
      </c>
      <c r="AO1800" s="27" t="s">
        <v>61</v>
      </c>
      <c r="AT1800" s="25">
        <f>ROUND(AU1800+AV1800,2)</f>
        <v>0</v>
      </c>
      <c r="AU1800" s="25">
        <f>ROUND(G1800*AM1800,2)</f>
        <v>0</v>
      </c>
      <c r="AV1800" s="25">
        <f>ROUND(G1800*AN1800,2)</f>
        <v>0</v>
      </c>
      <c r="AW1800" s="27" t="s">
        <v>2024</v>
      </c>
      <c r="AX1800" s="27" t="s">
        <v>1954</v>
      </c>
      <c r="AY1800" s="10" t="s">
        <v>1707</v>
      </c>
      <c r="BA1800" s="25">
        <f>AU1800+AV1800</f>
        <v>0</v>
      </c>
      <c r="BB1800" s="25">
        <f>H1800/(100-BC1800)*100</f>
        <v>0</v>
      </c>
      <c r="BC1800" s="25">
        <v>0</v>
      </c>
      <c r="BD1800" s="25">
        <f>M1800</f>
        <v>0</v>
      </c>
      <c r="BF1800" s="25">
        <f>G1800*AM1800</f>
        <v>0</v>
      </c>
      <c r="BG1800" s="25">
        <f>G1800*AN1800</f>
        <v>0</v>
      </c>
      <c r="BH1800" s="25">
        <f>G1800*H1800</f>
        <v>0</v>
      </c>
      <c r="BI1800" s="27" t="s">
        <v>65</v>
      </c>
      <c r="BJ1800" s="25">
        <v>722</v>
      </c>
      <c r="BU1800" s="25" t="e">
        <f>#REF!</f>
        <v>#REF!</v>
      </c>
      <c r="BV1800" s="4" t="s">
        <v>2023</v>
      </c>
    </row>
    <row r="1801" spans="1:74" ht="14.4" x14ac:dyDescent="0.3">
      <c r="A1801" s="28"/>
      <c r="D1801" s="29" t="s">
        <v>2025</v>
      </c>
      <c r="E1801" s="29" t="s">
        <v>52</v>
      </c>
      <c r="G1801" s="30">
        <v>150</v>
      </c>
      <c r="H1801" s="63"/>
      <c r="N1801" s="31"/>
    </row>
    <row r="1802" spans="1:74" ht="14.4" x14ac:dyDescent="0.3">
      <c r="A1802" s="2" t="s">
        <v>2026</v>
      </c>
      <c r="B1802" s="3" t="s">
        <v>1699</v>
      </c>
      <c r="C1802" s="3" t="s">
        <v>2027</v>
      </c>
      <c r="D1802" s="112" t="s">
        <v>2028</v>
      </c>
      <c r="E1802" s="109"/>
      <c r="F1802" s="3" t="s">
        <v>115</v>
      </c>
      <c r="G1802" s="25">
        <v>214</v>
      </c>
      <c r="H1802" s="62"/>
      <c r="I1802" s="25">
        <f>ROUND(G1802*AM1802,2)</f>
        <v>0</v>
      </c>
      <c r="J1802" s="25">
        <f>ROUND(G1802*AN1802,2)</f>
        <v>0</v>
      </c>
      <c r="K1802" s="25">
        <f>ROUND(G1802*H1802,2)</f>
        <v>0</v>
      </c>
      <c r="L1802" s="25">
        <v>0</v>
      </c>
      <c r="M1802" s="25">
        <f>G1802*L1802</f>
        <v>0</v>
      </c>
      <c r="N1802" s="26"/>
      <c r="X1802" s="25">
        <f>ROUND(IF(AO1802="5",BH1802,0),2)</f>
        <v>0</v>
      </c>
      <c r="Z1802" s="25">
        <f>ROUND(IF(AO1802="1",BF1802,0),2)</f>
        <v>0</v>
      </c>
      <c r="AA1802" s="25">
        <f>ROUND(IF(AO1802="1",BG1802,0),2)</f>
        <v>0</v>
      </c>
      <c r="AB1802" s="25">
        <f>ROUND(IF(AO1802="7",BF1802,0),2)</f>
        <v>0</v>
      </c>
      <c r="AC1802" s="25">
        <f>ROUND(IF(AO1802="7",BG1802,0),2)</f>
        <v>0</v>
      </c>
      <c r="AD1802" s="25">
        <f>ROUND(IF(AO1802="2",BF1802,0),2)</f>
        <v>0</v>
      </c>
      <c r="AE1802" s="25">
        <f>ROUND(IF(AO1802="2",BG1802,0),2)</f>
        <v>0</v>
      </c>
      <c r="AF1802" s="25">
        <f>ROUND(IF(AO1802="0",BH1802,0),2)</f>
        <v>0</v>
      </c>
      <c r="AG1802" s="10" t="s">
        <v>1699</v>
      </c>
      <c r="AH1802" s="25">
        <f>IF(AL1802=0,K1802,0)</f>
        <v>0</v>
      </c>
      <c r="AI1802" s="25">
        <f>IF(AL1802=12,K1802,0)</f>
        <v>0</v>
      </c>
      <c r="AJ1802" s="25">
        <f>IF(AL1802=21,K1802,0)</f>
        <v>0</v>
      </c>
      <c r="AL1802" s="25">
        <v>21</v>
      </c>
      <c r="AM1802" s="25">
        <f>H1802*0</f>
        <v>0</v>
      </c>
      <c r="AN1802" s="25">
        <f>H1802*(1-0)</f>
        <v>0</v>
      </c>
      <c r="AO1802" s="27" t="s">
        <v>61</v>
      </c>
      <c r="AT1802" s="25">
        <f>ROUND(AU1802+AV1802,2)</f>
        <v>0</v>
      </c>
      <c r="AU1802" s="25">
        <f>ROUND(G1802*AM1802,2)</f>
        <v>0</v>
      </c>
      <c r="AV1802" s="25">
        <f>ROUND(G1802*AN1802,2)</f>
        <v>0</v>
      </c>
      <c r="AW1802" s="27" t="s">
        <v>2024</v>
      </c>
      <c r="AX1802" s="27" t="s">
        <v>1954</v>
      </c>
      <c r="AY1802" s="10" t="s">
        <v>1707</v>
      </c>
      <c r="BA1802" s="25">
        <f>AU1802+AV1802</f>
        <v>0</v>
      </c>
      <c r="BB1802" s="25">
        <f>H1802/(100-BC1802)*100</f>
        <v>0</v>
      </c>
      <c r="BC1802" s="25">
        <v>0</v>
      </c>
      <c r="BD1802" s="25">
        <f>M1802</f>
        <v>0</v>
      </c>
      <c r="BF1802" s="25">
        <f>G1802*AM1802</f>
        <v>0</v>
      </c>
      <c r="BG1802" s="25">
        <f>G1802*AN1802</f>
        <v>0</v>
      </c>
      <c r="BH1802" s="25">
        <f>G1802*H1802</f>
        <v>0</v>
      </c>
      <c r="BI1802" s="27" t="s">
        <v>65</v>
      </c>
      <c r="BJ1802" s="25">
        <v>722</v>
      </c>
      <c r="BU1802" s="25" t="e">
        <f>#REF!</f>
        <v>#REF!</v>
      </c>
      <c r="BV1802" s="4" t="s">
        <v>2028</v>
      </c>
    </row>
    <row r="1803" spans="1:74" ht="14.4" x14ac:dyDescent="0.3">
      <c r="A1803" s="28"/>
      <c r="D1803" s="29" t="s">
        <v>2029</v>
      </c>
      <c r="E1803" s="29" t="s">
        <v>52</v>
      </c>
      <c r="G1803" s="30">
        <v>214</v>
      </c>
      <c r="H1803" s="63"/>
      <c r="N1803" s="31"/>
    </row>
    <row r="1804" spans="1:74" ht="14.4" x14ac:dyDescent="0.3">
      <c r="A1804" s="2" t="s">
        <v>2030</v>
      </c>
      <c r="B1804" s="3" t="s">
        <v>1699</v>
      </c>
      <c r="C1804" s="3" t="s">
        <v>2031</v>
      </c>
      <c r="D1804" s="112" t="s">
        <v>2032</v>
      </c>
      <c r="E1804" s="109"/>
      <c r="F1804" s="3" t="s">
        <v>115</v>
      </c>
      <c r="G1804" s="25">
        <v>50</v>
      </c>
      <c r="H1804" s="62"/>
      <c r="I1804" s="25">
        <f>ROUND(G1804*AM1804,2)</f>
        <v>0</v>
      </c>
      <c r="J1804" s="25">
        <f>ROUND(G1804*AN1804,2)</f>
        <v>0</v>
      </c>
      <c r="K1804" s="25">
        <f>ROUND(G1804*H1804,2)</f>
        <v>0</v>
      </c>
      <c r="L1804" s="25">
        <v>0</v>
      </c>
      <c r="M1804" s="25">
        <f>G1804*L1804</f>
        <v>0</v>
      </c>
      <c r="N1804" s="26"/>
      <c r="X1804" s="25">
        <f>ROUND(IF(AO1804="5",BH1804,0),2)</f>
        <v>0</v>
      </c>
      <c r="Z1804" s="25">
        <f>ROUND(IF(AO1804="1",BF1804,0),2)</f>
        <v>0</v>
      </c>
      <c r="AA1804" s="25">
        <f>ROUND(IF(AO1804="1",BG1804,0),2)</f>
        <v>0</v>
      </c>
      <c r="AB1804" s="25">
        <f>ROUND(IF(AO1804="7",BF1804,0),2)</f>
        <v>0</v>
      </c>
      <c r="AC1804" s="25">
        <f>ROUND(IF(AO1804="7",BG1804,0),2)</f>
        <v>0</v>
      </c>
      <c r="AD1804" s="25">
        <f>ROUND(IF(AO1804="2",BF1804,0),2)</f>
        <v>0</v>
      </c>
      <c r="AE1804" s="25">
        <f>ROUND(IF(AO1804="2",BG1804,0),2)</f>
        <v>0</v>
      </c>
      <c r="AF1804" s="25">
        <f>ROUND(IF(AO1804="0",BH1804,0),2)</f>
        <v>0</v>
      </c>
      <c r="AG1804" s="10" t="s">
        <v>1699</v>
      </c>
      <c r="AH1804" s="25">
        <f>IF(AL1804=0,K1804,0)</f>
        <v>0</v>
      </c>
      <c r="AI1804" s="25">
        <f>IF(AL1804=12,K1804,0)</f>
        <v>0</v>
      </c>
      <c r="AJ1804" s="25">
        <f>IF(AL1804=21,K1804,0)</f>
        <v>0</v>
      </c>
      <c r="AL1804" s="25">
        <v>21</v>
      </c>
      <c r="AM1804" s="25">
        <f>H1804*0</f>
        <v>0</v>
      </c>
      <c r="AN1804" s="25">
        <f>H1804*(1-0)</f>
        <v>0</v>
      </c>
      <c r="AO1804" s="27" t="s">
        <v>61</v>
      </c>
      <c r="AT1804" s="25">
        <f>ROUND(AU1804+AV1804,2)</f>
        <v>0</v>
      </c>
      <c r="AU1804" s="25">
        <f>ROUND(G1804*AM1804,2)</f>
        <v>0</v>
      </c>
      <c r="AV1804" s="25">
        <f>ROUND(G1804*AN1804,2)</f>
        <v>0</v>
      </c>
      <c r="AW1804" s="27" t="s">
        <v>2024</v>
      </c>
      <c r="AX1804" s="27" t="s">
        <v>1954</v>
      </c>
      <c r="AY1804" s="10" t="s">
        <v>1707</v>
      </c>
      <c r="BA1804" s="25">
        <f>AU1804+AV1804</f>
        <v>0</v>
      </c>
      <c r="BB1804" s="25">
        <f>H1804/(100-BC1804)*100</f>
        <v>0</v>
      </c>
      <c r="BC1804" s="25">
        <v>0</v>
      </c>
      <c r="BD1804" s="25">
        <f>M1804</f>
        <v>0</v>
      </c>
      <c r="BF1804" s="25">
        <f>G1804*AM1804</f>
        <v>0</v>
      </c>
      <c r="BG1804" s="25">
        <f>G1804*AN1804</f>
        <v>0</v>
      </c>
      <c r="BH1804" s="25">
        <f>G1804*H1804</f>
        <v>0</v>
      </c>
      <c r="BI1804" s="27" t="s">
        <v>65</v>
      </c>
      <c r="BJ1804" s="25">
        <v>722</v>
      </c>
      <c r="BU1804" s="25" t="e">
        <f>#REF!</f>
        <v>#REF!</v>
      </c>
      <c r="BV1804" s="4" t="s">
        <v>2032</v>
      </c>
    </row>
    <row r="1805" spans="1:74" ht="14.4" x14ac:dyDescent="0.3">
      <c r="A1805" s="28"/>
      <c r="D1805" s="29" t="s">
        <v>2033</v>
      </c>
      <c r="E1805" s="29" t="s">
        <v>52</v>
      </c>
      <c r="G1805" s="30">
        <v>50</v>
      </c>
      <c r="H1805" s="63"/>
      <c r="N1805" s="31"/>
    </row>
    <row r="1806" spans="1:74" ht="14.4" x14ac:dyDescent="0.3">
      <c r="A1806" s="2" t="s">
        <v>2034</v>
      </c>
      <c r="B1806" s="3" t="s">
        <v>1699</v>
      </c>
      <c r="C1806" s="3" t="s">
        <v>2035</v>
      </c>
      <c r="D1806" s="112" t="s">
        <v>2036</v>
      </c>
      <c r="E1806" s="109"/>
      <c r="F1806" s="3" t="s">
        <v>115</v>
      </c>
      <c r="G1806" s="25">
        <v>41</v>
      </c>
      <c r="H1806" s="62"/>
      <c r="I1806" s="25">
        <f>ROUND(G1806*AM1806,2)</f>
        <v>0</v>
      </c>
      <c r="J1806" s="25">
        <f>ROUND(G1806*AN1806,2)</f>
        <v>0</v>
      </c>
      <c r="K1806" s="25">
        <f>ROUND(G1806*H1806,2)</f>
        <v>0</v>
      </c>
      <c r="L1806" s="25">
        <v>0</v>
      </c>
      <c r="M1806" s="25">
        <f>G1806*L1806</f>
        <v>0</v>
      </c>
      <c r="N1806" s="26"/>
      <c r="X1806" s="25">
        <f>ROUND(IF(AO1806="5",BH1806,0),2)</f>
        <v>0</v>
      </c>
      <c r="Z1806" s="25">
        <f>ROUND(IF(AO1806="1",BF1806,0),2)</f>
        <v>0</v>
      </c>
      <c r="AA1806" s="25">
        <f>ROUND(IF(AO1806="1",BG1806,0),2)</f>
        <v>0</v>
      </c>
      <c r="AB1806" s="25">
        <f>ROUND(IF(AO1806="7",BF1806,0),2)</f>
        <v>0</v>
      </c>
      <c r="AC1806" s="25">
        <f>ROUND(IF(AO1806="7",BG1806,0),2)</f>
        <v>0</v>
      </c>
      <c r="AD1806" s="25">
        <f>ROUND(IF(AO1806="2",BF1806,0),2)</f>
        <v>0</v>
      </c>
      <c r="AE1806" s="25">
        <f>ROUND(IF(AO1806="2",BG1806,0),2)</f>
        <v>0</v>
      </c>
      <c r="AF1806" s="25">
        <f>ROUND(IF(AO1806="0",BH1806,0),2)</f>
        <v>0</v>
      </c>
      <c r="AG1806" s="10" t="s">
        <v>1699</v>
      </c>
      <c r="AH1806" s="25">
        <f>IF(AL1806=0,K1806,0)</f>
        <v>0</v>
      </c>
      <c r="AI1806" s="25">
        <f>IF(AL1806=12,K1806,0)</f>
        <v>0</v>
      </c>
      <c r="AJ1806" s="25">
        <f>IF(AL1806=21,K1806,0)</f>
        <v>0</v>
      </c>
      <c r="AL1806" s="25">
        <v>21</v>
      </c>
      <c r="AM1806" s="25">
        <f>H1806*0</f>
        <v>0</v>
      </c>
      <c r="AN1806" s="25">
        <f>H1806*(1-0)</f>
        <v>0</v>
      </c>
      <c r="AO1806" s="27" t="s">
        <v>61</v>
      </c>
      <c r="AT1806" s="25">
        <f>ROUND(AU1806+AV1806,2)</f>
        <v>0</v>
      </c>
      <c r="AU1806" s="25">
        <f>ROUND(G1806*AM1806,2)</f>
        <v>0</v>
      </c>
      <c r="AV1806" s="25">
        <f>ROUND(G1806*AN1806,2)</f>
        <v>0</v>
      </c>
      <c r="AW1806" s="27" t="s">
        <v>2024</v>
      </c>
      <c r="AX1806" s="27" t="s">
        <v>1954</v>
      </c>
      <c r="AY1806" s="10" t="s">
        <v>1707</v>
      </c>
      <c r="BA1806" s="25">
        <f>AU1806+AV1806</f>
        <v>0</v>
      </c>
      <c r="BB1806" s="25">
        <f>H1806/(100-BC1806)*100</f>
        <v>0</v>
      </c>
      <c r="BC1806" s="25">
        <v>0</v>
      </c>
      <c r="BD1806" s="25">
        <f>M1806</f>
        <v>0</v>
      </c>
      <c r="BF1806" s="25">
        <f>G1806*AM1806</f>
        <v>0</v>
      </c>
      <c r="BG1806" s="25">
        <f>G1806*AN1806</f>
        <v>0</v>
      </c>
      <c r="BH1806" s="25">
        <f>G1806*H1806</f>
        <v>0</v>
      </c>
      <c r="BI1806" s="27" t="s">
        <v>65</v>
      </c>
      <c r="BJ1806" s="25">
        <v>722</v>
      </c>
      <c r="BU1806" s="25" t="e">
        <f>#REF!</f>
        <v>#REF!</v>
      </c>
      <c r="BV1806" s="4" t="s">
        <v>2036</v>
      </c>
    </row>
    <row r="1807" spans="1:74" ht="14.4" x14ac:dyDescent="0.3">
      <c r="A1807" s="28"/>
      <c r="D1807" s="29" t="s">
        <v>2037</v>
      </c>
      <c r="E1807" s="29" t="s">
        <v>52</v>
      </c>
      <c r="G1807" s="30">
        <v>41</v>
      </c>
      <c r="H1807" s="63"/>
      <c r="N1807" s="31"/>
    </row>
    <row r="1808" spans="1:74" ht="14.4" x14ac:dyDescent="0.3">
      <c r="A1808" s="2" t="s">
        <v>2038</v>
      </c>
      <c r="B1808" s="3" t="s">
        <v>1699</v>
      </c>
      <c r="C1808" s="3" t="s">
        <v>2039</v>
      </c>
      <c r="D1808" s="112" t="s">
        <v>2040</v>
      </c>
      <c r="E1808" s="109"/>
      <c r="F1808" s="3" t="s">
        <v>115</v>
      </c>
      <c r="G1808" s="25">
        <v>62</v>
      </c>
      <c r="H1808" s="62"/>
      <c r="I1808" s="25">
        <f>ROUND(G1808*AM1808,2)</f>
        <v>0</v>
      </c>
      <c r="J1808" s="25">
        <f>ROUND(G1808*AN1808,2)</f>
        <v>0</v>
      </c>
      <c r="K1808" s="25">
        <f>ROUND(G1808*H1808,2)</f>
        <v>0</v>
      </c>
      <c r="L1808" s="25">
        <v>0</v>
      </c>
      <c r="M1808" s="25">
        <f>G1808*L1808</f>
        <v>0</v>
      </c>
      <c r="N1808" s="26"/>
      <c r="X1808" s="25">
        <f>ROUND(IF(AO1808="5",BH1808,0),2)</f>
        <v>0</v>
      </c>
      <c r="Z1808" s="25">
        <f>ROUND(IF(AO1808="1",BF1808,0),2)</f>
        <v>0</v>
      </c>
      <c r="AA1808" s="25">
        <f>ROUND(IF(AO1808="1",BG1808,0),2)</f>
        <v>0</v>
      </c>
      <c r="AB1808" s="25">
        <f>ROUND(IF(AO1808="7",BF1808,0),2)</f>
        <v>0</v>
      </c>
      <c r="AC1808" s="25">
        <f>ROUND(IF(AO1808="7",BG1808,0),2)</f>
        <v>0</v>
      </c>
      <c r="AD1808" s="25">
        <f>ROUND(IF(AO1808="2",BF1808,0),2)</f>
        <v>0</v>
      </c>
      <c r="AE1808" s="25">
        <f>ROUND(IF(AO1808="2",BG1808,0),2)</f>
        <v>0</v>
      </c>
      <c r="AF1808" s="25">
        <f>ROUND(IF(AO1808="0",BH1808,0),2)</f>
        <v>0</v>
      </c>
      <c r="AG1808" s="10" t="s">
        <v>1699</v>
      </c>
      <c r="AH1808" s="25">
        <f>IF(AL1808=0,K1808,0)</f>
        <v>0</v>
      </c>
      <c r="AI1808" s="25">
        <f>IF(AL1808=12,K1808,0)</f>
        <v>0</v>
      </c>
      <c r="AJ1808" s="25">
        <f>IF(AL1808=21,K1808,0)</f>
        <v>0</v>
      </c>
      <c r="AL1808" s="25">
        <v>21</v>
      </c>
      <c r="AM1808" s="25">
        <f>H1808*0</f>
        <v>0</v>
      </c>
      <c r="AN1808" s="25">
        <f>H1808*(1-0)</f>
        <v>0</v>
      </c>
      <c r="AO1808" s="27" t="s">
        <v>61</v>
      </c>
      <c r="AT1808" s="25">
        <f>ROUND(AU1808+AV1808,2)</f>
        <v>0</v>
      </c>
      <c r="AU1808" s="25">
        <f>ROUND(G1808*AM1808,2)</f>
        <v>0</v>
      </c>
      <c r="AV1808" s="25">
        <f>ROUND(G1808*AN1808,2)</f>
        <v>0</v>
      </c>
      <c r="AW1808" s="27" t="s">
        <v>2024</v>
      </c>
      <c r="AX1808" s="27" t="s">
        <v>1954</v>
      </c>
      <c r="AY1808" s="10" t="s">
        <v>1707</v>
      </c>
      <c r="BA1808" s="25">
        <f>AU1808+AV1808</f>
        <v>0</v>
      </c>
      <c r="BB1808" s="25">
        <f>H1808/(100-BC1808)*100</f>
        <v>0</v>
      </c>
      <c r="BC1808" s="25">
        <v>0</v>
      </c>
      <c r="BD1808" s="25">
        <f>M1808</f>
        <v>0</v>
      </c>
      <c r="BF1808" s="25">
        <f>G1808*AM1808</f>
        <v>0</v>
      </c>
      <c r="BG1808" s="25">
        <f>G1808*AN1808</f>
        <v>0</v>
      </c>
      <c r="BH1808" s="25">
        <f>G1808*H1808</f>
        <v>0</v>
      </c>
      <c r="BI1808" s="27" t="s">
        <v>65</v>
      </c>
      <c r="BJ1808" s="25">
        <v>722</v>
      </c>
      <c r="BU1808" s="25" t="e">
        <f>#REF!</f>
        <v>#REF!</v>
      </c>
      <c r="BV1808" s="4" t="s">
        <v>2040</v>
      </c>
    </row>
    <row r="1809" spans="1:74" ht="14.4" x14ac:dyDescent="0.3">
      <c r="A1809" s="28"/>
      <c r="D1809" s="29" t="s">
        <v>2041</v>
      </c>
      <c r="E1809" s="29" t="s">
        <v>52</v>
      </c>
      <c r="G1809" s="30">
        <v>62</v>
      </c>
      <c r="H1809" s="63"/>
      <c r="N1809" s="31"/>
    </row>
    <row r="1810" spans="1:74" ht="14.4" x14ac:dyDescent="0.3">
      <c r="A1810" s="2" t="s">
        <v>2042</v>
      </c>
      <c r="B1810" s="3" t="s">
        <v>1699</v>
      </c>
      <c r="C1810" s="3" t="s">
        <v>2043</v>
      </c>
      <c r="D1810" s="112" t="s">
        <v>2044</v>
      </c>
      <c r="E1810" s="109"/>
      <c r="F1810" s="3" t="s">
        <v>115</v>
      </c>
      <c r="G1810" s="25">
        <v>28</v>
      </c>
      <c r="H1810" s="62"/>
      <c r="I1810" s="25">
        <f>ROUND(G1810*AM1810,2)</f>
        <v>0</v>
      </c>
      <c r="J1810" s="25">
        <f>ROUND(G1810*AN1810,2)</f>
        <v>0</v>
      </c>
      <c r="K1810" s="25">
        <f>ROUND(G1810*H1810,2)</f>
        <v>0</v>
      </c>
      <c r="L1810" s="25">
        <v>0</v>
      </c>
      <c r="M1810" s="25">
        <f>G1810*L1810</f>
        <v>0</v>
      </c>
      <c r="N1810" s="26"/>
      <c r="X1810" s="25">
        <f>ROUND(IF(AO1810="5",BH1810,0),2)</f>
        <v>0</v>
      </c>
      <c r="Z1810" s="25">
        <f>ROUND(IF(AO1810="1",BF1810,0),2)</f>
        <v>0</v>
      </c>
      <c r="AA1810" s="25">
        <f>ROUND(IF(AO1810="1",BG1810,0),2)</f>
        <v>0</v>
      </c>
      <c r="AB1810" s="25">
        <f>ROUND(IF(AO1810="7",BF1810,0),2)</f>
        <v>0</v>
      </c>
      <c r="AC1810" s="25">
        <f>ROUND(IF(AO1810="7",BG1810,0),2)</f>
        <v>0</v>
      </c>
      <c r="AD1810" s="25">
        <f>ROUND(IF(AO1810="2",BF1810,0),2)</f>
        <v>0</v>
      </c>
      <c r="AE1810" s="25">
        <f>ROUND(IF(AO1810="2",BG1810,0),2)</f>
        <v>0</v>
      </c>
      <c r="AF1810" s="25">
        <f>ROUND(IF(AO1810="0",BH1810,0),2)</f>
        <v>0</v>
      </c>
      <c r="AG1810" s="10" t="s">
        <v>1699</v>
      </c>
      <c r="AH1810" s="25">
        <f>IF(AL1810=0,K1810,0)</f>
        <v>0</v>
      </c>
      <c r="AI1810" s="25">
        <f>IF(AL1810=12,K1810,0)</f>
        <v>0</v>
      </c>
      <c r="AJ1810" s="25">
        <f>IF(AL1810=21,K1810,0)</f>
        <v>0</v>
      </c>
      <c r="AL1810" s="25">
        <v>21</v>
      </c>
      <c r="AM1810" s="25">
        <f>H1810*0</f>
        <v>0</v>
      </c>
      <c r="AN1810" s="25">
        <f>H1810*(1-0)</f>
        <v>0</v>
      </c>
      <c r="AO1810" s="27" t="s">
        <v>61</v>
      </c>
      <c r="AT1810" s="25">
        <f>ROUND(AU1810+AV1810,2)</f>
        <v>0</v>
      </c>
      <c r="AU1810" s="25">
        <f>ROUND(G1810*AM1810,2)</f>
        <v>0</v>
      </c>
      <c r="AV1810" s="25">
        <f>ROUND(G1810*AN1810,2)</f>
        <v>0</v>
      </c>
      <c r="AW1810" s="27" t="s">
        <v>2024</v>
      </c>
      <c r="AX1810" s="27" t="s">
        <v>1954</v>
      </c>
      <c r="AY1810" s="10" t="s">
        <v>1707</v>
      </c>
      <c r="BA1810" s="25">
        <f>AU1810+AV1810</f>
        <v>0</v>
      </c>
      <c r="BB1810" s="25">
        <f>H1810/(100-BC1810)*100</f>
        <v>0</v>
      </c>
      <c r="BC1810" s="25">
        <v>0</v>
      </c>
      <c r="BD1810" s="25">
        <f>M1810</f>
        <v>0</v>
      </c>
      <c r="BF1810" s="25">
        <f>G1810*AM1810</f>
        <v>0</v>
      </c>
      <c r="BG1810" s="25">
        <f>G1810*AN1810</f>
        <v>0</v>
      </c>
      <c r="BH1810" s="25">
        <f>G1810*H1810</f>
        <v>0</v>
      </c>
      <c r="BI1810" s="27" t="s">
        <v>65</v>
      </c>
      <c r="BJ1810" s="25">
        <v>722</v>
      </c>
      <c r="BU1810" s="25" t="e">
        <f>#REF!</f>
        <v>#REF!</v>
      </c>
      <c r="BV1810" s="4" t="s">
        <v>2044</v>
      </c>
    </row>
    <row r="1811" spans="1:74" ht="14.4" x14ac:dyDescent="0.3">
      <c r="A1811" s="2" t="s">
        <v>2045</v>
      </c>
      <c r="B1811" s="3" t="s">
        <v>1699</v>
      </c>
      <c r="C1811" s="3" t="s">
        <v>2046</v>
      </c>
      <c r="D1811" s="112" t="s">
        <v>2047</v>
      </c>
      <c r="E1811" s="109"/>
      <c r="F1811" s="3" t="s">
        <v>115</v>
      </c>
      <c r="G1811" s="25">
        <v>545</v>
      </c>
      <c r="H1811" s="62"/>
      <c r="I1811" s="25">
        <f>ROUND(G1811*AM1811,2)</f>
        <v>0</v>
      </c>
      <c r="J1811" s="25">
        <f>ROUND(G1811*AN1811,2)</f>
        <v>0</v>
      </c>
      <c r="K1811" s="25">
        <f>ROUND(G1811*H1811,2)</f>
        <v>0</v>
      </c>
      <c r="L1811" s="25">
        <v>1.0000000000000001E-5</v>
      </c>
      <c r="M1811" s="25">
        <f>G1811*L1811</f>
        <v>5.4500000000000009E-3</v>
      </c>
      <c r="N1811" s="26"/>
      <c r="X1811" s="25">
        <f>ROUND(IF(AO1811="5",BH1811,0),2)</f>
        <v>0</v>
      </c>
      <c r="Z1811" s="25">
        <f>ROUND(IF(AO1811="1",BF1811,0),2)</f>
        <v>0</v>
      </c>
      <c r="AA1811" s="25">
        <f>ROUND(IF(AO1811="1",BG1811,0),2)</f>
        <v>0</v>
      </c>
      <c r="AB1811" s="25">
        <f>ROUND(IF(AO1811="7",BF1811,0),2)</f>
        <v>0</v>
      </c>
      <c r="AC1811" s="25">
        <f>ROUND(IF(AO1811="7",BG1811,0),2)</f>
        <v>0</v>
      </c>
      <c r="AD1811" s="25">
        <f>ROUND(IF(AO1811="2",BF1811,0),2)</f>
        <v>0</v>
      </c>
      <c r="AE1811" s="25">
        <f>ROUND(IF(AO1811="2",BG1811,0),2)</f>
        <v>0</v>
      </c>
      <c r="AF1811" s="25">
        <f>ROUND(IF(AO1811="0",BH1811,0),2)</f>
        <v>0</v>
      </c>
      <c r="AG1811" s="10" t="s">
        <v>1699</v>
      </c>
      <c r="AH1811" s="25">
        <f>IF(AL1811=0,K1811,0)</f>
        <v>0</v>
      </c>
      <c r="AI1811" s="25">
        <f>IF(AL1811=12,K1811,0)</f>
        <v>0</v>
      </c>
      <c r="AJ1811" s="25">
        <f>IF(AL1811=21,K1811,0)</f>
        <v>0</v>
      </c>
      <c r="AL1811" s="25">
        <v>21</v>
      </c>
      <c r="AM1811" s="25">
        <f>H1811*0.051682692</f>
        <v>0</v>
      </c>
      <c r="AN1811" s="25">
        <f>H1811*(1-0.051682692)</f>
        <v>0</v>
      </c>
      <c r="AO1811" s="27" t="s">
        <v>61</v>
      </c>
      <c r="AT1811" s="25">
        <f>ROUND(AU1811+AV1811,2)</f>
        <v>0</v>
      </c>
      <c r="AU1811" s="25">
        <f>ROUND(G1811*AM1811,2)</f>
        <v>0</v>
      </c>
      <c r="AV1811" s="25">
        <f>ROUND(G1811*AN1811,2)</f>
        <v>0</v>
      </c>
      <c r="AW1811" s="27" t="s">
        <v>2024</v>
      </c>
      <c r="AX1811" s="27" t="s">
        <v>1954</v>
      </c>
      <c r="AY1811" s="10" t="s">
        <v>1707</v>
      </c>
      <c r="BA1811" s="25">
        <f>AU1811+AV1811</f>
        <v>0</v>
      </c>
      <c r="BB1811" s="25">
        <f>H1811/(100-BC1811)*100</f>
        <v>0</v>
      </c>
      <c r="BC1811" s="25">
        <v>0</v>
      </c>
      <c r="BD1811" s="25">
        <f>M1811</f>
        <v>5.4500000000000009E-3</v>
      </c>
      <c r="BF1811" s="25">
        <f>G1811*AM1811</f>
        <v>0</v>
      </c>
      <c r="BG1811" s="25">
        <f>G1811*AN1811</f>
        <v>0</v>
      </c>
      <c r="BH1811" s="25">
        <f>G1811*H1811</f>
        <v>0</v>
      </c>
      <c r="BI1811" s="27" t="s">
        <v>65</v>
      </c>
      <c r="BJ1811" s="25">
        <v>722</v>
      </c>
      <c r="BU1811" s="25" t="e">
        <f>#REF!</f>
        <v>#REF!</v>
      </c>
      <c r="BV1811" s="4" t="s">
        <v>2047</v>
      </c>
    </row>
    <row r="1812" spans="1:74" ht="14.4" x14ac:dyDescent="0.3">
      <c r="A1812" s="28"/>
      <c r="D1812" s="29" t="s">
        <v>2048</v>
      </c>
      <c r="E1812" s="29" t="s">
        <v>52</v>
      </c>
      <c r="G1812" s="30">
        <v>545</v>
      </c>
      <c r="H1812" s="63"/>
      <c r="N1812" s="31"/>
    </row>
    <row r="1813" spans="1:74" ht="14.4" x14ac:dyDescent="0.3">
      <c r="A1813" s="2" t="s">
        <v>2049</v>
      </c>
      <c r="B1813" s="3" t="s">
        <v>1699</v>
      </c>
      <c r="C1813" s="3" t="s">
        <v>2050</v>
      </c>
      <c r="D1813" s="112" t="s">
        <v>2051</v>
      </c>
      <c r="E1813" s="109"/>
      <c r="F1813" s="3" t="s">
        <v>115</v>
      </c>
      <c r="G1813" s="25">
        <v>28</v>
      </c>
      <c r="H1813" s="62"/>
      <c r="I1813" s="25">
        <f t="shared" ref="I1813:I1824" si="24">ROUND(G1813*AM1813,2)</f>
        <v>0</v>
      </c>
      <c r="J1813" s="25">
        <f t="shared" ref="J1813:J1824" si="25">ROUND(G1813*AN1813,2)</f>
        <v>0</v>
      </c>
      <c r="K1813" s="25">
        <f t="shared" ref="K1813:K1824" si="26">ROUND(G1813*H1813,2)</f>
        <v>0</v>
      </c>
      <c r="L1813" s="25">
        <v>1.09E-3</v>
      </c>
      <c r="M1813" s="25">
        <f t="shared" ref="M1813:M1824" si="27">G1813*L1813</f>
        <v>3.0520000000000002E-2</v>
      </c>
      <c r="N1813" s="26"/>
      <c r="X1813" s="25">
        <f t="shared" ref="X1813:X1824" si="28">ROUND(IF(AO1813="5",BH1813,0),2)</f>
        <v>0</v>
      </c>
      <c r="Z1813" s="25">
        <f t="shared" ref="Z1813:Z1824" si="29">ROUND(IF(AO1813="1",BF1813,0),2)</f>
        <v>0</v>
      </c>
      <c r="AA1813" s="25">
        <f t="shared" ref="AA1813:AA1824" si="30">ROUND(IF(AO1813="1",BG1813,0),2)</f>
        <v>0</v>
      </c>
      <c r="AB1813" s="25">
        <f t="shared" ref="AB1813:AB1824" si="31">ROUND(IF(AO1813="7",BF1813,0),2)</f>
        <v>0</v>
      </c>
      <c r="AC1813" s="25">
        <f t="shared" ref="AC1813:AC1824" si="32">ROUND(IF(AO1813="7",BG1813,0),2)</f>
        <v>0</v>
      </c>
      <c r="AD1813" s="25">
        <f t="shared" ref="AD1813:AD1824" si="33">ROUND(IF(AO1813="2",BF1813,0),2)</f>
        <v>0</v>
      </c>
      <c r="AE1813" s="25">
        <f t="shared" ref="AE1813:AE1824" si="34">ROUND(IF(AO1813="2",BG1813,0),2)</f>
        <v>0</v>
      </c>
      <c r="AF1813" s="25">
        <f t="shared" ref="AF1813:AF1824" si="35">ROUND(IF(AO1813="0",BH1813,0),2)</f>
        <v>0</v>
      </c>
      <c r="AG1813" s="10" t="s">
        <v>1699</v>
      </c>
      <c r="AH1813" s="25">
        <f t="shared" ref="AH1813:AH1824" si="36">IF(AL1813=0,K1813,0)</f>
        <v>0</v>
      </c>
      <c r="AI1813" s="25">
        <f t="shared" ref="AI1813:AI1824" si="37">IF(AL1813=12,K1813,0)</f>
        <v>0</v>
      </c>
      <c r="AJ1813" s="25">
        <f t="shared" ref="AJ1813:AJ1824" si="38">IF(AL1813=21,K1813,0)</f>
        <v>0</v>
      </c>
      <c r="AL1813" s="25">
        <v>21</v>
      </c>
      <c r="AM1813" s="25">
        <f t="shared" ref="AM1813:AM1823" si="39">H1813*1</f>
        <v>0</v>
      </c>
      <c r="AN1813" s="25">
        <f t="shared" ref="AN1813:AN1823" si="40">H1813*(1-1)</f>
        <v>0</v>
      </c>
      <c r="AO1813" s="27" t="s">
        <v>61</v>
      </c>
      <c r="AT1813" s="25">
        <f t="shared" ref="AT1813:AT1824" si="41">ROUND(AU1813+AV1813,2)</f>
        <v>0</v>
      </c>
      <c r="AU1813" s="25">
        <f t="shared" ref="AU1813:AU1824" si="42">ROUND(G1813*AM1813,2)</f>
        <v>0</v>
      </c>
      <c r="AV1813" s="25">
        <f t="shared" ref="AV1813:AV1824" si="43">ROUND(G1813*AN1813,2)</f>
        <v>0</v>
      </c>
      <c r="AW1813" s="27" t="s">
        <v>2024</v>
      </c>
      <c r="AX1813" s="27" t="s">
        <v>1954</v>
      </c>
      <c r="AY1813" s="10" t="s">
        <v>1707</v>
      </c>
      <c r="BA1813" s="25">
        <f t="shared" ref="BA1813:BA1824" si="44">AU1813+AV1813</f>
        <v>0</v>
      </c>
      <c r="BB1813" s="25">
        <f t="shared" ref="BB1813:BB1824" si="45">H1813/(100-BC1813)*100</f>
        <v>0</v>
      </c>
      <c r="BC1813" s="25">
        <v>0</v>
      </c>
      <c r="BD1813" s="25">
        <f t="shared" ref="BD1813:BD1824" si="46">M1813</f>
        <v>3.0520000000000002E-2</v>
      </c>
      <c r="BF1813" s="25">
        <f t="shared" ref="BF1813:BF1824" si="47">G1813*AM1813</f>
        <v>0</v>
      </c>
      <c r="BG1813" s="25">
        <f t="shared" ref="BG1813:BG1824" si="48">G1813*AN1813</f>
        <v>0</v>
      </c>
      <c r="BH1813" s="25">
        <f t="shared" ref="BH1813:BH1824" si="49">G1813*H1813</f>
        <v>0</v>
      </c>
      <c r="BI1813" s="27" t="s">
        <v>576</v>
      </c>
      <c r="BJ1813" s="25">
        <v>722</v>
      </c>
      <c r="BU1813" s="25" t="e">
        <f>#REF!</f>
        <v>#REF!</v>
      </c>
      <c r="BV1813" s="4" t="s">
        <v>2051</v>
      </c>
    </row>
    <row r="1814" spans="1:74" ht="14.4" x14ac:dyDescent="0.3">
      <c r="A1814" s="2" t="s">
        <v>2052</v>
      </c>
      <c r="B1814" s="3" t="s">
        <v>1699</v>
      </c>
      <c r="C1814" s="3" t="s">
        <v>2053</v>
      </c>
      <c r="D1814" s="112" t="s">
        <v>2054</v>
      </c>
      <c r="E1814" s="109"/>
      <c r="F1814" s="3" t="s">
        <v>115</v>
      </c>
      <c r="G1814" s="25">
        <v>27</v>
      </c>
      <c r="H1814" s="62"/>
      <c r="I1814" s="25">
        <f t="shared" si="24"/>
        <v>0</v>
      </c>
      <c r="J1814" s="25">
        <f t="shared" si="25"/>
        <v>0</v>
      </c>
      <c r="K1814" s="25">
        <f t="shared" si="26"/>
        <v>0</v>
      </c>
      <c r="L1814" s="25">
        <v>6.9999999999999999E-4</v>
      </c>
      <c r="M1814" s="25">
        <f t="shared" si="27"/>
        <v>1.89E-2</v>
      </c>
      <c r="N1814" s="26"/>
      <c r="X1814" s="25">
        <f t="shared" si="28"/>
        <v>0</v>
      </c>
      <c r="Z1814" s="25">
        <f t="shared" si="29"/>
        <v>0</v>
      </c>
      <c r="AA1814" s="25">
        <f t="shared" si="30"/>
        <v>0</v>
      </c>
      <c r="AB1814" s="25">
        <f t="shared" si="31"/>
        <v>0</v>
      </c>
      <c r="AC1814" s="25">
        <f t="shared" si="32"/>
        <v>0</v>
      </c>
      <c r="AD1814" s="25">
        <f t="shared" si="33"/>
        <v>0</v>
      </c>
      <c r="AE1814" s="25">
        <f t="shared" si="34"/>
        <v>0</v>
      </c>
      <c r="AF1814" s="25">
        <f t="shared" si="35"/>
        <v>0</v>
      </c>
      <c r="AG1814" s="10" t="s">
        <v>1699</v>
      </c>
      <c r="AH1814" s="25">
        <f t="shared" si="36"/>
        <v>0</v>
      </c>
      <c r="AI1814" s="25">
        <f t="shared" si="37"/>
        <v>0</v>
      </c>
      <c r="AJ1814" s="25">
        <f t="shared" si="38"/>
        <v>0</v>
      </c>
      <c r="AL1814" s="25">
        <v>21</v>
      </c>
      <c r="AM1814" s="25">
        <f t="shared" si="39"/>
        <v>0</v>
      </c>
      <c r="AN1814" s="25">
        <f t="shared" si="40"/>
        <v>0</v>
      </c>
      <c r="AO1814" s="27" t="s">
        <v>61</v>
      </c>
      <c r="AT1814" s="25">
        <f t="shared" si="41"/>
        <v>0</v>
      </c>
      <c r="AU1814" s="25">
        <f t="shared" si="42"/>
        <v>0</v>
      </c>
      <c r="AV1814" s="25">
        <f t="shared" si="43"/>
        <v>0</v>
      </c>
      <c r="AW1814" s="27" t="s">
        <v>2024</v>
      </c>
      <c r="AX1814" s="27" t="s">
        <v>1954</v>
      </c>
      <c r="AY1814" s="10" t="s">
        <v>1707</v>
      </c>
      <c r="BA1814" s="25">
        <f t="shared" si="44"/>
        <v>0</v>
      </c>
      <c r="BB1814" s="25">
        <f t="shared" si="45"/>
        <v>0</v>
      </c>
      <c r="BC1814" s="25">
        <v>0</v>
      </c>
      <c r="BD1814" s="25">
        <f t="shared" si="46"/>
        <v>1.89E-2</v>
      </c>
      <c r="BF1814" s="25">
        <f t="shared" si="47"/>
        <v>0</v>
      </c>
      <c r="BG1814" s="25">
        <f t="shared" si="48"/>
        <v>0</v>
      </c>
      <c r="BH1814" s="25">
        <f t="shared" si="49"/>
        <v>0</v>
      </c>
      <c r="BI1814" s="27" t="s">
        <v>576</v>
      </c>
      <c r="BJ1814" s="25">
        <v>722</v>
      </c>
      <c r="BU1814" s="25" t="e">
        <f>#REF!</f>
        <v>#REF!</v>
      </c>
      <c r="BV1814" s="4" t="s">
        <v>2054</v>
      </c>
    </row>
    <row r="1815" spans="1:74" ht="14.4" x14ac:dyDescent="0.3">
      <c r="A1815" s="2" t="s">
        <v>2055</v>
      </c>
      <c r="B1815" s="3" t="s">
        <v>1699</v>
      </c>
      <c r="C1815" s="3" t="s">
        <v>2053</v>
      </c>
      <c r="D1815" s="112" t="s">
        <v>2056</v>
      </c>
      <c r="E1815" s="109"/>
      <c r="F1815" s="3" t="s">
        <v>115</v>
      </c>
      <c r="G1815" s="25">
        <v>35</v>
      </c>
      <c r="H1815" s="62"/>
      <c r="I1815" s="25">
        <f t="shared" si="24"/>
        <v>0</v>
      </c>
      <c r="J1815" s="25">
        <f t="shared" si="25"/>
        <v>0</v>
      </c>
      <c r="K1815" s="25">
        <f t="shared" si="26"/>
        <v>0</v>
      </c>
      <c r="L1815" s="25">
        <v>6.9999999999999999E-4</v>
      </c>
      <c r="M1815" s="25">
        <f t="shared" si="27"/>
        <v>2.4500000000000001E-2</v>
      </c>
      <c r="N1815" s="26"/>
      <c r="X1815" s="25">
        <f t="shared" si="28"/>
        <v>0</v>
      </c>
      <c r="Z1815" s="25">
        <f t="shared" si="29"/>
        <v>0</v>
      </c>
      <c r="AA1815" s="25">
        <f t="shared" si="30"/>
        <v>0</v>
      </c>
      <c r="AB1815" s="25">
        <f t="shared" si="31"/>
        <v>0</v>
      </c>
      <c r="AC1815" s="25">
        <f t="shared" si="32"/>
        <v>0</v>
      </c>
      <c r="AD1815" s="25">
        <f t="shared" si="33"/>
        <v>0</v>
      </c>
      <c r="AE1815" s="25">
        <f t="shared" si="34"/>
        <v>0</v>
      </c>
      <c r="AF1815" s="25">
        <f t="shared" si="35"/>
        <v>0</v>
      </c>
      <c r="AG1815" s="10" t="s">
        <v>1699</v>
      </c>
      <c r="AH1815" s="25">
        <f t="shared" si="36"/>
        <v>0</v>
      </c>
      <c r="AI1815" s="25">
        <f t="shared" si="37"/>
        <v>0</v>
      </c>
      <c r="AJ1815" s="25">
        <f t="shared" si="38"/>
        <v>0</v>
      </c>
      <c r="AL1815" s="25">
        <v>21</v>
      </c>
      <c r="AM1815" s="25">
        <f t="shared" si="39"/>
        <v>0</v>
      </c>
      <c r="AN1815" s="25">
        <f t="shared" si="40"/>
        <v>0</v>
      </c>
      <c r="AO1815" s="27" t="s">
        <v>61</v>
      </c>
      <c r="AT1815" s="25">
        <f t="shared" si="41"/>
        <v>0</v>
      </c>
      <c r="AU1815" s="25">
        <f t="shared" si="42"/>
        <v>0</v>
      </c>
      <c r="AV1815" s="25">
        <f t="shared" si="43"/>
        <v>0</v>
      </c>
      <c r="AW1815" s="27" t="s">
        <v>2024</v>
      </c>
      <c r="AX1815" s="27" t="s">
        <v>1954</v>
      </c>
      <c r="AY1815" s="10" t="s">
        <v>1707</v>
      </c>
      <c r="BA1815" s="25">
        <f t="shared" si="44"/>
        <v>0</v>
      </c>
      <c r="BB1815" s="25">
        <f t="shared" si="45"/>
        <v>0</v>
      </c>
      <c r="BC1815" s="25">
        <v>0</v>
      </c>
      <c r="BD1815" s="25">
        <f t="shared" si="46"/>
        <v>2.4500000000000001E-2</v>
      </c>
      <c r="BF1815" s="25">
        <f t="shared" si="47"/>
        <v>0</v>
      </c>
      <c r="BG1815" s="25">
        <f t="shared" si="48"/>
        <v>0</v>
      </c>
      <c r="BH1815" s="25">
        <f t="shared" si="49"/>
        <v>0</v>
      </c>
      <c r="BI1815" s="27" t="s">
        <v>576</v>
      </c>
      <c r="BJ1815" s="25">
        <v>722</v>
      </c>
      <c r="BU1815" s="25" t="e">
        <f>#REF!</f>
        <v>#REF!</v>
      </c>
      <c r="BV1815" s="4" t="s">
        <v>2056</v>
      </c>
    </row>
    <row r="1816" spans="1:74" ht="14.4" x14ac:dyDescent="0.3">
      <c r="A1816" s="2" t="s">
        <v>2057</v>
      </c>
      <c r="B1816" s="3" t="s">
        <v>1699</v>
      </c>
      <c r="C1816" s="3" t="s">
        <v>2058</v>
      </c>
      <c r="D1816" s="112" t="s">
        <v>2059</v>
      </c>
      <c r="E1816" s="109"/>
      <c r="F1816" s="3" t="s">
        <v>115</v>
      </c>
      <c r="G1816" s="25">
        <v>23</v>
      </c>
      <c r="H1816" s="62"/>
      <c r="I1816" s="25">
        <f t="shared" si="24"/>
        <v>0</v>
      </c>
      <c r="J1816" s="25">
        <f t="shared" si="25"/>
        <v>0</v>
      </c>
      <c r="K1816" s="25">
        <f t="shared" si="26"/>
        <v>0</v>
      </c>
      <c r="L1816" s="25">
        <v>5.2999999999999998E-4</v>
      </c>
      <c r="M1816" s="25">
        <f t="shared" si="27"/>
        <v>1.2189999999999999E-2</v>
      </c>
      <c r="N1816" s="26"/>
      <c r="X1816" s="25">
        <f t="shared" si="28"/>
        <v>0</v>
      </c>
      <c r="Z1816" s="25">
        <f t="shared" si="29"/>
        <v>0</v>
      </c>
      <c r="AA1816" s="25">
        <f t="shared" si="30"/>
        <v>0</v>
      </c>
      <c r="AB1816" s="25">
        <f t="shared" si="31"/>
        <v>0</v>
      </c>
      <c r="AC1816" s="25">
        <f t="shared" si="32"/>
        <v>0</v>
      </c>
      <c r="AD1816" s="25">
        <f t="shared" si="33"/>
        <v>0</v>
      </c>
      <c r="AE1816" s="25">
        <f t="shared" si="34"/>
        <v>0</v>
      </c>
      <c r="AF1816" s="25">
        <f t="shared" si="35"/>
        <v>0</v>
      </c>
      <c r="AG1816" s="10" t="s">
        <v>1699</v>
      </c>
      <c r="AH1816" s="25">
        <f t="shared" si="36"/>
        <v>0</v>
      </c>
      <c r="AI1816" s="25">
        <f t="shared" si="37"/>
        <v>0</v>
      </c>
      <c r="AJ1816" s="25">
        <f t="shared" si="38"/>
        <v>0</v>
      </c>
      <c r="AL1816" s="25">
        <v>21</v>
      </c>
      <c r="AM1816" s="25">
        <f t="shared" si="39"/>
        <v>0</v>
      </c>
      <c r="AN1816" s="25">
        <f t="shared" si="40"/>
        <v>0</v>
      </c>
      <c r="AO1816" s="27" t="s">
        <v>61</v>
      </c>
      <c r="AT1816" s="25">
        <f t="shared" si="41"/>
        <v>0</v>
      </c>
      <c r="AU1816" s="25">
        <f t="shared" si="42"/>
        <v>0</v>
      </c>
      <c r="AV1816" s="25">
        <f t="shared" si="43"/>
        <v>0</v>
      </c>
      <c r="AW1816" s="27" t="s">
        <v>2024</v>
      </c>
      <c r="AX1816" s="27" t="s">
        <v>1954</v>
      </c>
      <c r="AY1816" s="10" t="s">
        <v>1707</v>
      </c>
      <c r="BA1816" s="25">
        <f t="shared" si="44"/>
        <v>0</v>
      </c>
      <c r="BB1816" s="25">
        <f t="shared" si="45"/>
        <v>0</v>
      </c>
      <c r="BC1816" s="25">
        <v>0</v>
      </c>
      <c r="BD1816" s="25">
        <f t="shared" si="46"/>
        <v>1.2189999999999999E-2</v>
      </c>
      <c r="BF1816" s="25">
        <f t="shared" si="47"/>
        <v>0</v>
      </c>
      <c r="BG1816" s="25">
        <f t="shared" si="48"/>
        <v>0</v>
      </c>
      <c r="BH1816" s="25">
        <f t="shared" si="49"/>
        <v>0</v>
      </c>
      <c r="BI1816" s="27" t="s">
        <v>576</v>
      </c>
      <c r="BJ1816" s="25">
        <v>722</v>
      </c>
      <c r="BU1816" s="25" t="e">
        <f>#REF!</f>
        <v>#REF!</v>
      </c>
      <c r="BV1816" s="4" t="s">
        <v>2059</v>
      </c>
    </row>
    <row r="1817" spans="1:74" ht="14.4" x14ac:dyDescent="0.3">
      <c r="A1817" s="2" t="s">
        <v>2060</v>
      </c>
      <c r="B1817" s="3" t="s">
        <v>1699</v>
      </c>
      <c r="C1817" s="3" t="s">
        <v>2058</v>
      </c>
      <c r="D1817" s="112" t="s">
        <v>2061</v>
      </c>
      <c r="E1817" s="109"/>
      <c r="F1817" s="3" t="s">
        <v>115</v>
      </c>
      <c r="G1817" s="25">
        <v>18</v>
      </c>
      <c r="H1817" s="62"/>
      <c r="I1817" s="25">
        <f t="shared" si="24"/>
        <v>0</v>
      </c>
      <c r="J1817" s="25">
        <f t="shared" si="25"/>
        <v>0</v>
      </c>
      <c r="K1817" s="25">
        <f t="shared" si="26"/>
        <v>0</v>
      </c>
      <c r="L1817" s="25">
        <v>5.2999999999999998E-4</v>
      </c>
      <c r="M1817" s="25">
        <f t="shared" si="27"/>
        <v>9.5399999999999999E-3</v>
      </c>
      <c r="N1817" s="26"/>
      <c r="X1817" s="25">
        <f t="shared" si="28"/>
        <v>0</v>
      </c>
      <c r="Z1817" s="25">
        <f t="shared" si="29"/>
        <v>0</v>
      </c>
      <c r="AA1817" s="25">
        <f t="shared" si="30"/>
        <v>0</v>
      </c>
      <c r="AB1817" s="25">
        <f t="shared" si="31"/>
        <v>0</v>
      </c>
      <c r="AC1817" s="25">
        <f t="shared" si="32"/>
        <v>0</v>
      </c>
      <c r="AD1817" s="25">
        <f t="shared" si="33"/>
        <v>0</v>
      </c>
      <c r="AE1817" s="25">
        <f t="shared" si="34"/>
        <v>0</v>
      </c>
      <c r="AF1817" s="25">
        <f t="shared" si="35"/>
        <v>0</v>
      </c>
      <c r="AG1817" s="10" t="s">
        <v>1699</v>
      </c>
      <c r="AH1817" s="25">
        <f t="shared" si="36"/>
        <v>0</v>
      </c>
      <c r="AI1817" s="25">
        <f t="shared" si="37"/>
        <v>0</v>
      </c>
      <c r="AJ1817" s="25">
        <f t="shared" si="38"/>
        <v>0</v>
      </c>
      <c r="AL1817" s="25">
        <v>21</v>
      </c>
      <c r="AM1817" s="25">
        <f t="shared" si="39"/>
        <v>0</v>
      </c>
      <c r="AN1817" s="25">
        <f t="shared" si="40"/>
        <v>0</v>
      </c>
      <c r="AO1817" s="27" t="s">
        <v>61</v>
      </c>
      <c r="AT1817" s="25">
        <f t="shared" si="41"/>
        <v>0</v>
      </c>
      <c r="AU1817" s="25">
        <f t="shared" si="42"/>
        <v>0</v>
      </c>
      <c r="AV1817" s="25">
        <f t="shared" si="43"/>
        <v>0</v>
      </c>
      <c r="AW1817" s="27" t="s">
        <v>2024</v>
      </c>
      <c r="AX1817" s="27" t="s">
        <v>1954</v>
      </c>
      <c r="AY1817" s="10" t="s">
        <v>1707</v>
      </c>
      <c r="BA1817" s="25">
        <f t="shared" si="44"/>
        <v>0</v>
      </c>
      <c r="BB1817" s="25">
        <f t="shared" si="45"/>
        <v>0</v>
      </c>
      <c r="BC1817" s="25">
        <v>0</v>
      </c>
      <c r="BD1817" s="25">
        <f t="shared" si="46"/>
        <v>9.5399999999999999E-3</v>
      </c>
      <c r="BF1817" s="25">
        <f t="shared" si="47"/>
        <v>0</v>
      </c>
      <c r="BG1817" s="25">
        <f t="shared" si="48"/>
        <v>0</v>
      </c>
      <c r="BH1817" s="25">
        <f t="shared" si="49"/>
        <v>0</v>
      </c>
      <c r="BI1817" s="27" t="s">
        <v>576</v>
      </c>
      <c r="BJ1817" s="25">
        <v>722</v>
      </c>
      <c r="BU1817" s="25" t="e">
        <f>#REF!</f>
        <v>#REF!</v>
      </c>
      <c r="BV1817" s="4" t="s">
        <v>2061</v>
      </c>
    </row>
    <row r="1818" spans="1:74" ht="14.4" x14ac:dyDescent="0.3">
      <c r="A1818" s="2" t="s">
        <v>2062</v>
      </c>
      <c r="B1818" s="3" t="s">
        <v>1699</v>
      </c>
      <c r="C1818" s="3" t="s">
        <v>2063</v>
      </c>
      <c r="D1818" s="112" t="s">
        <v>2064</v>
      </c>
      <c r="E1818" s="109"/>
      <c r="F1818" s="3" t="s">
        <v>115</v>
      </c>
      <c r="G1818" s="25">
        <v>33</v>
      </c>
      <c r="H1818" s="62"/>
      <c r="I1818" s="25">
        <f t="shared" si="24"/>
        <v>0</v>
      </c>
      <c r="J1818" s="25">
        <f t="shared" si="25"/>
        <v>0</v>
      </c>
      <c r="K1818" s="25">
        <f t="shared" si="26"/>
        <v>0</v>
      </c>
      <c r="L1818" s="25">
        <v>3.5E-4</v>
      </c>
      <c r="M1818" s="25">
        <f t="shared" si="27"/>
        <v>1.155E-2</v>
      </c>
      <c r="N1818" s="26"/>
      <c r="X1818" s="25">
        <f t="shared" si="28"/>
        <v>0</v>
      </c>
      <c r="Z1818" s="25">
        <f t="shared" si="29"/>
        <v>0</v>
      </c>
      <c r="AA1818" s="25">
        <f t="shared" si="30"/>
        <v>0</v>
      </c>
      <c r="AB1818" s="25">
        <f t="shared" si="31"/>
        <v>0</v>
      </c>
      <c r="AC1818" s="25">
        <f t="shared" si="32"/>
        <v>0</v>
      </c>
      <c r="AD1818" s="25">
        <f t="shared" si="33"/>
        <v>0</v>
      </c>
      <c r="AE1818" s="25">
        <f t="shared" si="34"/>
        <v>0</v>
      </c>
      <c r="AF1818" s="25">
        <f t="shared" si="35"/>
        <v>0</v>
      </c>
      <c r="AG1818" s="10" t="s">
        <v>1699</v>
      </c>
      <c r="AH1818" s="25">
        <f t="shared" si="36"/>
        <v>0</v>
      </c>
      <c r="AI1818" s="25">
        <f t="shared" si="37"/>
        <v>0</v>
      </c>
      <c r="AJ1818" s="25">
        <f t="shared" si="38"/>
        <v>0</v>
      </c>
      <c r="AL1818" s="25">
        <v>21</v>
      </c>
      <c r="AM1818" s="25">
        <f t="shared" si="39"/>
        <v>0</v>
      </c>
      <c r="AN1818" s="25">
        <f t="shared" si="40"/>
        <v>0</v>
      </c>
      <c r="AO1818" s="27" t="s">
        <v>61</v>
      </c>
      <c r="AT1818" s="25">
        <f t="shared" si="41"/>
        <v>0</v>
      </c>
      <c r="AU1818" s="25">
        <f t="shared" si="42"/>
        <v>0</v>
      </c>
      <c r="AV1818" s="25">
        <f t="shared" si="43"/>
        <v>0</v>
      </c>
      <c r="AW1818" s="27" t="s">
        <v>2024</v>
      </c>
      <c r="AX1818" s="27" t="s">
        <v>1954</v>
      </c>
      <c r="AY1818" s="10" t="s">
        <v>1707</v>
      </c>
      <c r="BA1818" s="25">
        <f t="shared" si="44"/>
        <v>0</v>
      </c>
      <c r="BB1818" s="25">
        <f t="shared" si="45"/>
        <v>0</v>
      </c>
      <c r="BC1818" s="25">
        <v>0</v>
      </c>
      <c r="BD1818" s="25">
        <f t="shared" si="46"/>
        <v>1.155E-2</v>
      </c>
      <c r="BF1818" s="25">
        <f t="shared" si="47"/>
        <v>0</v>
      </c>
      <c r="BG1818" s="25">
        <f t="shared" si="48"/>
        <v>0</v>
      </c>
      <c r="BH1818" s="25">
        <f t="shared" si="49"/>
        <v>0</v>
      </c>
      <c r="BI1818" s="27" t="s">
        <v>576</v>
      </c>
      <c r="BJ1818" s="25">
        <v>722</v>
      </c>
      <c r="BU1818" s="25" t="e">
        <f>#REF!</f>
        <v>#REF!</v>
      </c>
      <c r="BV1818" s="4" t="s">
        <v>2064</v>
      </c>
    </row>
    <row r="1819" spans="1:74" ht="14.4" x14ac:dyDescent="0.3">
      <c r="A1819" s="2" t="s">
        <v>2065</v>
      </c>
      <c r="B1819" s="3" t="s">
        <v>1699</v>
      </c>
      <c r="C1819" s="3" t="s">
        <v>2063</v>
      </c>
      <c r="D1819" s="112" t="s">
        <v>2066</v>
      </c>
      <c r="E1819" s="109"/>
      <c r="F1819" s="3" t="s">
        <v>115</v>
      </c>
      <c r="G1819" s="25">
        <v>17</v>
      </c>
      <c r="H1819" s="62"/>
      <c r="I1819" s="25">
        <f t="shared" si="24"/>
        <v>0</v>
      </c>
      <c r="J1819" s="25">
        <f t="shared" si="25"/>
        <v>0</v>
      </c>
      <c r="K1819" s="25">
        <f t="shared" si="26"/>
        <v>0</v>
      </c>
      <c r="L1819" s="25">
        <v>3.5E-4</v>
      </c>
      <c r="M1819" s="25">
        <f t="shared" si="27"/>
        <v>5.9499999999999996E-3</v>
      </c>
      <c r="N1819" s="26"/>
      <c r="X1819" s="25">
        <f t="shared" si="28"/>
        <v>0</v>
      </c>
      <c r="Z1819" s="25">
        <f t="shared" si="29"/>
        <v>0</v>
      </c>
      <c r="AA1819" s="25">
        <f t="shared" si="30"/>
        <v>0</v>
      </c>
      <c r="AB1819" s="25">
        <f t="shared" si="31"/>
        <v>0</v>
      </c>
      <c r="AC1819" s="25">
        <f t="shared" si="32"/>
        <v>0</v>
      </c>
      <c r="AD1819" s="25">
        <f t="shared" si="33"/>
        <v>0</v>
      </c>
      <c r="AE1819" s="25">
        <f t="shared" si="34"/>
        <v>0</v>
      </c>
      <c r="AF1819" s="25">
        <f t="shared" si="35"/>
        <v>0</v>
      </c>
      <c r="AG1819" s="10" t="s">
        <v>1699</v>
      </c>
      <c r="AH1819" s="25">
        <f t="shared" si="36"/>
        <v>0</v>
      </c>
      <c r="AI1819" s="25">
        <f t="shared" si="37"/>
        <v>0</v>
      </c>
      <c r="AJ1819" s="25">
        <f t="shared" si="38"/>
        <v>0</v>
      </c>
      <c r="AL1819" s="25">
        <v>21</v>
      </c>
      <c r="AM1819" s="25">
        <f t="shared" si="39"/>
        <v>0</v>
      </c>
      <c r="AN1819" s="25">
        <f t="shared" si="40"/>
        <v>0</v>
      </c>
      <c r="AO1819" s="27" t="s">
        <v>61</v>
      </c>
      <c r="AT1819" s="25">
        <f t="shared" si="41"/>
        <v>0</v>
      </c>
      <c r="AU1819" s="25">
        <f t="shared" si="42"/>
        <v>0</v>
      </c>
      <c r="AV1819" s="25">
        <f t="shared" si="43"/>
        <v>0</v>
      </c>
      <c r="AW1819" s="27" t="s">
        <v>2024</v>
      </c>
      <c r="AX1819" s="27" t="s">
        <v>1954</v>
      </c>
      <c r="AY1819" s="10" t="s">
        <v>1707</v>
      </c>
      <c r="BA1819" s="25">
        <f t="shared" si="44"/>
        <v>0</v>
      </c>
      <c r="BB1819" s="25">
        <f t="shared" si="45"/>
        <v>0</v>
      </c>
      <c r="BC1819" s="25">
        <v>0</v>
      </c>
      <c r="BD1819" s="25">
        <f t="shared" si="46"/>
        <v>5.9499999999999996E-3</v>
      </c>
      <c r="BF1819" s="25">
        <f t="shared" si="47"/>
        <v>0</v>
      </c>
      <c r="BG1819" s="25">
        <f t="shared" si="48"/>
        <v>0</v>
      </c>
      <c r="BH1819" s="25">
        <f t="shared" si="49"/>
        <v>0</v>
      </c>
      <c r="BI1819" s="27" t="s">
        <v>576</v>
      </c>
      <c r="BJ1819" s="25">
        <v>722</v>
      </c>
      <c r="BU1819" s="25" t="e">
        <f>#REF!</f>
        <v>#REF!</v>
      </c>
      <c r="BV1819" s="4" t="s">
        <v>2066</v>
      </c>
    </row>
    <row r="1820" spans="1:74" ht="14.4" x14ac:dyDescent="0.3">
      <c r="A1820" s="2" t="s">
        <v>2067</v>
      </c>
      <c r="B1820" s="3" t="s">
        <v>1699</v>
      </c>
      <c r="C1820" s="3" t="s">
        <v>2068</v>
      </c>
      <c r="D1820" s="112" t="s">
        <v>2069</v>
      </c>
      <c r="E1820" s="109"/>
      <c r="F1820" s="3" t="s">
        <v>115</v>
      </c>
      <c r="G1820" s="25">
        <v>92</v>
      </c>
      <c r="H1820" s="62"/>
      <c r="I1820" s="25">
        <f t="shared" si="24"/>
        <v>0</v>
      </c>
      <c r="J1820" s="25">
        <f t="shared" si="25"/>
        <v>0</v>
      </c>
      <c r="K1820" s="25">
        <f t="shared" si="26"/>
        <v>0</v>
      </c>
      <c r="L1820" s="25">
        <v>2.4000000000000001E-4</v>
      </c>
      <c r="M1820" s="25">
        <f t="shared" si="27"/>
        <v>2.2079999999999999E-2</v>
      </c>
      <c r="N1820" s="26"/>
      <c r="X1820" s="25">
        <f t="shared" si="28"/>
        <v>0</v>
      </c>
      <c r="Z1820" s="25">
        <f t="shared" si="29"/>
        <v>0</v>
      </c>
      <c r="AA1820" s="25">
        <f t="shared" si="30"/>
        <v>0</v>
      </c>
      <c r="AB1820" s="25">
        <f t="shared" si="31"/>
        <v>0</v>
      </c>
      <c r="AC1820" s="25">
        <f t="shared" si="32"/>
        <v>0</v>
      </c>
      <c r="AD1820" s="25">
        <f t="shared" si="33"/>
        <v>0</v>
      </c>
      <c r="AE1820" s="25">
        <f t="shared" si="34"/>
        <v>0</v>
      </c>
      <c r="AF1820" s="25">
        <f t="shared" si="35"/>
        <v>0</v>
      </c>
      <c r="AG1820" s="10" t="s">
        <v>1699</v>
      </c>
      <c r="AH1820" s="25">
        <f t="shared" si="36"/>
        <v>0</v>
      </c>
      <c r="AI1820" s="25">
        <f t="shared" si="37"/>
        <v>0</v>
      </c>
      <c r="AJ1820" s="25">
        <f t="shared" si="38"/>
        <v>0</v>
      </c>
      <c r="AL1820" s="25">
        <v>21</v>
      </c>
      <c r="AM1820" s="25">
        <f t="shared" si="39"/>
        <v>0</v>
      </c>
      <c r="AN1820" s="25">
        <f t="shared" si="40"/>
        <v>0</v>
      </c>
      <c r="AO1820" s="27" t="s">
        <v>61</v>
      </c>
      <c r="AT1820" s="25">
        <f t="shared" si="41"/>
        <v>0</v>
      </c>
      <c r="AU1820" s="25">
        <f t="shared" si="42"/>
        <v>0</v>
      </c>
      <c r="AV1820" s="25">
        <f t="shared" si="43"/>
        <v>0</v>
      </c>
      <c r="AW1820" s="27" t="s">
        <v>2024</v>
      </c>
      <c r="AX1820" s="27" t="s">
        <v>1954</v>
      </c>
      <c r="AY1820" s="10" t="s">
        <v>1707</v>
      </c>
      <c r="BA1820" s="25">
        <f t="shared" si="44"/>
        <v>0</v>
      </c>
      <c r="BB1820" s="25">
        <f t="shared" si="45"/>
        <v>0</v>
      </c>
      <c r="BC1820" s="25">
        <v>0</v>
      </c>
      <c r="BD1820" s="25">
        <f t="shared" si="46"/>
        <v>2.2079999999999999E-2</v>
      </c>
      <c r="BF1820" s="25">
        <f t="shared" si="47"/>
        <v>0</v>
      </c>
      <c r="BG1820" s="25">
        <f t="shared" si="48"/>
        <v>0</v>
      </c>
      <c r="BH1820" s="25">
        <f t="shared" si="49"/>
        <v>0</v>
      </c>
      <c r="BI1820" s="27" t="s">
        <v>576</v>
      </c>
      <c r="BJ1820" s="25">
        <v>722</v>
      </c>
      <c r="BU1820" s="25" t="e">
        <f>#REF!</f>
        <v>#REF!</v>
      </c>
      <c r="BV1820" s="4" t="s">
        <v>2069</v>
      </c>
    </row>
    <row r="1821" spans="1:74" ht="14.4" x14ac:dyDescent="0.3">
      <c r="A1821" s="2" t="s">
        <v>2070</v>
      </c>
      <c r="B1821" s="3" t="s">
        <v>1699</v>
      </c>
      <c r="C1821" s="3" t="s">
        <v>2068</v>
      </c>
      <c r="D1821" s="112" t="s">
        <v>2071</v>
      </c>
      <c r="E1821" s="109"/>
      <c r="F1821" s="3" t="s">
        <v>115</v>
      </c>
      <c r="G1821" s="25">
        <v>122</v>
      </c>
      <c r="H1821" s="62"/>
      <c r="I1821" s="25">
        <f t="shared" si="24"/>
        <v>0</v>
      </c>
      <c r="J1821" s="25">
        <f t="shared" si="25"/>
        <v>0</v>
      </c>
      <c r="K1821" s="25">
        <f t="shared" si="26"/>
        <v>0</v>
      </c>
      <c r="L1821" s="25">
        <v>2.4000000000000001E-4</v>
      </c>
      <c r="M1821" s="25">
        <f t="shared" si="27"/>
        <v>2.928E-2</v>
      </c>
      <c r="N1821" s="26"/>
      <c r="X1821" s="25">
        <f t="shared" si="28"/>
        <v>0</v>
      </c>
      <c r="Z1821" s="25">
        <f t="shared" si="29"/>
        <v>0</v>
      </c>
      <c r="AA1821" s="25">
        <f t="shared" si="30"/>
        <v>0</v>
      </c>
      <c r="AB1821" s="25">
        <f t="shared" si="31"/>
        <v>0</v>
      </c>
      <c r="AC1821" s="25">
        <f t="shared" si="32"/>
        <v>0</v>
      </c>
      <c r="AD1821" s="25">
        <f t="shared" si="33"/>
        <v>0</v>
      </c>
      <c r="AE1821" s="25">
        <f t="shared" si="34"/>
        <v>0</v>
      </c>
      <c r="AF1821" s="25">
        <f t="shared" si="35"/>
        <v>0</v>
      </c>
      <c r="AG1821" s="10" t="s">
        <v>1699</v>
      </c>
      <c r="AH1821" s="25">
        <f t="shared" si="36"/>
        <v>0</v>
      </c>
      <c r="AI1821" s="25">
        <f t="shared" si="37"/>
        <v>0</v>
      </c>
      <c r="AJ1821" s="25">
        <f t="shared" si="38"/>
        <v>0</v>
      </c>
      <c r="AL1821" s="25">
        <v>21</v>
      </c>
      <c r="AM1821" s="25">
        <f t="shared" si="39"/>
        <v>0</v>
      </c>
      <c r="AN1821" s="25">
        <f t="shared" si="40"/>
        <v>0</v>
      </c>
      <c r="AO1821" s="27" t="s">
        <v>61</v>
      </c>
      <c r="AT1821" s="25">
        <f t="shared" si="41"/>
        <v>0</v>
      </c>
      <c r="AU1821" s="25">
        <f t="shared" si="42"/>
        <v>0</v>
      </c>
      <c r="AV1821" s="25">
        <f t="shared" si="43"/>
        <v>0</v>
      </c>
      <c r="AW1821" s="27" t="s">
        <v>2024</v>
      </c>
      <c r="AX1821" s="27" t="s">
        <v>1954</v>
      </c>
      <c r="AY1821" s="10" t="s">
        <v>1707</v>
      </c>
      <c r="BA1821" s="25">
        <f t="shared" si="44"/>
        <v>0</v>
      </c>
      <c r="BB1821" s="25">
        <f t="shared" si="45"/>
        <v>0</v>
      </c>
      <c r="BC1821" s="25">
        <v>0</v>
      </c>
      <c r="BD1821" s="25">
        <f t="shared" si="46"/>
        <v>2.928E-2</v>
      </c>
      <c r="BF1821" s="25">
        <f t="shared" si="47"/>
        <v>0</v>
      </c>
      <c r="BG1821" s="25">
        <f t="shared" si="48"/>
        <v>0</v>
      </c>
      <c r="BH1821" s="25">
        <f t="shared" si="49"/>
        <v>0</v>
      </c>
      <c r="BI1821" s="27" t="s">
        <v>576</v>
      </c>
      <c r="BJ1821" s="25">
        <v>722</v>
      </c>
      <c r="BU1821" s="25" t="e">
        <f>#REF!</f>
        <v>#REF!</v>
      </c>
      <c r="BV1821" s="4" t="s">
        <v>2071</v>
      </c>
    </row>
    <row r="1822" spans="1:74" ht="14.4" x14ac:dyDescent="0.3">
      <c r="A1822" s="2" t="s">
        <v>2072</v>
      </c>
      <c r="B1822" s="3" t="s">
        <v>1699</v>
      </c>
      <c r="C1822" s="3" t="s">
        <v>2073</v>
      </c>
      <c r="D1822" s="112" t="s">
        <v>2074</v>
      </c>
      <c r="E1822" s="109"/>
      <c r="F1822" s="3" t="s">
        <v>115</v>
      </c>
      <c r="G1822" s="25">
        <v>74</v>
      </c>
      <c r="H1822" s="62"/>
      <c r="I1822" s="25">
        <f t="shared" si="24"/>
        <v>0</v>
      </c>
      <c r="J1822" s="25">
        <f t="shared" si="25"/>
        <v>0</v>
      </c>
      <c r="K1822" s="25">
        <f t="shared" si="26"/>
        <v>0</v>
      </c>
      <c r="L1822" s="25">
        <v>1.4999999999999999E-4</v>
      </c>
      <c r="M1822" s="25">
        <f t="shared" si="27"/>
        <v>1.1099999999999999E-2</v>
      </c>
      <c r="N1822" s="26"/>
      <c r="X1822" s="25">
        <f t="shared" si="28"/>
        <v>0</v>
      </c>
      <c r="Z1822" s="25">
        <f t="shared" si="29"/>
        <v>0</v>
      </c>
      <c r="AA1822" s="25">
        <f t="shared" si="30"/>
        <v>0</v>
      </c>
      <c r="AB1822" s="25">
        <f t="shared" si="31"/>
        <v>0</v>
      </c>
      <c r="AC1822" s="25">
        <f t="shared" si="32"/>
        <v>0</v>
      </c>
      <c r="AD1822" s="25">
        <f t="shared" si="33"/>
        <v>0</v>
      </c>
      <c r="AE1822" s="25">
        <f t="shared" si="34"/>
        <v>0</v>
      </c>
      <c r="AF1822" s="25">
        <f t="shared" si="35"/>
        <v>0</v>
      </c>
      <c r="AG1822" s="10" t="s">
        <v>1699</v>
      </c>
      <c r="AH1822" s="25">
        <f t="shared" si="36"/>
        <v>0</v>
      </c>
      <c r="AI1822" s="25">
        <f t="shared" si="37"/>
        <v>0</v>
      </c>
      <c r="AJ1822" s="25">
        <f t="shared" si="38"/>
        <v>0</v>
      </c>
      <c r="AL1822" s="25">
        <v>21</v>
      </c>
      <c r="AM1822" s="25">
        <f t="shared" si="39"/>
        <v>0</v>
      </c>
      <c r="AN1822" s="25">
        <f t="shared" si="40"/>
        <v>0</v>
      </c>
      <c r="AO1822" s="27" t="s">
        <v>61</v>
      </c>
      <c r="AT1822" s="25">
        <f t="shared" si="41"/>
        <v>0</v>
      </c>
      <c r="AU1822" s="25">
        <f t="shared" si="42"/>
        <v>0</v>
      </c>
      <c r="AV1822" s="25">
        <f t="shared" si="43"/>
        <v>0</v>
      </c>
      <c r="AW1822" s="27" t="s">
        <v>2024</v>
      </c>
      <c r="AX1822" s="27" t="s">
        <v>1954</v>
      </c>
      <c r="AY1822" s="10" t="s">
        <v>1707</v>
      </c>
      <c r="BA1822" s="25">
        <f t="shared" si="44"/>
        <v>0</v>
      </c>
      <c r="BB1822" s="25">
        <f t="shared" si="45"/>
        <v>0</v>
      </c>
      <c r="BC1822" s="25">
        <v>0</v>
      </c>
      <c r="BD1822" s="25">
        <f t="shared" si="46"/>
        <v>1.1099999999999999E-2</v>
      </c>
      <c r="BF1822" s="25">
        <f t="shared" si="47"/>
        <v>0</v>
      </c>
      <c r="BG1822" s="25">
        <f t="shared" si="48"/>
        <v>0</v>
      </c>
      <c r="BH1822" s="25">
        <f t="shared" si="49"/>
        <v>0</v>
      </c>
      <c r="BI1822" s="27" t="s">
        <v>576</v>
      </c>
      <c r="BJ1822" s="25">
        <v>722</v>
      </c>
      <c r="BU1822" s="25" t="e">
        <f>#REF!</f>
        <v>#REF!</v>
      </c>
      <c r="BV1822" s="4" t="s">
        <v>2074</v>
      </c>
    </row>
    <row r="1823" spans="1:74" ht="14.4" x14ac:dyDescent="0.3">
      <c r="A1823" s="2" t="s">
        <v>2075</v>
      </c>
      <c r="B1823" s="3" t="s">
        <v>1699</v>
      </c>
      <c r="C1823" s="3" t="s">
        <v>2073</v>
      </c>
      <c r="D1823" s="112" t="s">
        <v>2076</v>
      </c>
      <c r="E1823" s="109"/>
      <c r="F1823" s="3" t="s">
        <v>115</v>
      </c>
      <c r="G1823" s="25">
        <v>76</v>
      </c>
      <c r="H1823" s="62"/>
      <c r="I1823" s="25">
        <f t="shared" si="24"/>
        <v>0</v>
      </c>
      <c r="J1823" s="25">
        <f t="shared" si="25"/>
        <v>0</v>
      </c>
      <c r="K1823" s="25">
        <f t="shared" si="26"/>
        <v>0</v>
      </c>
      <c r="L1823" s="25">
        <v>1.4999999999999999E-4</v>
      </c>
      <c r="M1823" s="25">
        <f t="shared" si="27"/>
        <v>1.1399999999999999E-2</v>
      </c>
      <c r="N1823" s="26"/>
      <c r="X1823" s="25">
        <f t="shared" si="28"/>
        <v>0</v>
      </c>
      <c r="Z1823" s="25">
        <f t="shared" si="29"/>
        <v>0</v>
      </c>
      <c r="AA1823" s="25">
        <f t="shared" si="30"/>
        <v>0</v>
      </c>
      <c r="AB1823" s="25">
        <f t="shared" si="31"/>
        <v>0</v>
      </c>
      <c r="AC1823" s="25">
        <f t="shared" si="32"/>
        <v>0</v>
      </c>
      <c r="AD1823" s="25">
        <f t="shared" si="33"/>
        <v>0</v>
      </c>
      <c r="AE1823" s="25">
        <f t="shared" si="34"/>
        <v>0</v>
      </c>
      <c r="AF1823" s="25">
        <f t="shared" si="35"/>
        <v>0</v>
      </c>
      <c r="AG1823" s="10" t="s">
        <v>1699</v>
      </c>
      <c r="AH1823" s="25">
        <f t="shared" si="36"/>
        <v>0</v>
      </c>
      <c r="AI1823" s="25">
        <f t="shared" si="37"/>
        <v>0</v>
      </c>
      <c r="AJ1823" s="25">
        <f t="shared" si="38"/>
        <v>0</v>
      </c>
      <c r="AL1823" s="25">
        <v>21</v>
      </c>
      <c r="AM1823" s="25">
        <f t="shared" si="39"/>
        <v>0</v>
      </c>
      <c r="AN1823" s="25">
        <f t="shared" si="40"/>
        <v>0</v>
      </c>
      <c r="AO1823" s="27" t="s">
        <v>61</v>
      </c>
      <c r="AT1823" s="25">
        <f t="shared" si="41"/>
        <v>0</v>
      </c>
      <c r="AU1823" s="25">
        <f t="shared" si="42"/>
        <v>0</v>
      </c>
      <c r="AV1823" s="25">
        <f t="shared" si="43"/>
        <v>0</v>
      </c>
      <c r="AW1823" s="27" t="s">
        <v>2024</v>
      </c>
      <c r="AX1823" s="27" t="s">
        <v>1954</v>
      </c>
      <c r="AY1823" s="10" t="s">
        <v>1707</v>
      </c>
      <c r="BA1823" s="25">
        <f t="shared" si="44"/>
        <v>0</v>
      </c>
      <c r="BB1823" s="25">
        <f t="shared" si="45"/>
        <v>0</v>
      </c>
      <c r="BC1823" s="25">
        <v>0</v>
      </c>
      <c r="BD1823" s="25">
        <f t="shared" si="46"/>
        <v>1.1399999999999999E-2</v>
      </c>
      <c r="BF1823" s="25">
        <f t="shared" si="47"/>
        <v>0</v>
      </c>
      <c r="BG1823" s="25">
        <f t="shared" si="48"/>
        <v>0</v>
      </c>
      <c r="BH1823" s="25">
        <f t="shared" si="49"/>
        <v>0</v>
      </c>
      <c r="BI1823" s="27" t="s">
        <v>576</v>
      </c>
      <c r="BJ1823" s="25">
        <v>722</v>
      </c>
      <c r="BU1823" s="25" t="e">
        <f>#REF!</f>
        <v>#REF!</v>
      </c>
      <c r="BV1823" s="4" t="s">
        <v>2076</v>
      </c>
    </row>
    <row r="1824" spans="1:74" ht="14.4" x14ac:dyDescent="0.3">
      <c r="A1824" s="2" t="s">
        <v>2077</v>
      </c>
      <c r="B1824" s="3" t="s">
        <v>1699</v>
      </c>
      <c r="C1824" s="3" t="s">
        <v>1858</v>
      </c>
      <c r="D1824" s="112" t="s">
        <v>1859</v>
      </c>
      <c r="E1824" s="109"/>
      <c r="F1824" s="3" t="s">
        <v>115</v>
      </c>
      <c r="G1824" s="25">
        <v>545</v>
      </c>
      <c r="H1824" s="62"/>
      <c r="I1824" s="25">
        <f t="shared" si="24"/>
        <v>0</v>
      </c>
      <c r="J1824" s="25">
        <f t="shared" si="25"/>
        <v>0</v>
      </c>
      <c r="K1824" s="25">
        <f t="shared" si="26"/>
        <v>0</v>
      </c>
      <c r="L1824" s="25">
        <v>0</v>
      </c>
      <c r="M1824" s="25">
        <f t="shared" si="27"/>
        <v>0</v>
      </c>
      <c r="N1824" s="26"/>
      <c r="X1824" s="25">
        <f t="shared" si="28"/>
        <v>0</v>
      </c>
      <c r="Z1824" s="25">
        <f t="shared" si="29"/>
        <v>0</v>
      </c>
      <c r="AA1824" s="25">
        <f t="shared" si="30"/>
        <v>0</v>
      </c>
      <c r="AB1824" s="25">
        <f t="shared" si="31"/>
        <v>0</v>
      </c>
      <c r="AC1824" s="25">
        <f t="shared" si="32"/>
        <v>0</v>
      </c>
      <c r="AD1824" s="25">
        <f t="shared" si="33"/>
        <v>0</v>
      </c>
      <c r="AE1824" s="25">
        <f t="shared" si="34"/>
        <v>0</v>
      </c>
      <c r="AF1824" s="25">
        <f t="shared" si="35"/>
        <v>0</v>
      </c>
      <c r="AG1824" s="10" t="s">
        <v>1699</v>
      </c>
      <c r="AH1824" s="25">
        <f t="shared" si="36"/>
        <v>0</v>
      </c>
      <c r="AI1824" s="25">
        <f t="shared" si="37"/>
        <v>0</v>
      </c>
      <c r="AJ1824" s="25">
        <f t="shared" si="38"/>
        <v>0</v>
      </c>
      <c r="AL1824" s="25">
        <v>21</v>
      </c>
      <c r="AM1824" s="25">
        <f>H1824*0.022137669</f>
        <v>0</v>
      </c>
      <c r="AN1824" s="25">
        <f>H1824*(1-0.022137669)</f>
        <v>0</v>
      </c>
      <c r="AO1824" s="27" t="s">
        <v>61</v>
      </c>
      <c r="AT1824" s="25">
        <f t="shared" si="41"/>
        <v>0</v>
      </c>
      <c r="AU1824" s="25">
        <f t="shared" si="42"/>
        <v>0</v>
      </c>
      <c r="AV1824" s="25">
        <f t="shared" si="43"/>
        <v>0</v>
      </c>
      <c r="AW1824" s="27" t="s">
        <v>2024</v>
      </c>
      <c r="AX1824" s="27" t="s">
        <v>1954</v>
      </c>
      <c r="AY1824" s="10" t="s">
        <v>1707</v>
      </c>
      <c r="BA1824" s="25">
        <f t="shared" si="44"/>
        <v>0</v>
      </c>
      <c r="BB1824" s="25">
        <f t="shared" si="45"/>
        <v>0</v>
      </c>
      <c r="BC1824" s="25">
        <v>0</v>
      </c>
      <c r="BD1824" s="25">
        <f t="shared" si="46"/>
        <v>0</v>
      </c>
      <c r="BF1824" s="25">
        <f t="shared" si="47"/>
        <v>0</v>
      </c>
      <c r="BG1824" s="25">
        <f t="shared" si="48"/>
        <v>0</v>
      </c>
      <c r="BH1824" s="25">
        <f t="shared" si="49"/>
        <v>0</v>
      </c>
      <c r="BI1824" s="27" t="s">
        <v>65</v>
      </c>
      <c r="BJ1824" s="25">
        <v>722</v>
      </c>
      <c r="BU1824" s="25" t="e">
        <f>#REF!</f>
        <v>#REF!</v>
      </c>
      <c r="BV1824" s="4" t="s">
        <v>1859</v>
      </c>
    </row>
    <row r="1825" spans="1:74" ht="14.4" x14ac:dyDescent="0.3">
      <c r="A1825" s="28"/>
      <c r="D1825" s="29" t="s">
        <v>2048</v>
      </c>
      <c r="E1825" s="29" t="s">
        <v>52</v>
      </c>
      <c r="G1825" s="30">
        <v>545</v>
      </c>
      <c r="H1825" s="63"/>
      <c r="N1825" s="31"/>
    </row>
    <row r="1826" spans="1:74" ht="14.4" x14ac:dyDescent="0.3">
      <c r="A1826" s="2" t="s">
        <v>2078</v>
      </c>
      <c r="B1826" s="3" t="s">
        <v>1699</v>
      </c>
      <c r="C1826" s="3" t="s">
        <v>2079</v>
      </c>
      <c r="D1826" s="112" t="s">
        <v>2080</v>
      </c>
      <c r="E1826" s="109"/>
      <c r="F1826" s="3" t="s">
        <v>860</v>
      </c>
      <c r="G1826" s="25">
        <v>1</v>
      </c>
      <c r="H1826" s="62"/>
      <c r="I1826" s="25">
        <f>ROUND(G1826*AM1826,2)</f>
        <v>0</v>
      </c>
      <c r="J1826" s="25">
        <f>ROUND(G1826*AN1826,2)</f>
        <v>0</v>
      </c>
      <c r="K1826" s="25">
        <f>ROUND(G1826*H1826,2)</f>
        <v>0</v>
      </c>
      <c r="L1826" s="25">
        <v>1.0000000000000001E-5</v>
      </c>
      <c r="M1826" s="25">
        <f>G1826*L1826</f>
        <v>1.0000000000000001E-5</v>
      </c>
      <c r="N1826" s="102"/>
      <c r="X1826" s="25">
        <f>ROUND(IF(AO1826="5",BH1826,0),2)</f>
        <v>0</v>
      </c>
      <c r="Z1826" s="25">
        <f>ROUND(IF(AO1826="1",BF1826,0),2)</f>
        <v>0</v>
      </c>
      <c r="AA1826" s="25">
        <f>ROUND(IF(AO1826="1",BG1826,0),2)</f>
        <v>0</v>
      </c>
      <c r="AB1826" s="25">
        <f>ROUND(IF(AO1826="7",BF1826,0),2)</f>
        <v>0</v>
      </c>
      <c r="AC1826" s="25">
        <f>ROUND(IF(AO1826="7",BG1826,0),2)</f>
        <v>0</v>
      </c>
      <c r="AD1826" s="25">
        <f>ROUND(IF(AO1826="2",BF1826,0),2)</f>
        <v>0</v>
      </c>
      <c r="AE1826" s="25">
        <f>ROUND(IF(AO1826="2",BG1826,0),2)</f>
        <v>0</v>
      </c>
      <c r="AF1826" s="25">
        <f>ROUND(IF(AO1826="0",BH1826,0),2)</f>
        <v>0</v>
      </c>
      <c r="AG1826" s="10" t="s">
        <v>1699</v>
      </c>
      <c r="AH1826" s="25">
        <f>IF(AL1826=0,K1826,0)</f>
        <v>0</v>
      </c>
      <c r="AI1826" s="25">
        <f>IF(AL1826=12,K1826,0)</f>
        <v>0</v>
      </c>
      <c r="AJ1826" s="25">
        <f>IF(AL1826=21,K1826,0)</f>
        <v>0</v>
      </c>
      <c r="AL1826" s="25">
        <v>21</v>
      </c>
      <c r="AM1826" s="25">
        <f>H1826*0.049210476</f>
        <v>0</v>
      </c>
      <c r="AN1826" s="25">
        <f>H1826*(1-0.049210476)</f>
        <v>0</v>
      </c>
      <c r="AO1826" s="27" t="s">
        <v>61</v>
      </c>
      <c r="AT1826" s="25">
        <f>ROUND(AU1826+AV1826,2)</f>
        <v>0</v>
      </c>
      <c r="AU1826" s="25">
        <f>ROUND(G1826*AM1826,2)</f>
        <v>0</v>
      </c>
      <c r="AV1826" s="25">
        <f>ROUND(G1826*AN1826,2)</f>
        <v>0</v>
      </c>
      <c r="AW1826" s="27" t="s">
        <v>2024</v>
      </c>
      <c r="AX1826" s="27" t="s">
        <v>1954</v>
      </c>
      <c r="AY1826" s="10" t="s">
        <v>1707</v>
      </c>
      <c r="BA1826" s="25">
        <f>AU1826+AV1826</f>
        <v>0</v>
      </c>
      <c r="BB1826" s="25">
        <f>H1826/(100-BC1826)*100</f>
        <v>0</v>
      </c>
      <c r="BC1826" s="25">
        <v>0</v>
      </c>
      <c r="BD1826" s="25">
        <f>M1826</f>
        <v>1.0000000000000001E-5</v>
      </c>
      <c r="BF1826" s="25">
        <f>G1826*AM1826</f>
        <v>0</v>
      </c>
      <c r="BG1826" s="25">
        <f>G1826*AN1826</f>
        <v>0</v>
      </c>
      <c r="BH1826" s="25">
        <f>G1826*H1826</f>
        <v>0</v>
      </c>
      <c r="BI1826" s="27" t="s">
        <v>65</v>
      </c>
      <c r="BJ1826" s="25">
        <v>722</v>
      </c>
      <c r="BU1826" s="25" t="e">
        <f>#REF!</f>
        <v>#REF!</v>
      </c>
      <c r="BV1826" s="4" t="s">
        <v>2080</v>
      </c>
    </row>
    <row r="1827" spans="1:74" ht="14.4" x14ac:dyDescent="0.3">
      <c r="A1827" s="28"/>
      <c r="D1827" s="29" t="s">
        <v>57</v>
      </c>
      <c r="E1827" s="29" t="s">
        <v>52</v>
      </c>
      <c r="G1827" s="30">
        <v>1</v>
      </c>
      <c r="H1827" s="63"/>
      <c r="N1827" s="31"/>
    </row>
    <row r="1828" spans="1:74" ht="14.4" x14ac:dyDescent="0.3">
      <c r="A1828" s="2" t="s">
        <v>2081</v>
      </c>
      <c r="B1828" s="3" t="s">
        <v>1699</v>
      </c>
      <c r="C1828" s="3" t="s">
        <v>1748</v>
      </c>
      <c r="D1828" s="112" t="s">
        <v>1749</v>
      </c>
      <c r="E1828" s="109"/>
      <c r="F1828" s="3" t="s">
        <v>278</v>
      </c>
      <c r="G1828" s="25">
        <v>0.68899999999999995</v>
      </c>
      <c r="H1828" s="62"/>
      <c r="I1828" s="25">
        <f>ROUND(G1828*AM1828,2)</f>
        <v>0</v>
      </c>
      <c r="J1828" s="25">
        <f>ROUND(G1828*AN1828,2)</f>
        <v>0</v>
      </c>
      <c r="K1828" s="25">
        <f>ROUND(G1828*H1828,2)</f>
        <v>0</v>
      </c>
      <c r="L1828" s="25">
        <v>0</v>
      </c>
      <c r="M1828" s="25">
        <f>G1828*L1828</f>
        <v>0</v>
      </c>
      <c r="N1828" s="26"/>
      <c r="X1828" s="25">
        <f>ROUND(IF(AO1828="5",BH1828,0),2)</f>
        <v>0</v>
      </c>
      <c r="Z1828" s="25">
        <f>ROUND(IF(AO1828="1",BF1828,0),2)</f>
        <v>0</v>
      </c>
      <c r="AA1828" s="25">
        <f>ROUND(IF(AO1828="1",BG1828,0),2)</f>
        <v>0</v>
      </c>
      <c r="AB1828" s="25">
        <f>ROUND(IF(AO1828="7",BF1828,0),2)</f>
        <v>0</v>
      </c>
      <c r="AC1828" s="25">
        <f>ROUND(IF(AO1828="7",BG1828,0),2)</f>
        <v>0</v>
      </c>
      <c r="AD1828" s="25">
        <f>ROUND(IF(AO1828="2",BF1828,0),2)</f>
        <v>0</v>
      </c>
      <c r="AE1828" s="25">
        <f>ROUND(IF(AO1828="2",BG1828,0),2)</f>
        <v>0</v>
      </c>
      <c r="AF1828" s="25">
        <f>ROUND(IF(AO1828="0",BH1828,0),2)</f>
        <v>0</v>
      </c>
      <c r="AG1828" s="10" t="s">
        <v>1699</v>
      </c>
      <c r="AH1828" s="25">
        <f>IF(AL1828=0,K1828,0)</f>
        <v>0</v>
      </c>
      <c r="AI1828" s="25">
        <f>IF(AL1828=12,K1828,0)</f>
        <v>0</v>
      </c>
      <c r="AJ1828" s="25">
        <f>IF(AL1828=21,K1828,0)</f>
        <v>0</v>
      </c>
      <c r="AL1828" s="25">
        <v>21</v>
      </c>
      <c r="AM1828" s="25">
        <f>H1828*0</f>
        <v>0</v>
      </c>
      <c r="AN1828" s="25">
        <f>H1828*(1-0)</f>
        <v>0</v>
      </c>
      <c r="AO1828" s="27" t="s">
        <v>97</v>
      </c>
      <c r="AT1828" s="25">
        <f>ROUND(AU1828+AV1828,2)</f>
        <v>0</v>
      </c>
      <c r="AU1828" s="25">
        <f>ROUND(G1828*AM1828,2)</f>
        <v>0</v>
      </c>
      <c r="AV1828" s="25">
        <f>ROUND(G1828*AN1828,2)</f>
        <v>0</v>
      </c>
      <c r="AW1828" s="27" t="s">
        <v>2024</v>
      </c>
      <c r="AX1828" s="27" t="s">
        <v>1954</v>
      </c>
      <c r="AY1828" s="10" t="s">
        <v>1707</v>
      </c>
      <c r="BA1828" s="25">
        <f>AU1828+AV1828</f>
        <v>0</v>
      </c>
      <c r="BB1828" s="25">
        <f>H1828/(100-BC1828)*100</f>
        <v>0</v>
      </c>
      <c r="BC1828" s="25">
        <v>0</v>
      </c>
      <c r="BD1828" s="25">
        <f>M1828</f>
        <v>0</v>
      </c>
      <c r="BF1828" s="25">
        <f>G1828*AM1828</f>
        <v>0</v>
      </c>
      <c r="BG1828" s="25">
        <f>G1828*AN1828</f>
        <v>0</v>
      </c>
      <c r="BH1828" s="25">
        <f>G1828*H1828</f>
        <v>0</v>
      </c>
      <c r="BI1828" s="27" t="s">
        <v>65</v>
      </c>
      <c r="BJ1828" s="25">
        <v>722</v>
      </c>
      <c r="BU1828" s="25" t="e">
        <f>#REF!</f>
        <v>#REF!</v>
      </c>
      <c r="BV1828" s="4" t="s">
        <v>1749</v>
      </c>
    </row>
    <row r="1829" spans="1:74" ht="14.4" x14ac:dyDescent="0.3">
      <c r="A1829" s="28"/>
      <c r="D1829" s="29" t="s">
        <v>2082</v>
      </c>
      <c r="E1829" s="29" t="s">
        <v>52</v>
      </c>
      <c r="G1829" s="30">
        <v>0.68899999999999995</v>
      </c>
      <c r="H1829" s="63"/>
      <c r="N1829" s="31"/>
    </row>
    <row r="1830" spans="1:74" ht="14.4" x14ac:dyDescent="0.3">
      <c r="A1830" s="21" t="s">
        <v>52</v>
      </c>
      <c r="B1830" s="22" t="s">
        <v>1699</v>
      </c>
      <c r="C1830" s="22" t="s">
        <v>2083</v>
      </c>
      <c r="D1830" s="170" t="s">
        <v>2084</v>
      </c>
      <c r="E1830" s="171"/>
      <c r="F1830" s="23" t="s">
        <v>32</v>
      </c>
      <c r="G1830" s="23" t="s">
        <v>32</v>
      </c>
      <c r="H1830" s="64"/>
      <c r="I1830" s="1">
        <f>SUM(I1831:I1843)</f>
        <v>0</v>
      </c>
      <c r="J1830" s="1">
        <f>SUM(J1831:J1843)</f>
        <v>0</v>
      </c>
      <c r="K1830" s="1">
        <f>SUM(K1831:K1843)</f>
        <v>0</v>
      </c>
      <c r="L1830" s="10" t="s">
        <v>52</v>
      </c>
      <c r="M1830" s="1">
        <f>SUM(M1831:M1843)</f>
        <v>7.6875200000000001</v>
      </c>
      <c r="N1830" s="24"/>
      <c r="AG1830" s="10" t="s">
        <v>1699</v>
      </c>
      <c r="AQ1830" s="1">
        <f>SUM(AH1831:AH1843)</f>
        <v>0</v>
      </c>
      <c r="AR1830" s="1">
        <f>SUM(AI1831:AI1843)</f>
        <v>0</v>
      </c>
      <c r="AS1830" s="1">
        <f>SUM(AJ1831:AJ1843)</f>
        <v>0</v>
      </c>
    </row>
    <row r="1831" spans="1:74" ht="14.4" x14ac:dyDescent="0.3">
      <c r="A1831" s="2" t="s">
        <v>2085</v>
      </c>
      <c r="B1831" s="3" t="s">
        <v>1699</v>
      </c>
      <c r="C1831" s="3" t="s">
        <v>2086</v>
      </c>
      <c r="D1831" s="112" t="s">
        <v>2087</v>
      </c>
      <c r="E1831" s="109"/>
      <c r="F1831" s="3" t="s">
        <v>122</v>
      </c>
      <c r="G1831" s="25">
        <v>10</v>
      </c>
      <c r="H1831" s="62"/>
      <c r="I1831" s="25">
        <f>ROUND(G1831*AM1831,2)</f>
        <v>0</v>
      </c>
      <c r="J1831" s="25">
        <f>ROUND(G1831*AN1831,2)</f>
        <v>0</v>
      </c>
      <c r="K1831" s="25">
        <f>ROUND(G1831*H1831,2)</f>
        <v>0</v>
      </c>
      <c r="L1831" s="25">
        <v>1.23E-3</v>
      </c>
      <c r="M1831" s="25">
        <f>G1831*L1831</f>
        <v>1.23E-2</v>
      </c>
      <c r="N1831" s="26"/>
      <c r="X1831" s="25">
        <f>ROUND(IF(AO1831="5",BH1831,0),2)</f>
        <v>0</v>
      </c>
      <c r="Z1831" s="25">
        <f>ROUND(IF(AO1831="1",BF1831,0),2)</f>
        <v>0</v>
      </c>
      <c r="AA1831" s="25">
        <f>ROUND(IF(AO1831="1",BG1831,0),2)</f>
        <v>0</v>
      </c>
      <c r="AB1831" s="25">
        <f>ROUND(IF(AO1831="7",BF1831,0),2)</f>
        <v>0</v>
      </c>
      <c r="AC1831" s="25">
        <f>ROUND(IF(AO1831="7",BG1831,0),2)</f>
        <v>0</v>
      </c>
      <c r="AD1831" s="25">
        <f>ROUND(IF(AO1831="2",BF1831,0),2)</f>
        <v>0</v>
      </c>
      <c r="AE1831" s="25">
        <f>ROUND(IF(AO1831="2",BG1831,0),2)</f>
        <v>0</v>
      </c>
      <c r="AF1831" s="25">
        <f>ROUND(IF(AO1831="0",BH1831,0),2)</f>
        <v>0</v>
      </c>
      <c r="AG1831" s="10" t="s">
        <v>1699</v>
      </c>
      <c r="AH1831" s="25">
        <f>IF(AL1831=0,K1831,0)</f>
        <v>0</v>
      </c>
      <c r="AI1831" s="25">
        <f>IF(AL1831=12,K1831,0)</f>
        <v>0</v>
      </c>
      <c r="AJ1831" s="25">
        <f>IF(AL1831=21,K1831,0)</f>
        <v>0</v>
      </c>
      <c r="AL1831" s="25">
        <v>21</v>
      </c>
      <c r="AM1831" s="25">
        <f>H1831*0</f>
        <v>0</v>
      </c>
      <c r="AN1831" s="25">
        <f>H1831*(1-0)</f>
        <v>0</v>
      </c>
      <c r="AO1831" s="27" t="s">
        <v>61</v>
      </c>
      <c r="AT1831" s="25">
        <f>ROUND(AU1831+AV1831,2)</f>
        <v>0</v>
      </c>
      <c r="AU1831" s="25">
        <f>ROUND(G1831*AM1831,2)</f>
        <v>0</v>
      </c>
      <c r="AV1831" s="25">
        <f>ROUND(G1831*AN1831,2)</f>
        <v>0</v>
      </c>
      <c r="AW1831" s="27" t="s">
        <v>2088</v>
      </c>
      <c r="AX1831" s="27" t="s">
        <v>1954</v>
      </c>
      <c r="AY1831" s="10" t="s">
        <v>1707</v>
      </c>
      <c r="BA1831" s="25">
        <f>AU1831+AV1831</f>
        <v>0</v>
      </c>
      <c r="BB1831" s="25">
        <f>H1831/(100-BC1831)*100</f>
        <v>0</v>
      </c>
      <c r="BC1831" s="25">
        <v>0</v>
      </c>
      <c r="BD1831" s="25">
        <f>M1831</f>
        <v>1.23E-2</v>
      </c>
      <c r="BF1831" s="25">
        <f>G1831*AM1831</f>
        <v>0</v>
      </c>
      <c r="BG1831" s="25">
        <f>G1831*AN1831</f>
        <v>0</v>
      </c>
      <c r="BH1831" s="25">
        <f>G1831*H1831</f>
        <v>0</v>
      </c>
      <c r="BI1831" s="27" t="s">
        <v>65</v>
      </c>
      <c r="BJ1831" s="25">
        <v>723</v>
      </c>
      <c r="BU1831" s="25" t="e">
        <f>#REF!</f>
        <v>#REF!</v>
      </c>
      <c r="BV1831" s="4" t="s">
        <v>2087</v>
      </c>
    </row>
    <row r="1832" spans="1:74" ht="14.4" x14ac:dyDescent="0.3">
      <c r="A1832" s="28"/>
      <c r="D1832" s="29" t="s">
        <v>129</v>
      </c>
      <c r="E1832" s="29" t="s">
        <v>52</v>
      </c>
      <c r="G1832" s="30">
        <v>10</v>
      </c>
      <c r="H1832" s="63"/>
      <c r="N1832" s="31"/>
    </row>
    <row r="1833" spans="1:74" ht="14.4" x14ac:dyDescent="0.3">
      <c r="A1833" s="2" t="s">
        <v>2089</v>
      </c>
      <c r="B1833" s="3" t="s">
        <v>1699</v>
      </c>
      <c r="C1833" s="3" t="s">
        <v>2090</v>
      </c>
      <c r="D1833" s="112" t="s">
        <v>2091</v>
      </c>
      <c r="E1833" s="109"/>
      <c r="F1833" s="3" t="s">
        <v>122</v>
      </c>
      <c r="G1833" s="25">
        <v>12</v>
      </c>
      <c r="H1833" s="62"/>
      <c r="I1833" s="25">
        <f>ROUND(G1833*AM1833,2)</f>
        <v>0</v>
      </c>
      <c r="J1833" s="25">
        <f>ROUND(G1833*AN1833,2)</f>
        <v>0</v>
      </c>
      <c r="K1833" s="25">
        <f>ROUND(G1833*H1833,2)</f>
        <v>0</v>
      </c>
      <c r="L1833" s="25">
        <v>3.1870000000000002E-2</v>
      </c>
      <c r="M1833" s="25">
        <f>G1833*L1833</f>
        <v>0.38244</v>
      </c>
      <c r="N1833" s="26"/>
      <c r="X1833" s="25">
        <f>ROUND(IF(AO1833="5",BH1833,0),2)</f>
        <v>0</v>
      </c>
      <c r="Z1833" s="25">
        <f>ROUND(IF(AO1833="1",BF1833,0),2)</f>
        <v>0</v>
      </c>
      <c r="AA1833" s="25">
        <f>ROUND(IF(AO1833="1",BG1833,0),2)</f>
        <v>0</v>
      </c>
      <c r="AB1833" s="25">
        <f>ROUND(IF(AO1833="7",BF1833,0),2)</f>
        <v>0</v>
      </c>
      <c r="AC1833" s="25">
        <f>ROUND(IF(AO1833="7",BG1833,0),2)</f>
        <v>0</v>
      </c>
      <c r="AD1833" s="25">
        <f>ROUND(IF(AO1833="2",BF1833,0),2)</f>
        <v>0</v>
      </c>
      <c r="AE1833" s="25">
        <f>ROUND(IF(AO1833="2",BG1833,0),2)</f>
        <v>0</v>
      </c>
      <c r="AF1833" s="25">
        <f>ROUND(IF(AO1833="0",BH1833,0),2)</f>
        <v>0</v>
      </c>
      <c r="AG1833" s="10" t="s">
        <v>1699</v>
      </c>
      <c r="AH1833" s="25">
        <f>IF(AL1833=0,K1833,0)</f>
        <v>0</v>
      </c>
      <c r="AI1833" s="25">
        <f>IF(AL1833=12,K1833,0)</f>
        <v>0</v>
      </c>
      <c r="AJ1833" s="25">
        <f>IF(AL1833=21,K1833,0)</f>
        <v>0</v>
      </c>
      <c r="AL1833" s="25">
        <v>21</v>
      </c>
      <c r="AM1833" s="25">
        <f>H1833*0</f>
        <v>0</v>
      </c>
      <c r="AN1833" s="25">
        <f>H1833*(1-0)</f>
        <v>0</v>
      </c>
      <c r="AO1833" s="27" t="s">
        <v>61</v>
      </c>
      <c r="AT1833" s="25">
        <f>ROUND(AU1833+AV1833,2)</f>
        <v>0</v>
      </c>
      <c r="AU1833" s="25">
        <f>ROUND(G1833*AM1833,2)</f>
        <v>0</v>
      </c>
      <c r="AV1833" s="25">
        <f>ROUND(G1833*AN1833,2)</f>
        <v>0</v>
      </c>
      <c r="AW1833" s="27" t="s">
        <v>2088</v>
      </c>
      <c r="AX1833" s="27" t="s">
        <v>1954</v>
      </c>
      <c r="AY1833" s="10" t="s">
        <v>1707</v>
      </c>
      <c r="BA1833" s="25">
        <f>AU1833+AV1833</f>
        <v>0</v>
      </c>
      <c r="BB1833" s="25">
        <f>H1833/(100-BC1833)*100</f>
        <v>0</v>
      </c>
      <c r="BC1833" s="25">
        <v>0</v>
      </c>
      <c r="BD1833" s="25">
        <f>M1833</f>
        <v>0.38244</v>
      </c>
      <c r="BF1833" s="25">
        <f>G1833*AM1833</f>
        <v>0</v>
      </c>
      <c r="BG1833" s="25">
        <f>G1833*AN1833</f>
        <v>0</v>
      </c>
      <c r="BH1833" s="25">
        <f>G1833*H1833</f>
        <v>0</v>
      </c>
      <c r="BI1833" s="27" t="s">
        <v>65</v>
      </c>
      <c r="BJ1833" s="25">
        <v>723</v>
      </c>
      <c r="BU1833" s="25" t="e">
        <f>#REF!</f>
        <v>#REF!</v>
      </c>
      <c r="BV1833" s="4" t="s">
        <v>2091</v>
      </c>
    </row>
    <row r="1834" spans="1:74" ht="14.4" x14ac:dyDescent="0.3">
      <c r="A1834" s="28"/>
      <c r="D1834" s="29" t="s">
        <v>145</v>
      </c>
      <c r="E1834" s="29" t="s">
        <v>52</v>
      </c>
      <c r="G1834" s="30">
        <v>12</v>
      </c>
      <c r="H1834" s="63"/>
      <c r="N1834" s="31"/>
    </row>
    <row r="1835" spans="1:74" ht="14.4" x14ac:dyDescent="0.3">
      <c r="A1835" s="2" t="s">
        <v>2092</v>
      </c>
      <c r="B1835" s="3" t="s">
        <v>1699</v>
      </c>
      <c r="C1835" s="3" t="s">
        <v>2093</v>
      </c>
      <c r="D1835" s="112" t="s">
        <v>2094</v>
      </c>
      <c r="E1835" s="109"/>
      <c r="F1835" s="3" t="s">
        <v>122</v>
      </c>
      <c r="G1835" s="25">
        <v>5</v>
      </c>
      <c r="H1835" s="62"/>
      <c r="I1835" s="25">
        <f>ROUND(G1835*AM1835,2)</f>
        <v>0</v>
      </c>
      <c r="J1835" s="25">
        <f>ROUND(G1835*AN1835,2)</f>
        <v>0</v>
      </c>
      <c r="K1835" s="25">
        <f>ROUND(G1835*H1835,2)</f>
        <v>0</v>
      </c>
      <c r="L1835" s="25">
        <v>1.933E-2</v>
      </c>
      <c r="M1835" s="25">
        <f>G1835*L1835</f>
        <v>9.665E-2</v>
      </c>
      <c r="N1835" s="26"/>
      <c r="X1835" s="25">
        <f>ROUND(IF(AO1835="5",BH1835,0),2)</f>
        <v>0</v>
      </c>
      <c r="Z1835" s="25">
        <f>ROUND(IF(AO1835="1",BF1835,0),2)</f>
        <v>0</v>
      </c>
      <c r="AA1835" s="25">
        <f>ROUND(IF(AO1835="1",BG1835,0),2)</f>
        <v>0</v>
      </c>
      <c r="AB1835" s="25">
        <f>ROUND(IF(AO1835="7",BF1835,0),2)</f>
        <v>0</v>
      </c>
      <c r="AC1835" s="25">
        <f>ROUND(IF(AO1835="7",BG1835,0),2)</f>
        <v>0</v>
      </c>
      <c r="AD1835" s="25">
        <f>ROUND(IF(AO1835="2",BF1835,0),2)</f>
        <v>0</v>
      </c>
      <c r="AE1835" s="25">
        <f>ROUND(IF(AO1835="2",BG1835,0),2)</f>
        <v>0</v>
      </c>
      <c r="AF1835" s="25">
        <f>ROUND(IF(AO1835="0",BH1835,0),2)</f>
        <v>0</v>
      </c>
      <c r="AG1835" s="10" t="s">
        <v>1699</v>
      </c>
      <c r="AH1835" s="25">
        <f>IF(AL1835=0,K1835,0)</f>
        <v>0</v>
      </c>
      <c r="AI1835" s="25">
        <f>IF(AL1835=12,K1835,0)</f>
        <v>0</v>
      </c>
      <c r="AJ1835" s="25">
        <f>IF(AL1835=21,K1835,0)</f>
        <v>0</v>
      </c>
      <c r="AL1835" s="25">
        <v>21</v>
      </c>
      <c r="AM1835" s="25">
        <f>H1835*0</f>
        <v>0</v>
      </c>
      <c r="AN1835" s="25">
        <f>H1835*(1-0)</f>
        <v>0</v>
      </c>
      <c r="AO1835" s="27" t="s">
        <v>61</v>
      </c>
      <c r="AT1835" s="25">
        <f>ROUND(AU1835+AV1835,2)</f>
        <v>0</v>
      </c>
      <c r="AU1835" s="25">
        <f>ROUND(G1835*AM1835,2)</f>
        <v>0</v>
      </c>
      <c r="AV1835" s="25">
        <f>ROUND(G1835*AN1835,2)</f>
        <v>0</v>
      </c>
      <c r="AW1835" s="27" t="s">
        <v>2088</v>
      </c>
      <c r="AX1835" s="27" t="s">
        <v>1954</v>
      </c>
      <c r="AY1835" s="10" t="s">
        <v>1707</v>
      </c>
      <c r="BA1835" s="25">
        <f>AU1835+AV1835</f>
        <v>0</v>
      </c>
      <c r="BB1835" s="25">
        <f>H1835/(100-BC1835)*100</f>
        <v>0</v>
      </c>
      <c r="BC1835" s="25">
        <v>0</v>
      </c>
      <c r="BD1835" s="25">
        <f>M1835</f>
        <v>9.665E-2</v>
      </c>
      <c r="BF1835" s="25">
        <f>G1835*AM1835</f>
        <v>0</v>
      </c>
      <c r="BG1835" s="25">
        <f>G1835*AN1835</f>
        <v>0</v>
      </c>
      <c r="BH1835" s="25">
        <f>G1835*H1835</f>
        <v>0</v>
      </c>
      <c r="BI1835" s="27" t="s">
        <v>65</v>
      </c>
      <c r="BJ1835" s="25">
        <v>723</v>
      </c>
      <c r="BU1835" s="25" t="e">
        <f>#REF!</f>
        <v>#REF!</v>
      </c>
      <c r="BV1835" s="4" t="s">
        <v>2094</v>
      </c>
    </row>
    <row r="1836" spans="1:74" ht="14.4" x14ac:dyDescent="0.3">
      <c r="A1836" s="28"/>
      <c r="D1836" s="29" t="s">
        <v>97</v>
      </c>
      <c r="E1836" s="29" t="s">
        <v>52</v>
      </c>
      <c r="G1836" s="30">
        <v>5</v>
      </c>
      <c r="H1836" s="63"/>
      <c r="N1836" s="31"/>
    </row>
    <row r="1837" spans="1:74" ht="14.4" x14ac:dyDescent="0.3">
      <c r="A1837" s="2" t="s">
        <v>2095</v>
      </c>
      <c r="B1837" s="3" t="s">
        <v>1699</v>
      </c>
      <c r="C1837" s="3" t="s">
        <v>2096</v>
      </c>
      <c r="D1837" s="112" t="s">
        <v>2097</v>
      </c>
      <c r="E1837" s="109"/>
      <c r="F1837" s="3" t="s">
        <v>122</v>
      </c>
      <c r="G1837" s="25">
        <v>2</v>
      </c>
      <c r="H1837" s="62"/>
      <c r="I1837" s="25">
        <f>ROUND(G1837*AM1837,2)</f>
        <v>0</v>
      </c>
      <c r="J1837" s="25">
        <f>ROUND(G1837*AN1837,2)</f>
        <v>0</v>
      </c>
      <c r="K1837" s="25">
        <f>ROUND(G1837*H1837,2)</f>
        <v>0</v>
      </c>
      <c r="L1837" s="25">
        <v>0.38567000000000001</v>
      </c>
      <c r="M1837" s="25">
        <f>G1837*L1837</f>
        <v>0.77134000000000003</v>
      </c>
      <c r="N1837" s="102"/>
      <c r="X1837" s="25">
        <f>ROUND(IF(AO1837="5",BH1837,0),2)</f>
        <v>0</v>
      </c>
      <c r="Z1837" s="25">
        <f>ROUND(IF(AO1837="1",BF1837,0),2)</f>
        <v>0</v>
      </c>
      <c r="AA1837" s="25">
        <f>ROUND(IF(AO1837="1",BG1837,0),2)</f>
        <v>0</v>
      </c>
      <c r="AB1837" s="25">
        <f>ROUND(IF(AO1837="7",BF1837,0),2)</f>
        <v>0</v>
      </c>
      <c r="AC1837" s="25">
        <f>ROUND(IF(AO1837="7",BG1837,0),2)</f>
        <v>0</v>
      </c>
      <c r="AD1837" s="25">
        <f>ROUND(IF(AO1837="2",BF1837,0),2)</f>
        <v>0</v>
      </c>
      <c r="AE1837" s="25">
        <f>ROUND(IF(AO1837="2",BG1837,0),2)</f>
        <v>0</v>
      </c>
      <c r="AF1837" s="25">
        <f>ROUND(IF(AO1837="0",BH1837,0),2)</f>
        <v>0</v>
      </c>
      <c r="AG1837" s="10" t="s">
        <v>1699</v>
      </c>
      <c r="AH1837" s="25">
        <f>IF(AL1837=0,K1837,0)</f>
        <v>0</v>
      </c>
      <c r="AI1837" s="25">
        <f>IF(AL1837=12,K1837,0)</f>
        <v>0</v>
      </c>
      <c r="AJ1837" s="25">
        <f>IF(AL1837=21,K1837,0)</f>
        <v>0</v>
      </c>
      <c r="AL1837" s="25">
        <v>21</v>
      </c>
      <c r="AM1837" s="25">
        <f>H1837*0.017915933</f>
        <v>0</v>
      </c>
      <c r="AN1837" s="25">
        <f>H1837*(1-0.017915933)</f>
        <v>0</v>
      </c>
      <c r="AO1837" s="27" t="s">
        <v>61</v>
      </c>
      <c r="AT1837" s="25">
        <f>ROUND(AU1837+AV1837,2)</f>
        <v>0</v>
      </c>
      <c r="AU1837" s="25">
        <f>ROUND(G1837*AM1837,2)</f>
        <v>0</v>
      </c>
      <c r="AV1837" s="25">
        <f>ROUND(G1837*AN1837,2)</f>
        <v>0</v>
      </c>
      <c r="AW1837" s="27" t="s">
        <v>2088</v>
      </c>
      <c r="AX1837" s="27" t="s">
        <v>1954</v>
      </c>
      <c r="AY1837" s="10" t="s">
        <v>1707</v>
      </c>
      <c r="BA1837" s="25">
        <f>AU1837+AV1837</f>
        <v>0</v>
      </c>
      <c r="BB1837" s="25">
        <f>H1837/(100-BC1837)*100</f>
        <v>0</v>
      </c>
      <c r="BC1837" s="25">
        <v>0</v>
      </c>
      <c r="BD1837" s="25">
        <f>M1837</f>
        <v>0.77134000000000003</v>
      </c>
      <c r="BF1837" s="25">
        <f>G1837*AM1837</f>
        <v>0</v>
      </c>
      <c r="BG1837" s="25">
        <f>G1837*AN1837</f>
        <v>0</v>
      </c>
      <c r="BH1837" s="25">
        <f>G1837*H1837</f>
        <v>0</v>
      </c>
      <c r="BI1837" s="27" t="s">
        <v>65</v>
      </c>
      <c r="BJ1837" s="25">
        <v>723</v>
      </c>
      <c r="BU1837" s="25" t="e">
        <f>#REF!</f>
        <v>#REF!</v>
      </c>
      <c r="BV1837" s="4" t="s">
        <v>2097</v>
      </c>
    </row>
    <row r="1838" spans="1:74" ht="14.4" x14ac:dyDescent="0.3">
      <c r="A1838" s="28"/>
      <c r="D1838" s="29" t="s">
        <v>81</v>
      </c>
      <c r="E1838" s="29" t="s">
        <v>52</v>
      </c>
      <c r="G1838" s="30">
        <v>2</v>
      </c>
      <c r="H1838" s="63"/>
      <c r="N1838" s="31"/>
    </row>
    <row r="1839" spans="1:74" ht="14.4" x14ac:dyDescent="0.3">
      <c r="A1839" s="2" t="s">
        <v>2098</v>
      </c>
      <c r="B1839" s="3" t="s">
        <v>1699</v>
      </c>
      <c r="C1839" s="3" t="s">
        <v>2099</v>
      </c>
      <c r="D1839" s="112" t="s">
        <v>2100</v>
      </c>
      <c r="E1839" s="109"/>
      <c r="F1839" s="3" t="s">
        <v>122</v>
      </c>
      <c r="G1839" s="25">
        <v>11</v>
      </c>
      <c r="H1839" s="62"/>
      <c r="I1839" s="25">
        <f>ROUND(G1839*AM1839,2)</f>
        <v>0</v>
      </c>
      <c r="J1839" s="25">
        <f>ROUND(G1839*AN1839,2)</f>
        <v>0</v>
      </c>
      <c r="K1839" s="25">
        <f>ROUND(G1839*H1839,2)</f>
        <v>0</v>
      </c>
      <c r="L1839" s="25">
        <v>8.2000000000000003E-2</v>
      </c>
      <c r="M1839" s="25">
        <f>G1839*L1839</f>
        <v>0.90200000000000002</v>
      </c>
      <c r="N1839" s="26"/>
      <c r="X1839" s="25">
        <f>ROUND(IF(AO1839="5",BH1839,0),2)</f>
        <v>0</v>
      </c>
      <c r="Z1839" s="25">
        <f>ROUND(IF(AO1839="1",BF1839,0),2)</f>
        <v>0</v>
      </c>
      <c r="AA1839" s="25">
        <f>ROUND(IF(AO1839="1",BG1839,0),2)</f>
        <v>0</v>
      </c>
      <c r="AB1839" s="25">
        <f>ROUND(IF(AO1839="7",BF1839,0),2)</f>
        <v>0</v>
      </c>
      <c r="AC1839" s="25">
        <f>ROUND(IF(AO1839="7",BG1839,0),2)</f>
        <v>0</v>
      </c>
      <c r="AD1839" s="25">
        <f>ROUND(IF(AO1839="2",BF1839,0),2)</f>
        <v>0</v>
      </c>
      <c r="AE1839" s="25">
        <f>ROUND(IF(AO1839="2",BG1839,0),2)</f>
        <v>0</v>
      </c>
      <c r="AF1839" s="25">
        <f>ROUND(IF(AO1839="0",BH1839,0),2)</f>
        <v>0</v>
      </c>
      <c r="AG1839" s="10" t="s">
        <v>1699</v>
      </c>
      <c r="AH1839" s="25">
        <f>IF(AL1839=0,K1839,0)</f>
        <v>0</v>
      </c>
      <c r="AI1839" s="25">
        <f>IF(AL1839=12,K1839,0)</f>
        <v>0</v>
      </c>
      <c r="AJ1839" s="25">
        <f>IF(AL1839=21,K1839,0)</f>
        <v>0</v>
      </c>
      <c r="AL1839" s="25">
        <v>21</v>
      </c>
      <c r="AM1839" s="25">
        <f>H1839*0</f>
        <v>0</v>
      </c>
      <c r="AN1839" s="25">
        <f>H1839*(1-0)</f>
        <v>0</v>
      </c>
      <c r="AO1839" s="27" t="s">
        <v>61</v>
      </c>
      <c r="AT1839" s="25">
        <f>ROUND(AU1839+AV1839,2)</f>
        <v>0</v>
      </c>
      <c r="AU1839" s="25">
        <f>ROUND(G1839*AM1839,2)</f>
        <v>0</v>
      </c>
      <c r="AV1839" s="25">
        <f>ROUND(G1839*AN1839,2)</f>
        <v>0</v>
      </c>
      <c r="AW1839" s="27" t="s">
        <v>2088</v>
      </c>
      <c r="AX1839" s="27" t="s">
        <v>1954</v>
      </c>
      <c r="AY1839" s="10" t="s">
        <v>1707</v>
      </c>
      <c r="BA1839" s="25">
        <f>AU1839+AV1839</f>
        <v>0</v>
      </c>
      <c r="BB1839" s="25">
        <f>H1839/(100-BC1839)*100</f>
        <v>0</v>
      </c>
      <c r="BC1839" s="25">
        <v>0</v>
      </c>
      <c r="BD1839" s="25">
        <f>M1839</f>
        <v>0.90200000000000002</v>
      </c>
      <c r="BF1839" s="25">
        <f>G1839*AM1839</f>
        <v>0</v>
      </c>
      <c r="BG1839" s="25">
        <f>G1839*AN1839</f>
        <v>0</v>
      </c>
      <c r="BH1839" s="25">
        <f>G1839*H1839</f>
        <v>0</v>
      </c>
      <c r="BI1839" s="27" t="s">
        <v>65</v>
      </c>
      <c r="BJ1839" s="25">
        <v>723</v>
      </c>
      <c r="BU1839" s="25" t="e">
        <f>#REF!</f>
        <v>#REF!</v>
      </c>
      <c r="BV1839" s="4" t="s">
        <v>2100</v>
      </c>
    </row>
    <row r="1840" spans="1:74" ht="14.4" x14ac:dyDescent="0.3">
      <c r="A1840" s="28"/>
      <c r="D1840" s="29" t="s">
        <v>140</v>
      </c>
      <c r="E1840" s="29" t="s">
        <v>52</v>
      </c>
      <c r="G1840" s="30">
        <v>11</v>
      </c>
      <c r="H1840" s="63"/>
      <c r="N1840" s="31"/>
    </row>
    <row r="1841" spans="1:74" ht="14.4" x14ac:dyDescent="0.3">
      <c r="A1841" s="2" t="s">
        <v>2101</v>
      </c>
      <c r="B1841" s="3" t="s">
        <v>1699</v>
      </c>
      <c r="C1841" s="3" t="s">
        <v>2102</v>
      </c>
      <c r="D1841" s="112" t="s">
        <v>2103</v>
      </c>
      <c r="E1841" s="109"/>
      <c r="F1841" s="3" t="s">
        <v>115</v>
      </c>
      <c r="G1841" s="25">
        <v>376</v>
      </c>
      <c r="H1841" s="62"/>
      <c r="I1841" s="25">
        <f>ROUND(G1841*AM1841,2)</f>
        <v>0</v>
      </c>
      <c r="J1841" s="25">
        <f>ROUND(G1841*AN1841,2)</f>
        <v>0</v>
      </c>
      <c r="K1841" s="25">
        <f>ROUND(G1841*H1841,2)</f>
        <v>0</v>
      </c>
      <c r="L1841" s="25">
        <v>8.6700000000000006E-3</v>
      </c>
      <c r="M1841" s="25">
        <f>G1841*L1841</f>
        <v>3.2599200000000002</v>
      </c>
      <c r="N1841" s="26"/>
      <c r="X1841" s="25">
        <f>ROUND(IF(AO1841="5",BH1841,0),2)</f>
        <v>0</v>
      </c>
      <c r="Z1841" s="25">
        <f>ROUND(IF(AO1841="1",BF1841,0),2)</f>
        <v>0</v>
      </c>
      <c r="AA1841" s="25">
        <f>ROUND(IF(AO1841="1",BG1841,0),2)</f>
        <v>0</v>
      </c>
      <c r="AB1841" s="25">
        <f>ROUND(IF(AO1841="7",BF1841,0),2)</f>
        <v>0</v>
      </c>
      <c r="AC1841" s="25">
        <f>ROUND(IF(AO1841="7",BG1841,0),2)</f>
        <v>0</v>
      </c>
      <c r="AD1841" s="25">
        <f>ROUND(IF(AO1841="2",BF1841,0),2)</f>
        <v>0</v>
      </c>
      <c r="AE1841" s="25">
        <f>ROUND(IF(AO1841="2",BG1841,0),2)</f>
        <v>0</v>
      </c>
      <c r="AF1841" s="25">
        <f>ROUND(IF(AO1841="0",BH1841,0),2)</f>
        <v>0</v>
      </c>
      <c r="AG1841" s="10" t="s">
        <v>1699</v>
      </c>
      <c r="AH1841" s="25">
        <f>IF(AL1841=0,K1841,0)</f>
        <v>0</v>
      </c>
      <c r="AI1841" s="25">
        <f>IF(AL1841=12,K1841,0)</f>
        <v>0</v>
      </c>
      <c r="AJ1841" s="25">
        <f>IF(AL1841=21,K1841,0)</f>
        <v>0</v>
      </c>
      <c r="AL1841" s="25">
        <v>21</v>
      </c>
      <c r="AM1841" s="25">
        <f>H1841*0.86625641</f>
        <v>0</v>
      </c>
      <c r="AN1841" s="25">
        <f>H1841*(1-0.86625641)</f>
        <v>0</v>
      </c>
      <c r="AO1841" s="27" t="s">
        <v>61</v>
      </c>
      <c r="AT1841" s="25">
        <f>ROUND(AU1841+AV1841,2)</f>
        <v>0</v>
      </c>
      <c r="AU1841" s="25">
        <f>ROUND(G1841*AM1841,2)</f>
        <v>0</v>
      </c>
      <c r="AV1841" s="25">
        <f>ROUND(G1841*AN1841,2)</f>
        <v>0</v>
      </c>
      <c r="AW1841" s="27" t="s">
        <v>2088</v>
      </c>
      <c r="AX1841" s="27" t="s">
        <v>1954</v>
      </c>
      <c r="AY1841" s="10" t="s">
        <v>1707</v>
      </c>
      <c r="BA1841" s="25">
        <f>AU1841+AV1841</f>
        <v>0</v>
      </c>
      <c r="BB1841" s="25">
        <f>H1841/(100-BC1841)*100</f>
        <v>0</v>
      </c>
      <c r="BC1841" s="25">
        <v>0</v>
      </c>
      <c r="BD1841" s="25">
        <f>M1841</f>
        <v>3.2599200000000002</v>
      </c>
      <c r="BF1841" s="25">
        <f>G1841*AM1841</f>
        <v>0</v>
      </c>
      <c r="BG1841" s="25">
        <f>G1841*AN1841</f>
        <v>0</v>
      </c>
      <c r="BH1841" s="25">
        <f>G1841*H1841</f>
        <v>0</v>
      </c>
      <c r="BI1841" s="27" t="s">
        <v>65</v>
      </c>
      <c r="BJ1841" s="25">
        <v>723</v>
      </c>
      <c r="BU1841" s="25" t="e">
        <f>#REF!</f>
        <v>#REF!</v>
      </c>
      <c r="BV1841" s="4" t="s">
        <v>2103</v>
      </c>
    </row>
    <row r="1842" spans="1:74" ht="14.4" x14ac:dyDescent="0.3">
      <c r="A1842" s="28"/>
      <c r="D1842" s="29" t="s">
        <v>1787</v>
      </c>
      <c r="E1842" s="29" t="s">
        <v>52</v>
      </c>
      <c r="G1842" s="30">
        <v>376</v>
      </c>
      <c r="H1842" s="63"/>
      <c r="N1842" s="31"/>
    </row>
    <row r="1843" spans="1:74" ht="14.4" x14ac:dyDescent="0.3">
      <c r="A1843" s="2" t="s">
        <v>2104</v>
      </c>
      <c r="B1843" s="3" t="s">
        <v>1699</v>
      </c>
      <c r="C1843" s="3" t="s">
        <v>2102</v>
      </c>
      <c r="D1843" s="112" t="s">
        <v>2105</v>
      </c>
      <c r="E1843" s="109"/>
      <c r="F1843" s="3" t="s">
        <v>115</v>
      </c>
      <c r="G1843" s="25">
        <v>261</v>
      </c>
      <c r="H1843" s="62"/>
      <c r="I1843" s="25">
        <f>ROUND(G1843*AM1843,2)</f>
        <v>0</v>
      </c>
      <c r="J1843" s="25">
        <f>ROUND(G1843*AN1843,2)</f>
        <v>0</v>
      </c>
      <c r="K1843" s="25">
        <f>ROUND(G1843*H1843,2)</f>
        <v>0</v>
      </c>
      <c r="L1843" s="25">
        <v>8.6700000000000006E-3</v>
      </c>
      <c r="M1843" s="25">
        <f>G1843*L1843</f>
        <v>2.2628700000000004</v>
      </c>
      <c r="N1843" s="26"/>
      <c r="X1843" s="25">
        <f>ROUND(IF(AO1843="5",BH1843,0),2)</f>
        <v>0</v>
      </c>
      <c r="Z1843" s="25">
        <f>ROUND(IF(AO1843="1",BF1843,0),2)</f>
        <v>0</v>
      </c>
      <c r="AA1843" s="25">
        <f>ROUND(IF(AO1843="1",BG1843,0),2)</f>
        <v>0</v>
      </c>
      <c r="AB1843" s="25">
        <f>ROUND(IF(AO1843="7",BF1843,0),2)</f>
        <v>0</v>
      </c>
      <c r="AC1843" s="25">
        <f>ROUND(IF(AO1843="7",BG1843,0),2)</f>
        <v>0</v>
      </c>
      <c r="AD1843" s="25">
        <f>ROUND(IF(AO1843="2",BF1843,0),2)</f>
        <v>0</v>
      </c>
      <c r="AE1843" s="25">
        <f>ROUND(IF(AO1843="2",BG1843,0),2)</f>
        <v>0</v>
      </c>
      <c r="AF1843" s="25">
        <f>ROUND(IF(AO1843="0",BH1843,0),2)</f>
        <v>0</v>
      </c>
      <c r="AG1843" s="10" t="s">
        <v>1699</v>
      </c>
      <c r="AH1843" s="25">
        <f>IF(AL1843=0,K1843,0)</f>
        <v>0</v>
      </c>
      <c r="AI1843" s="25">
        <f>IF(AL1843=12,K1843,0)</f>
        <v>0</v>
      </c>
      <c r="AJ1843" s="25">
        <f>IF(AL1843=21,K1843,0)</f>
        <v>0</v>
      </c>
      <c r="AL1843" s="25">
        <v>21</v>
      </c>
      <c r="AM1843" s="25">
        <f>H1843*0.866253968</f>
        <v>0</v>
      </c>
      <c r="AN1843" s="25">
        <f>H1843*(1-0.866253968)</f>
        <v>0</v>
      </c>
      <c r="AO1843" s="27" t="s">
        <v>61</v>
      </c>
      <c r="AT1843" s="25">
        <f>ROUND(AU1843+AV1843,2)</f>
        <v>0</v>
      </c>
      <c r="AU1843" s="25">
        <f>ROUND(G1843*AM1843,2)</f>
        <v>0</v>
      </c>
      <c r="AV1843" s="25">
        <f>ROUND(G1843*AN1843,2)</f>
        <v>0</v>
      </c>
      <c r="AW1843" s="27" t="s">
        <v>2088</v>
      </c>
      <c r="AX1843" s="27" t="s">
        <v>1954</v>
      </c>
      <c r="AY1843" s="10" t="s">
        <v>1707</v>
      </c>
      <c r="BA1843" s="25">
        <f>AU1843+AV1843</f>
        <v>0</v>
      </c>
      <c r="BB1843" s="25">
        <f>H1843/(100-BC1843)*100</f>
        <v>0</v>
      </c>
      <c r="BC1843" s="25">
        <v>0</v>
      </c>
      <c r="BD1843" s="25">
        <f>M1843</f>
        <v>2.2628700000000004</v>
      </c>
      <c r="BF1843" s="25">
        <f>G1843*AM1843</f>
        <v>0</v>
      </c>
      <c r="BG1843" s="25">
        <f>G1843*AN1843</f>
        <v>0</v>
      </c>
      <c r="BH1843" s="25">
        <f>G1843*H1843</f>
        <v>0</v>
      </c>
      <c r="BI1843" s="27" t="s">
        <v>65</v>
      </c>
      <c r="BJ1843" s="25">
        <v>723</v>
      </c>
      <c r="BU1843" s="25" t="e">
        <f>#REF!</f>
        <v>#REF!</v>
      </c>
      <c r="BV1843" s="4" t="s">
        <v>2105</v>
      </c>
    </row>
    <row r="1844" spans="1:74" ht="14.4" x14ac:dyDescent="0.3">
      <c r="A1844" s="28"/>
      <c r="D1844" s="29" t="s">
        <v>1396</v>
      </c>
      <c r="E1844" s="29" t="s">
        <v>52</v>
      </c>
      <c r="G1844" s="30">
        <v>261</v>
      </c>
      <c r="H1844" s="63"/>
      <c r="N1844" s="31"/>
    </row>
    <row r="1845" spans="1:74" ht="14.4" x14ac:dyDescent="0.3">
      <c r="A1845" s="21" t="s">
        <v>52</v>
      </c>
      <c r="B1845" s="22" t="s">
        <v>1699</v>
      </c>
      <c r="C1845" s="22" t="s">
        <v>95</v>
      </c>
      <c r="D1845" s="170" t="s">
        <v>96</v>
      </c>
      <c r="E1845" s="171"/>
      <c r="F1845" s="23" t="s">
        <v>32</v>
      </c>
      <c r="G1845" s="23" t="s">
        <v>32</v>
      </c>
      <c r="H1845" s="64"/>
      <c r="I1845" s="1">
        <f>SUM(I1846:I1890)</f>
        <v>0</v>
      </c>
      <c r="J1845" s="1">
        <f>SUM(J1846:J1890)</f>
        <v>0</v>
      </c>
      <c r="K1845" s="1">
        <f>SUM(K1846:K1890)</f>
        <v>0</v>
      </c>
      <c r="L1845" s="10" t="s">
        <v>52</v>
      </c>
      <c r="M1845" s="1">
        <f>SUM(M1846:M1890)</f>
        <v>0.40175999999999989</v>
      </c>
      <c r="N1845" s="24"/>
      <c r="AG1845" s="10" t="s">
        <v>1699</v>
      </c>
      <c r="AQ1845" s="1">
        <f>SUM(AH1846:AH1890)</f>
        <v>0</v>
      </c>
      <c r="AR1845" s="1">
        <f>SUM(AI1846:AI1890)</f>
        <v>0</v>
      </c>
      <c r="AS1845" s="1">
        <f>SUM(AJ1846:AJ1890)</f>
        <v>0</v>
      </c>
    </row>
    <row r="1846" spans="1:74" ht="26.4" x14ac:dyDescent="0.3">
      <c r="A1846" s="2" t="s">
        <v>2106</v>
      </c>
      <c r="B1846" s="3" t="s">
        <v>1699</v>
      </c>
      <c r="C1846" s="3" t="s">
        <v>2107</v>
      </c>
      <c r="D1846" s="112" t="s">
        <v>2108</v>
      </c>
      <c r="E1846" s="109"/>
      <c r="F1846" s="3" t="s">
        <v>860</v>
      </c>
      <c r="G1846" s="25">
        <v>2</v>
      </c>
      <c r="H1846" s="62"/>
      <c r="I1846" s="25">
        <f>ROUND(G1846*AM1846,2)</f>
        <v>0</v>
      </c>
      <c r="J1846" s="25">
        <f>ROUND(G1846*AN1846,2)</f>
        <v>0</v>
      </c>
      <c r="K1846" s="25">
        <f>ROUND(G1846*H1846,2)</f>
        <v>0</v>
      </c>
      <c r="L1846" s="25">
        <v>1.77E-2</v>
      </c>
      <c r="M1846" s="25">
        <f>G1846*L1846</f>
        <v>3.5400000000000001E-2</v>
      </c>
      <c r="N1846" s="26"/>
      <c r="X1846" s="25">
        <f>ROUND(IF(AO1846="5",BH1846,0),2)</f>
        <v>0</v>
      </c>
      <c r="Z1846" s="25">
        <f>ROUND(IF(AO1846="1",BF1846,0),2)</f>
        <v>0</v>
      </c>
      <c r="AA1846" s="25">
        <f>ROUND(IF(AO1846="1",BG1846,0),2)</f>
        <v>0</v>
      </c>
      <c r="AB1846" s="25">
        <f>ROUND(IF(AO1846="7",BF1846,0),2)</f>
        <v>0</v>
      </c>
      <c r="AC1846" s="25">
        <f>ROUND(IF(AO1846="7",BG1846,0),2)</f>
        <v>0</v>
      </c>
      <c r="AD1846" s="25">
        <f>ROUND(IF(AO1846="2",BF1846,0),2)</f>
        <v>0</v>
      </c>
      <c r="AE1846" s="25">
        <f>ROUND(IF(AO1846="2",BG1846,0),2)</f>
        <v>0</v>
      </c>
      <c r="AF1846" s="25">
        <f>ROUND(IF(AO1846="0",BH1846,0),2)</f>
        <v>0</v>
      </c>
      <c r="AG1846" s="10" t="s">
        <v>1699</v>
      </c>
      <c r="AH1846" s="25">
        <f>IF(AL1846=0,K1846,0)</f>
        <v>0</v>
      </c>
      <c r="AI1846" s="25">
        <f>IF(AL1846=12,K1846,0)</f>
        <v>0</v>
      </c>
      <c r="AJ1846" s="25">
        <f>IF(AL1846=21,K1846,0)</f>
        <v>0</v>
      </c>
      <c r="AL1846" s="25">
        <v>21</v>
      </c>
      <c r="AM1846" s="25">
        <f>H1846*0.869690309</f>
        <v>0</v>
      </c>
      <c r="AN1846" s="25">
        <f>H1846*(1-0.869690309)</f>
        <v>0</v>
      </c>
      <c r="AO1846" s="27" t="s">
        <v>61</v>
      </c>
      <c r="AT1846" s="25">
        <f>ROUND(AU1846+AV1846,2)</f>
        <v>0</v>
      </c>
      <c r="AU1846" s="25">
        <f>ROUND(G1846*AM1846,2)</f>
        <v>0</v>
      </c>
      <c r="AV1846" s="25">
        <f>ROUND(G1846*AN1846,2)</f>
        <v>0</v>
      </c>
      <c r="AW1846" s="27" t="s">
        <v>101</v>
      </c>
      <c r="AX1846" s="27" t="s">
        <v>1954</v>
      </c>
      <c r="AY1846" s="10" t="s">
        <v>1707</v>
      </c>
      <c r="BA1846" s="25">
        <f>AU1846+AV1846</f>
        <v>0</v>
      </c>
      <c r="BB1846" s="25">
        <f>H1846/(100-BC1846)*100</f>
        <v>0</v>
      </c>
      <c r="BC1846" s="25">
        <v>0</v>
      </c>
      <c r="BD1846" s="25">
        <f>M1846</f>
        <v>3.5400000000000001E-2</v>
      </c>
      <c r="BF1846" s="25">
        <f>G1846*AM1846</f>
        <v>0</v>
      </c>
      <c r="BG1846" s="25">
        <f>G1846*AN1846</f>
        <v>0</v>
      </c>
      <c r="BH1846" s="25">
        <f>G1846*H1846</f>
        <v>0</v>
      </c>
      <c r="BI1846" s="27" t="s">
        <v>65</v>
      </c>
      <c r="BJ1846" s="25">
        <v>725</v>
      </c>
      <c r="BU1846" s="25" t="e">
        <f>#REF!</f>
        <v>#REF!</v>
      </c>
      <c r="BV1846" s="4" t="s">
        <v>2108</v>
      </c>
    </row>
    <row r="1847" spans="1:74" ht="14.4" x14ac:dyDescent="0.3">
      <c r="A1847" s="28"/>
      <c r="D1847" s="29" t="s">
        <v>81</v>
      </c>
      <c r="E1847" s="29" t="s">
        <v>52</v>
      </c>
      <c r="G1847" s="30">
        <v>2</v>
      </c>
      <c r="H1847" s="63"/>
      <c r="N1847" s="31"/>
    </row>
    <row r="1848" spans="1:74" ht="14.4" x14ac:dyDescent="0.3">
      <c r="A1848" s="2" t="s">
        <v>2109</v>
      </c>
      <c r="B1848" s="3" t="s">
        <v>1699</v>
      </c>
      <c r="C1848" s="3" t="s">
        <v>2110</v>
      </c>
      <c r="D1848" s="112" t="s">
        <v>2111</v>
      </c>
      <c r="E1848" s="109"/>
      <c r="F1848" s="3" t="s">
        <v>860</v>
      </c>
      <c r="G1848" s="25">
        <v>2</v>
      </c>
      <c r="H1848" s="62"/>
      <c r="I1848" s="25">
        <f>ROUND(G1848*AM1848,2)</f>
        <v>0</v>
      </c>
      <c r="J1848" s="25">
        <f>ROUND(G1848*AN1848,2)</f>
        <v>0</v>
      </c>
      <c r="K1848" s="25">
        <f>ROUND(G1848*H1848,2)</f>
        <v>0</v>
      </c>
      <c r="L1848" s="25">
        <v>0</v>
      </c>
      <c r="M1848" s="25">
        <f>G1848*L1848</f>
        <v>0</v>
      </c>
      <c r="N1848" s="26"/>
      <c r="X1848" s="25">
        <f>ROUND(IF(AO1848="5",BH1848,0),2)</f>
        <v>0</v>
      </c>
      <c r="Z1848" s="25">
        <f>ROUND(IF(AO1848="1",BF1848,0),2)</f>
        <v>0</v>
      </c>
      <c r="AA1848" s="25">
        <f>ROUND(IF(AO1848="1",BG1848,0),2)</f>
        <v>0</v>
      </c>
      <c r="AB1848" s="25">
        <f>ROUND(IF(AO1848="7",BF1848,0),2)</f>
        <v>0</v>
      </c>
      <c r="AC1848" s="25">
        <f>ROUND(IF(AO1848="7",BG1848,0),2)</f>
        <v>0</v>
      </c>
      <c r="AD1848" s="25">
        <f>ROUND(IF(AO1848="2",BF1848,0),2)</f>
        <v>0</v>
      </c>
      <c r="AE1848" s="25">
        <f>ROUND(IF(AO1848="2",BG1848,0),2)</f>
        <v>0</v>
      </c>
      <c r="AF1848" s="25">
        <f>ROUND(IF(AO1848="0",BH1848,0),2)</f>
        <v>0</v>
      </c>
      <c r="AG1848" s="10" t="s">
        <v>1699</v>
      </c>
      <c r="AH1848" s="25">
        <f>IF(AL1848=0,K1848,0)</f>
        <v>0</v>
      </c>
      <c r="AI1848" s="25">
        <f>IF(AL1848=12,K1848,0)</f>
        <v>0</v>
      </c>
      <c r="AJ1848" s="25">
        <f>IF(AL1848=21,K1848,0)</f>
        <v>0</v>
      </c>
      <c r="AL1848" s="25">
        <v>21</v>
      </c>
      <c r="AM1848" s="25">
        <f>H1848*0</f>
        <v>0</v>
      </c>
      <c r="AN1848" s="25">
        <f>H1848*(1-0)</f>
        <v>0</v>
      </c>
      <c r="AO1848" s="27" t="s">
        <v>61</v>
      </c>
      <c r="AT1848" s="25">
        <f>ROUND(AU1848+AV1848,2)</f>
        <v>0</v>
      </c>
      <c r="AU1848" s="25">
        <f>ROUND(G1848*AM1848,2)</f>
        <v>0</v>
      </c>
      <c r="AV1848" s="25">
        <f>ROUND(G1848*AN1848,2)</f>
        <v>0</v>
      </c>
      <c r="AW1848" s="27" t="s">
        <v>101</v>
      </c>
      <c r="AX1848" s="27" t="s">
        <v>1954</v>
      </c>
      <c r="AY1848" s="10" t="s">
        <v>1707</v>
      </c>
      <c r="BA1848" s="25">
        <f>AU1848+AV1848</f>
        <v>0</v>
      </c>
      <c r="BB1848" s="25">
        <f>H1848/(100-BC1848)*100</f>
        <v>0</v>
      </c>
      <c r="BC1848" s="25">
        <v>0</v>
      </c>
      <c r="BD1848" s="25">
        <f>M1848</f>
        <v>0</v>
      </c>
      <c r="BF1848" s="25">
        <f>G1848*AM1848</f>
        <v>0</v>
      </c>
      <c r="BG1848" s="25">
        <f>G1848*AN1848</f>
        <v>0</v>
      </c>
      <c r="BH1848" s="25">
        <f>G1848*H1848</f>
        <v>0</v>
      </c>
      <c r="BI1848" s="27" t="s">
        <v>65</v>
      </c>
      <c r="BJ1848" s="25">
        <v>725</v>
      </c>
      <c r="BU1848" s="25" t="e">
        <f>#REF!</f>
        <v>#REF!</v>
      </c>
      <c r="BV1848" s="4" t="s">
        <v>2111</v>
      </c>
    </row>
    <row r="1849" spans="1:74" ht="14.4" x14ac:dyDescent="0.3">
      <c r="A1849" s="28"/>
      <c r="D1849" s="29" t="s">
        <v>81</v>
      </c>
      <c r="E1849" s="29" t="s">
        <v>52</v>
      </c>
      <c r="G1849" s="30">
        <v>2</v>
      </c>
      <c r="H1849" s="63"/>
      <c r="N1849" s="31"/>
    </row>
    <row r="1850" spans="1:74" ht="14.4" x14ac:dyDescent="0.3">
      <c r="A1850" s="2" t="s">
        <v>2112</v>
      </c>
      <c r="B1850" s="3" t="s">
        <v>1699</v>
      </c>
      <c r="C1850" s="3" t="s">
        <v>2113</v>
      </c>
      <c r="D1850" s="112" t="s">
        <v>2114</v>
      </c>
      <c r="E1850" s="109"/>
      <c r="F1850" s="3" t="s">
        <v>860</v>
      </c>
      <c r="G1850" s="25">
        <v>2</v>
      </c>
      <c r="H1850" s="62"/>
      <c r="I1850" s="25">
        <f>ROUND(G1850*AM1850,2)</f>
        <v>0</v>
      </c>
      <c r="J1850" s="25">
        <f>ROUND(G1850*AN1850,2)</f>
        <v>0</v>
      </c>
      <c r="K1850" s="25">
        <f>ROUND(G1850*H1850,2)</f>
        <v>0</v>
      </c>
      <c r="L1850" s="25">
        <v>1.2970000000000001E-2</v>
      </c>
      <c r="M1850" s="25">
        <f>G1850*L1850</f>
        <v>2.5940000000000001E-2</v>
      </c>
      <c r="N1850" s="26"/>
      <c r="X1850" s="25">
        <f>ROUND(IF(AO1850="5",BH1850,0),2)</f>
        <v>0</v>
      </c>
      <c r="Z1850" s="25">
        <f>ROUND(IF(AO1850="1",BF1850,0),2)</f>
        <v>0</v>
      </c>
      <c r="AA1850" s="25">
        <f>ROUND(IF(AO1850="1",BG1850,0),2)</f>
        <v>0</v>
      </c>
      <c r="AB1850" s="25">
        <f>ROUND(IF(AO1850="7",BF1850,0),2)</f>
        <v>0</v>
      </c>
      <c r="AC1850" s="25">
        <f>ROUND(IF(AO1850="7",BG1850,0),2)</f>
        <v>0</v>
      </c>
      <c r="AD1850" s="25">
        <f>ROUND(IF(AO1850="2",BF1850,0),2)</f>
        <v>0</v>
      </c>
      <c r="AE1850" s="25">
        <f>ROUND(IF(AO1850="2",BG1850,0),2)</f>
        <v>0</v>
      </c>
      <c r="AF1850" s="25">
        <f>ROUND(IF(AO1850="0",BH1850,0),2)</f>
        <v>0</v>
      </c>
      <c r="AG1850" s="10" t="s">
        <v>1699</v>
      </c>
      <c r="AH1850" s="25">
        <f>IF(AL1850=0,K1850,0)</f>
        <v>0</v>
      </c>
      <c r="AI1850" s="25">
        <f>IF(AL1850=12,K1850,0)</f>
        <v>0</v>
      </c>
      <c r="AJ1850" s="25">
        <f>IF(AL1850=21,K1850,0)</f>
        <v>0</v>
      </c>
      <c r="AL1850" s="25">
        <v>21</v>
      </c>
      <c r="AM1850" s="25">
        <f>H1850*0.883307522</f>
        <v>0</v>
      </c>
      <c r="AN1850" s="25">
        <f>H1850*(1-0.883307522)</f>
        <v>0</v>
      </c>
      <c r="AO1850" s="27" t="s">
        <v>61</v>
      </c>
      <c r="AT1850" s="25">
        <f>ROUND(AU1850+AV1850,2)</f>
        <v>0</v>
      </c>
      <c r="AU1850" s="25">
        <f>ROUND(G1850*AM1850,2)</f>
        <v>0</v>
      </c>
      <c r="AV1850" s="25">
        <f>ROUND(G1850*AN1850,2)</f>
        <v>0</v>
      </c>
      <c r="AW1850" s="27" t="s">
        <v>101</v>
      </c>
      <c r="AX1850" s="27" t="s">
        <v>1954</v>
      </c>
      <c r="AY1850" s="10" t="s">
        <v>1707</v>
      </c>
      <c r="BA1850" s="25">
        <f>AU1850+AV1850</f>
        <v>0</v>
      </c>
      <c r="BB1850" s="25">
        <f>H1850/(100-BC1850)*100</f>
        <v>0</v>
      </c>
      <c r="BC1850" s="25">
        <v>0</v>
      </c>
      <c r="BD1850" s="25">
        <f>M1850</f>
        <v>2.5940000000000001E-2</v>
      </c>
      <c r="BF1850" s="25">
        <f>G1850*AM1850</f>
        <v>0</v>
      </c>
      <c r="BG1850" s="25">
        <f>G1850*AN1850</f>
        <v>0</v>
      </c>
      <c r="BH1850" s="25">
        <f>G1850*H1850</f>
        <v>0</v>
      </c>
      <c r="BI1850" s="27" t="s">
        <v>65</v>
      </c>
      <c r="BJ1850" s="25">
        <v>725</v>
      </c>
      <c r="BU1850" s="25" t="e">
        <f>#REF!</f>
        <v>#REF!</v>
      </c>
      <c r="BV1850" s="4" t="s">
        <v>2114</v>
      </c>
    </row>
    <row r="1851" spans="1:74" ht="14.4" x14ac:dyDescent="0.3">
      <c r="A1851" s="28"/>
      <c r="D1851" s="29" t="s">
        <v>81</v>
      </c>
      <c r="E1851" s="29" t="s">
        <v>52</v>
      </c>
      <c r="G1851" s="30">
        <v>2</v>
      </c>
      <c r="H1851" s="63"/>
      <c r="N1851" s="31"/>
    </row>
    <row r="1852" spans="1:74" ht="14.4" x14ac:dyDescent="0.3">
      <c r="A1852" s="2" t="s">
        <v>2115</v>
      </c>
      <c r="B1852" s="3" t="s">
        <v>1699</v>
      </c>
      <c r="C1852" s="3" t="s">
        <v>2116</v>
      </c>
      <c r="D1852" s="112" t="s">
        <v>2117</v>
      </c>
      <c r="E1852" s="109"/>
      <c r="F1852" s="3" t="s">
        <v>860</v>
      </c>
      <c r="G1852" s="25">
        <v>3</v>
      </c>
      <c r="H1852" s="62"/>
      <c r="I1852" s="25">
        <f>ROUND(G1852*AM1852,2)</f>
        <v>0</v>
      </c>
      <c r="J1852" s="25">
        <f>ROUND(G1852*AN1852,2)</f>
        <v>0</v>
      </c>
      <c r="K1852" s="25">
        <f>ROUND(G1852*H1852,2)</f>
        <v>0</v>
      </c>
      <c r="L1852" s="25">
        <v>1.4420000000000001E-2</v>
      </c>
      <c r="M1852" s="25">
        <f>G1852*L1852</f>
        <v>4.326E-2</v>
      </c>
      <c r="N1852" s="26"/>
      <c r="X1852" s="25">
        <f>ROUND(IF(AO1852="5",BH1852,0),2)</f>
        <v>0</v>
      </c>
      <c r="Z1852" s="25">
        <f>ROUND(IF(AO1852="1",BF1852,0),2)</f>
        <v>0</v>
      </c>
      <c r="AA1852" s="25">
        <f>ROUND(IF(AO1852="1",BG1852,0),2)</f>
        <v>0</v>
      </c>
      <c r="AB1852" s="25">
        <f>ROUND(IF(AO1852="7",BF1852,0),2)</f>
        <v>0</v>
      </c>
      <c r="AC1852" s="25">
        <f>ROUND(IF(AO1852="7",BG1852,0),2)</f>
        <v>0</v>
      </c>
      <c r="AD1852" s="25">
        <f>ROUND(IF(AO1852="2",BF1852,0),2)</f>
        <v>0</v>
      </c>
      <c r="AE1852" s="25">
        <f>ROUND(IF(AO1852="2",BG1852,0),2)</f>
        <v>0</v>
      </c>
      <c r="AF1852" s="25">
        <f>ROUND(IF(AO1852="0",BH1852,0),2)</f>
        <v>0</v>
      </c>
      <c r="AG1852" s="10" t="s">
        <v>1699</v>
      </c>
      <c r="AH1852" s="25">
        <f>IF(AL1852=0,K1852,0)</f>
        <v>0</v>
      </c>
      <c r="AI1852" s="25">
        <f>IF(AL1852=12,K1852,0)</f>
        <v>0</v>
      </c>
      <c r="AJ1852" s="25">
        <f>IF(AL1852=21,K1852,0)</f>
        <v>0</v>
      </c>
      <c r="AL1852" s="25">
        <v>21</v>
      </c>
      <c r="AM1852" s="25">
        <f>H1852*0.8721553</f>
        <v>0</v>
      </c>
      <c r="AN1852" s="25">
        <f>H1852*(1-0.8721553)</f>
        <v>0</v>
      </c>
      <c r="AO1852" s="27" t="s">
        <v>61</v>
      </c>
      <c r="AT1852" s="25">
        <f>ROUND(AU1852+AV1852,2)</f>
        <v>0</v>
      </c>
      <c r="AU1852" s="25">
        <f>ROUND(G1852*AM1852,2)</f>
        <v>0</v>
      </c>
      <c r="AV1852" s="25">
        <f>ROUND(G1852*AN1852,2)</f>
        <v>0</v>
      </c>
      <c r="AW1852" s="27" t="s">
        <v>101</v>
      </c>
      <c r="AX1852" s="27" t="s">
        <v>1954</v>
      </c>
      <c r="AY1852" s="10" t="s">
        <v>1707</v>
      </c>
      <c r="BA1852" s="25">
        <f>AU1852+AV1852</f>
        <v>0</v>
      </c>
      <c r="BB1852" s="25">
        <f>H1852/(100-BC1852)*100</f>
        <v>0</v>
      </c>
      <c r="BC1852" s="25">
        <v>0</v>
      </c>
      <c r="BD1852" s="25">
        <f>M1852</f>
        <v>4.326E-2</v>
      </c>
      <c r="BF1852" s="25">
        <f>G1852*AM1852</f>
        <v>0</v>
      </c>
      <c r="BG1852" s="25">
        <f>G1852*AN1852</f>
        <v>0</v>
      </c>
      <c r="BH1852" s="25">
        <f>G1852*H1852</f>
        <v>0</v>
      </c>
      <c r="BI1852" s="27" t="s">
        <v>65</v>
      </c>
      <c r="BJ1852" s="25">
        <v>725</v>
      </c>
      <c r="BU1852" s="25" t="e">
        <f>#REF!</f>
        <v>#REF!</v>
      </c>
      <c r="BV1852" s="4" t="s">
        <v>2117</v>
      </c>
    </row>
    <row r="1853" spans="1:74" ht="14.4" x14ac:dyDescent="0.3">
      <c r="A1853" s="28"/>
      <c r="D1853" s="29" t="s">
        <v>87</v>
      </c>
      <c r="E1853" s="29" t="s">
        <v>52</v>
      </c>
      <c r="G1853" s="30">
        <v>3</v>
      </c>
      <c r="H1853" s="63"/>
      <c r="N1853" s="31"/>
    </row>
    <row r="1854" spans="1:74" ht="14.4" x14ac:dyDescent="0.3">
      <c r="A1854" s="2" t="s">
        <v>2118</v>
      </c>
      <c r="B1854" s="3" t="s">
        <v>1699</v>
      </c>
      <c r="C1854" s="3" t="s">
        <v>2119</v>
      </c>
      <c r="D1854" s="112" t="s">
        <v>2120</v>
      </c>
      <c r="E1854" s="109"/>
      <c r="F1854" s="3" t="s">
        <v>860</v>
      </c>
      <c r="G1854" s="25">
        <v>2</v>
      </c>
      <c r="H1854" s="62"/>
      <c r="I1854" s="25">
        <f>ROUND(G1854*AM1854,2)</f>
        <v>0</v>
      </c>
      <c r="J1854" s="25">
        <f>ROUND(G1854*AN1854,2)</f>
        <v>0</v>
      </c>
      <c r="K1854" s="25">
        <f>ROUND(G1854*H1854,2)</f>
        <v>0</v>
      </c>
      <c r="L1854" s="25">
        <v>1.001E-2</v>
      </c>
      <c r="M1854" s="25">
        <f>G1854*L1854</f>
        <v>2.002E-2</v>
      </c>
      <c r="N1854" s="26"/>
      <c r="X1854" s="25">
        <f>ROUND(IF(AO1854="5",BH1854,0),2)</f>
        <v>0</v>
      </c>
      <c r="Z1854" s="25">
        <f>ROUND(IF(AO1854="1",BF1854,0),2)</f>
        <v>0</v>
      </c>
      <c r="AA1854" s="25">
        <f>ROUND(IF(AO1854="1",BG1854,0),2)</f>
        <v>0</v>
      </c>
      <c r="AB1854" s="25">
        <f>ROUND(IF(AO1854="7",BF1854,0),2)</f>
        <v>0</v>
      </c>
      <c r="AC1854" s="25">
        <f>ROUND(IF(AO1854="7",BG1854,0),2)</f>
        <v>0</v>
      </c>
      <c r="AD1854" s="25">
        <f>ROUND(IF(AO1854="2",BF1854,0),2)</f>
        <v>0</v>
      </c>
      <c r="AE1854" s="25">
        <f>ROUND(IF(AO1854="2",BG1854,0),2)</f>
        <v>0</v>
      </c>
      <c r="AF1854" s="25">
        <f>ROUND(IF(AO1854="0",BH1854,0),2)</f>
        <v>0</v>
      </c>
      <c r="AG1854" s="10" t="s">
        <v>1699</v>
      </c>
      <c r="AH1854" s="25">
        <f>IF(AL1854=0,K1854,0)</f>
        <v>0</v>
      </c>
      <c r="AI1854" s="25">
        <f>IF(AL1854=12,K1854,0)</f>
        <v>0</v>
      </c>
      <c r="AJ1854" s="25">
        <f>IF(AL1854=21,K1854,0)</f>
        <v>0</v>
      </c>
      <c r="AL1854" s="25">
        <v>21</v>
      </c>
      <c r="AM1854" s="25">
        <f>H1854*0.597100671</f>
        <v>0</v>
      </c>
      <c r="AN1854" s="25">
        <f>H1854*(1-0.597100671)</f>
        <v>0</v>
      </c>
      <c r="AO1854" s="27" t="s">
        <v>61</v>
      </c>
      <c r="AT1854" s="25">
        <f>ROUND(AU1854+AV1854,2)</f>
        <v>0</v>
      </c>
      <c r="AU1854" s="25">
        <f>ROUND(G1854*AM1854,2)</f>
        <v>0</v>
      </c>
      <c r="AV1854" s="25">
        <f>ROUND(G1854*AN1854,2)</f>
        <v>0</v>
      </c>
      <c r="AW1854" s="27" t="s">
        <v>101</v>
      </c>
      <c r="AX1854" s="27" t="s">
        <v>1954</v>
      </c>
      <c r="AY1854" s="10" t="s">
        <v>1707</v>
      </c>
      <c r="BA1854" s="25">
        <f>AU1854+AV1854</f>
        <v>0</v>
      </c>
      <c r="BB1854" s="25">
        <f>H1854/(100-BC1854)*100</f>
        <v>0</v>
      </c>
      <c r="BC1854" s="25">
        <v>0</v>
      </c>
      <c r="BD1854" s="25">
        <f>M1854</f>
        <v>2.002E-2</v>
      </c>
      <c r="BF1854" s="25">
        <f>G1854*AM1854</f>
        <v>0</v>
      </c>
      <c r="BG1854" s="25">
        <f>G1854*AN1854</f>
        <v>0</v>
      </c>
      <c r="BH1854" s="25">
        <f>G1854*H1854</f>
        <v>0</v>
      </c>
      <c r="BI1854" s="27" t="s">
        <v>65</v>
      </c>
      <c r="BJ1854" s="25">
        <v>725</v>
      </c>
      <c r="BU1854" s="25" t="e">
        <f>#REF!</f>
        <v>#REF!</v>
      </c>
      <c r="BV1854" s="4" t="s">
        <v>2120</v>
      </c>
    </row>
    <row r="1855" spans="1:74" ht="14.4" x14ac:dyDescent="0.3">
      <c r="A1855" s="28"/>
      <c r="D1855" s="29" t="s">
        <v>81</v>
      </c>
      <c r="E1855" s="29" t="s">
        <v>52</v>
      </c>
      <c r="G1855" s="30">
        <v>2</v>
      </c>
      <c r="H1855" s="63"/>
      <c r="N1855" s="31"/>
    </row>
    <row r="1856" spans="1:74" ht="14.4" x14ac:dyDescent="0.3">
      <c r="A1856" s="2" t="s">
        <v>2121</v>
      </c>
      <c r="B1856" s="3" t="s">
        <v>1699</v>
      </c>
      <c r="C1856" s="3" t="s">
        <v>2122</v>
      </c>
      <c r="D1856" s="112" t="s">
        <v>2123</v>
      </c>
      <c r="E1856" s="109"/>
      <c r="F1856" s="3" t="s">
        <v>860</v>
      </c>
      <c r="G1856" s="25">
        <v>9</v>
      </c>
      <c r="H1856" s="62"/>
      <c r="I1856" s="25">
        <f>ROUND(G1856*AM1856,2)</f>
        <v>0</v>
      </c>
      <c r="J1856" s="25">
        <f>ROUND(G1856*AN1856,2)</f>
        <v>0</v>
      </c>
      <c r="K1856" s="25">
        <f>ROUND(G1856*H1856,2)</f>
        <v>0</v>
      </c>
      <c r="L1856" s="25">
        <v>1.521E-2</v>
      </c>
      <c r="M1856" s="25">
        <f>G1856*L1856</f>
        <v>0.13688999999999998</v>
      </c>
      <c r="N1856" s="26"/>
      <c r="X1856" s="25">
        <f>ROUND(IF(AO1856="5",BH1856,0),2)</f>
        <v>0</v>
      </c>
      <c r="Z1856" s="25">
        <f>ROUND(IF(AO1856="1",BF1856,0),2)</f>
        <v>0</v>
      </c>
      <c r="AA1856" s="25">
        <f>ROUND(IF(AO1856="1",BG1856,0),2)</f>
        <v>0</v>
      </c>
      <c r="AB1856" s="25">
        <f>ROUND(IF(AO1856="7",BF1856,0),2)</f>
        <v>0</v>
      </c>
      <c r="AC1856" s="25">
        <f>ROUND(IF(AO1856="7",BG1856,0),2)</f>
        <v>0</v>
      </c>
      <c r="AD1856" s="25">
        <f>ROUND(IF(AO1856="2",BF1856,0),2)</f>
        <v>0</v>
      </c>
      <c r="AE1856" s="25">
        <f>ROUND(IF(AO1856="2",BG1856,0),2)</f>
        <v>0</v>
      </c>
      <c r="AF1856" s="25">
        <f>ROUND(IF(AO1856="0",BH1856,0),2)</f>
        <v>0</v>
      </c>
      <c r="AG1856" s="10" t="s">
        <v>1699</v>
      </c>
      <c r="AH1856" s="25">
        <f>IF(AL1856=0,K1856,0)</f>
        <v>0</v>
      </c>
      <c r="AI1856" s="25">
        <f>IF(AL1856=12,K1856,0)</f>
        <v>0</v>
      </c>
      <c r="AJ1856" s="25">
        <f>IF(AL1856=21,K1856,0)</f>
        <v>0</v>
      </c>
      <c r="AL1856" s="25">
        <v>21</v>
      </c>
      <c r="AM1856" s="25">
        <f>H1856*0.76969821</f>
        <v>0</v>
      </c>
      <c r="AN1856" s="25">
        <f>H1856*(1-0.76969821)</f>
        <v>0</v>
      </c>
      <c r="AO1856" s="27" t="s">
        <v>61</v>
      </c>
      <c r="AT1856" s="25">
        <f>ROUND(AU1856+AV1856,2)</f>
        <v>0</v>
      </c>
      <c r="AU1856" s="25">
        <f>ROUND(G1856*AM1856,2)</f>
        <v>0</v>
      </c>
      <c r="AV1856" s="25">
        <f>ROUND(G1856*AN1856,2)</f>
        <v>0</v>
      </c>
      <c r="AW1856" s="27" t="s">
        <v>101</v>
      </c>
      <c r="AX1856" s="27" t="s">
        <v>1954</v>
      </c>
      <c r="AY1856" s="10" t="s">
        <v>1707</v>
      </c>
      <c r="BA1856" s="25">
        <f>AU1856+AV1856</f>
        <v>0</v>
      </c>
      <c r="BB1856" s="25">
        <f>H1856/(100-BC1856)*100</f>
        <v>0</v>
      </c>
      <c r="BC1856" s="25">
        <v>0</v>
      </c>
      <c r="BD1856" s="25">
        <f>M1856</f>
        <v>0.13688999999999998</v>
      </c>
      <c r="BF1856" s="25">
        <f>G1856*AM1856</f>
        <v>0</v>
      </c>
      <c r="BG1856" s="25">
        <f>G1856*AN1856</f>
        <v>0</v>
      </c>
      <c r="BH1856" s="25">
        <f>G1856*H1856</f>
        <v>0</v>
      </c>
      <c r="BI1856" s="27" t="s">
        <v>65</v>
      </c>
      <c r="BJ1856" s="25">
        <v>725</v>
      </c>
      <c r="BU1856" s="25" t="e">
        <f>#REF!</f>
        <v>#REF!</v>
      </c>
      <c r="BV1856" s="4" t="s">
        <v>2123</v>
      </c>
    </row>
    <row r="1857" spans="1:74" ht="14.4" x14ac:dyDescent="0.3">
      <c r="A1857" s="2" t="s">
        <v>2124</v>
      </c>
      <c r="B1857" s="3" t="s">
        <v>1699</v>
      </c>
      <c r="C1857" s="3" t="s">
        <v>2125</v>
      </c>
      <c r="D1857" s="112" t="s">
        <v>2126</v>
      </c>
      <c r="E1857" s="109"/>
      <c r="F1857" s="3" t="s">
        <v>122</v>
      </c>
      <c r="G1857" s="25">
        <v>11</v>
      </c>
      <c r="H1857" s="62"/>
      <c r="I1857" s="25">
        <f>ROUND(G1857*AM1857,2)</f>
        <v>0</v>
      </c>
      <c r="J1857" s="25">
        <f>ROUND(G1857*AN1857,2)</f>
        <v>0</v>
      </c>
      <c r="K1857" s="25">
        <f>ROUND(G1857*H1857,2)</f>
        <v>0</v>
      </c>
      <c r="L1857" s="25">
        <v>1E-4</v>
      </c>
      <c r="M1857" s="25">
        <f>G1857*L1857</f>
        <v>1.1000000000000001E-3</v>
      </c>
      <c r="N1857" s="26"/>
      <c r="X1857" s="25">
        <f>ROUND(IF(AO1857="5",BH1857,0),2)</f>
        <v>0</v>
      </c>
      <c r="Z1857" s="25">
        <f>ROUND(IF(AO1857="1",BF1857,0),2)</f>
        <v>0</v>
      </c>
      <c r="AA1857" s="25">
        <f>ROUND(IF(AO1857="1",BG1857,0),2)</f>
        <v>0</v>
      </c>
      <c r="AB1857" s="25">
        <f>ROUND(IF(AO1857="7",BF1857,0),2)</f>
        <v>0</v>
      </c>
      <c r="AC1857" s="25">
        <f>ROUND(IF(AO1857="7",BG1857,0),2)</f>
        <v>0</v>
      </c>
      <c r="AD1857" s="25">
        <f>ROUND(IF(AO1857="2",BF1857,0),2)</f>
        <v>0</v>
      </c>
      <c r="AE1857" s="25">
        <f>ROUND(IF(AO1857="2",BG1857,0),2)</f>
        <v>0</v>
      </c>
      <c r="AF1857" s="25">
        <f>ROUND(IF(AO1857="0",BH1857,0),2)</f>
        <v>0</v>
      </c>
      <c r="AG1857" s="10" t="s">
        <v>1699</v>
      </c>
      <c r="AH1857" s="25">
        <f>IF(AL1857=0,K1857,0)</f>
        <v>0</v>
      </c>
      <c r="AI1857" s="25">
        <f>IF(AL1857=12,K1857,0)</f>
        <v>0</v>
      </c>
      <c r="AJ1857" s="25">
        <f>IF(AL1857=21,K1857,0)</f>
        <v>0</v>
      </c>
      <c r="AL1857" s="25">
        <v>21</v>
      </c>
      <c r="AM1857" s="25">
        <f>H1857*0.197800512</f>
        <v>0</v>
      </c>
      <c r="AN1857" s="25">
        <f>H1857*(1-0.197800512)</f>
        <v>0</v>
      </c>
      <c r="AO1857" s="27" t="s">
        <v>61</v>
      </c>
      <c r="AT1857" s="25">
        <f>ROUND(AU1857+AV1857,2)</f>
        <v>0</v>
      </c>
      <c r="AU1857" s="25">
        <f>ROUND(G1857*AM1857,2)</f>
        <v>0</v>
      </c>
      <c r="AV1857" s="25">
        <f>ROUND(G1857*AN1857,2)</f>
        <v>0</v>
      </c>
      <c r="AW1857" s="27" t="s">
        <v>101</v>
      </c>
      <c r="AX1857" s="27" t="s">
        <v>1954</v>
      </c>
      <c r="AY1857" s="10" t="s">
        <v>1707</v>
      </c>
      <c r="BA1857" s="25">
        <f>AU1857+AV1857</f>
        <v>0</v>
      </c>
      <c r="BB1857" s="25">
        <f>H1857/(100-BC1857)*100</f>
        <v>0</v>
      </c>
      <c r="BC1857" s="25">
        <v>0</v>
      </c>
      <c r="BD1857" s="25">
        <f>M1857</f>
        <v>1.1000000000000001E-3</v>
      </c>
      <c r="BF1857" s="25">
        <f>G1857*AM1857</f>
        <v>0</v>
      </c>
      <c r="BG1857" s="25">
        <f>G1857*AN1857</f>
        <v>0</v>
      </c>
      <c r="BH1857" s="25">
        <f>G1857*H1857</f>
        <v>0</v>
      </c>
      <c r="BI1857" s="27" t="s">
        <v>65</v>
      </c>
      <c r="BJ1857" s="25">
        <v>725</v>
      </c>
      <c r="BU1857" s="25" t="e">
        <f>#REF!</f>
        <v>#REF!</v>
      </c>
      <c r="BV1857" s="4" t="s">
        <v>2126</v>
      </c>
    </row>
    <row r="1858" spans="1:74" ht="14.4" x14ac:dyDescent="0.3">
      <c r="A1858" s="2" t="s">
        <v>2127</v>
      </c>
      <c r="B1858" s="3" t="s">
        <v>1699</v>
      </c>
      <c r="C1858" s="3" t="s">
        <v>2128</v>
      </c>
      <c r="D1858" s="112" t="s">
        <v>2129</v>
      </c>
      <c r="E1858" s="109"/>
      <c r="F1858" s="3" t="s">
        <v>122</v>
      </c>
      <c r="G1858" s="25">
        <v>11</v>
      </c>
      <c r="H1858" s="62"/>
      <c r="I1858" s="25">
        <f>ROUND(G1858*AM1858,2)</f>
        <v>0</v>
      </c>
      <c r="J1858" s="25">
        <f>ROUND(G1858*AN1858,2)</f>
        <v>0</v>
      </c>
      <c r="K1858" s="25">
        <f>ROUND(G1858*H1858,2)</f>
        <v>0</v>
      </c>
      <c r="L1858" s="25">
        <v>1.9E-3</v>
      </c>
      <c r="M1858" s="25">
        <f>G1858*L1858</f>
        <v>2.0899999999999998E-2</v>
      </c>
      <c r="N1858" s="26"/>
      <c r="X1858" s="25">
        <f>ROUND(IF(AO1858="5",BH1858,0),2)</f>
        <v>0</v>
      </c>
      <c r="Z1858" s="25">
        <f>ROUND(IF(AO1858="1",BF1858,0),2)</f>
        <v>0</v>
      </c>
      <c r="AA1858" s="25">
        <f>ROUND(IF(AO1858="1",BG1858,0),2)</f>
        <v>0</v>
      </c>
      <c r="AB1858" s="25">
        <f>ROUND(IF(AO1858="7",BF1858,0),2)</f>
        <v>0</v>
      </c>
      <c r="AC1858" s="25">
        <f>ROUND(IF(AO1858="7",BG1858,0),2)</f>
        <v>0</v>
      </c>
      <c r="AD1858" s="25">
        <f>ROUND(IF(AO1858="2",BF1858,0),2)</f>
        <v>0</v>
      </c>
      <c r="AE1858" s="25">
        <f>ROUND(IF(AO1858="2",BG1858,0),2)</f>
        <v>0</v>
      </c>
      <c r="AF1858" s="25">
        <f>ROUND(IF(AO1858="0",BH1858,0),2)</f>
        <v>0</v>
      </c>
      <c r="AG1858" s="10" t="s">
        <v>1699</v>
      </c>
      <c r="AH1858" s="25">
        <f>IF(AL1858=0,K1858,0)</f>
        <v>0</v>
      </c>
      <c r="AI1858" s="25">
        <f>IF(AL1858=12,K1858,0)</f>
        <v>0</v>
      </c>
      <c r="AJ1858" s="25">
        <f>IF(AL1858=21,K1858,0)</f>
        <v>0</v>
      </c>
      <c r="AL1858" s="25">
        <v>21</v>
      </c>
      <c r="AM1858" s="25">
        <f>H1858*0.912219072</f>
        <v>0</v>
      </c>
      <c r="AN1858" s="25">
        <f>H1858*(1-0.912219072)</f>
        <v>0</v>
      </c>
      <c r="AO1858" s="27" t="s">
        <v>61</v>
      </c>
      <c r="AT1858" s="25">
        <f>ROUND(AU1858+AV1858,2)</f>
        <v>0</v>
      </c>
      <c r="AU1858" s="25">
        <f>ROUND(G1858*AM1858,2)</f>
        <v>0</v>
      </c>
      <c r="AV1858" s="25">
        <f>ROUND(G1858*AN1858,2)</f>
        <v>0</v>
      </c>
      <c r="AW1858" s="27" t="s">
        <v>101</v>
      </c>
      <c r="AX1858" s="27" t="s">
        <v>1954</v>
      </c>
      <c r="AY1858" s="10" t="s">
        <v>1707</v>
      </c>
      <c r="BA1858" s="25">
        <f>AU1858+AV1858</f>
        <v>0</v>
      </c>
      <c r="BB1858" s="25">
        <f>H1858/(100-BC1858)*100</f>
        <v>0</v>
      </c>
      <c r="BC1858" s="25">
        <v>0</v>
      </c>
      <c r="BD1858" s="25">
        <f>M1858</f>
        <v>2.0899999999999998E-2</v>
      </c>
      <c r="BF1858" s="25">
        <f>G1858*AM1858</f>
        <v>0</v>
      </c>
      <c r="BG1858" s="25">
        <f>G1858*AN1858</f>
        <v>0</v>
      </c>
      <c r="BH1858" s="25">
        <f>G1858*H1858</f>
        <v>0</v>
      </c>
      <c r="BI1858" s="27" t="s">
        <v>65</v>
      </c>
      <c r="BJ1858" s="25">
        <v>725</v>
      </c>
      <c r="BU1858" s="25" t="e">
        <f>#REF!</f>
        <v>#REF!</v>
      </c>
      <c r="BV1858" s="4" t="s">
        <v>2129</v>
      </c>
    </row>
    <row r="1859" spans="1:74" ht="14.4" x14ac:dyDescent="0.3">
      <c r="A1859" s="28"/>
      <c r="D1859" s="29" t="s">
        <v>140</v>
      </c>
      <c r="E1859" s="29" t="s">
        <v>52</v>
      </c>
      <c r="G1859" s="30">
        <v>11</v>
      </c>
      <c r="H1859" s="63"/>
      <c r="N1859" s="31"/>
    </row>
    <row r="1860" spans="1:74" ht="14.4" x14ac:dyDescent="0.3">
      <c r="A1860" s="2" t="s">
        <v>2130</v>
      </c>
      <c r="B1860" s="3" t="s">
        <v>1699</v>
      </c>
      <c r="C1860" s="3" t="s">
        <v>2131</v>
      </c>
      <c r="D1860" s="112" t="s">
        <v>2132</v>
      </c>
      <c r="E1860" s="109"/>
      <c r="F1860" s="3" t="s">
        <v>860</v>
      </c>
      <c r="G1860" s="25">
        <v>3</v>
      </c>
      <c r="H1860" s="62"/>
      <c r="I1860" s="25">
        <f>ROUND(G1860*AM1860,2)</f>
        <v>0</v>
      </c>
      <c r="J1860" s="25">
        <f>ROUND(G1860*AN1860,2)</f>
        <v>0</v>
      </c>
      <c r="K1860" s="25">
        <f>ROUND(G1860*H1860,2)</f>
        <v>0</v>
      </c>
      <c r="L1860" s="25">
        <v>1.1199999999999999E-3</v>
      </c>
      <c r="M1860" s="25">
        <f>G1860*L1860</f>
        <v>3.3599999999999997E-3</v>
      </c>
      <c r="N1860" s="26"/>
      <c r="X1860" s="25">
        <f>ROUND(IF(AO1860="5",BH1860,0),2)</f>
        <v>0</v>
      </c>
      <c r="Z1860" s="25">
        <f>ROUND(IF(AO1860="1",BF1860,0),2)</f>
        <v>0</v>
      </c>
      <c r="AA1860" s="25">
        <f>ROUND(IF(AO1860="1",BG1860,0),2)</f>
        <v>0</v>
      </c>
      <c r="AB1860" s="25">
        <f>ROUND(IF(AO1860="7",BF1860,0),2)</f>
        <v>0</v>
      </c>
      <c r="AC1860" s="25">
        <f>ROUND(IF(AO1860="7",BG1860,0),2)</f>
        <v>0</v>
      </c>
      <c r="AD1860" s="25">
        <f>ROUND(IF(AO1860="2",BF1860,0),2)</f>
        <v>0</v>
      </c>
      <c r="AE1860" s="25">
        <f>ROUND(IF(AO1860="2",BG1860,0),2)</f>
        <v>0</v>
      </c>
      <c r="AF1860" s="25">
        <f>ROUND(IF(AO1860="0",BH1860,0),2)</f>
        <v>0</v>
      </c>
      <c r="AG1860" s="10" t="s">
        <v>1699</v>
      </c>
      <c r="AH1860" s="25">
        <f>IF(AL1860=0,K1860,0)</f>
        <v>0</v>
      </c>
      <c r="AI1860" s="25">
        <f>IF(AL1860=12,K1860,0)</f>
        <v>0</v>
      </c>
      <c r="AJ1860" s="25">
        <f>IF(AL1860=21,K1860,0)</f>
        <v>0</v>
      </c>
      <c r="AL1860" s="25">
        <v>21</v>
      </c>
      <c r="AM1860" s="25">
        <f>H1860*0.901269461</f>
        <v>0</v>
      </c>
      <c r="AN1860" s="25">
        <f>H1860*(1-0.901269461)</f>
        <v>0</v>
      </c>
      <c r="AO1860" s="27" t="s">
        <v>61</v>
      </c>
      <c r="AT1860" s="25">
        <f>ROUND(AU1860+AV1860,2)</f>
        <v>0</v>
      </c>
      <c r="AU1860" s="25">
        <f>ROUND(G1860*AM1860,2)</f>
        <v>0</v>
      </c>
      <c r="AV1860" s="25">
        <f>ROUND(G1860*AN1860,2)</f>
        <v>0</v>
      </c>
      <c r="AW1860" s="27" t="s">
        <v>101</v>
      </c>
      <c r="AX1860" s="27" t="s">
        <v>1954</v>
      </c>
      <c r="AY1860" s="10" t="s">
        <v>1707</v>
      </c>
      <c r="BA1860" s="25">
        <f>AU1860+AV1860</f>
        <v>0</v>
      </c>
      <c r="BB1860" s="25">
        <f>H1860/(100-BC1860)*100</f>
        <v>0</v>
      </c>
      <c r="BC1860" s="25">
        <v>0</v>
      </c>
      <c r="BD1860" s="25">
        <f>M1860</f>
        <v>3.3599999999999997E-3</v>
      </c>
      <c r="BF1860" s="25">
        <f>G1860*AM1860</f>
        <v>0</v>
      </c>
      <c r="BG1860" s="25">
        <f>G1860*AN1860</f>
        <v>0</v>
      </c>
      <c r="BH1860" s="25">
        <f>G1860*H1860</f>
        <v>0</v>
      </c>
      <c r="BI1860" s="27" t="s">
        <v>65</v>
      </c>
      <c r="BJ1860" s="25">
        <v>725</v>
      </c>
      <c r="BU1860" s="25" t="e">
        <f>#REF!</f>
        <v>#REF!</v>
      </c>
      <c r="BV1860" s="4" t="s">
        <v>2132</v>
      </c>
    </row>
    <row r="1861" spans="1:74" ht="14.4" x14ac:dyDescent="0.3">
      <c r="A1861" s="28"/>
      <c r="D1861" s="29" t="s">
        <v>87</v>
      </c>
      <c r="E1861" s="29" t="s">
        <v>52</v>
      </c>
      <c r="G1861" s="30">
        <v>3</v>
      </c>
      <c r="H1861" s="63"/>
      <c r="N1861" s="31"/>
    </row>
    <row r="1862" spans="1:74" ht="14.4" x14ac:dyDescent="0.3">
      <c r="A1862" s="2" t="s">
        <v>2133</v>
      </c>
      <c r="B1862" s="3" t="s">
        <v>1699</v>
      </c>
      <c r="C1862" s="3" t="s">
        <v>2134</v>
      </c>
      <c r="D1862" s="112" t="s">
        <v>2135</v>
      </c>
      <c r="E1862" s="109"/>
      <c r="F1862" s="3" t="s">
        <v>860</v>
      </c>
      <c r="G1862" s="25">
        <v>1</v>
      </c>
      <c r="H1862" s="62"/>
      <c r="I1862" s="25">
        <f>ROUND(G1862*AM1862,2)</f>
        <v>0</v>
      </c>
      <c r="J1862" s="25">
        <f>ROUND(G1862*AN1862,2)</f>
        <v>0</v>
      </c>
      <c r="K1862" s="25">
        <f>ROUND(G1862*H1862,2)</f>
        <v>0</v>
      </c>
      <c r="L1862" s="25">
        <v>7.2000000000000005E-4</v>
      </c>
      <c r="M1862" s="25">
        <f>G1862*L1862</f>
        <v>7.2000000000000005E-4</v>
      </c>
      <c r="N1862" s="26"/>
      <c r="X1862" s="25">
        <f>ROUND(IF(AO1862="5",BH1862,0),2)</f>
        <v>0</v>
      </c>
      <c r="Z1862" s="25">
        <f>ROUND(IF(AO1862="1",BF1862,0),2)</f>
        <v>0</v>
      </c>
      <c r="AA1862" s="25">
        <f>ROUND(IF(AO1862="1",BG1862,0),2)</f>
        <v>0</v>
      </c>
      <c r="AB1862" s="25">
        <f>ROUND(IF(AO1862="7",BF1862,0),2)</f>
        <v>0</v>
      </c>
      <c r="AC1862" s="25">
        <f>ROUND(IF(AO1862="7",BG1862,0),2)</f>
        <v>0</v>
      </c>
      <c r="AD1862" s="25">
        <f>ROUND(IF(AO1862="2",BF1862,0),2)</f>
        <v>0</v>
      </c>
      <c r="AE1862" s="25">
        <f>ROUND(IF(AO1862="2",BG1862,0),2)</f>
        <v>0</v>
      </c>
      <c r="AF1862" s="25">
        <f>ROUND(IF(AO1862="0",BH1862,0),2)</f>
        <v>0</v>
      </c>
      <c r="AG1862" s="10" t="s">
        <v>1699</v>
      </c>
      <c r="AH1862" s="25">
        <f>IF(AL1862=0,K1862,0)</f>
        <v>0</v>
      </c>
      <c r="AI1862" s="25">
        <f>IF(AL1862=12,K1862,0)</f>
        <v>0</v>
      </c>
      <c r="AJ1862" s="25">
        <f>IF(AL1862=21,K1862,0)</f>
        <v>0</v>
      </c>
      <c r="AL1862" s="25">
        <v>21</v>
      </c>
      <c r="AM1862" s="25">
        <f>H1862*0.679917213</f>
        <v>0</v>
      </c>
      <c r="AN1862" s="25">
        <f>H1862*(1-0.679917213)</f>
        <v>0</v>
      </c>
      <c r="AO1862" s="27" t="s">
        <v>61</v>
      </c>
      <c r="AT1862" s="25">
        <f>ROUND(AU1862+AV1862,2)</f>
        <v>0</v>
      </c>
      <c r="AU1862" s="25">
        <f>ROUND(G1862*AM1862,2)</f>
        <v>0</v>
      </c>
      <c r="AV1862" s="25">
        <f>ROUND(G1862*AN1862,2)</f>
        <v>0</v>
      </c>
      <c r="AW1862" s="27" t="s">
        <v>101</v>
      </c>
      <c r="AX1862" s="27" t="s">
        <v>1954</v>
      </c>
      <c r="AY1862" s="10" t="s">
        <v>1707</v>
      </c>
      <c r="BA1862" s="25">
        <f>AU1862+AV1862</f>
        <v>0</v>
      </c>
      <c r="BB1862" s="25">
        <f>H1862/(100-BC1862)*100</f>
        <v>0</v>
      </c>
      <c r="BC1862" s="25">
        <v>0</v>
      </c>
      <c r="BD1862" s="25">
        <f>M1862</f>
        <v>7.2000000000000005E-4</v>
      </c>
      <c r="BF1862" s="25">
        <f>G1862*AM1862</f>
        <v>0</v>
      </c>
      <c r="BG1862" s="25">
        <f>G1862*AN1862</f>
        <v>0</v>
      </c>
      <c r="BH1862" s="25">
        <f>G1862*H1862</f>
        <v>0</v>
      </c>
      <c r="BI1862" s="27" t="s">
        <v>65</v>
      </c>
      <c r="BJ1862" s="25">
        <v>725</v>
      </c>
      <c r="BU1862" s="25" t="e">
        <f>#REF!</f>
        <v>#REF!</v>
      </c>
      <c r="BV1862" s="4" t="s">
        <v>2135</v>
      </c>
    </row>
    <row r="1863" spans="1:74" ht="14.4" x14ac:dyDescent="0.3">
      <c r="A1863" s="2" t="s">
        <v>2136</v>
      </c>
      <c r="B1863" s="3" t="s">
        <v>1699</v>
      </c>
      <c r="C1863" s="3" t="s">
        <v>2137</v>
      </c>
      <c r="D1863" s="112" t="s">
        <v>2138</v>
      </c>
      <c r="E1863" s="109"/>
      <c r="F1863" s="3" t="s">
        <v>860</v>
      </c>
      <c r="G1863" s="25">
        <v>1</v>
      </c>
      <c r="H1863" s="62"/>
      <c r="I1863" s="25">
        <f>ROUND(G1863*AM1863,2)</f>
        <v>0</v>
      </c>
      <c r="J1863" s="25">
        <f>ROUND(G1863*AN1863,2)</f>
        <v>0</v>
      </c>
      <c r="K1863" s="25">
        <f>ROUND(G1863*H1863,2)</f>
        <v>0</v>
      </c>
      <c r="L1863" s="25">
        <v>2.1309999999999999E-2</v>
      </c>
      <c r="M1863" s="25">
        <f>G1863*L1863</f>
        <v>2.1309999999999999E-2</v>
      </c>
      <c r="N1863" s="102"/>
      <c r="X1863" s="25">
        <f>ROUND(IF(AO1863="5",BH1863,0),2)</f>
        <v>0</v>
      </c>
      <c r="Z1863" s="25">
        <f>ROUND(IF(AO1863="1",BF1863,0),2)</f>
        <v>0</v>
      </c>
      <c r="AA1863" s="25">
        <f>ROUND(IF(AO1863="1",BG1863,0),2)</f>
        <v>0</v>
      </c>
      <c r="AB1863" s="25">
        <f>ROUND(IF(AO1863="7",BF1863,0),2)</f>
        <v>0</v>
      </c>
      <c r="AC1863" s="25">
        <f>ROUND(IF(AO1863="7",BG1863,0),2)</f>
        <v>0</v>
      </c>
      <c r="AD1863" s="25">
        <f>ROUND(IF(AO1863="2",BF1863,0),2)</f>
        <v>0</v>
      </c>
      <c r="AE1863" s="25">
        <f>ROUND(IF(AO1863="2",BG1863,0),2)</f>
        <v>0</v>
      </c>
      <c r="AF1863" s="25">
        <f>ROUND(IF(AO1863="0",BH1863,0),2)</f>
        <v>0</v>
      </c>
      <c r="AG1863" s="10" t="s">
        <v>1699</v>
      </c>
      <c r="AH1863" s="25">
        <f>IF(AL1863=0,K1863,0)</f>
        <v>0</v>
      </c>
      <c r="AI1863" s="25">
        <f>IF(AL1863=12,K1863,0)</f>
        <v>0</v>
      </c>
      <c r="AJ1863" s="25">
        <f>IF(AL1863=21,K1863,0)</f>
        <v>0</v>
      </c>
      <c r="AL1863" s="25">
        <v>21</v>
      </c>
      <c r="AM1863" s="25">
        <f>H1863*0.914488226</f>
        <v>0</v>
      </c>
      <c r="AN1863" s="25">
        <f>H1863*(1-0.914488226)</f>
        <v>0</v>
      </c>
      <c r="AO1863" s="27" t="s">
        <v>61</v>
      </c>
      <c r="AT1863" s="25">
        <f>ROUND(AU1863+AV1863,2)</f>
        <v>0</v>
      </c>
      <c r="AU1863" s="25">
        <f>ROUND(G1863*AM1863,2)</f>
        <v>0</v>
      </c>
      <c r="AV1863" s="25">
        <f>ROUND(G1863*AN1863,2)</f>
        <v>0</v>
      </c>
      <c r="AW1863" s="27" t="s">
        <v>101</v>
      </c>
      <c r="AX1863" s="27" t="s">
        <v>1954</v>
      </c>
      <c r="AY1863" s="10" t="s">
        <v>1707</v>
      </c>
      <c r="BA1863" s="25">
        <f>AU1863+AV1863</f>
        <v>0</v>
      </c>
      <c r="BB1863" s="25">
        <f>H1863/(100-BC1863)*100</f>
        <v>0</v>
      </c>
      <c r="BC1863" s="25">
        <v>0</v>
      </c>
      <c r="BD1863" s="25">
        <f>M1863</f>
        <v>2.1309999999999999E-2</v>
      </c>
      <c r="BF1863" s="25">
        <f>G1863*AM1863</f>
        <v>0</v>
      </c>
      <c r="BG1863" s="25">
        <f>G1863*AN1863</f>
        <v>0</v>
      </c>
      <c r="BH1863" s="25">
        <f>G1863*H1863</f>
        <v>0</v>
      </c>
      <c r="BI1863" s="27" t="s">
        <v>65</v>
      </c>
      <c r="BJ1863" s="25">
        <v>725</v>
      </c>
      <c r="BU1863" s="25" t="e">
        <f>#REF!</f>
        <v>#REF!</v>
      </c>
      <c r="BV1863" s="4" t="s">
        <v>2138</v>
      </c>
    </row>
    <row r="1864" spans="1:74" ht="14.4" x14ac:dyDescent="0.3">
      <c r="A1864" s="28"/>
      <c r="D1864" s="29" t="s">
        <v>57</v>
      </c>
      <c r="E1864" s="29" t="s">
        <v>52</v>
      </c>
      <c r="G1864" s="30">
        <v>1</v>
      </c>
      <c r="H1864" s="63"/>
      <c r="N1864" s="31"/>
    </row>
    <row r="1865" spans="1:74" ht="14.4" x14ac:dyDescent="0.3">
      <c r="A1865" s="2" t="s">
        <v>2139</v>
      </c>
      <c r="B1865" s="3" t="s">
        <v>1699</v>
      </c>
      <c r="C1865" s="3" t="s">
        <v>2140</v>
      </c>
      <c r="D1865" s="112" t="s">
        <v>2141</v>
      </c>
      <c r="E1865" s="109"/>
      <c r="F1865" s="3" t="s">
        <v>122</v>
      </c>
      <c r="G1865" s="25">
        <v>1</v>
      </c>
      <c r="H1865" s="62"/>
      <c r="I1865" s="25">
        <f>ROUND(G1865*AM1865,2)</f>
        <v>0</v>
      </c>
      <c r="J1865" s="25">
        <f>ROUND(G1865*AN1865,2)</f>
        <v>0</v>
      </c>
      <c r="K1865" s="25">
        <f>ROUND(G1865*H1865,2)</f>
        <v>0</v>
      </c>
      <c r="L1865" s="25">
        <v>1.2E-4</v>
      </c>
      <c r="M1865" s="25">
        <f>G1865*L1865</f>
        <v>1.2E-4</v>
      </c>
      <c r="N1865" s="26"/>
      <c r="X1865" s="25">
        <f>ROUND(IF(AO1865="5",BH1865,0),2)</f>
        <v>0</v>
      </c>
      <c r="Z1865" s="25">
        <f>ROUND(IF(AO1865="1",BF1865,0),2)</f>
        <v>0</v>
      </c>
      <c r="AA1865" s="25">
        <f>ROUND(IF(AO1865="1",BG1865,0),2)</f>
        <v>0</v>
      </c>
      <c r="AB1865" s="25">
        <f>ROUND(IF(AO1865="7",BF1865,0),2)</f>
        <v>0</v>
      </c>
      <c r="AC1865" s="25">
        <f>ROUND(IF(AO1865="7",BG1865,0),2)</f>
        <v>0</v>
      </c>
      <c r="AD1865" s="25">
        <f>ROUND(IF(AO1865="2",BF1865,0),2)</f>
        <v>0</v>
      </c>
      <c r="AE1865" s="25">
        <f>ROUND(IF(AO1865="2",BG1865,0),2)</f>
        <v>0</v>
      </c>
      <c r="AF1865" s="25">
        <f>ROUND(IF(AO1865="0",BH1865,0),2)</f>
        <v>0</v>
      </c>
      <c r="AG1865" s="10" t="s">
        <v>1699</v>
      </c>
      <c r="AH1865" s="25">
        <f>IF(AL1865=0,K1865,0)</f>
        <v>0</v>
      </c>
      <c r="AI1865" s="25">
        <f>IF(AL1865=12,K1865,0)</f>
        <v>0</v>
      </c>
      <c r="AJ1865" s="25">
        <f>IF(AL1865=21,K1865,0)</f>
        <v>0</v>
      </c>
      <c r="AL1865" s="25">
        <v>21</v>
      </c>
      <c r="AM1865" s="25">
        <f>H1865*0.221882311</f>
        <v>0</v>
      </c>
      <c r="AN1865" s="25">
        <f>H1865*(1-0.221882311)</f>
        <v>0</v>
      </c>
      <c r="AO1865" s="27" t="s">
        <v>61</v>
      </c>
      <c r="AT1865" s="25">
        <f>ROUND(AU1865+AV1865,2)</f>
        <v>0</v>
      </c>
      <c r="AU1865" s="25">
        <f>ROUND(G1865*AM1865,2)</f>
        <v>0</v>
      </c>
      <c r="AV1865" s="25">
        <f>ROUND(G1865*AN1865,2)</f>
        <v>0</v>
      </c>
      <c r="AW1865" s="27" t="s">
        <v>101</v>
      </c>
      <c r="AX1865" s="27" t="s">
        <v>1954</v>
      </c>
      <c r="AY1865" s="10" t="s">
        <v>1707</v>
      </c>
      <c r="BA1865" s="25">
        <f>AU1865+AV1865</f>
        <v>0</v>
      </c>
      <c r="BB1865" s="25">
        <f>H1865/(100-BC1865)*100</f>
        <v>0</v>
      </c>
      <c r="BC1865" s="25">
        <v>0</v>
      </c>
      <c r="BD1865" s="25">
        <f>M1865</f>
        <v>1.2E-4</v>
      </c>
      <c r="BF1865" s="25">
        <f>G1865*AM1865</f>
        <v>0</v>
      </c>
      <c r="BG1865" s="25">
        <f>G1865*AN1865</f>
        <v>0</v>
      </c>
      <c r="BH1865" s="25">
        <f>G1865*H1865</f>
        <v>0</v>
      </c>
      <c r="BI1865" s="27" t="s">
        <v>65</v>
      </c>
      <c r="BJ1865" s="25">
        <v>725</v>
      </c>
      <c r="BU1865" s="25" t="e">
        <f>#REF!</f>
        <v>#REF!</v>
      </c>
      <c r="BV1865" s="4" t="s">
        <v>2141</v>
      </c>
    </row>
    <row r="1866" spans="1:74" ht="14.4" x14ac:dyDescent="0.3">
      <c r="A1866" s="2" t="s">
        <v>2142</v>
      </c>
      <c r="B1866" s="3" t="s">
        <v>1699</v>
      </c>
      <c r="C1866" s="3" t="s">
        <v>2143</v>
      </c>
      <c r="D1866" s="112" t="s">
        <v>2144</v>
      </c>
      <c r="E1866" s="109"/>
      <c r="F1866" s="3" t="s">
        <v>122</v>
      </c>
      <c r="G1866" s="25">
        <v>1</v>
      </c>
      <c r="H1866" s="62"/>
      <c r="I1866" s="25">
        <f>ROUND(G1866*AM1866,2)</f>
        <v>0</v>
      </c>
      <c r="J1866" s="25">
        <f>ROUND(G1866*AN1866,2)</f>
        <v>0</v>
      </c>
      <c r="K1866" s="25">
        <f>ROUND(G1866*H1866,2)</f>
        <v>0</v>
      </c>
      <c r="L1866" s="25">
        <v>1.64E-3</v>
      </c>
      <c r="M1866" s="25">
        <f>G1866*L1866</f>
        <v>1.64E-3</v>
      </c>
      <c r="N1866" s="26"/>
      <c r="X1866" s="25">
        <f>ROUND(IF(AO1866="5",BH1866,0),2)</f>
        <v>0</v>
      </c>
      <c r="Z1866" s="25">
        <f>ROUND(IF(AO1866="1",BF1866,0),2)</f>
        <v>0</v>
      </c>
      <c r="AA1866" s="25">
        <f>ROUND(IF(AO1866="1",BG1866,0),2)</f>
        <v>0</v>
      </c>
      <c r="AB1866" s="25">
        <f>ROUND(IF(AO1866="7",BF1866,0),2)</f>
        <v>0</v>
      </c>
      <c r="AC1866" s="25">
        <f>ROUND(IF(AO1866="7",BG1866,0),2)</f>
        <v>0</v>
      </c>
      <c r="AD1866" s="25">
        <f>ROUND(IF(AO1866="2",BF1866,0),2)</f>
        <v>0</v>
      </c>
      <c r="AE1866" s="25">
        <f>ROUND(IF(AO1866="2",BG1866,0),2)</f>
        <v>0</v>
      </c>
      <c r="AF1866" s="25">
        <f>ROUND(IF(AO1866="0",BH1866,0),2)</f>
        <v>0</v>
      </c>
      <c r="AG1866" s="10" t="s">
        <v>1699</v>
      </c>
      <c r="AH1866" s="25">
        <f>IF(AL1866=0,K1866,0)</f>
        <v>0</v>
      </c>
      <c r="AI1866" s="25">
        <f>IF(AL1866=12,K1866,0)</f>
        <v>0</v>
      </c>
      <c r="AJ1866" s="25">
        <f>IF(AL1866=21,K1866,0)</f>
        <v>0</v>
      </c>
      <c r="AL1866" s="25">
        <v>21</v>
      </c>
      <c r="AM1866" s="25">
        <f>H1866*0.90288189</f>
        <v>0</v>
      </c>
      <c r="AN1866" s="25">
        <f>H1866*(1-0.90288189)</f>
        <v>0</v>
      </c>
      <c r="AO1866" s="27" t="s">
        <v>61</v>
      </c>
      <c r="AT1866" s="25">
        <f>ROUND(AU1866+AV1866,2)</f>
        <v>0</v>
      </c>
      <c r="AU1866" s="25">
        <f>ROUND(G1866*AM1866,2)</f>
        <v>0</v>
      </c>
      <c r="AV1866" s="25">
        <f>ROUND(G1866*AN1866,2)</f>
        <v>0</v>
      </c>
      <c r="AW1866" s="27" t="s">
        <v>101</v>
      </c>
      <c r="AX1866" s="27" t="s">
        <v>1954</v>
      </c>
      <c r="AY1866" s="10" t="s">
        <v>1707</v>
      </c>
      <c r="BA1866" s="25">
        <f>AU1866+AV1866</f>
        <v>0</v>
      </c>
      <c r="BB1866" s="25">
        <f>H1866/(100-BC1866)*100</f>
        <v>0</v>
      </c>
      <c r="BC1866" s="25">
        <v>0</v>
      </c>
      <c r="BD1866" s="25">
        <f>M1866</f>
        <v>1.64E-3</v>
      </c>
      <c r="BF1866" s="25">
        <f>G1866*AM1866</f>
        <v>0</v>
      </c>
      <c r="BG1866" s="25">
        <f>G1866*AN1866</f>
        <v>0</v>
      </c>
      <c r="BH1866" s="25">
        <f>G1866*H1866</f>
        <v>0</v>
      </c>
      <c r="BI1866" s="27" t="s">
        <v>65</v>
      </c>
      <c r="BJ1866" s="25">
        <v>725</v>
      </c>
      <c r="BU1866" s="25" t="e">
        <f>#REF!</f>
        <v>#REF!</v>
      </c>
      <c r="BV1866" s="4" t="s">
        <v>2144</v>
      </c>
    </row>
    <row r="1867" spans="1:74" ht="14.4" x14ac:dyDescent="0.3">
      <c r="A1867" s="2" t="s">
        <v>2145</v>
      </c>
      <c r="B1867" s="3" t="s">
        <v>1699</v>
      </c>
      <c r="C1867" s="3" t="s">
        <v>2146</v>
      </c>
      <c r="D1867" s="112" t="s">
        <v>2147</v>
      </c>
      <c r="E1867" s="109"/>
      <c r="F1867" s="3" t="s">
        <v>122</v>
      </c>
      <c r="G1867" s="25">
        <v>1</v>
      </c>
      <c r="H1867" s="62"/>
      <c r="I1867" s="25">
        <f>ROUND(G1867*AM1867,2)</f>
        <v>0</v>
      </c>
      <c r="J1867" s="25">
        <f>ROUND(G1867*AN1867,2)</f>
        <v>0</v>
      </c>
      <c r="K1867" s="25">
        <f>ROUND(G1867*H1867,2)</f>
        <v>0</v>
      </c>
      <c r="L1867" s="25">
        <v>2.2000000000000001E-4</v>
      </c>
      <c r="M1867" s="25">
        <f>G1867*L1867</f>
        <v>2.2000000000000001E-4</v>
      </c>
      <c r="N1867" s="26"/>
      <c r="X1867" s="25">
        <f>ROUND(IF(AO1867="5",BH1867,0),2)</f>
        <v>0</v>
      </c>
      <c r="Z1867" s="25">
        <f>ROUND(IF(AO1867="1",BF1867,0),2)</f>
        <v>0</v>
      </c>
      <c r="AA1867" s="25">
        <f>ROUND(IF(AO1867="1",BG1867,0),2)</f>
        <v>0</v>
      </c>
      <c r="AB1867" s="25">
        <f>ROUND(IF(AO1867="7",BF1867,0),2)</f>
        <v>0</v>
      </c>
      <c r="AC1867" s="25">
        <f>ROUND(IF(AO1867="7",BG1867,0),2)</f>
        <v>0</v>
      </c>
      <c r="AD1867" s="25">
        <f>ROUND(IF(AO1867="2",BF1867,0),2)</f>
        <v>0</v>
      </c>
      <c r="AE1867" s="25">
        <f>ROUND(IF(AO1867="2",BG1867,0),2)</f>
        <v>0</v>
      </c>
      <c r="AF1867" s="25">
        <f>ROUND(IF(AO1867="0",BH1867,0),2)</f>
        <v>0</v>
      </c>
      <c r="AG1867" s="10" t="s">
        <v>1699</v>
      </c>
      <c r="AH1867" s="25">
        <f>IF(AL1867=0,K1867,0)</f>
        <v>0</v>
      </c>
      <c r="AI1867" s="25">
        <f>IF(AL1867=12,K1867,0)</f>
        <v>0</v>
      </c>
      <c r="AJ1867" s="25">
        <f>IF(AL1867=21,K1867,0)</f>
        <v>0</v>
      </c>
      <c r="AL1867" s="25">
        <v>21</v>
      </c>
      <c r="AM1867" s="25">
        <f>H1867*0.67711546</f>
        <v>0</v>
      </c>
      <c r="AN1867" s="25">
        <f>H1867*(1-0.67711546)</f>
        <v>0</v>
      </c>
      <c r="AO1867" s="27" t="s">
        <v>61</v>
      </c>
      <c r="AT1867" s="25">
        <f>ROUND(AU1867+AV1867,2)</f>
        <v>0</v>
      </c>
      <c r="AU1867" s="25">
        <f>ROUND(G1867*AM1867,2)</f>
        <v>0</v>
      </c>
      <c r="AV1867" s="25">
        <f>ROUND(G1867*AN1867,2)</f>
        <v>0</v>
      </c>
      <c r="AW1867" s="27" t="s">
        <v>101</v>
      </c>
      <c r="AX1867" s="27" t="s">
        <v>1954</v>
      </c>
      <c r="AY1867" s="10" t="s">
        <v>1707</v>
      </c>
      <c r="BA1867" s="25">
        <f>AU1867+AV1867</f>
        <v>0</v>
      </c>
      <c r="BB1867" s="25">
        <f>H1867/(100-BC1867)*100</f>
        <v>0</v>
      </c>
      <c r="BC1867" s="25">
        <v>0</v>
      </c>
      <c r="BD1867" s="25">
        <f>M1867</f>
        <v>2.2000000000000001E-4</v>
      </c>
      <c r="BF1867" s="25">
        <f>G1867*AM1867</f>
        <v>0</v>
      </c>
      <c r="BG1867" s="25">
        <f>G1867*AN1867</f>
        <v>0</v>
      </c>
      <c r="BH1867" s="25">
        <f>G1867*H1867</f>
        <v>0</v>
      </c>
      <c r="BI1867" s="27" t="s">
        <v>65</v>
      </c>
      <c r="BJ1867" s="25">
        <v>725</v>
      </c>
      <c r="BU1867" s="25" t="e">
        <f>#REF!</f>
        <v>#REF!</v>
      </c>
      <c r="BV1867" s="4" t="s">
        <v>2147</v>
      </c>
    </row>
    <row r="1868" spans="1:74" ht="14.4" x14ac:dyDescent="0.3">
      <c r="A1868" s="28"/>
      <c r="D1868" s="29" t="s">
        <v>57</v>
      </c>
      <c r="E1868" s="29" t="s">
        <v>52</v>
      </c>
      <c r="G1868" s="30">
        <v>1</v>
      </c>
      <c r="H1868" s="63"/>
      <c r="N1868" s="31"/>
    </row>
    <row r="1869" spans="1:74" ht="14.4" x14ac:dyDescent="0.3">
      <c r="A1869" s="2" t="s">
        <v>2148</v>
      </c>
      <c r="B1869" s="3" t="s">
        <v>1699</v>
      </c>
      <c r="C1869" s="3" t="s">
        <v>2149</v>
      </c>
      <c r="D1869" s="112" t="s">
        <v>2150</v>
      </c>
      <c r="E1869" s="109"/>
      <c r="F1869" s="3" t="s">
        <v>122</v>
      </c>
      <c r="G1869" s="25">
        <v>2</v>
      </c>
      <c r="H1869" s="62"/>
      <c r="I1869" s="25">
        <f>ROUND(G1869*AM1869,2)</f>
        <v>0</v>
      </c>
      <c r="J1869" s="25">
        <f>ROUND(G1869*AN1869,2)</f>
        <v>0</v>
      </c>
      <c r="K1869" s="25">
        <f>ROUND(G1869*H1869,2)</f>
        <v>0</v>
      </c>
      <c r="L1869" s="25">
        <v>1.2999999999999999E-4</v>
      </c>
      <c r="M1869" s="25">
        <f>G1869*L1869</f>
        <v>2.5999999999999998E-4</v>
      </c>
      <c r="N1869" s="26"/>
      <c r="X1869" s="25">
        <f>ROUND(IF(AO1869="5",BH1869,0),2)</f>
        <v>0</v>
      </c>
      <c r="Z1869" s="25">
        <f>ROUND(IF(AO1869="1",BF1869,0),2)</f>
        <v>0</v>
      </c>
      <c r="AA1869" s="25">
        <f>ROUND(IF(AO1869="1",BG1869,0),2)</f>
        <v>0</v>
      </c>
      <c r="AB1869" s="25">
        <f>ROUND(IF(AO1869="7",BF1869,0),2)</f>
        <v>0</v>
      </c>
      <c r="AC1869" s="25">
        <f>ROUND(IF(AO1869="7",BG1869,0),2)</f>
        <v>0</v>
      </c>
      <c r="AD1869" s="25">
        <f>ROUND(IF(AO1869="2",BF1869,0),2)</f>
        <v>0</v>
      </c>
      <c r="AE1869" s="25">
        <f>ROUND(IF(AO1869="2",BG1869,0),2)</f>
        <v>0</v>
      </c>
      <c r="AF1869" s="25">
        <f>ROUND(IF(AO1869="0",BH1869,0),2)</f>
        <v>0</v>
      </c>
      <c r="AG1869" s="10" t="s">
        <v>1699</v>
      </c>
      <c r="AH1869" s="25">
        <f>IF(AL1869=0,K1869,0)</f>
        <v>0</v>
      </c>
      <c r="AI1869" s="25">
        <f>IF(AL1869=12,K1869,0)</f>
        <v>0</v>
      </c>
      <c r="AJ1869" s="25">
        <f>IF(AL1869=21,K1869,0)</f>
        <v>0</v>
      </c>
      <c r="AL1869" s="25">
        <v>21</v>
      </c>
      <c r="AM1869" s="25">
        <f>H1869*0.204510557</f>
        <v>0</v>
      </c>
      <c r="AN1869" s="25">
        <f>H1869*(1-0.204510557)</f>
        <v>0</v>
      </c>
      <c r="AO1869" s="27" t="s">
        <v>61</v>
      </c>
      <c r="AT1869" s="25">
        <f>ROUND(AU1869+AV1869,2)</f>
        <v>0</v>
      </c>
      <c r="AU1869" s="25">
        <f>ROUND(G1869*AM1869,2)</f>
        <v>0</v>
      </c>
      <c r="AV1869" s="25">
        <f>ROUND(G1869*AN1869,2)</f>
        <v>0</v>
      </c>
      <c r="AW1869" s="27" t="s">
        <v>101</v>
      </c>
      <c r="AX1869" s="27" t="s">
        <v>1954</v>
      </c>
      <c r="AY1869" s="10" t="s">
        <v>1707</v>
      </c>
      <c r="BA1869" s="25">
        <f>AU1869+AV1869</f>
        <v>0</v>
      </c>
      <c r="BB1869" s="25">
        <f>H1869/(100-BC1869)*100</f>
        <v>0</v>
      </c>
      <c r="BC1869" s="25">
        <v>0</v>
      </c>
      <c r="BD1869" s="25">
        <f>M1869</f>
        <v>2.5999999999999998E-4</v>
      </c>
      <c r="BF1869" s="25">
        <f>G1869*AM1869</f>
        <v>0</v>
      </c>
      <c r="BG1869" s="25">
        <f>G1869*AN1869</f>
        <v>0</v>
      </c>
      <c r="BH1869" s="25">
        <f>G1869*H1869</f>
        <v>0</v>
      </c>
      <c r="BI1869" s="27" t="s">
        <v>65</v>
      </c>
      <c r="BJ1869" s="25">
        <v>725</v>
      </c>
      <c r="BU1869" s="25" t="e">
        <f>#REF!</f>
        <v>#REF!</v>
      </c>
      <c r="BV1869" s="4" t="s">
        <v>2150</v>
      </c>
    </row>
    <row r="1870" spans="1:74" ht="14.4" x14ac:dyDescent="0.3">
      <c r="A1870" s="2" t="s">
        <v>2151</v>
      </c>
      <c r="B1870" s="3" t="s">
        <v>1699</v>
      </c>
      <c r="C1870" s="3" t="s">
        <v>2152</v>
      </c>
      <c r="D1870" s="112" t="s">
        <v>2153</v>
      </c>
      <c r="E1870" s="109"/>
      <c r="F1870" s="3" t="s">
        <v>860</v>
      </c>
      <c r="G1870" s="25">
        <v>2</v>
      </c>
      <c r="H1870" s="62"/>
      <c r="I1870" s="25">
        <f>ROUND(G1870*AM1870,2)</f>
        <v>0</v>
      </c>
      <c r="J1870" s="25">
        <f>ROUND(G1870*AN1870,2)</f>
        <v>0</v>
      </c>
      <c r="K1870" s="25">
        <f>ROUND(G1870*H1870,2)</f>
        <v>0</v>
      </c>
      <c r="L1870" s="25">
        <v>2.8300000000000001E-3</v>
      </c>
      <c r="M1870" s="25">
        <f>G1870*L1870</f>
        <v>5.6600000000000001E-3</v>
      </c>
      <c r="N1870" s="26"/>
      <c r="X1870" s="25">
        <f>ROUND(IF(AO1870="5",BH1870,0),2)</f>
        <v>0</v>
      </c>
      <c r="Z1870" s="25">
        <f>ROUND(IF(AO1870="1",BF1870,0),2)</f>
        <v>0</v>
      </c>
      <c r="AA1870" s="25">
        <f>ROUND(IF(AO1870="1",BG1870,0),2)</f>
        <v>0</v>
      </c>
      <c r="AB1870" s="25">
        <f>ROUND(IF(AO1870="7",BF1870,0),2)</f>
        <v>0</v>
      </c>
      <c r="AC1870" s="25">
        <f>ROUND(IF(AO1870="7",BG1870,0),2)</f>
        <v>0</v>
      </c>
      <c r="AD1870" s="25">
        <f>ROUND(IF(AO1870="2",BF1870,0),2)</f>
        <v>0</v>
      </c>
      <c r="AE1870" s="25">
        <f>ROUND(IF(AO1870="2",BG1870,0),2)</f>
        <v>0</v>
      </c>
      <c r="AF1870" s="25">
        <f>ROUND(IF(AO1870="0",BH1870,0),2)</f>
        <v>0</v>
      </c>
      <c r="AG1870" s="10" t="s">
        <v>1699</v>
      </c>
      <c r="AH1870" s="25">
        <f>IF(AL1870=0,K1870,0)</f>
        <v>0</v>
      </c>
      <c r="AI1870" s="25">
        <f>IF(AL1870=12,K1870,0)</f>
        <v>0</v>
      </c>
      <c r="AJ1870" s="25">
        <f>IF(AL1870=21,K1870,0)</f>
        <v>0</v>
      </c>
      <c r="AL1870" s="25">
        <v>21</v>
      </c>
      <c r="AM1870" s="25">
        <f>H1870*0.955516964</f>
        <v>0</v>
      </c>
      <c r="AN1870" s="25">
        <f>H1870*(1-0.955516964)</f>
        <v>0</v>
      </c>
      <c r="AO1870" s="27" t="s">
        <v>61</v>
      </c>
      <c r="AT1870" s="25">
        <f>ROUND(AU1870+AV1870,2)</f>
        <v>0</v>
      </c>
      <c r="AU1870" s="25">
        <f>ROUND(G1870*AM1870,2)</f>
        <v>0</v>
      </c>
      <c r="AV1870" s="25">
        <f>ROUND(G1870*AN1870,2)</f>
        <v>0</v>
      </c>
      <c r="AW1870" s="27" t="s">
        <v>101</v>
      </c>
      <c r="AX1870" s="27" t="s">
        <v>1954</v>
      </c>
      <c r="AY1870" s="10" t="s">
        <v>1707</v>
      </c>
      <c r="BA1870" s="25">
        <f>AU1870+AV1870</f>
        <v>0</v>
      </c>
      <c r="BB1870" s="25">
        <f>H1870/(100-BC1870)*100</f>
        <v>0</v>
      </c>
      <c r="BC1870" s="25">
        <v>0</v>
      </c>
      <c r="BD1870" s="25">
        <f>M1870</f>
        <v>5.6600000000000001E-3</v>
      </c>
      <c r="BF1870" s="25">
        <f>G1870*AM1870</f>
        <v>0</v>
      </c>
      <c r="BG1870" s="25">
        <f>G1870*AN1870</f>
        <v>0</v>
      </c>
      <c r="BH1870" s="25">
        <f>G1870*H1870</f>
        <v>0</v>
      </c>
      <c r="BI1870" s="27" t="s">
        <v>65</v>
      </c>
      <c r="BJ1870" s="25">
        <v>725</v>
      </c>
      <c r="BU1870" s="25" t="e">
        <f>#REF!</f>
        <v>#REF!</v>
      </c>
      <c r="BV1870" s="4" t="s">
        <v>2153</v>
      </c>
    </row>
    <row r="1871" spans="1:74" ht="14.4" x14ac:dyDescent="0.3">
      <c r="A1871" s="28"/>
      <c r="D1871" s="29" t="s">
        <v>81</v>
      </c>
      <c r="E1871" s="29" t="s">
        <v>52</v>
      </c>
      <c r="G1871" s="30">
        <v>2</v>
      </c>
      <c r="H1871" s="63"/>
      <c r="N1871" s="31"/>
    </row>
    <row r="1872" spans="1:74" ht="14.4" x14ac:dyDescent="0.3">
      <c r="A1872" s="2" t="s">
        <v>2154</v>
      </c>
      <c r="B1872" s="3" t="s">
        <v>1699</v>
      </c>
      <c r="C1872" s="3" t="s">
        <v>2155</v>
      </c>
      <c r="D1872" s="112" t="s">
        <v>2156</v>
      </c>
      <c r="E1872" s="109"/>
      <c r="F1872" s="3" t="s">
        <v>860</v>
      </c>
      <c r="G1872" s="25">
        <v>2</v>
      </c>
      <c r="H1872" s="62"/>
      <c r="I1872" s="25">
        <f t="shared" ref="I1872:I1881" si="50">ROUND(G1872*AM1872,2)</f>
        <v>0</v>
      </c>
      <c r="J1872" s="25">
        <f t="shared" ref="J1872:J1881" si="51">ROUND(G1872*AN1872,2)</f>
        <v>0</v>
      </c>
      <c r="K1872" s="25">
        <f t="shared" ref="K1872:K1881" si="52">ROUND(G1872*H1872,2)</f>
        <v>0</v>
      </c>
      <c r="L1872" s="25">
        <v>1.7000000000000001E-4</v>
      </c>
      <c r="M1872" s="25">
        <f t="shared" ref="M1872:M1881" si="53">G1872*L1872</f>
        <v>3.4000000000000002E-4</v>
      </c>
      <c r="N1872" s="26"/>
      <c r="X1872" s="25">
        <f t="shared" ref="X1872:X1881" si="54">ROUND(IF(AO1872="5",BH1872,0),2)</f>
        <v>0</v>
      </c>
      <c r="Z1872" s="25">
        <f t="shared" ref="Z1872:Z1881" si="55">ROUND(IF(AO1872="1",BF1872,0),2)</f>
        <v>0</v>
      </c>
      <c r="AA1872" s="25">
        <f t="shared" ref="AA1872:AA1881" si="56">ROUND(IF(AO1872="1",BG1872,0),2)</f>
        <v>0</v>
      </c>
      <c r="AB1872" s="25">
        <f t="shared" ref="AB1872:AB1881" si="57">ROUND(IF(AO1872="7",BF1872,0),2)</f>
        <v>0</v>
      </c>
      <c r="AC1872" s="25">
        <f t="shared" ref="AC1872:AC1881" si="58">ROUND(IF(AO1872="7",BG1872,0),2)</f>
        <v>0</v>
      </c>
      <c r="AD1872" s="25">
        <f t="shared" ref="AD1872:AD1881" si="59">ROUND(IF(AO1872="2",BF1872,0),2)</f>
        <v>0</v>
      </c>
      <c r="AE1872" s="25">
        <f t="shared" ref="AE1872:AE1881" si="60">ROUND(IF(AO1872="2",BG1872,0),2)</f>
        <v>0</v>
      </c>
      <c r="AF1872" s="25">
        <f t="shared" ref="AF1872:AF1881" si="61">ROUND(IF(AO1872="0",BH1872,0),2)</f>
        <v>0</v>
      </c>
      <c r="AG1872" s="10" t="s">
        <v>1699</v>
      </c>
      <c r="AH1872" s="25">
        <f t="shared" ref="AH1872:AH1881" si="62">IF(AL1872=0,K1872,0)</f>
        <v>0</v>
      </c>
      <c r="AI1872" s="25">
        <f t="shared" ref="AI1872:AI1881" si="63">IF(AL1872=12,K1872,0)</f>
        <v>0</v>
      </c>
      <c r="AJ1872" s="25">
        <f t="shared" ref="AJ1872:AJ1881" si="64">IF(AL1872=21,K1872,0)</f>
        <v>0</v>
      </c>
      <c r="AL1872" s="25">
        <v>21</v>
      </c>
      <c r="AM1872" s="25">
        <f>H1872*0.054292308</f>
        <v>0</v>
      </c>
      <c r="AN1872" s="25">
        <f>H1872*(1-0.054292308)</f>
        <v>0</v>
      </c>
      <c r="AO1872" s="27" t="s">
        <v>61</v>
      </c>
      <c r="AT1872" s="25">
        <f t="shared" ref="AT1872:AT1881" si="65">ROUND(AU1872+AV1872,2)</f>
        <v>0</v>
      </c>
      <c r="AU1872" s="25">
        <f t="shared" ref="AU1872:AU1881" si="66">ROUND(G1872*AM1872,2)</f>
        <v>0</v>
      </c>
      <c r="AV1872" s="25">
        <f t="shared" ref="AV1872:AV1881" si="67">ROUND(G1872*AN1872,2)</f>
        <v>0</v>
      </c>
      <c r="AW1872" s="27" t="s">
        <v>101</v>
      </c>
      <c r="AX1872" s="27" t="s">
        <v>1954</v>
      </c>
      <c r="AY1872" s="10" t="s">
        <v>1707</v>
      </c>
      <c r="BA1872" s="25">
        <f t="shared" ref="BA1872:BA1881" si="68">AU1872+AV1872</f>
        <v>0</v>
      </c>
      <c r="BB1872" s="25">
        <f t="shared" ref="BB1872:BB1881" si="69">H1872/(100-BC1872)*100</f>
        <v>0</v>
      </c>
      <c r="BC1872" s="25">
        <v>0</v>
      </c>
      <c r="BD1872" s="25">
        <f t="shared" ref="BD1872:BD1881" si="70">M1872</f>
        <v>3.4000000000000002E-4</v>
      </c>
      <c r="BF1872" s="25">
        <f t="shared" ref="BF1872:BF1881" si="71">G1872*AM1872</f>
        <v>0</v>
      </c>
      <c r="BG1872" s="25">
        <f t="shared" ref="BG1872:BG1881" si="72">G1872*AN1872</f>
        <v>0</v>
      </c>
      <c r="BH1872" s="25">
        <f t="shared" ref="BH1872:BH1881" si="73">G1872*H1872</f>
        <v>0</v>
      </c>
      <c r="BI1872" s="27" t="s">
        <v>65</v>
      </c>
      <c r="BJ1872" s="25">
        <v>725</v>
      </c>
      <c r="BU1872" s="25" t="e">
        <f>#REF!</f>
        <v>#REF!</v>
      </c>
      <c r="BV1872" s="4" t="s">
        <v>2156</v>
      </c>
    </row>
    <row r="1873" spans="1:74" ht="14.4" x14ac:dyDescent="0.3">
      <c r="A1873" s="2" t="s">
        <v>2157</v>
      </c>
      <c r="B1873" s="3" t="s">
        <v>1699</v>
      </c>
      <c r="C1873" s="3" t="s">
        <v>2158</v>
      </c>
      <c r="D1873" s="112" t="s">
        <v>2159</v>
      </c>
      <c r="E1873" s="109"/>
      <c r="F1873" s="3" t="s">
        <v>860</v>
      </c>
      <c r="G1873" s="25">
        <v>2</v>
      </c>
      <c r="H1873" s="62"/>
      <c r="I1873" s="25">
        <f t="shared" si="50"/>
        <v>0</v>
      </c>
      <c r="J1873" s="25">
        <f t="shared" si="51"/>
        <v>0</v>
      </c>
      <c r="K1873" s="25">
        <f t="shared" si="52"/>
        <v>0</v>
      </c>
      <c r="L1873" s="25">
        <v>6.2E-4</v>
      </c>
      <c r="M1873" s="25">
        <f t="shared" si="53"/>
        <v>1.24E-3</v>
      </c>
      <c r="N1873" s="26"/>
      <c r="X1873" s="25">
        <f t="shared" si="54"/>
        <v>0</v>
      </c>
      <c r="Z1873" s="25">
        <f t="shared" si="55"/>
        <v>0</v>
      </c>
      <c r="AA1873" s="25">
        <f t="shared" si="56"/>
        <v>0</v>
      </c>
      <c r="AB1873" s="25">
        <f t="shared" si="57"/>
        <v>0</v>
      </c>
      <c r="AC1873" s="25">
        <f t="shared" si="58"/>
        <v>0</v>
      </c>
      <c r="AD1873" s="25">
        <f t="shared" si="59"/>
        <v>0</v>
      </c>
      <c r="AE1873" s="25">
        <f t="shared" si="60"/>
        <v>0</v>
      </c>
      <c r="AF1873" s="25">
        <f t="shared" si="61"/>
        <v>0</v>
      </c>
      <c r="AG1873" s="10" t="s">
        <v>1699</v>
      </c>
      <c r="AH1873" s="25">
        <f t="shared" si="62"/>
        <v>0</v>
      </c>
      <c r="AI1873" s="25">
        <f t="shared" si="63"/>
        <v>0</v>
      </c>
      <c r="AJ1873" s="25">
        <f t="shared" si="64"/>
        <v>0</v>
      </c>
      <c r="AL1873" s="25">
        <v>21</v>
      </c>
      <c r="AM1873" s="25">
        <f>H1873*0.300181818</f>
        <v>0</v>
      </c>
      <c r="AN1873" s="25">
        <f>H1873*(1-0.300181818)</f>
        <v>0</v>
      </c>
      <c r="AO1873" s="27" t="s">
        <v>61</v>
      </c>
      <c r="AT1873" s="25">
        <f t="shared" si="65"/>
        <v>0</v>
      </c>
      <c r="AU1873" s="25">
        <f t="shared" si="66"/>
        <v>0</v>
      </c>
      <c r="AV1873" s="25">
        <f t="shared" si="67"/>
        <v>0</v>
      </c>
      <c r="AW1873" s="27" t="s">
        <v>101</v>
      </c>
      <c r="AX1873" s="27" t="s">
        <v>1954</v>
      </c>
      <c r="AY1873" s="10" t="s">
        <v>1707</v>
      </c>
      <c r="BA1873" s="25">
        <f t="shared" si="68"/>
        <v>0</v>
      </c>
      <c r="BB1873" s="25">
        <f t="shared" si="69"/>
        <v>0</v>
      </c>
      <c r="BC1873" s="25">
        <v>0</v>
      </c>
      <c r="BD1873" s="25">
        <f t="shared" si="70"/>
        <v>1.24E-3</v>
      </c>
      <c r="BF1873" s="25">
        <f t="shared" si="71"/>
        <v>0</v>
      </c>
      <c r="BG1873" s="25">
        <f t="shared" si="72"/>
        <v>0</v>
      </c>
      <c r="BH1873" s="25">
        <f t="shared" si="73"/>
        <v>0</v>
      </c>
      <c r="BI1873" s="27" t="s">
        <v>65</v>
      </c>
      <c r="BJ1873" s="25">
        <v>725</v>
      </c>
      <c r="BU1873" s="25" t="e">
        <f>#REF!</f>
        <v>#REF!</v>
      </c>
      <c r="BV1873" s="4" t="s">
        <v>2159</v>
      </c>
    </row>
    <row r="1874" spans="1:74" ht="14.4" x14ac:dyDescent="0.3">
      <c r="A1874" s="2" t="s">
        <v>2160</v>
      </c>
      <c r="B1874" s="3" t="s">
        <v>1699</v>
      </c>
      <c r="C1874" s="3" t="s">
        <v>2161</v>
      </c>
      <c r="D1874" s="112" t="s">
        <v>2162</v>
      </c>
      <c r="E1874" s="109"/>
      <c r="F1874" s="3" t="s">
        <v>860</v>
      </c>
      <c r="G1874" s="25">
        <v>26</v>
      </c>
      <c r="H1874" s="62"/>
      <c r="I1874" s="25">
        <f t="shared" si="50"/>
        <v>0</v>
      </c>
      <c r="J1874" s="25">
        <f t="shared" si="51"/>
        <v>0</v>
      </c>
      <c r="K1874" s="25">
        <f t="shared" si="52"/>
        <v>0</v>
      </c>
      <c r="L1874" s="25">
        <v>8.0000000000000007E-5</v>
      </c>
      <c r="M1874" s="25">
        <f t="shared" si="53"/>
        <v>2.0800000000000003E-3</v>
      </c>
      <c r="N1874" s="26"/>
      <c r="X1874" s="25">
        <f t="shared" si="54"/>
        <v>0</v>
      </c>
      <c r="Z1874" s="25">
        <f t="shared" si="55"/>
        <v>0</v>
      </c>
      <c r="AA1874" s="25">
        <f t="shared" si="56"/>
        <v>0</v>
      </c>
      <c r="AB1874" s="25">
        <f t="shared" si="57"/>
        <v>0</v>
      </c>
      <c r="AC1874" s="25">
        <f t="shared" si="58"/>
        <v>0</v>
      </c>
      <c r="AD1874" s="25">
        <f t="shared" si="59"/>
        <v>0</v>
      </c>
      <c r="AE1874" s="25">
        <f t="shared" si="60"/>
        <v>0</v>
      </c>
      <c r="AF1874" s="25">
        <f t="shared" si="61"/>
        <v>0</v>
      </c>
      <c r="AG1874" s="10" t="s">
        <v>1699</v>
      </c>
      <c r="AH1874" s="25">
        <f t="shared" si="62"/>
        <v>0</v>
      </c>
      <c r="AI1874" s="25">
        <f t="shared" si="63"/>
        <v>0</v>
      </c>
      <c r="AJ1874" s="25">
        <f t="shared" si="64"/>
        <v>0</v>
      </c>
      <c r="AL1874" s="25">
        <v>21</v>
      </c>
      <c r="AM1874" s="25">
        <f>H1874*0.328007688</f>
        <v>0</v>
      </c>
      <c r="AN1874" s="25">
        <f>H1874*(1-0.328007688)</f>
        <v>0</v>
      </c>
      <c r="AO1874" s="27" t="s">
        <v>61</v>
      </c>
      <c r="AT1874" s="25">
        <f t="shared" si="65"/>
        <v>0</v>
      </c>
      <c r="AU1874" s="25">
        <f t="shared" si="66"/>
        <v>0</v>
      </c>
      <c r="AV1874" s="25">
        <f t="shared" si="67"/>
        <v>0</v>
      </c>
      <c r="AW1874" s="27" t="s">
        <v>101</v>
      </c>
      <c r="AX1874" s="27" t="s">
        <v>1954</v>
      </c>
      <c r="AY1874" s="10" t="s">
        <v>1707</v>
      </c>
      <c r="BA1874" s="25">
        <f t="shared" si="68"/>
        <v>0</v>
      </c>
      <c r="BB1874" s="25">
        <f t="shared" si="69"/>
        <v>0</v>
      </c>
      <c r="BC1874" s="25">
        <v>0</v>
      </c>
      <c r="BD1874" s="25">
        <f t="shared" si="70"/>
        <v>2.0800000000000003E-3</v>
      </c>
      <c r="BF1874" s="25">
        <f t="shared" si="71"/>
        <v>0</v>
      </c>
      <c r="BG1874" s="25">
        <f t="shared" si="72"/>
        <v>0</v>
      </c>
      <c r="BH1874" s="25">
        <f t="shared" si="73"/>
        <v>0</v>
      </c>
      <c r="BI1874" s="27" t="s">
        <v>65</v>
      </c>
      <c r="BJ1874" s="25">
        <v>725</v>
      </c>
      <c r="BU1874" s="25" t="e">
        <f>#REF!</f>
        <v>#REF!</v>
      </c>
      <c r="BV1874" s="4" t="s">
        <v>2162</v>
      </c>
    </row>
    <row r="1875" spans="1:74" ht="14.4" x14ac:dyDescent="0.3">
      <c r="A1875" s="2" t="s">
        <v>2163</v>
      </c>
      <c r="B1875" s="3" t="s">
        <v>1699</v>
      </c>
      <c r="C1875" s="3" t="s">
        <v>2164</v>
      </c>
      <c r="D1875" s="112" t="s">
        <v>2165</v>
      </c>
      <c r="E1875" s="109"/>
      <c r="F1875" s="3" t="s">
        <v>860</v>
      </c>
      <c r="G1875" s="25">
        <v>26</v>
      </c>
      <c r="H1875" s="62"/>
      <c r="I1875" s="25">
        <f t="shared" si="50"/>
        <v>0</v>
      </c>
      <c r="J1875" s="25">
        <f t="shared" si="51"/>
        <v>0</v>
      </c>
      <c r="K1875" s="25">
        <f t="shared" si="52"/>
        <v>0</v>
      </c>
      <c r="L1875" s="25">
        <v>2.4000000000000001E-4</v>
      </c>
      <c r="M1875" s="25">
        <f t="shared" si="53"/>
        <v>6.2399999999999999E-3</v>
      </c>
      <c r="N1875" s="26"/>
      <c r="X1875" s="25">
        <f t="shared" si="54"/>
        <v>0</v>
      </c>
      <c r="Z1875" s="25">
        <f t="shared" si="55"/>
        <v>0</v>
      </c>
      <c r="AA1875" s="25">
        <f t="shared" si="56"/>
        <v>0</v>
      </c>
      <c r="AB1875" s="25">
        <f t="shared" si="57"/>
        <v>0</v>
      </c>
      <c r="AC1875" s="25">
        <f t="shared" si="58"/>
        <v>0</v>
      </c>
      <c r="AD1875" s="25">
        <f t="shared" si="59"/>
        <v>0</v>
      </c>
      <c r="AE1875" s="25">
        <f t="shared" si="60"/>
        <v>0</v>
      </c>
      <c r="AF1875" s="25">
        <f t="shared" si="61"/>
        <v>0</v>
      </c>
      <c r="AG1875" s="10" t="s">
        <v>1699</v>
      </c>
      <c r="AH1875" s="25">
        <f t="shared" si="62"/>
        <v>0</v>
      </c>
      <c r="AI1875" s="25">
        <f t="shared" si="63"/>
        <v>0</v>
      </c>
      <c r="AJ1875" s="25">
        <f t="shared" si="64"/>
        <v>0</v>
      </c>
      <c r="AL1875" s="25">
        <v>21</v>
      </c>
      <c r="AM1875" s="25">
        <f>H1875*0.780083682</f>
        <v>0</v>
      </c>
      <c r="AN1875" s="25">
        <f>H1875*(1-0.780083682)</f>
        <v>0</v>
      </c>
      <c r="AO1875" s="27" t="s">
        <v>61</v>
      </c>
      <c r="AT1875" s="25">
        <f t="shared" si="65"/>
        <v>0</v>
      </c>
      <c r="AU1875" s="25">
        <f t="shared" si="66"/>
        <v>0</v>
      </c>
      <c r="AV1875" s="25">
        <f t="shared" si="67"/>
        <v>0</v>
      </c>
      <c r="AW1875" s="27" t="s">
        <v>101</v>
      </c>
      <c r="AX1875" s="27" t="s">
        <v>1954</v>
      </c>
      <c r="AY1875" s="10" t="s">
        <v>1707</v>
      </c>
      <c r="BA1875" s="25">
        <f t="shared" si="68"/>
        <v>0</v>
      </c>
      <c r="BB1875" s="25">
        <f t="shared" si="69"/>
        <v>0</v>
      </c>
      <c r="BC1875" s="25">
        <v>0</v>
      </c>
      <c r="BD1875" s="25">
        <f t="shared" si="70"/>
        <v>6.2399999999999999E-3</v>
      </c>
      <c r="BF1875" s="25">
        <f t="shared" si="71"/>
        <v>0</v>
      </c>
      <c r="BG1875" s="25">
        <f t="shared" si="72"/>
        <v>0</v>
      </c>
      <c r="BH1875" s="25">
        <f t="shared" si="73"/>
        <v>0</v>
      </c>
      <c r="BI1875" s="27" t="s">
        <v>65</v>
      </c>
      <c r="BJ1875" s="25">
        <v>725</v>
      </c>
      <c r="BU1875" s="25" t="e">
        <f>#REF!</f>
        <v>#REF!</v>
      </c>
      <c r="BV1875" s="4" t="s">
        <v>2165</v>
      </c>
    </row>
    <row r="1876" spans="1:74" ht="14.4" x14ac:dyDescent="0.3">
      <c r="A1876" s="2" t="s">
        <v>2166</v>
      </c>
      <c r="B1876" s="3" t="s">
        <v>1699</v>
      </c>
      <c r="C1876" s="3" t="s">
        <v>2167</v>
      </c>
      <c r="D1876" s="112" t="s">
        <v>2168</v>
      </c>
      <c r="E1876" s="109"/>
      <c r="F1876" s="3" t="s">
        <v>860</v>
      </c>
      <c r="G1876" s="25">
        <v>22</v>
      </c>
      <c r="H1876" s="62"/>
      <c r="I1876" s="25">
        <f t="shared" si="50"/>
        <v>0</v>
      </c>
      <c r="J1876" s="25">
        <f t="shared" si="51"/>
        <v>0</v>
      </c>
      <c r="K1876" s="25">
        <f t="shared" si="52"/>
        <v>0</v>
      </c>
      <c r="L1876" s="25">
        <v>1.1E-4</v>
      </c>
      <c r="M1876" s="25">
        <f t="shared" si="53"/>
        <v>2.4200000000000003E-3</v>
      </c>
      <c r="N1876" s="102"/>
      <c r="X1876" s="25">
        <f t="shared" si="54"/>
        <v>0</v>
      </c>
      <c r="Z1876" s="25">
        <f t="shared" si="55"/>
        <v>0</v>
      </c>
      <c r="AA1876" s="25">
        <f t="shared" si="56"/>
        <v>0</v>
      </c>
      <c r="AB1876" s="25">
        <f t="shared" si="57"/>
        <v>0</v>
      </c>
      <c r="AC1876" s="25">
        <f t="shared" si="58"/>
        <v>0</v>
      </c>
      <c r="AD1876" s="25">
        <f t="shared" si="59"/>
        <v>0</v>
      </c>
      <c r="AE1876" s="25">
        <f t="shared" si="60"/>
        <v>0</v>
      </c>
      <c r="AF1876" s="25">
        <f t="shared" si="61"/>
        <v>0</v>
      </c>
      <c r="AG1876" s="10" t="s">
        <v>1699</v>
      </c>
      <c r="AH1876" s="25">
        <f t="shared" si="62"/>
        <v>0</v>
      </c>
      <c r="AI1876" s="25">
        <f t="shared" si="63"/>
        <v>0</v>
      </c>
      <c r="AJ1876" s="25">
        <f t="shared" si="64"/>
        <v>0</v>
      </c>
      <c r="AL1876" s="25">
        <v>21</v>
      </c>
      <c r="AM1876" s="25">
        <f>H1876*0.384090909</f>
        <v>0</v>
      </c>
      <c r="AN1876" s="25">
        <f>H1876*(1-0.384090909)</f>
        <v>0</v>
      </c>
      <c r="AO1876" s="27" t="s">
        <v>61</v>
      </c>
      <c r="AT1876" s="25">
        <f t="shared" si="65"/>
        <v>0</v>
      </c>
      <c r="AU1876" s="25">
        <f t="shared" si="66"/>
        <v>0</v>
      </c>
      <c r="AV1876" s="25">
        <f t="shared" si="67"/>
        <v>0</v>
      </c>
      <c r="AW1876" s="27" t="s">
        <v>101</v>
      </c>
      <c r="AX1876" s="27" t="s">
        <v>1954</v>
      </c>
      <c r="AY1876" s="10" t="s">
        <v>1707</v>
      </c>
      <c r="BA1876" s="25">
        <f t="shared" si="68"/>
        <v>0</v>
      </c>
      <c r="BB1876" s="25">
        <f t="shared" si="69"/>
        <v>0</v>
      </c>
      <c r="BC1876" s="25">
        <v>0</v>
      </c>
      <c r="BD1876" s="25">
        <f t="shared" si="70"/>
        <v>2.4200000000000003E-3</v>
      </c>
      <c r="BF1876" s="25">
        <f t="shared" si="71"/>
        <v>0</v>
      </c>
      <c r="BG1876" s="25">
        <f t="shared" si="72"/>
        <v>0</v>
      </c>
      <c r="BH1876" s="25">
        <f t="shared" si="73"/>
        <v>0</v>
      </c>
      <c r="BI1876" s="27" t="s">
        <v>65</v>
      </c>
      <c r="BJ1876" s="25">
        <v>725</v>
      </c>
      <c r="BU1876" s="25" t="e">
        <f>#REF!</f>
        <v>#REF!</v>
      </c>
      <c r="BV1876" s="4" t="s">
        <v>2168</v>
      </c>
    </row>
    <row r="1877" spans="1:74" ht="14.4" x14ac:dyDescent="0.3">
      <c r="A1877" s="2" t="s">
        <v>2169</v>
      </c>
      <c r="B1877" s="3" t="s">
        <v>1699</v>
      </c>
      <c r="C1877" s="3" t="s">
        <v>2164</v>
      </c>
      <c r="D1877" s="112" t="s">
        <v>2170</v>
      </c>
      <c r="E1877" s="109"/>
      <c r="F1877" s="3" t="s">
        <v>860</v>
      </c>
      <c r="G1877" s="25">
        <v>22</v>
      </c>
      <c r="H1877" s="62"/>
      <c r="I1877" s="25">
        <f t="shared" si="50"/>
        <v>0</v>
      </c>
      <c r="J1877" s="25">
        <f t="shared" si="51"/>
        <v>0</v>
      </c>
      <c r="K1877" s="25">
        <f t="shared" si="52"/>
        <v>0</v>
      </c>
      <c r="L1877" s="25">
        <v>2.4000000000000001E-4</v>
      </c>
      <c r="M1877" s="25">
        <f t="shared" si="53"/>
        <v>5.28E-3</v>
      </c>
      <c r="N1877" s="26"/>
      <c r="X1877" s="25">
        <f t="shared" si="54"/>
        <v>0</v>
      </c>
      <c r="Z1877" s="25">
        <f t="shared" si="55"/>
        <v>0</v>
      </c>
      <c r="AA1877" s="25">
        <f t="shared" si="56"/>
        <v>0</v>
      </c>
      <c r="AB1877" s="25">
        <f t="shared" si="57"/>
        <v>0</v>
      </c>
      <c r="AC1877" s="25">
        <f t="shared" si="58"/>
        <v>0</v>
      </c>
      <c r="AD1877" s="25">
        <f t="shared" si="59"/>
        <v>0</v>
      </c>
      <c r="AE1877" s="25">
        <f t="shared" si="60"/>
        <v>0</v>
      </c>
      <c r="AF1877" s="25">
        <f t="shared" si="61"/>
        <v>0</v>
      </c>
      <c r="AG1877" s="10" t="s">
        <v>1699</v>
      </c>
      <c r="AH1877" s="25">
        <f t="shared" si="62"/>
        <v>0</v>
      </c>
      <c r="AI1877" s="25">
        <f t="shared" si="63"/>
        <v>0</v>
      </c>
      <c r="AJ1877" s="25">
        <f t="shared" si="64"/>
        <v>0</v>
      </c>
      <c r="AL1877" s="25">
        <v>21</v>
      </c>
      <c r="AM1877" s="25">
        <f>H1877*0.780083682</f>
        <v>0</v>
      </c>
      <c r="AN1877" s="25">
        <f>H1877*(1-0.780083682)</f>
        <v>0</v>
      </c>
      <c r="AO1877" s="27" t="s">
        <v>61</v>
      </c>
      <c r="AT1877" s="25">
        <f t="shared" si="65"/>
        <v>0</v>
      </c>
      <c r="AU1877" s="25">
        <f t="shared" si="66"/>
        <v>0</v>
      </c>
      <c r="AV1877" s="25">
        <f t="shared" si="67"/>
        <v>0</v>
      </c>
      <c r="AW1877" s="27" t="s">
        <v>101</v>
      </c>
      <c r="AX1877" s="27" t="s">
        <v>1954</v>
      </c>
      <c r="AY1877" s="10" t="s">
        <v>1707</v>
      </c>
      <c r="BA1877" s="25">
        <f t="shared" si="68"/>
        <v>0</v>
      </c>
      <c r="BB1877" s="25">
        <f t="shared" si="69"/>
        <v>0</v>
      </c>
      <c r="BC1877" s="25">
        <v>0</v>
      </c>
      <c r="BD1877" s="25">
        <f t="shared" si="70"/>
        <v>5.28E-3</v>
      </c>
      <c r="BF1877" s="25">
        <f t="shared" si="71"/>
        <v>0</v>
      </c>
      <c r="BG1877" s="25">
        <f t="shared" si="72"/>
        <v>0</v>
      </c>
      <c r="BH1877" s="25">
        <f t="shared" si="73"/>
        <v>0</v>
      </c>
      <c r="BI1877" s="27" t="s">
        <v>65</v>
      </c>
      <c r="BJ1877" s="25">
        <v>725</v>
      </c>
      <c r="BU1877" s="25" t="e">
        <f>#REF!</f>
        <v>#REF!</v>
      </c>
      <c r="BV1877" s="4" t="s">
        <v>2170</v>
      </c>
    </row>
    <row r="1878" spans="1:74" ht="14.4" x14ac:dyDescent="0.3">
      <c r="A1878" s="2" t="s">
        <v>2171</v>
      </c>
      <c r="B1878" s="3" t="s">
        <v>1699</v>
      </c>
      <c r="C1878" s="3" t="s">
        <v>2172</v>
      </c>
      <c r="D1878" s="112" t="s">
        <v>2173</v>
      </c>
      <c r="E1878" s="109"/>
      <c r="F1878" s="3" t="s">
        <v>860</v>
      </c>
      <c r="G1878" s="25">
        <v>17</v>
      </c>
      <c r="H1878" s="62"/>
      <c r="I1878" s="25">
        <f t="shared" si="50"/>
        <v>0</v>
      </c>
      <c r="J1878" s="25">
        <f t="shared" si="51"/>
        <v>0</v>
      </c>
      <c r="K1878" s="25">
        <f t="shared" si="52"/>
        <v>0</v>
      </c>
      <c r="L1878" s="25">
        <v>1.1E-4</v>
      </c>
      <c r="M1878" s="25">
        <f t="shared" si="53"/>
        <v>1.8700000000000001E-3</v>
      </c>
      <c r="N1878" s="26"/>
      <c r="X1878" s="25">
        <f t="shared" si="54"/>
        <v>0</v>
      </c>
      <c r="Z1878" s="25">
        <f t="shared" si="55"/>
        <v>0</v>
      </c>
      <c r="AA1878" s="25">
        <f t="shared" si="56"/>
        <v>0</v>
      </c>
      <c r="AB1878" s="25">
        <f t="shared" si="57"/>
        <v>0</v>
      </c>
      <c r="AC1878" s="25">
        <f t="shared" si="58"/>
        <v>0</v>
      </c>
      <c r="AD1878" s="25">
        <f t="shared" si="59"/>
        <v>0</v>
      </c>
      <c r="AE1878" s="25">
        <f t="shared" si="60"/>
        <v>0</v>
      </c>
      <c r="AF1878" s="25">
        <f t="shared" si="61"/>
        <v>0</v>
      </c>
      <c r="AG1878" s="10" t="s">
        <v>1699</v>
      </c>
      <c r="AH1878" s="25">
        <f t="shared" si="62"/>
        <v>0</v>
      </c>
      <c r="AI1878" s="25">
        <f t="shared" si="63"/>
        <v>0</v>
      </c>
      <c r="AJ1878" s="25">
        <f t="shared" si="64"/>
        <v>0</v>
      </c>
      <c r="AL1878" s="25">
        <v>21</v>
      </c>
      <c r="AM1878" s="25">
        <f>H1878*0.384101562</f>
        <v>0</v>
      </c>
      <c r="AN1878" s="25">
        <f>H1878*(1-0.384101562)</f>
        <v>0</v>
      </c>
      <c r="AO1878" s="27" t="s">
        <v>61</v>
      </c>
      <c r="AT1878" s="25">
        <f t="shared" si="65"/>
        <v>0</v>
      </c>
      <c r="AU1878" s="25">
        <f t="shared" si="66"/>
        <v>0</v>
      </c>
      <c r="AV1878" s="25">
        <f t="shared" si="67"/>
        <v>0</v>
      </c>
      <c r="AW1878" s="27" t="s">
        <v>101</v>
      </c>
      <c r="AX1878" s="27" t="s">
        <v>1954</v>
      </c>
      <c r="AY1878" s="10" t="s">
        <v>1707</v>
      </c>
      <c r="BA1878" s="25">
        <f t="shared" si="68"/>
        <v>0</v>
      </c>
      <c r="BB1878" s="25">
        <f t="shared" si="69"/>
        <v>0</v>
      </c>
      <c r="BC1878" s="25">
        <v>0</v>
      </c>
      <c r="BD1878" s="25">
        <f t="shared" si="70"/>
        <v>1.8700000000000001E-3</v>
      </c>
      <c r="BF1878" s="25">
        <f t="shared" si="71"/>
        <v>0</v>
      </c>
      <c r="BG1878" s="25">
        <f t="shared" si="72"/>
        <v>0</v>
      </c>
      <c r="BH1878" s="25">
        <f t="shared" si="73"/>
        <v>0</v>
      </c>
      <c r="BI1878" s="27" t="s">
        <v>65</v>
      </c>
      <c r="BJ1878" s="25">
        <v>725</v>
      </c>
      <c r="BU1878" s="25" t="e">
        <f>#REF!</f>
        <v>#REF!</v>
      </c>
      <c r="BV1878" s="4" t="s">
        <v>2173</v>
      </c>
    </row>
    <row r="1879" spans="1:74" ht="14.4" x14ac:dyDescent="0.3">
      <c r="A1879" s="2" t="s">
        <v>2174</v>
      </c>
      <c r="B1879" s="3" t="s">
        <v>1699</v>
      </c>
      <c r="C1879" s="3" t="s">
        <v>2175</v>
      </c>
      <c r="D1879" s="112" t="s">
        <v>2176</v>
      </c>
      <c r="E1879" s="109"/>
      <c r="F1879" s="3" t="s">
        <v>122</v>
      </c>
      <c r="G1879" s="25">
        <v>1</v>
      </c>
      <c r="H1879" s="62"/>
      <c r="I1879" s="25">
        <f t="shared" si="50"/>
        <v>0</v>
      </c>
      <c r="J1879" s="25">
        <f t="shared" si="51"/>
        <v>0</v>
      </c>
      <c r="K1879" s="25">
        <f t="shared" si="52"/>
        <v>0</v>
      </c>
      <c r="L1879" s="25">
        <v>3.4000000000000002E-4</v>
      </c>
      <c r="M1879" s="25">
        <f t="shared" si="53"/>
        <v>3.4000000000000002E-4</v>
      </c>
      <c r="N1879" s="102"/>
      <c r="X1879" s="25">
        <f t="shared" si="54"/>
        <v>0</v>
      </c>
      <c r="Z1879" s="25">
        <f t="shared" si="55"/>
        <v>0</v>
      </c>
      <c r="AA1879" s="25">
        <f t="shared" si="56"/>
        <v>0</v>
      </c>
      <c r="AB1879" s="25">
        <f t="shared" si="57"/>
        <v>0</v>
      </c>
      <c r="AC1879" s="25">
        <f t="shared" si="58"/>
        <v>0</v>
      </c>
      <c r="AD1879" s="25">
        <f t="shared" si="59"/>
        <v>0</v>
      </c>
      <c r="AE1879" s="25">
        <f t="shared" si="60"/>
        <v>0</v>
      </c>
      <c r="AF1879" s="25">
        <f t="shared" si="61"/>
        <v>0</v>
      </c>
      <c r="AG1879" s="10" t="s">
        <v>1699</v>
      </c>
      <c r="AH1879" s="25">
        <f t="shared" si="62"/>
        <v>0</v>
      </c>
      <c r="AI1879" s="25">
        <f t="shared" si="63"/>
        <v>0</v>
      </c>
      <c r="AJ1879" s="25">
        <f t="shared" si="64"/>
        <v>0</v>
      </c>
      <c r="AL1879" s="25">
        <v>21</v>
      </c>
      <c r="AM1879" s="25">
        <f>H1879*0.864295125</f>
        <v>0</v>
      </c>
      <c r="AN1879" s="25">
        <f>H1879*(1-0.864295125)</f>
        <v>0</v>
      </c>
      <c r="AO1879" s="27" t="s">
        <v>61</v>
      </c>
      <c r="AT1879" s="25">
        <f t="shared" si="65"/>
        <v>0</v>
      </c>
      <c r="AU1879" s="25">
        <f t="shared" si="66"/>
        <v>0</v>
      </c>
      <c r="AV1879" s="25">
        <f t="shared" si="67"/>
        <v>0</v>
      </c>
      <c r="AW1879" s="27" t="s">
        <v>101</v>
      </c>
      <c r="AX1879" s="27" t="s">
        <v>1954</v>
      </c>
      <c r="AY1879" s="10" t="s">
        <v>1707</v>
      </c>
      <c r="BA1879" s="25">
        <f t="shared" si="68"/>
        <v>0</v>
      </c>
      <c r="BB1879" s="25">
        <f t="shared" si="69"/>
        <v>0</v>
      </c>
      <c r="BC1879" s="25">
        <v>0</v>
      </c>
      <c r="BD1879" s="25">
        <f t="shared" si="70"/>
        <v>3.4000000000000002E-4</v>
      </c>
      <c r="BF1879" s="25">
        <f t="shared" si="71"/>
        <v>0</v>
      </c>
      <c r="BG1879" s="25">
        <f t="shared" si="72"/>
        <v>0</v>
      </c>
      <c r="BH1879" s="25">
        <f t="shared" si="73"/>
        <v>0</v>
      </c>
      <c r="BI1879" s="27" t="s">
        <v>65</v>
      </c>
      <c r="BJ1879" s="25">
        <v>725</v>
      </c>
      <c r="BU1879" s="25" t="e">
        <f>#REF!</f>
        <v>#REF!</v>
      </c>
      <c r="BV1879" s="4" t="s">
        <v>2176</v>
      </c>
    </row>
    <row r="1880" spans="1:74" ht="14.4" x14ac:dyDescent="0.3">
      <c r="A1880" s="2" t="s">
        <v>2177</v>
      </c>
      <c r="B1880" s="3" t="s">
        <v>1699</v>
      </c>
      <c r="C1880" s="3" t="s">
        <v>2178</v>
      </c>
      <c r="D1880" s="112" t="s">
        <v>2179</v>
      </c>
      <c r="E1880" s="109"/>
      <c r="F1880" s="3" t="s">
        <v>860</v>
      </c>
      <c r="G1880" s="25">
        <v>16</v>
      </c>
      <c r="H1880" s="62"/>
      <c r="I1880" s="25">
        <f t="shared" si="50"/>
        <v>0</v>
      </c>
      <c r="J1880" s="25">
        <f t="shared" si="51"/>
        <v>0</v>
      </c>
      <c r="K1880" s="25">
        <f t="shared" si="52"/>
        <v>0</v>
      </c>
      <c r="L1880" s="25">
        <v>3.4000000000000002E-4</v>
      </c>
      <c r="M1880" s="25">
        <f t="shared" si="53"/>
        <v>5.4400000000000004E-3</v>
      </c>
      <c r="N1880" s="26"/>
      <c r="X1880" s="25">
        <f t="shared" si="54"/>
        <v>0</v>
      </c>
      <c r="Z1880" s="25">
        <f t="shared" si="55"/>
        <v>0</v>
      </c>
      <c r="AA1880" s="25">
        <f t="shared" si="56"/>
        <v>0</v>
      </c>
      <c r="AB1880" s="25">
        <f t="shared" si="57"/>
        <v>0</v>
      </c>
      <c r="AC1880" s="25">
        <f t="shared" si="58"/>
        <v>0</v>
      </c>
      <c r="AD1880" s="25">
        <f t="shared" si="59"/>
        <v>0</v>
      </c>
      <c r="AE1880" s="25">
        <f t="shared" si="60"/>
        <v>0</v>
      </c>
      <c r="AF1880" s="25">
        <f t="shared" si="61"/>
        <v>0</v>
      </c>
      <c r="AG1880" s="10" t="s">
        <v>1699</v>
      </c>
      <c r="AH1880" s="25">
        <f t="shared" si="62"/>
        <v>0</v>
      </c>
      <c r="AI1880" s="25">
        <f t="shared" si="63"/>
        <v>0</v>
      </c>
      <c r="AJ1880" s="25">
        <f t="shared" si="64"/>
        <v>0</v>
      </c>
      <c r="AL1880" s="25">
        <v>21</v>
      </c>
      <c r="AM1880" s="25">
        <f>H1880*0.864302926</f>
        <v>0</v>
      </c>
      <c r="AN1880" s="25">
        <f>H1880*(1-0.864302926)</f>
        <v>0</v>
      </c>
      <c r="AO1880" s="27" t="s">
        <v>61</v>
      </c>
      <c r="AT1880" s="25">
        <f t="shared" si="65"/>
        <v>0</v>
      </c>
      <c r="AU1880" s="25">
        <f t="shared" si="66"/>
        <v>0</v>
      </c>
      <c r="AV1880" s="25">
        <f t="shared" si="67"/>
        <v>0</v>
      </c>
      <c r="AW1880" s="27" t="s">
        <v>101</v>
      </c>
      <c r="AX1880" s="27" t="s">
        <v>1954</v>
      </c>
      <c r="AY1880" s="10" t="s">
        <v>1707</v>
      </c>
      <c r="BA1880" s="25">
        <f t="shared" si="68"/>
        <v>0</v>
      </c>
      <c r="BB1880" s="25">
        <f t="shared" si="69"/>
        <v>0</v>
      </c>
      <c r="BC1880" s="25">
        <v>0</v>
      </c>
      <c r="BD1880" s="25">
        <f t="shared" si="70"/>
        <v>5.4400000000000004E-3</v>
      </c>
      <c r="BF1880" s="25">
        <f t="shared" si="71"/>
        <v>0</v>
      </c>
      <c r="BG1880" s="25">
        <f t="shared" si="72"/>
        <v>0</v>
      </c>
      <c r="BH1880" s="25">
        <f t="shared" si="73"/>
        <v>0</v>
      </c>
      <c r="BI1880" s="27" t="s">
        <v>65</v>
      </c>
      <c r="BJ1880" s="25">
        <v>725</v>
      </c>
      <c r="BU1880" s="25" t="e">
        <f>#REF!</f>
        <v>#REF!</v>
      </c>
      <c r="BV1880" s="4" t="s">
        <v>2179</v>
      </c>
    </row>
    <row r="1881" spans="1:74" ht="14.4" x14ac:dyDescent="0.3">
      <c r="A1881" s="2" t="s">
        <v>2180</v>
      </c>
      <c r="B1881" s="3" t="s">
        <v>1699</v>
      </c>
      <c r="C1881" s="3" t="s">
        <v>2181</v>
      </c>
      <c r="D1881" s="112" t="s">
        <v>2182</v>
      </c>
      <c r="E1881" s="109"/>
      <c r="F1881" s="3" t="s">
        <v>2183</v>
      </c>
      <c r="G1881" s="25">
        <v>20</v>
      </c>
      <c r="H1881" s="62"/>
      <c r="I1881" s="25">
        <f t="shared" si="50"/>
        <v>0</v>
      </c>
      <c r="J1881" s="25">
        <f t="shared" si="51"/>
        <v>0</v>
      </c>
      <c r="K1881" s="25">
        <f t="shared" si="52"/>
        <v>0</v>
      </c>
      <c r="L1881" s="25">
        <v>7.5000000000000002E-4</v>
      </c>
      <c r="M1881" s="25">
        <f t="shared" si="53"/>
        <v>1.4999999999999999E-2</v>
      </c>
      <c r="N1881" s="26"/>
      <c r="X1881" s="25">
        <f t="shared" si="54"/>
        <v>0</v>
      </c>
      <c r="Z1881" s="25">
        <f t="shared" si="55"/>
        <v>0</v>
      </c>
      <c r="AA1881" s="25">
        <f t="shared" si="56"/>
        <v>0</v>
      </c>
      <c r="AB1881" s="25">
        <f t="shared" si="57"/>
        <v>0</v>
      </c>
      <c r="AC1881" s="25">
        <f t="shared" si="58"/>
        <v>0</v>
      </c>
      <c r="AD1881" s="25">
        <f t="shared" si="59"/>
        <v>0</v>
      </c>
      <c r="AE1881" s="25">
        <f t="shared" si="60"/>
        <v>0</v>
      </c>
      <c r="AF1881" s="25">
        <f t="shared" si="61"/>
        <v>0</v>
      </c>
      <c r="AG1881" s="10" t="s">
        <v>1699</v>
      </c>
      <c r="AH1881" s="25">
        <f t="shared" si="62"/>
        <v>0</v>
      </c>
      <c r="AI1881" s="25">
        <f t="shared" si="63"/>
        <v>0</v>
      </c>
      <c r="AJ1881" s="25">
        <f t="shared" si="64"/>
        <v>0</v>
      </c>
      <c r="AL1881" s="25">
        <v>21</v>
      </c>
      <c r="AM1881" s="25">
        <f>H1881*0.724195804</f>
        <v>0</v>
      </c>
      <c r="AN1881" s="25">
        <f>H1881*(1-0.724195804)</f>
        <v>0</v>
      </c>
      <c r="AO1881" s="27" t="s">
        <v>61</v>
      </c>
      <c r="AT1881" s="25">
        <f t="shared" si="65"/>
        <v>0</v>
      </c>
      <c r="AU1881" s="25">
        <f t="shared" si="66"/>
        <v>0</v>
      </c>
      <c r="AV1881" s="25">
        <f t="shared" si="67"/>
        <v>0</v>
      </c>
      <c r="AW1881" s="27" t="s">
        <v>101</v>
      </c>
      <c r="AX1881" s="27" t="s">
        <v>1954</v>
      </c>
      <c r="AY1881" s="10" t="s">
        <v>1707</v>
      </c>
      <c r="BA1881" s="25">
        <f t="shared" si="68"/>
        <v>0</v>
      </c>
      <c r="BB1881" s="25">
        <f t="shared" si="69"/>
        <v>0</v>
      </c>
      <c r="BC1881" s="25">
        <v>0</v>
      </c>
      <c r="BD1881" s="25">
        <f t="shared" si="70"/>
        <v>1.4999999999999999E-2</v>
      </c>
      <c r="BF1881" s="25">
        <f t="shared" si="71"/>
        <v>0</v>
      </c>
      <c r="BG1881" s="25">
        <f t="shared" si="72"/>
        <v>0</v>
      </c>
      <c r="BH1881" s="25">
        <f t="shared" si="73"/>
        <v>0</v>
      </c>
      <c r="BI1881" s="27" t="s">
        <v>65</v>
      </c>
      <c r="BJ1881" s="25">
        <v>725</v>
      </c>
      <c r="BU1881" s="25" t="e">
        <f>#REF!</f>
        <v>#REF!</v>
      </c>
      <c r="BV1881" s="4" t="s">
        <v>2182</v>
      </c>
    </row>
    <row r="1882" spans="1:74" ht="14.4" x14ac:dyDescent="0.3">
      <c r="A1882" s="28"/>
      <c r="D1882" s="29" t="s">
        <v>202</v>
      </c>
      <c r="E1882" s="29" t="s">
        <v>52</v>
      </c>
      <c r="G1882" s="30">
        <v>20</v>
      </c>
      <c r="H1882" s="63"/>
      <c r="N1882" s="31"/>
    </row>
    <row r="1883" spans="1:74" ht="14.4" x14ac:dyDescent="0.3">
      <c r="A1883" s="2" t="s">
        <v>2184</v>
      </c>
      <c r="B1883" s="3" t="s">
        <v>1699</v>
      </c>
      <c r="C1883" s="3" t="s">
        <v>882</v>
      </c>
      <c r="D1883" s="112" t="s">
        <v>883</v>
      </c>
      <c r="E1883" s="109"/>
      <c r="F1883" s="3" t="s">
        <v>278</v>
      </c>
      <c r="G1883" s="25">
        <v>2.48</v>
      </c>
      <c r="H1883" s="62"/>
      <c r="I1883" s="25">
        <f>ROUND(G1883*AM1883,2)</f>
        <v>0</v>
      </c>
      <c r="J1883" s="25">
        <f>ROUND(G1883*AN1883,2)</f>
        <v>0</v>
      </c>
      <c r="K1883" s="25">
        <f>ROUND(G1883*H1883,2)</f>
        <v>0</v>
      </c>
      <c r="L1883" s="25">
        <v>0</v>
      </c>
      <c r="M1883" s="25">
        <f>G1883*L1883</f>
        <v>0</v>
      </c>
      <c r="N1883" s="26"/>
      <c r="X1883" s="25">
        <f>ROUND(IF(AO1883="5",BH1883,0),2)</f>
        <v>0</v>
      </c>
      <c r="Z1883" s="25">
        <f>ROUND(IF(AO1883="1",BF1883,0),2)</f>
        <v>0</v>
      </c>
      <c r="AA1883" s="25">
        <f>ROUND(IF(AO1883="1",BG1883,0),2)</f>
        <v>0</v>
      </c>
      <c r="AB1883" s="25">
        <f>ROUND(IF(AO1883="7",BF1883,0),2)</f>
        <v>0</v>
      </c>
      <c r="AC1883" s="25">
        <f>ROUND(IF(AO1883="7",BG1883,0),2)</f>
        <v>0</v>
      </c>
      <c r="AD1883" s="25">
        <f>ROUND(IF(AO1883="2",BF1883,0),2)</f>
        <v>0</v>
      </c>
      <c r="AE1883" s="25">
        <f>ROUND(IF(AO1883="2",BG1883,0),2)</f>
        <v>0</v>
      </c>
      <c r="AF1883" s="25">
        <f>ROUND(IF(AO1883="0",BH1883,0),2)</f>
        <v>0</v>
      </c>
      <c r="AG1883" s="10" t="s">
        <v>1699</v>
      </c>
      <c r="AH1883" s="25">
        <f>IF(AL1883=0,K1883,0)</f>
        <v>0</v>
      </c>
      <c r="AI1883" s="25">
        <f>IF(AL1883=12,K1883,0)</f>
        <v>0</v>
      </c>
      <c r="AJ1883" s="25">
        <f>IF(AL1883=21,K1883,0)</f>
        <v>0</v>
      </c>
      <c r="AL1883" s="25">
        <v>21</v>
      </c>
      <c r="AM1883" s="25">
        <f>H1883*0</f>
        <v>0</v>
      </c>
      <c r="AN1883" s="25">
        <f>H1883*(1-0)</f>
        <v>0</v>
      </c>
      <c r="AO1883" s="27" t="s">
        <v>97</v>
      </c>
      <c r="AT1883" s="25">
        <f>ROUND(AU1883+AV1883,2)</f>
        <v>0</v>
      </c>
      <c r="AU1883" s="25">
        <f>ROUND(G1883*AM1883,2)</f>
        <v>0</v>
      </c>
      <c r="AV1883" s="25">
        <f>ROUND(G1883*AN1883,2)</f>
        <v>0</v>
      </c>
      <c r="AW1883" s="27" t="s">
        <v>101</v>
      </c>
      <c r="AX1883" s="27" t="s">
        <v>1954</v>
      </c>
      <c r="AY1883" s="10" t="s">
        <v>1707</v>
      </c>
      <c r="BA1883" s="25">
        <f>AU1883+AV1883</f>
        <v>0</v>
      </c>
      <c r="BB1883" s="25">
        <f>H1883/(100-BC1883)*100</f>
        <v>0</v>
      </c>
      <c r="BC1883" s="25">
        <v>0</v>
      </c>
      <c r="BD1883" s="25">
        <f>M1883</f>
        <v>0</v>
      </c>
      <c r="BF1883" s="25">
        <f>G1883*AM1883</f>
        <v>0</v>
      </c>
      <c r="BG1883" s="25">
        <f>G1883*AN1883</f>
        <v>0</v>
      </c>
      <c r="BH1883" s="25">
        <f>G1883*H1883</f>
        <v>0</v>
      </c>
      <c r="BI1883" s="27" t="s">
        <v>65</v>
      </c>
      <c r="BJ1883" s="25">
        <v>725</v>
      </c>
      <c r="BU1883" s="25" t="e">
        <f>#REF!</f>
        <v>#REF!</v>
      </c>
      <c r="BV1883" s="4" t="s">
        <v>883</v>
      </c>
    </row>
    <row r="1884" spans="1:74" ht="14.4" x14ac:dyDescent="0.3">
      <c r="A1884" s="28"/>
      <c r="D1884" s="29" t="s">
        <v>2185</v>
      </c>
      <c r="E1884" s="29" t="s">
        <v>52</v>
      </c>
      <c r="G1884" s="30">
        <v>2.48</v>
      </c>
      <c r="H1884" s="63"/>
      <c r="N1884" s="31"/>
    </row>
    <row r="1885" spans="1:74" ht="14.4" x14ac:dyDescent="0.3">
      <c r="A1885" s="2" t="s">
        <v>2186</v>
      </c>
      <c r="B1885" s="3" t="s">
        <v>1699</v>
      </c>
      <c r="C1885" s="3" t="s">
        <v>2187</v>
      </c>
      <c r="D1885" s="112" t="s">
        <v>2188</v>
      </c>
      <c r="E1885" s="109"/>
      <c r="F1885" s="3" t="s">
        <v>122</v>
      </c>
      <c r="G1885" s="25">
        <v>11</v>
      </c>
      <c r="H1885" s="62"/>
      <c r="I1885" s="25">
        <f>ROUND(G1885*AM1885,2)</f>
        <v>0</v>
      </c>
      <c r="J1885" s="25">
        <f>ROUND(G1885*AN1885,2)</f>
        <v>0</v>
      </c>
      <c r="K1885" s="25">
        <f>ROUND(G1885*H1885,2)</f>
        <v>0</v>
      </c>
      <c r="L1885" s="25">
        <v>0</v>
      </c>
      <c r="M1885" s="25">
        <f>G1885*L1885</f>
        <v>0</v>
      </c>
      <c r="N1885" s="26"/>
      <c r="X1885" s="25">
        <f>ROUND(IF(AO1885="5",BH1885,0),2)</f>
        <v>0</v>
      </c>
      <c r="Z1885" s="25">
        <f>ROUND(IF(AO1885="1",BF1885,0),2)</f>
        <v>0</v>
      </c>
      <c r="AA1885" s="25">
        <f>ROUND(IF(AO1885="1",BG1885,0),2)</f>
        <v>0</v>
      </c>
      <c r="AB1885" s="25">
        <f>ROUND(IF(AO1885="7",BF1885,0),2)</f>
        <v>0</v>
      </c>
      <c r="AC1885" s="25">
        <f>ROUND(IF(AO1885="7",BG1885,0),2)</f>
        <v>0</v>
      </c>
      <c r="AD1885" s="25">
        <f>ROUND(IF(AO1885="2",BF1885,0),2)</f>
        <v>0</v>
      </c>
      <c r="AE1885" s="25">
        <f>ROUND(IF(AO1885="2",BG1885,0),2)</f>
        <v>0</v>
      </c>
      <c r="AF1885" s="25">
        <f>ROUND(IF(AO1885="0",BH1885,0),2)</f>
        <v>0</v>
      </c>
      <c r="AG1885" s="10" t="s">
        <v>1699</v>
      </c>
      <c r="AH1885" s="25">
        <f>IF(AL1885=0,K1885,0)</f>
        <v>0</v>
      </c>
      <c r="AI1885" s="25">
        <f>IF(AL1885=12,K1885,0)</f>
        <v>0</v>
      </c>
      <c r="AJ1885" s="25">
        <f>IF(AL1885=21,K1885,0)</f>
        <v>0</v>
      </c>
      <c r="AL1885" s="25">
        <v>21</v>
      </c>
      <c r="AM1885" s="25">
        <f>H1885*1</f>
        <v>0</v>
      </c>
      <c r="AN1885" s="25">
        <f>H1885*(1-1)</f>
        <v>0</v>
      </c>
      <c r="AO1885" s="27" t="s">
        <v>61</v>
      </c>
      <c r="AT1885" s="25">
        <f>ROUND(AU1885+AV1885,2)</f>
        <v>0</v>
      </c>
      <c r="AU1885" s="25">
        <f>ROUND(G1885*AM1885,2)</f>
        <v>0</v>
      </c>
      <c r="AV1885" s="25">
        <f>ROUND(G1885*AN1885,2)</f>
        <v>0</v>
      </c>
      <c r="AW1885" s="27" t="s">
        <v>101</v>
      </c>
      <c r="AX1885" s="27" t="s">
        <v>1954</v>
      </c>
      <c r="AY1885" s="10" t="s">
        <v>1707</v>
      </c>
      <c r="BA1885" s="25">
        <f>AU1885+AV1885</f>
        <v>0</v>
      </c>
      <c r="BB1885" s="25">
        <f>H1885/(100-BC1885)*100</f>
        <v>0</v>
      </c>
      <c r="BC1885" s="25">
        <v>0</v>
      </c>
      <c r="BD1885" s="25">
        <f>M1885</f>
        <v>0</v>
      </c>
      <c r="BF1885" s="25">
        <f>G1885*AM1885</f>
        <v>0</v>
      </c>
      <c r="BG1885" s="25">
        <f>G1885*AN1885</f>
        <v>0</v>
      </c>
      <c r="BH1885" s="25">
        <f>G1885*H1885</f>
        <v>0</v>
      </c>
      <c r="BI1885" s="27" t="s">
        <v>576</v>
      </c>
      <c r="BJ1885" s="25">
        <v>725</v>
      </c>
      <c r="BU1885" s="25" t="e">
        <f>#REF!</f>
        <v>#REF!</v>
      </c>
      <c r="BV1885" s="4" t="s">
        <v>2188</v>
      </c>
    </row>
    <row r="1886" spans="1:74" ht="14.4" x14ac:dyDescent="0.3">
      <c r="A1886" s="2" t="s">
        <v>2189</v>
      </c>
      <c r="B1886" s="3" t="s">
        <v>1699</v>
      </c>
      <c r="C1886" s="3" t="s">
        <v>2190</v>
      </c>
      <c r="D1886" s="112" t="s">
        <v>2191</v>
      </c>
      <c r="E1886" s="109"/>
      <c r="F1886" s="3" t="s">
        <v>122</v>
      </c>
      <c r="G1886" s="25">
        <v>11</v>
      </c>
      <c r="H1886" s="62"/>
      <c r="I1886" s="25">
        <f>ROUND(G1886*AM1886,2)</f>
        <v>0</v>
      </c>
      <c r="J1886" s="25">
        <f>ROUND(G1886*AN1886,2)</f>
        <v>0</v>
      </c>
      <c r="K1886" s="25">
        <f>ROUND(G1886*H1886,2)</f>
        <v>0</v>
      </c>
      <c r="L1886" s="25">
        <v>4.0999999999999999E-4</v>
      </c>
      <c r="M1886" s="25">
        <f>G1886*L1886</f>
        <v>4.5100000000000001E-3</v>
      </c>
      <c r="N1886" s="26"/>
      <c r="X1886" s="25">
        <f>ROUND(IF(AO1886="5",BH1886,0),2)</f>
        <v>0</v>
      </c>
      <c r="Z1886" s="25">
        <f>ROUND(IF(AO1886="1",BF1886,0),2)</f>
        <v>0</v>
      </c>
      <c r="AA1886" s="25">
        <f>ROUND(IF(AO1886="1",BG1886,0),2)</f>
        <v>0</v>
      </c>
      <c r="AB1886" s="25">
        <f>ROUND(IF(AO1886="7",BF1886,0),2)</f>
        <v>0</v>
      </c>
      <c r="AC1886" s="25">
        <f>ROUND(IF(AO1886="7",BG1886,0),2)</f>
        <v>0</v>
      </c>
      <c r="AD1886" s="25">
        <f>ROUND(IF(AO1886="2",BF1886,0),2)</f>
        <v>0</v>
      </c>
      <c r="AE1886" s="25">
        <f>ROUND(IF(AO1886="2",BG1886,0),2)</f>
        <v>0</v>
      </c>
      <c r="AF1886" s="25">
        <f>ROUND(IF(AO1886="0",BH1886,0),2)</f>
        <v>0</v>
      </c>
      <c r="AG1886" s="10" t="s">
        <v>1699</v>
      </c>
      <c r="AH1886" s="25">
        <f>IF(AL1886=0,K1886,0)</f>
        <v>0</v>
      </c>
      <c r="AI1886" s="25">
        <f>IF(AL1886=12,K1886,0)</f>
        <v>0</v>
      </c>
      <c r="AJ1886" s="25">
        <f>IF(AL1886=21,K1886,0)</f>
        <v>0</v>
      </c>
      <c r="AL1886" s="25">
        <v>21</v>
      </c>
      <c r="AM1886" s="25">
        <f>H1886*1</f>
        <v>0</v>
      </c>
      <c r="AN1886" s="25">
        <f>H1886*(1-1)</f>
        <v>0</v>
      </c>
      <c r="AO1886" s="27" t="s">
        <v>61</v>
      </c>
      <c r="AT1886" s="25">
        <f>ROUND(AU1886+AV1886,2)</f>
        <v>0</v>
      </c>
      <c r="AU1886" s="25">
        <f>ROUND(G1886*AM1886,2)</f>
        <v>0</v>
      </c>
      <c r="AV1886" s="25">
        <f>ROUND(G1886*AN1886,2)</f>
        <v>0</v>
      </c>
      <c r="AW1886" s="27" t="s">
        <v>101</v>
      </c>
      <c r="AX1886" s="27" t="s">
        <v>1954</v>
      </c>
      <c r="AY1886" s="10" t="s">
        <v>1707</v>
      </c>
      <c r="BA1886" s="25">
        <f>AU1886+AV1886</f>
        <v>0</v>
      </c>
      <c r="BB1886" s="25">
        <f>H1886/(100-BC1886)*100</f>
        <v>0</v>
      </c>
      <c r="BC1886" s="25">
        <v>0</v>
      </c>
      <c r="BD1886" s="25">
        <f>M1886</f>
        <v>4.5100000000000001E-3</v>
      </c>
      <c r="BF1886" s="25">
        <f>G1886*AM1886</f>
        <v>0</v>
      </c>
      <c r="BG1886" s="25">
        <f>G1886*AN1886</f>
        <v>0</v>
      </c>
      <c r="BH1886" s="25">
        <f>G1886*H1886</f>
        <v>0</v>
      </c>
      <c r="BI1886" s="27" t="s">
        <v>576</v>
      </c>
      <c r="BJ1886" s="25">
        <v>725</v>
      </c>
      <c r="BU1886" s="25" t="e">
        <f>#REF!</f>
        <v>#REF!</v>
      </c>
      <c r="BV1886" s="4" t="s">
        <v>2191</v>
      </c>
    </row>
    <row r="1887" spans="1:74" ht="14.4" x14ac:dyDescent="0.3">
      <c r="A1887" s="28"/>
      <c r="D1887" s="29" t="s">
        <v>140</v>
      </c>
      <c r="E1887" s="29" t="s">
        <v>52</v>
      </c>
      <c r="G1887" s="30">
        <v>11</v>
      </c>
      <c r="H1887" s="63"/>
      <c r="N1887" s="31"/>
    </row>
    <row r="1888" spans="1:74" ht="14.4" x14ac:dyDescent="0.3">
      <c r="A1888" s="2" t="s">
        <v>2192</v>
      </c>
      <c r="B1888" s="3" t="s">
        <v>1699</v>
      </c>
      <c r="C1888" s="3" t="s">
        <v>2193</v>
      </c>
      <c r="D1888" s="112" t="s">
        <v>2194</v>
      </c>
      <c r="E1888" s="109"/>
      <c r="F1888" s="3" t="s">
        <v>122</v>
      </c>
      <c r="G1888" s="25">
        <v>2</v>
      </c>
      <c r="H1888" s="62"/>
      <c r="I1888" s="25">
        <f>ROUND(G1888*AM1888,2)</f>
        <v>0</v>
      </c>
      <c r="J1888" s="25">
        <f>ROUND(G1888*AN1888,2)</f>
        <v>0</v>
      </c>
      <c r="K1888" s="25">
        <f>ROUND(G1888*H1888,2)</f>
        <v>0</v>
      </c>
      <c r="L1888" s="25">
        <v>1.6E-2</v>
      </c>
      <c r="M1888" s="25">
        <f>G1888*L1888</f>
        <v>3.2000000000000001E-2</v>
      </c>
      <c r="N1888" s="102"/>
      <c r="X1888" s="25">
        <f>ROUND(IF(AO1888="5",BH1888,0),2)</f>
        <v>0</v>
      </c>
      <c r="Z1888" s="25">
        <f>ROUND(IF(AO1888="1",BF1888,0),2)</f>
        <v>0</v>
      </c>
      <c r="AA1888" s="25">
        <f>ROUND(IF(AO1888="1",BG1888,0),2)</f>
        <v>0</v>
      </c>
      <c r="AB1888" s="25">
        <f>ROUND(IF(AO1888="7",BF1888,0),2)</f>
        <v>0</v>
      </c>
      <c r="AC1888" s="25">
        <f>ROUND(IF(AO1888="7",BG1888,0),2)</f>
        <v>0</v>
      </c>
      <c r="AD1888" s="25">
        <f>ROUND(IF(AO1888="2",BF1888,0),2)</f>
        <v>0</v>
      </c>
      <c r="AE1888" s="25">
        <f>ROUND(IF(AO1888="2",BG1888,0),2)</f>
        <v>0</v>
      </c>
      <c r="AF1888" s="25">
        <f>ROUND(IF(AO1888="0",BH1888,0),2)</f>
        <v>0</v>
      </c>
      <c r="AG1888" s="10" t="s">
        <v>1699</v>
      </c>
      <c r="AH1888" s="25">
        <f>IF(AL1888=0,K1888,0)</f>
        <v>0</v>
      </c>
      <c r="AI1888" s="25">
        <f>IF(AL1888=12,K1888,0)</f>
        <v>0</v>
      </c>
      <c r="AJ1888" s="25">
        <f>IF(AL1888=21,K1888,0)</f>
        <v>0</v>
      </c>
      <c r="AL1888" s="25">
        <v>21</v>
      </c>
      <c r="AM1888" s="25">
        <f>H1888*1</f>
        <v>0</v>
      </c>
      <c r="AN1888" s="25">
        <f>H1888*(1-1)</f>
        <v>0</v>
      </c>
      <c r="AO1888" s="27" t="s">
        <v>61</v>
      </c>
      <c r="AT1888" s="25">
        <f>ROUND(AU1888+AV1888,2)</f>
        <v>0</v>
      </c>
      <c r="AU1888" s="25">
        <f>ROUND(G1888*AM1888,2)</f>
        <v>0</v>
      </c>
      <c r="AV1888" s="25">
        <f>ROUND(G1888*AN1888,2)</f>
        <v>0</v>
      </c>
      <c r="AW1888" s="27" t="s">
        <v>101</v>
      </c>
      <c r="AX1888" s="27" t="s">
        <v>1954</v>
      </c>
      <c r="AY1888" s="10" t="s">
        <v>1707</v>
      </c>
      <c r="BA1888" s="25">
        <f>AU1888+AV1888</f>
        <v>0</v>
      </c>
      <c r="BB1888" s="25">
        <f>H1888/(100-BC1888)*100</f>
        <v>0</v>
      </c>
      <c r="BC1888" s="25">
        <v>0</v>
      </c>
      <c r="BD1888" s="25">
        <f>M1888</f>
        <v>3.2000000000000001E-2</v>
      </c>
      <c r="BF1888" s="25">
        <f>G1888*AM1888</f>
        <v>0</v>
      </c>
      <c r="BG1888" s="25">
        <f>G1888*AN1888</f>
        <v>0</v>
      </c>
      <c r="BH1888" s="25">
        <f>G1888*H1888</f>
        <v>0</v>
      </c>
      <c r="BI1888" s="27" t="s">
        <v>576</v>
      </c>
      <c r="BJ1888" s="25">
        <v>725</v>
      </c>
      <c r="BU1888" s="25" t="e">
        <f>#REF!</f>
        <v>#REF!</v>
      </c>
      <c r="BV1888" s="4" t="s">
        <v>2194</v>
      </c>
    </row>
    <row r="1889" spans="1:74" ht="14.4" x14ac:dyDescent="0.3">
      <c r="A1889" s="28"/>
      <c r="D1889" s="29" t="s">
        <v>81</v>
      </c>
      <c r="E1889" s="29" t="s">
        <v>52</v>
      </c>
      <c r="G1889" s="30">
        <v>2</v>
      </c>
      <c r="H1889" s="63"/>
      <c r="N1889" s="31"/>
    </row>
    <row r="1890" spans="1:74" ht="14.4" x14ac:dyDescent="0.3">
      <c r="A1890" s="2" t="s">
        <v>2195</v>
      </c>
      <c r="B1890" s="3" t="s">
        <v>1699</v>
      </c>
      <c r="C1890" s="3" t="s">
        <v>2196</v>
      </c>
      <c r="D1890" s="112" t="s">
        <v>2197</v>
      </c>
      <c r="E1890" s="109"/>
      <c r="F1890" s="3" t="s">
        <v>122</v>
      </c>
      <c r="G1890" s="25">
        <v>2</v>
      </c>
      <c r="H1890" s="62"/>
      <c r="I1890" s="25">
        <f>ROUND(G1890*AM1890,2)</f>
        <v>0</v>
      </c>
      <c r="J1890" s="25">
        <f>ROUND(G1890*AN1890,2)</f>
        <v>0</v>
      </c>
      <c r="K1890" s="25">
        <f>ROUND(G1890*H1890,2)</f>
        <v>0</v>
      </c>
      <c r="L1890" s="25">
        <v>4.1000000000000003E-3</v>
      </c>
      <c r="M1890" s="25">
        <f>G1890*L1890</f>
        <v>8.2000000000000007E-3</v>
      </c>
      <c r="N1890" s="26"/>
      <c r="X1890" s="25">
        <f>ROUND(IF(AO1890="5",BH1890,0),2)</f>
        <v>0</v>
      </c>
      <c r="Z1890" s="25">
        <f>ROUND(IF(AO1890="1",BF1890,0),2)</f>
        <v>0</v>
      </c>
      <c r="AA1890" s="25">
        <f>ROUND(IF(AO1890="1",BG1890,0),2)</f>
        <v>0</v>
      </c>
      <c r="AB1890" s="25">
        <f>ROUND(IF(AO1890="7",BF1890,0),2)</f>
        <v>0</v>
      </c>
      <c r="AC1890" s="25">
        <f>ROUND(IF(AO1890="7",BG1890,0),2)</f>
        <v>0</v>
      </c>
      <c r="AD1890" s="25">
        <f>ROUND(IF(AO1890="2",BF1890,0),2)</f>
        <v>0</v>
      </c>
      <c r="AE1890" s="25">
        <f>ROUND(IF(AO1890="2",BG1890,0),2)</f>
        <v>0</v>
      </c>
      <c r="AF1890" s="25">
        <f>ROUND(IF(AO1890="0",BH1890,0),2)</f>
        <v>0</v>
      </c>
      <c r="AG1890" s="10" t="s">
        <v>1699</v>
      </c>
      <c r="AH1890" s="25">
        <f>IF(AL1890=0,K1890,0)</f>
        <v>0</v>
      </c>
      <c r="AI1890" s="25">
        <f>IF(AL1890=12,K1890,0)</f>
        <v>0</v>
      </c>
      <c r="AJ1890" s="25">
        <f>IF(AL1890=21,K1890,0)</f>
        <v>0</v>
      </c>
      <c r="AL1890" s="25">
        <v>21</v>
      </c>
      <c r="AM1890" s="25">
        <f>H1890*1</f>
        <v>0</v>
      </c>
      <c r="AN1890" s="25">
        <f>H1890*(1-1)</f>
        <v>0</v>
      </c>
      <c r="AO1890" s="27" t="s">
        <v>61</v>
      </c>
      <c r="AT1890" s="25">
        <f>ROUND(AU1890+AV1890,2)</f>
        <v>0</v>
      </c>
      <c r="AU1890" s="25">
        <f>ROUND(G1890*AM1890,2)</f>
        <v>0</v>
      </c>
      <c r="AV1890" s="25">
        <f>ROUND(G1890*AN1890,2)</f>
        <v>0</v>
      </c>
      <c r="AW1890" s="27" t="s">
        <v>101</v>
      </c>
      <c r="AX1890" s="27" t="s">
        <v>1954</v>
      </c>
      <c r="AY1890" s="10" t="s">
        <v>1707</v>
      </c>
      <c r="BA1890" s="25">
        <f>AU1890+AV1890</f>
        <v>0</v>
      </c>
      <c r="BB1890" s="25">
        <f>H1890/(100-BC1890)*100</f>
        <v>0</v>
      </c>
      <c r="BC1890" s="25">
        <v>0</v>
      </c>
      <c r="BD1890" s="25">
        <f>M1890</f>
        <v>8.2000000000000007E-3</v>
      </c>
      <c r="BF1890" s="25">
        <f>G1890*AM1890</f>
        <v>0</v>
      </c>
      <c r="BG1890" s="25">
        <f>G1890*AN1890</f>
        <v>0</v>
      </c>
      <c r="BH1890" s="25">
        <f>G1890*H1890</f>
        <v>0</v>
      </c>
      <c r="BI1890" s="27" t="s">
        <v>576</v>
      </c>
      <c r="BJ1890" s="25">
        <v>725</v>
      </c>
      <c r="BU1890" s="25" t="e">
        <f>#REF!</f>
        <v>#REF!</v>
      </c>
      <c r="BV1890" s="4" t="s">
        <v>2197</v>
      </c>
    </row>
    <row r="1891" spans="1:74" ht="14.4" x14ac:dyDescent="0.3">
      <c r="A1891" s="21" t="s">
        <v>52</v>
      </c>
      <c r="B1891" s="22" t="s">
        <v>1699</v>
      </c>
      <c r="C1891" s="22" t="s">
        <v>2198</v>
      </c>
      <c r="D1891" s="170" t="s">
        <v>2199</v>
      </c>
      <c r="E1891" s="171"/>
      <c r="F1891" s="23" t="s">
        <v>32</v>
      </c>
      <c r="G1891" s="23" t="s">
        <v>32</v>
      </c>
      <c r="H1891" s="64"/>
      <c r="I1891" s="1">
        <f>SUM(I1892:I1915)</f>
        <v>0</v>
      </c>
      <c r="J1891" s="1">
        <f>SUM(J1892:J1915)</f>
        <v>0</v>
      </c>
      <c r="K1891" s="1">
        <f>SUM(K1892:K1915)</f>
        <v>0</v>
      </c>
      <c r="L1891" s="10" t="s">
        <v>52</v>
      </c>
      <c r="M1891" s="1">
        <f>SUM(M1892:M1915)</f>
        <v>5.2540000000000003E-2</v>
      </c>
      <c r="N1891" s="24"/>
      <c r="AG1891" s="10" t="s">
        <v>1699</v>
      </c>
      <c r="AQ1891" s="1">
        <f>SUM(AH1892:AH1915)</f>
        <v>0</v>
      </c>
      <c r="AR1891" s="1">
        <f>SUM(AI1892:AI1915)</f>
        <v>0</v>
      </c>
      <c r="AS1891" s="1">
        <f>SUM(AJ1892:AJ1915)</f>
        <v>0</v>
      </c>
    </row>
    <row r="1892" spans="1:74" ht="14.4" x14ac:dyDescent="0.3">
      <c r="A1892" s="2" t="s">
        <v>2200</v>
      </c>
      <c r="B1892" s="3" t="s">
        <v>1699</v>
      </c>
      <c r="C1892" s="3" t="s">
        <v>1861</v>
      </c>
      <c r="D1892" s="112" t="s">
        <v>1862</v>
      </c>
      <c r="E1892" s="109"/>
      <c r="F1892" s="3" t="s">
        <v>122</v>
      </c>
      <c r="G1892" s="25">
        <v>6</v>
      </c>
      <c r="H1892" s="62"/>
      <c r="I1892" s="25">
        <f t="shared" ref="I1892:I1909" si="74">ROUND(G1892*AM1892,2)</f>
        <v>0</v>
      </c>
      <c r="J1892" s="25">
        <f t="shared" ref="J1892:J1909" si="75">ROUND(G1892*AN1892,2)</f>
        <v>0</v>
      </c>
      <c r="K1892" s="25">
        <f t="shared" ref="K1892:K1909" si="76">ROUND(G1892*H1892,2)</f>
        <v>0</v>
      </c>
      <c r="L1892" s="25">
        <v>4.0000000000000003E-5</v>
      </c>
      <c r="M1892" s="25">
        <f t="shared" ref="M1892:M1909" si="77">G1892*L1892</f>
        <v>2.4000000000000003E-4</v>
      </c>
      <c r="N1892" s="26"/>
      <c r="X1892" s="25">
        <f t="shared" ref="X1892:X1909" si="78">ROUND(IF(AO1892="5",BH1892,0),2)</f>
        <v>0</v>
      </c>
      <c r="Z1892" s="25">
        <f t="shared" ref="Z1892:Z1909" si="79">ROUND(IF(AO1892="1",BF1892,0),2)</f>
        <v>0</v>
      </c>
      <c r="AA1892" s="25">
        <f t="shared" ref="AA1892:AA1909" si="80">ROUND(IF(AO1892="1",BG1892,0),2)</f>
        <v>0</v>
      </c>
      <c r="AB1892" s="25">
        <f t="shared" ref="AB1892:AB1909" si="81">ROUND(IF(AO1892="7",BF1892,0),2)</f>
        <v>0</v>
      </c>
      <c r="AC1892" s="25">
        <f t="shared" ref="AC1892:AC1909" si="82">ROUND(IF(AO1892="7",BG1892,0),2)</f>
        <v>0</v>
      </c>
      <c r="AD1892" s="25">
        <f t="shared" ref="AD1892:AD1909" si="83">ROUND(IF(AO1892="2",BF1892,0),2)</f>
        <v>0</v>
      </c>
      <c r="AE1892" s="25">
        <f t="shared" ref="AE1892:AE1909" si="84">ROUND(IF(AO1892="2",BG1892,0),2)</f>
        <v>0</v>
      </c>
      <c r="AF1892" s="25">
        <f t="shared" ref="AF1892:AF1909" si="85">ROUND(IF(AO1892="0",BH1892,0),2)</f>
        <v>0</v>
      </c>
      <c r="AG1892" s="10" t="s">
        <v>1699</v>
      </c>
      <c r="AH1892" s="25">
        <f t="shared" ref="AH1892:AH1909" si="86">IF(AL1892=0,K1892,0)</f>
        <v>0</v>
      </c>
      <c r="AI1892" s="25">
        <f t="shared" ref="AI1892:AI1909" si="87">IF(AL1892=12,K1892,0)</f>
        <v>0</v>
      </c>
      <c r="AJ1892" s="25">
        <f t="shared" ref="AJ1892:AJ1909" si="88">IF(AL1892=21,K1892,0)</f>
        <v>0</v>
      </c>
      <c r="AL1892" s="25">
        <v>21</v>
      </c>
      <c r="AM1892" s="25">
        <f>H1892*0.339139785</f>
        <v>0</v>
      </c>
      <c r="AN1892" s="25">
        <f>H1892*(1-0.339139785)</f>
        <v>0</v>
      </c>
      <c r="AO1892" s="27" t="s">
        <v>61</v>
      </c>
      <c r="AT1892" s="25">
        <f t="shared" ref="AT1892:AT1909" si="89">ROUND(AU1892+AV1892,2)</f>
        <v>0</v>
      </c>
      <c r="AU1892" s="25">
        <f t="shared" ref="AU1892:AU1909" si="90">ROUND(G1892*AM1892,2)</f>
        <v>0</v>
      </c>
      <c r="AV1892" s="25">
        <f t="shared" ref="AV1892:AV1909" si="91">ROUND(G1892*AN1892,2)</f>
        <v>0</v>
      </c>
      <c r="AW1892" s="27" t="s">
        <v>2201</v>
      </c>
      <c r="AX1892" s="27" t="s">
        <v>2202</v>
      </c>
      <c r="AY1892" s="10" t="s">
        <v>1707</v>
      </c>
      <c r="BA1892" s="25">
        <f t="shared" ref="BA1892:BA1909" si="92">AU1892+AV1892</f>
        <v>0</v>
      </c>
      <c r="BB1892" s="25">
        <f t="shared" ref="BB1892:BB1909" si="93">H1892/(100-BC1892)*100</f>
        <v>0</v>
      </c>
      <c r="BC1892" s="25">
        <v>0</v>
      </c>
      <c r="BD1892" s="25">
        <f t="shared" ref="BD1892:BD1909" si="94">M1892</f>
        <v>2.4000000000000003E-4</v>
      </c>
      <c r="BF1892" s="25">
        <f t="shared" ref="BF1892:BF1909" si="95">G1892*AM1892</f>
        <v>0</v>
      </c>
      <c r="BG1892" s="25">
        <f t="shared" ref="BG1892:BG1909" si="96">G1892*AN1892</f>
        <v>0</v>
      </c>
      <c r="BH1892" s="25">
        <f t="shared" ref="BH1892:BH1909" si="97">G1892*H1892</f>
        <v>0</v>
      </c>
      <c r="BI1892" s="27" t="s">
        <v>65</v>
      </c>
      <c r="BJ1892" s="25">
        <v>732</v>
      </c>
      <c r="BU1892" s="25" t="e">
        <f>#REF!</f>
        <v>#REF!</v>
      </c>
      <c r="BV1892" s="4" t="s">
        <v>1862</v>
      </c>
    </row>
    <row r="1893" spans="1:74" ht="14.4" x14ac:dyDescent="0.3">
      <c r="A1893" s="2" t="s">
        <v>2203</v>
      </c>
      <c r="B1893" s="3" t="s">
        <v>1699</v>
      </c>
      <c r="C1893" s="3" t="s">
        <v>1864</v>
      </c>
      <c r="D1893" s="112" t="s">
        <v>1865</v>
      </c>
      <c r="E1893" s="109"/>
      <c r="F1893" s="3" t="s">
        <v>122</v>
      </c>
      <c r="G1893" s="25">
        <v>6</v>
      </c>
      <c r="H1893" s="62"/>
      <c r="I1893" s="25">
        <f t="shared" si="74"/>
        <v>0</v>
      </c>
      <c r="J1893" s="25">
        <f t="shared" si="75"/>
        <v>0</v>
      </c>
      <c r="K1893" s="25">
        <f t="shared" si="76"/>
        <v>0</v>
      </c>
      <c r="L1893" s="25">
        <v>0</v>
      </c>
      <c r="M1893" s="25">
        <f t="shared" si="77"/>
        <v>0</v>
      </c>
      <c r="N1893" s="26"/>
      <c r="X1893" s="25">
        <f t="shared" si="78"/>
        <v>0</v>
      </c>
      <c r="Z1893" s="25">
        <f t="shared" si="79"/>
        <v>0</v>
      </c>
      <c r="AA1893" s="25">
        <f t="shared" si="80"/>
        <v>0</v>
      </c>
      <c r="AB1893" s="25">
        <f t="shared" si="81"/>
        <v>0</v>
      </c>
      <c r="AC1893" s="25">
        <f t="shared" si="82"/>
        <v>0</v>
      </c>
      <c r="AD1893" s="25">
        <f t="shared" si="83"/>
        <v>0</v>
      </c>
      <c r="AE1893" s="25">
        <f t="shared" si="84"/>
        <v>0</v>
      </c>
      <c r="AF1893" s="25">
        <f t="shared" si="85"/>
        <v>0</v>
      </c>
      <c r="AG1893" s="10" t="s">
        <v>1699</v>
      </c>
      <c r="AH1893" s="25">
        <f t="shared" si="86"/>
        <v>0</v>
      </c>
      <c r="AI1893" s="25">
        <f t="shared" si="87"/>
        <v>0</v>
      </c>
      <c r="AJ1893" s="25">
        <f t="shared" si="88"/>
        <v>0</v>
      </c>
      <c r="AL1893" s="25">
        <v>21</v>
      </c>
      <c r="AM1893" s="25">
        <f>H1893*0.05627451</f>
        <v>0</v>
      </c>
      <c r="AN1893" s="25">
        <f>H1893*(1-0.05627451)</f>
        <v>0</v>
      </c>
      <c r="AO1893" s="27" t="s">
        <v>61</v>
      </c>
      <c r="AT1893" s="25">
        <f t="shared" si="89"/>
        <v>0</v>
      </c>
      <c r="AU1893" s="25">
        <f t="shared" si="90"/>
        <v>0</v>
      </c>
      <c r="AV1893" s="25">
        <f t="shared" si="91"/>
        <v>0</v>
      </c>
      <c r="AW1893" s="27" t="s">
        <v>2201</v>
      </c>
      <c r="AX1893" s="27" t="s">
        <v>2202</v>
      </c>
      <c r="AY1893" s="10" t="s">
        <v>1707</v>
      </c>
      <c r="BA1893" s="25">
        <f t="shared" si="92"/>
        <v>0</v>
      </c>
      <c r="BB1893" s="25">
        <f t="shared" si="93"/>
        <v>0</v>
      </c>
      <c r="BC1893" s="25">
        <v>0</v>
      </c>
      <c r="BD1893" s="25">
        <f t="shared" si="94"/>
        <v>0</v>
      </c>
      <c r="BF1893" s="25">
        <f t="shared" si="95"/>
        <v>0</v>
      </c>
      <c r="BG1893" s="25">
        <f t="shared" si="96"/>
        <v>0</v>
      </c>
      <c r="BH1893" s="25">
        <f t="shared" si="97"/>
        <v>0</v>
      </c>
      <c r="BI1893" s="27" t="s">
        <v>65</v>
      </c>
      <c r="BJ1893" s="25">
        <v>732</v>
      </c>
      <c r="BU1893" s="25" t="e">
        <f>#REF!</f>
        <v>#REF!</v>
      </c>
      <c r="BV1893" s="4" t="s">
        <v>1865</v>
      </c>
    </row>
    <row r="1894" spans="1:74" ht="14.4" x14ac:dyDescent="0.3">
      <c r="A1894" s="2" t="s">
        <v>2204</v>
      </c>
      <c r="B1894" s="3" t="s">
        <v>1699</v>
      </c>
      <c r="C1894" s="3" t="s">
        <v>1867</v>
      </c>
      <c r="D1894" s="112" t="s">
        <v>1868</v>
      </c>
      <c r="E1894" s="109"/>
      <c r="F1894" s="3" t="s">
        <v>122</v>
      </c>
      <c r="G1894" s="25">
        <v>5</v>
      </c>
      <c r="H1894" s="62"/>
      <c r="I1894" s="25">
        <f t="shared" si="74"/>
        <v>0</v>
      </c>
      <c r="J1894" s="25">
        <f t="shared" si="75"/>
        <v>0</v>
      </c>
      <c r="K1894" s="25">
        <f t="shared" si="76"/>
        <v>0</v>
      </c>
      <c r="L1894" s="25">
        <v>0</v>
      </c>
      <c r="M1894" s="25">
        <f t="shared" si="77"/>
        <v>0</v>
      </c>
      <c r="N1894" s="26"/>
      <c r="X1894" s="25">
        <f t="shared" si="78"/>
        <v>0</v>
      </c>
      <c r="Z1894" s="25">
        <f t="shared" si="79"/>
        <v>0</v>
      </c>
      <c r="AA1894" s="25">
        <f t="shared" si="80"/>
        <v>0</v>
      </c>
      <c r="AB1894" s="25">
        <f t="shared" si="81"/>
        <v>0</v>
      </c>
      <c r="AC1894" s="25">
        <f t="shared" si="82"/>
        <v>0</v>
      </c>
      <c r="AD1894" s="25">
        <f t="shared" si="83"/>
        <v>0</v>
      </c>
      <c r="AE1894" s="25">
        <f t="shared" si="84"/>
        <v>0</v>
      </c>
      <c r="AF1894" s="25">
        <f t="shared" si="85"/>
        <v>0</v>
      </c>
      <c r="AG1894" s="10" t="s">
        <v>1699</v>
      </c>
      <c r="AH1894" s="25">
        <f t="shared" si="86"/>
        <v>0</v>
      </c>
      <c r="AI1894" s="25">
        <f t="shared" si="87"/>
        <v>0</v>
      </c>
      <c r="AJ1894" s="25">
        <f t="shared" si="88"/>
        <v>0</v>
      </c>
      <c r="AL1894" s="25">
        <v>21</v>
      </c>
      <c r="AM1894" s="25">
        <f>H1894*0.066022342</f>
        <v>0</v>
      </c>
      <c r="AN1894" s="25">
        <f>H1894*(1-0.066022342)</f>
        <v>0</v>
      </c>
      <c r="AO1894" s="27" t="s">
        <v>61</v>
      </c>
      <c r="AT1894" s="25">
        <f t="shared" si="89"/>
        <v>0</v>
      </c>
      <c r="AU1894" s="25">
        <f t="shared" si="90"/>
        <v>0</v>
      </c>
      <c r="AV1894" s="25">
        <f t="shared" si="91"/>
        <v>0</v>
      </c>
      <c r="AW1894" s="27" t="s">
        <v>2201</v>
      </c>
      <c r="AX1894" s="27" t="s">
        <v>2202</v>
      </c>
      <c r="AY1894" s="10" t="s">
        <v>1707</v>
      </c>
      <c r="BA1894" s="25">
        <f t="shared" si="92"/>
        <v>0</v>
      </c>
      <c r="BB1894" s="25">
        <f t="shared" si="93"/>
        <v>0</v>
      </c>
      <c r="BC1894" s="25">
        <v>0</v>
      </c>
      <c r="BD1894" s="25">
        <f t="shared" si="94"/>
        <v>0</v>
      </c>
      <c r="BF1894" s="25">
        <f t="shared" si="95"/>
        <v>0</v>
      </c>
      <c r="BG1894" s="25">
        <f t="shared" si="96"/>
        <v>0</v>
      </c>
      <c r="BH1894" s="25">
        <f t="shared" si="97"/>
        <v>0</v>
      </c>
      <c r="BI1894" s="27" t="s">
        <v>65</v>
      </c>
      <c r="BJ1894" s="25">
        <v>732</v>
      </c>
      <c r="BU1894" s="25" t="e">
        <f>#REF!</f>
        <v>#REF!</v>
      </c>
      <c r="BV1894" s="4" t="s">
        <v>1868</v>
      </c>
    </row>
    <row r="1895" spans="1:74" ht="14.4" x14ac:dyDescent="0.3">
      <c r="A1895" s="2" t="s">
        <v>2205</v>
      </c>
      <c r="B1895" s="3" t="s">
        <v>1699</v>
      </c>
      <c r="C1895" s="3" t="s">
        <v>1870</v>
      </c>
      <c r="D1895" s="112" t="s">
        <v>1871</v>
      </c>
      <c r="E1895" s="109"/>
      <c r="F1895" s="3" t="s">
        <v>122</v>
      </c>
      <c r="G1895" s="25">
        <v>2</v>
      </c>
      <c r="H1895" s="62"/>
      <c r="I1895" s="25">
        <f t="shared" si="74"/>
        <v>0</v>
      </c>
      <c r="J1895" s="25">
        <f t="shared" si="75"/>
        <v>0</v>
      </c>
      <c r="K1895" s="25">
        <f t="shared" si="76"/>
        <v>0</v>
      </c>
      <c r="L1895" s="25">
        <v>3.2000000000000003E-4</v>
      </c>
      <c r="M1895" s="25">
        <f t="shared" si="77"/>
        <v>6.4000000000000005E-4</v>
      </c>
      <c r="N1895" s="26"/>
      <c r="X1895" s="25">
        <f t="shared" si="78"/>
        <v>0</v>
      </c>
      <c r="Z1895" s="25">
        <f t="shared" si="79"/>
        <v>0</v>
      </c>
      <c r="AA1895" s="25">
        <f t="shared" si="80"/>
        <v>0</v>
      </c>
      <c r="AB1895" s="25">
        <f t="shared" si="81"/>
        <v>0</v>
      </c>
      <c r="AC1895" s="25">
        <f t="shared" si="82"/>
        <v>0</v>
      </c>
      <c r="AD1895" s="25">
        <f t="shared" si="83"/>
        <v>0</v>
      </c>
      <c r="AE1895" s="25">
        <f t="shared" si="84"/>
        <v>0</v>
      </c>
      <c r="AF1895" s="25">
        <f t="shared" si="85"/>
        <v>0</v>
      </c>
      <c r="AG1895" s="10" t="s">
        <v>1699</v>
      </c>
      <c r="AH1895" s="25">
        <f t="shared" si="86"/>
        <v>0</v>
      </c>
      <c r="AI1895" s="25">
        <f t="shared" si="87"/>
        <v>0</v>
      </c>
      <c r="AJ1895" s="25">
        <f t="shared" si="88"/>
        <v>0</v>
      </c>
      <c r="AL1895" s="25">
        <v>21</v>
      </c>
      <c r="AM1895" s="25">
        <f>H1895*0.710200803</f>
        <v>0</v>
      </c>
      <c r="AN1895" s="25">
        <f>H1895*(1-0.710200803)</f>
        <v>0</v>
      </c>
      <c r="AO1895" s="27" t="s">
        <v>61</v>
      </c>
      <c r="AT1895" s="25">
        <f t="shared" si="89"/>
        <v>0</v>
      </c>
      <c r="AU1895" s="25">
        <f t="shared" si="90"/>
        <v>0</v>
      </c>
      <c r="AV1895" s="25">
        <f t="shared" si="91"/>
        <v>0</v>
      </c>
      <c r="AW1895" s="27" t="s">
        <v>2201</v>
      </c>
      <c r="AX1895" s="27" t="s">
        <v>2202</v>
      </c>
      <c r="AY1895" s="10" t="s">
        <v>1707</v>
      </c>
      <c r="BA1895" s="25">
        <f t="shared" si="92"/>
        <v>0</v>
      </c>
      <c r="BB1895" s="25">
        <f t="shared" si="93"/>
        <v>0</v>
      </c>
      <c r="BC1895" s="25">
        <v>0</v>
      </c>
      <c r="BD1895" s="25">
        <f t="shared" si="94"/>
        <v>6.4000000000000005E-4</v>
      </c>
      <c r="BF1895" s="25">
        <f t="shared" si="95"/>
        <v>0</v>
      </c>
      <c r="BG1895" s="25">
        <f t="shared" si="96"/>
        <v>0</v>
      </c>
      <c r="BH1895" s="25">
        <f t="shared" si="97"/>
        <v>0</v>
      </c>
      <c r="BI1895" s="27" t="s">
        <v>65</v>
      </c>
      <c r="BJ1895" s="25">
        <v>732</v>
      </c>
      <c r="BU1895" s="25" t="e">
        <f>#REF!</f>
        <v>#REF!</v>
      </c>
      <c r="BV1895" s="4" t="s">
        <v>1871</v>
      </c>
    </row>
    <row r="1896" spans="1:74" ht="14.4" x14ac:dyDescent="0.3">
      <c r="A1896" s="2" t="s">
        <v>2206</v>
      </c>
      <c r="B1896" s="3" t="s">
        <v>1699</v>
      </c>
      <c r="C1896" s="3" t="s">
        <v>1873</v>
      </c>
      <c r="D1896" s="112" t="s">
        <v>1874</v>
      </c>
      <c r="E1896" s="109"/>
      <c r="F1896" s="3" t="s">
        <v>122</v>
      </c>
      <c r="G1896" s="25">
        <v>3</v>
      </c>
      <c r="H1896" s="62"/>
      <c r="I1896" s="25">
        <f t="shared" si="74"/>
        <v>0</v>
      </c>
      <c r="J1896" s="25">
        <f t="shared" si="75"/>
        <v>0</v>
      </c>
      <c r="K1896" s="25">
        <f t="shared" si="76"/>
        <v>0</v>
      </c>
      <c r="L1896" s="25">
        <v>7.6999999999999996E-4</v>
      </c>
      <c r="M1896" s="25">
        <f t="shared" si="77"/>
        <v>2.31E-3</v>
      </c>
      <c r="N1896" s="26"/>
      <c r="X1896" s="25">
        <f t="shared" si="78"/>
        <v>0</v>
      </c>
      <c r="Z1896" s="25">
        <f t="shared" si="79"/>
        <v>0</v>
      </c>
      <c r="AA1896" s="25">
        <f t="shared" si="80"/>
        <v>0</v>
      </c>
      <c r="AB1896" s="25">
        <f t="shared" si="81"/>
        <v>0</v>
      </c>
      <c r="AC1896" s="25">
        <f t="shared" si="82"/>
        <v>0</v>
      </c>
      <c r="AD1896" s="25">
        <f t="shared" si="83"/>
        <v>0</v>
      </c>
      <c r="AE1896" s="25">
        <f t="shared" si="84"/>
        <v>0</v>
      </c>
      <c r="AF1896" s="25">
        <f t="shared" si="85"/>
        <v>0</v>
      </c>
      <c r="AG1896" s="10" t="s">
        <v>1699</v>
      </c>
      <c r="AH1896" s="25">
        <f t="shared" si="86"/>
        <v>0</v>
      </c>
      <c r="AI1896" s="25">
        <f t="shared" si="87"/>
        <v>0</v>
      </c>
      <c r="AJ1896" s="25">
        <f t="shared" si="88"/>
        <v>0</v>
      </c>
      <c r="AL1896" s="25">
        <v>21</v>
      </c>
      <c r="AM1896" s="25">
        <f>H1896*0.798965775</f>
        <v>0</v>
      </c>
      <c r="AN1896" s="25">
        <f>H1896*(1-0.798965775)</f>
        <v>0</v>
      </c>
      <c r="AO1896" s="27" t="s">
        <v>61</v>
      </c>
      <c r="AT1896" s="25">
        <f t="shared" si="89"/>
        <v>0</v>
      </c>
      <c r="AU1896" s="25">
        <f t="shared" si="90"/>
        <v>0</v>
      </c>
      <c r="AV1896" s="25">
        <f t="shared" si="91"/>
        <v>0</v>
      </c>
      <c r="AW1896" s="27" t="s">
        <v>2201</v>
      </c>
      <c r="AX1896" s="27" t="s">
        <v>2202</v>
      </c>
      <c r="AY1896" s="10" t="s">
        <v>1707</v>
      </c>
      <c r="BA1896" s="25">
        <f t="shared" si="92"/>
        <v>0</v>
      </c>
      <c r="BB1896" s="25">
        <f t="shared" si="93"/>
        <v>0</v>
      </c>
      <c r="BC1896" s="25">
        <v>0</v>
      </c>
      <c r="BD1896" s="25">
        <f t="shared" si="94"/>
        <v>2.31E-3</v>
      </c>
      <c r="BF1896" s="25">
        <f t="shared" si="95"/>
        <v>0</v>
      </c>
      <c r="BG1896" s="25">
        <f t="shared" si="96"/>
        <v>0</v>
      </c>
      <c r="BH1896" s="25">
        <f t="shared" si="97"/>
        <v>0</v>
      </c>
      <c r="BI1896" s="27" t="s">
        <v>65</v>
      </c>
      <c r="BJ1896" s="25">
        <v>732</v>
      </c>
      <c r="BU1896" s="25" t="e">
        <f>#REF!</f>
        <v>#REF!</v>
      </c>
      <c r="BV1896" s="4" t="s">
        <v>1874</v>
      </c>
    </row>
    <row r="1897" spans="1:74" ht="14.4" x14ac:dyDescent="0.3">
      <c r="A1897" s="2" t="s">
        <v>2207</v>
      </c>
      <c r="B1897" s="3" t="s">
        <v>1699</v>
      </c>
      <c r="C1897" s="3" t="s">
        <v>2208</v>
      </c>
      <c r="D1897" s="112" t="s">
        <v>2209</v>
      </c>
      <c r="E1897" s="109"/>
      <c r="F1897" s="3" t="s">
        <v>122</v>
      </c>
      <c r="G1897" s="25">
        <v>1</v>
      </c>
      <c r="H1897" s="62"/>
      <c r="I1897" s="25">
        <f t="shared" si="74"/>
        <v>0</v>
      </c>
      <c r="J1897" s="25">
        <f t="shared" si="75"/>
        <v>0</v>
      </c>
      <c r="K1897" s="25">
        <f t="shared" si="76"/>
        <v>0</v>
      </c>
      <c r="L1897" s="25">
        <v>4.0000000000000002E-4</v>
      </c>
      <c r="M1897" s="25">
        <f t="shared" si="77"/>
        <v>4.0000000000000002E-4</v>
      </c>
      <c r="N1897" s="26"/>
      <c r="X1897" s="25">
        <f t="shared" si="78"/>
        <v>0</v>
      </c>
      <c r="Z1897" s="25">
        <f t="shared" si="79"/>
        <v>0</v>
      </c>
      <c r="AA1897" s="25">
        <f t="shared" si="80"/>
        <v>0</v>
      </c>
      <c r="AB1897" s="25">
        <f t="shared" si="81"/>
        <v>0</v>
      </c>
      <c r="AC1897" s="25">
        <f t="shared" si="82"/>
        <v>0</v>
      </c>
      <c r="AD1897" s="25">
        <f t="shared" si="83"/>
        <v>0</v>
      </c>
      <c r="AE1897" s="25">
        <f t="shared" si="84"/>
        <v>0</v>
      </c>
      <c r="AF1897" s="25">
        <f t="shared" si="85"/>
        <v>0</v>
      </c>
      <c r="AG1897" s="10" t="s">
        <v>1699</v>
      </c>
      <c r="AH1897" s="25">
        <f t="shared" si="86"/>
        <v>0</v>
      </c>
      <c r="AI1897" s="25">
        <f t="shared" si="87"/>
        <v>0</v>
      </c>
      <c r="AJ1897" s="25">
        <f t="shared" si="88"/>
        <v>0</v>
      </c>
      <c r="AL1897" s="25">
        <v>21</v>
      </c>
      <c r="AM1897" s="25">
        <f>H1897*0.757037037</f>
        <v>0</v>
      </c>
      <c r="AN1897" s="25">
        <f>H1897*(1-0.757037037)</f>
        <v>0</v>
      </c>
      <c r="AO1897" s="27" t="s">
        <v>61</v>
      </c>
      <c r="AT1897" s="25">
        <f t="shared" si="89"/>
        <v>0</v>
      </c>
      <c r="AU1897" s="25">
        <f t="shared" si="90"/>
        <v>0</v>
      </c>
      <c r="AV1897" s="25">
        <f t="shared" si="91"/>
        <v>0</v>
      </c>
      <c r="AW1897" s="27" t="s">
        <v>2201</v>
      </c>
      <c r="AX1897" s="27" t="s">
        <v>2202</v>
      </c>
      <c r="AY1897" s="10" t="s">
        <v>1707</v>
      </c>
      <c r="BA1897" s="25">
        <f t="shared" si="92"/>
        <v>0</v>
      </c>
      <c r="BB1897" s="25">
        <f t="shared" si="93"/>
        <v>0</v>
      </c>
      <c r="BC1897" s="25">
        <v>0</v>
      </c>
      <c r="BD1897" s="25">
        <f t="shared" si="94"/>
        <v>4.0000000000000002E-4</v>
      </c>
      <c r="BF1897" s="25">
        <f t="shared" si="95"/>
        <v>0</v>
      </c>
      <c r="BG1897" s="25">
        <f t="shared" si="96"/>
        <v>0</v>
      </c>
      <c r="BH1897" s="25">
        <f t="shared" si="97"/>
        <v>0</v>
      </c>
      <c r="BI1897" s="27" t="s">
        <v>65</v>
      </c>
      <c r="BJ1897" s="25">
        <v>732</v>
      </c>
      <c r="BU1897" s="25" t="e">
        <f>#REF!</f>
        <v>#REF!</v>
      </c>
      <c r="BV1897" s="4" t="s">
        <v>2209</v>
      </c>
    </row>
    <row r="1898" spans="1:74" ht="14.4" x14ac:dyDescent="0.3">
      <c r="A1898" s="2" t="s">
        <v>2210</v>
      </c>
      <c r="B1898" s="3" t="s">
        <v>1699</v>
      </c>
      <c r="C1898" s="3" t="s">
        <v>1879</v>
      </c>
      <c r="D1898" s="112" t="s">
        <v>1880</v>
      </c>
      <c r="E1898" s="109"/>
      <c r="F1898" s="3" t="s">
        <v>122</v>
      </c>
      <c r="G1898" s="25">
        <v>1</v>
      </c>
      <c r="H1898" s="62"/>
      <c r="I1898" s="25">
        <f t="shared" si="74"/>
        <v>0</v>
      </c>
      <c r="J1898" s="25">
        <f t="shared" si="75"/>
        <v>0</v>
      </c>
      <c r="K1898" s="25">
        <f t="shared" si="76"/>
        <v>0</v>
      </c>
      <c r="L1898" s="25">
        <v>8.0000000000000004E-4</v>
      </c>
      <c r="M1898" s="25">
        <f t="shared" si="77"/>
        <v>8.0000000000000004E-4</v>
      </c>
      <c r="N1898" s="26"/>
      <c r="X1898" s="25">
        <f t="shared" si="78"/>
        <v>0</v>
      </c>
      <c r="Z1898" s="25">
        <f t="shared" si="79"/>
        <v>0</v>
      </c>
      <c r="AA1898" s="25">
        <f t="shared" si="80"/>
        <v>0</v>
      </c>
      <c r="AB1898" s="25">
        <f t="shared" si="81"/>
        <v>0</v>
      </c>
      <c r="AC1898" s="25">
        <f t="shared" si="82"/>
        <v>0</v>
      </c>
      <c r="AD1898" s="25">
        <f t="shared" si="83"/>
        <v>0</v>
      </c>
      <c r="AE1898" s="25">
        <f t="shared" si="84"/>
        <v>0</v>
      </c>
      <c r="AF1898" s="25">
        <f t="shared" si="85"/>
        <v>0</v>
      </c>
      <c r="AG1898" s="10" t="s">
        <v>1699</v>
      </c>
      <c r="AH1898" s="25">
        <f t="shared" si="86"/>
        <v>0</v>
      </c>
      <c r="AI1898" s="25">
        <f t="shared" si="87"/>
        <v>0</v>
      </c>
      <c r="AJ1898" s="25">
        <f t="shared" si="88"/>
        <v>0</v>
      </c>
      <c r="AL1898" s="25">
        <v>21</v>
      </c>
      <c r="AM1898" s="25">
        <f>H1898*0.798784501</f>
        <v>0</v>
      </c>
      <c r="AN1898" s="25">
        <f>H1898*(1-0.798784501)</f>
        <v>0</v>
      </c>
      <c r="AO1898" s="27" t="s">
        <v>61</v>
      </c>
      <c r="AT1898" s="25">
        <f t="shared" si="89"/>
        <v>0</v>
      </c>
      <c r="AU1898" s="25">
        <f t="shared" si="90"/>
        <v>0</v>
      </c>
      <c r="AV1898" s="25">
        <f t="shared" si="91"/>
        <v>0</v>
      </c>
      <c r="AW1898" s="27" t="s">
        <v>2201</v>
      </c>
      <c r="AX1898" s="27" t="s">
        <v>2202</v>
      </c>
      <c r="AY1898" s="10" t="s">
        <v>1707</v>
      </c>
      <c r="BA1898" s="25">
        <f t="shared" si="92"/>
        <v>0</v>
      </c>
      <c r="BB1898" s="25">
        <f t="shared" si="93"/>
        <v>0</v>
      </c>
      <c r="BC1898" s="25">
        <v>0</v>
      </c>
      <c r="BD1898" s="25">
        <f t="shared" si="94"/>
        <v>8.0000000000000004E-4</v>
      </c>
      <c r="BF1898" s="25">
        <f t="shared" si="95"/>
        <v>0</v>
      </c>
      <c r="BG1898" s="25">
        <f t="shared" si="96"/>
        <v>0</v>
      </c>
      <c r="BH1898" s="25">
        <f t="shared" si="97"/>
        <v>0</v>
      </c>
      <c r="BI1898" s="27" t="s">
        <v>65</v>
      </c>
      <c r="BJ1898" s="25">
        <v>732</v>
      </c>
      <c r="BU1898" s="25" t="e">
        <f>#REF!</f>
        <v>#REF!</v>
      </c>
      <c r="BV1898" s="4" t="s">
        <v>1880</v>
      </c>
    </row>
    <row r="1899" spans="1:74" ht="14.4" x14ac:dyDescent="0.3">
      <c r="A1899" s="2" t="s">
        <v>2211</v>
      </c>
      <c r="B1899" s="3" t="s">
        <v>1699</v>
      </c>
      <c r="C1899" s="3" t="s">
        <v>2212</v>
      </c>
      <c r="D1899" s="112" t="s">
        <v>2213</v>
      </c>
      <c r="E1899" s="109"/>
      <c r="F1899" s="3" t="s">
        <v>122</v>
      </c>
      <c r="G1899" s="25">
        <v>1</v>
      </c>
      <c r="H1899" s="62"/>
      <c r="I1899" s="25">
        <f t="shared" si="74"/>
        <v>0</v>
      </c>
      <c r="J1899" s="25">
        <f t="shared" si="75"/>
        <v>0</v>
      </c>
      <c r="K1899" s="25">
        <f t="shared" si="76"/>
        <v>0</v>
      </c>
      <c r="L1899" s="25">
        <v>5.0000000000000001E-4</v>
      </c>
      <c r="M1899" s="25">
        <f t="shared" si="77"/>
        <v>5.0000000000000001E-4</v>
      </c>
      <c r="N1899" s="26"/>
      <c r="X1899" s="25">
        <f t="shared" si="78"/>
        <v>0</v>
      </c>
      <c r="Z1899" s="25">
        <f t="shared" si="79"/>
        <v>0</v>
      </c>
      <c r="AA1899" s="25">
        <f t="shared" si="80"/>
        <v>0</v>
      </c>
      <c r="AB1899" s="25">
        <f t="shared" si="81"/>
        <v>0</v>
      </c>
      <c r="AC1899" s="25">
        <f t="shared" si="82"/>
        <v>0</v>
      </c>
      <c r="AD1899" s="25">
        <f t="shared" si="83"/>
        <v>0</v>
      </c>
      <c r="AE1899" s="25">
        <f t="shared" si="84"/>
        <v>0</v>
      </c>
      <c r="AF1899" s="25">
        <f t="shared" si="85"/>
        <v>0</v>
      </c>
      <c r="AG1899" s="10" t="s">
        <v>1699</v>
      </c>
      <c r="AH1899" s="25">
        <f t="shared" si="86"/>
        <v>0</v>
      </c>
      <c r="AI1899" s="25">
        <f t="shared" si="87"/>
        <v>0</v>
      </c>
      <c r="AJ1899" s="25">
        <f t="shared" si="88"/>
        <v>0</v>
      </c>
      <c r="AL1899" s="25">
        <v>21</v>
      </c>
      <c r="AM1899" s="25">
        <f>H1899*0.718125</f>
        <v>0</v>
      </c>
      <c r="AN1899" s="25">
        <f>H1899*(1-0.718125)</f>
        <v>0</v>
      </c>
      <c r="AO1899" s="27" t="s">
        <v>61</v>
      </c>
      <c r="AT1899" s="25">
        <f t="shared" si="89"/>
        <v>0</v>
      </c>
      <c r="AU1899" s="25">
        <f t="shared" si="90"/>
        <v>0</v>
      </c>
      <c r="AV1899" s="25">
        <f t="shared" si="91"/>
        <v>0</v>
      </c>
      <c r="AW1899" s="27" t="s">
        <v>2201</v>
      </c>
      <c r="AX1899" s="27" t="s">
        <v>2202</v>
      </c>
      <c r="AY1899" s="10" t="s">
        <v>1707</v>
      </c>
      <c r="BA1899" s="25">
        <f t="shared" si="92"/>
        <v>0</v>
      </c>
      <c r="BB1899" s="25">
        <f t="shared" si="93"/>
        <v>0</v>
      </c>
      <c r="BC1899" s="25">
        <v>0</v>
      </c>
      <c r="BD1899" s="25">
        <f t="shared" si="94"/>
        <v>5.0000000000000001E-4</v>
      </c>
      <c r="BF1899" s="25">
        <f t="shared" si="95"/>
        <v>0</v>
      </c>
      <c r="BG1899" s="25">
        <f t="shared" si="96"/>
        <v>0</v>
      </c>
      <c r="BH1899" s="25">
        <f t="shared" si="97"/>
        <v>0</v>
      </c>
      <c r="BI1899" s="27" t="s">
        <v>65</v>
      </c>
      <c r="BJ1899" s="25">
        <v>732</v>
      </c>
      <c r="BU1899" s="25" t="e">
        <f>#REF!</f>
        <v>#REF!</v>
      </c>
      <c r="BV1899" s="4" t="s">
        <v>2213</v>
      </c>
    </row>
    <row r="1900" spans="1:74" ht="14.4" x14ac:dyDescent="0.3">
      <c r="A1900" s="2" t="s">
        <v>2214</v>
      </c>
      <c r="B1900" s="3" t="s">
        <v>1699</v>
      </c>
      <c r="C1900" s="3" t="s">
        <v>2215</v>
      </c>
      <c r="D1900" s="112" t="s">
        <v>2216</v>
      </c>
      <c r="E1900" s="109"/>
      <c r="F1900" s="3" t="s">
        <v>122</v>
      </c>
      <c r="G1900" s="25">
        <v>1</v>
      </c>
      <c r="H1900" s="62"/>
      <c r="I1900" s="25">
        <f t="shared" si="74"/>
        <v>0</v>
      </c>
      <c r="J1900" s="25">
        <f t="shared" si="75"/>
        <v>0</v>
      </c>
      <c r="K1900" s="25">
        <f t="shared" si="76"/>
        <v>0</v>
      </c>
      <c r="L1900" s="25">
        <v>8.0000000000000004E-4</v>
      </c>
      <c r="M1900" s="25">
        <f t="shared" si="77"/>
        <v>8.0000000000000004E-4</v>
      </c>
      <c r="N1900" s="26"/>
      <c r="X1900" s="25">
        <f t="shared" si="78"/>
        <v>0</v>
      </c>
      <c r="Z1900" s="25">
        <f t="shared" si="79"/>
        <v>0</v>
      </c>
      <c r="AA1900" s="25">
        <f t="shared" si="80"/>
        <v>0</v>
      </c>
      <c r="AB1900" s="25">
        <f t="shared" si="81"/>
        <v>0</v>
      </c>
      <c r="AC1900" s="25">
        <f t="shared" si="82"/>
        <v>0</v>
      </c>
      <c r="AD1900" s="25">
        <f t="shared" si="83"/>
        <v>0</v>
      </c>
      <c r="AE1900" s="25">
        <f t="shared" si="84"/>
        <v>0</v>
      </c>
      <c r="AF1900" s="25">
        <f t="shared" si="85"/>
        <v>0</v>
      </c>
      <c r="AG1900" s="10" t="s">
        <v>1699</v>
      </c>
      <c r="AH1900" s="25">
        <f t="shared" si="86"/>
        <v>0</v>
      </c>
      <c r="AI1900" s="25">
        <f t="shared" si="87"/>
        <v>0</v>
      </c>
      <c r="AJ1900" s="25">
        <f t="shared" si="88"/>
        <v>0</v>
      </c>
      <c r="AL1900" s="25">
        <v>21</v>
      </c>
      <c r="AM1900" s="25">
        <f>H1900*0.786665519</f>
        <v>0</v>
      </c>
      <c r="AN1900" s="25">
        <f>H1900*(1-0.786665519)</f>
        <v>0</v>
      </c>
      <c r="AO1900" s="27" t="s">
        <v>61</v>
      </c>
      <c r="AT1900" s="25">
        <f t="shared" si="89"/>
        <v>0</v>
      </c>
      <c r="AU1900" s="25">
        <f t="shared" si="90"/>
        <v>0</v>
      </c>
      <c r="AV1900" s="25">
        <f t="shared" si="91"/>
        <v>0</v>
      </c>
      <c r="AW1900" s="27" t="s">
        <v>2201</v>
      </c>
      <c r="AX1900" s="27" t="s">
        <v>2202</v>
      </c>
      <c r="AY1900" s="10" t="s">
        <v>1707</v>
      </c>
      <c r="BA1900" s="25">
        <f t="shared" si="92"/>
        <v>0</v>
      </c>
      <c r="BB1900" s="25">
        <f t="shared" si="93"/>
        <v>0</v>
      </c>
      <c r="BC1900" s="25">
        <v>0</v>
      </c>
      <c r="BD1900" s="25">
        <f t="shared" si="94"/>
        <v>8.0000000000000004E-4</v>
      </c>
      <c r="BF1900" s="25">
        <f t="shared" si="95"/>
        <v>0</v>
      </c>
      <c r="BG1900" s="25">
        <f t="shared" si="96"/>
        <v>0</v>
      </c>
      <c r="BH1900" s="25">
        <f t="shared" si="97"/>
        <v>0</v>
      </c>
      <c r="BI1900" s="27" t="s">
        <v>65</v>
      </c>
      <c r="BJ1900" s="25">
        <v>732</v>
      </c>
      <c r="BU1900" s="25" t="e">
        <f>#REF!</f>
        <v>#REF!</v>
      </c>
      <c r="BV1900" s="4" t="s">
        <v>2216</v>
      </c>
    </row>
    <row r="1901" spans="1:74" ht="14.4" x14ac:dyDescent="0.3">
      <c r="A1901" s="2" t="s">
        <v>2217</v>
      </c>
      <c r="B1901" s="3" t="s">
        <v>1699</v>
      </c>
      <c r="C1901" s="3" t="s">
        <v>2218</v>
      </c>
      <c r="D1901" s="112" t="s">
        <v>2219</v>
      </c>
      <c r="E1901" s="109"/>
      <c r="F1901" s="3" t="s">
        <v>860</v>
      </c>
      <c r="G1901" s="25">
        <v>1</v>
      </c>
      <c r="H1901" s="62"/>
      <c r="I1901" s="25">
        <f t="shared" si="74"/>
        <v>0</v>
      </c>
      <c r="J1901" s="25">
        <f t="shared" si="75"/>
        <v>0</v>
      </c>
      <c r="K1901" s="25">
        <f t="shared" si="76"/>
        <v>0</v>
      </c>
      <c r="L1901" s="25">
        <v>0</v>
      </c>
      <c r="M1901" s="25">
        <f t="shared" si="77"/>
        <v>0</v>
      </c>
      <c r="N1901" s="26"/>
      <c r="X1901" s="25">
        <f t="shared" si="78"/>
        <v>0</v>
      </c>
      <c r="Z1901" s="25">
        <f t="shared" si="79"/>
        <v>0</v>
      </c>
      <c r="AA1901" s="25">
        <f t="shared" si="80"/>
        <v>0</v>
      </c>
      <c r="AB1901" s="25">
        <f t="shared" si="81"/>
        <v>0</v>
      </c>
      <c r="AC1901" s="25">
        <f t="shared" si="82"/>
        <v>0</v>
      </c>
      <c r="AD1901" s="25">
        <f t="shared" si="83"/>
        <v>0</v>
      </c>
      <c r="AE1901" s="25">
        <f t="shared" si="84"/>
        <v>0</v>
      </c>
      <c r="AF1901" s="25">
        <f t="shared" si="85"/>
        <v>0</v>
      </c>
      <c r="AG1901" s="10" t="s">
        <v>1699</v>
      </c>
      <c r="AH1901" s="25">
        <f t="shared" si="86"/>
        <v>0</v>
      </c>
      <c r="AI1901" s="25">
        <f t="shared" si="87"/>
        <v>0</v>
      </c>
      <c r="AJ1901" s="25">
        <f t="shared" si="88"/>
        <v>0</v>
      </c>
      <c r="AL1901" s="25">
        <v>21</v>
      </c>
      <c r="AM1901" s="25">
        <f>H1901*0.18952381</f>
        <v>0</v>
      </c>
      <c r="AN1901" s="25">
        <f>H1901*(1-0.18952381)</f>
        <v>0</v>
      </c>
      <c r="AO1901" s="27" t="s">
        <v>61</v>
      </c>
      <c r="AT1901" s="25">
        <f t="shared" si="89"/>
        <v>0</v>
      </c>
      <c r="AU1901" s="25">
        <f t="shared" si="90"/>
        <v>0</v>
      </c>
      <c r="AV1901" s="25">
        <f t="shared" si="91"/>
        <v>0</v>
      </c>
      <c r="AW1901" s="27" t="s">
        <v>2201</v>
      </c>
      <c r="AX1901" s="27" t="s">
        <v>2202</v>
      </c>
      <c r="AY1901" s="10" t="s">
        <v>1707</v>
      </c>
      <c r="BA1901" s="25">
        <f t="shared" si="92"/>
        <v>0</v>
      </c>
      <c r="BB1901" s="25">
        <f t="shared" si="93"/>
        <v>0</v>
      </c>
      <c r="BC1901" s="25">
        <v>0</v>
      </c>
      <c r="BD1901" s="25">
        <f t="shared" si="94"/>
        <v>0</v>
      </c>
      <c r="BF1901" s="25">
        <f t="shared" si="95"/>
        <v>0</v>
      </c>
      <c r="BG1901" s="25">
        <f t="shared" si="96"/>
        <v>0</v>
      </c>
      <c r="BH1901" s="25">
        <f t="shared" si="97"/>
        <v>0</v>
      </c>
      <c r="BI1901" s="27" t="s">
        <v>65</v>
      </c>
      <c r="BJ1901" s="25">
        <v>732</v>
      </c>
      <c r="BU1901" s="25" t="e">
        <f>#REF!</f>
        <v>#REF!</v>
      </c>
      <c r="BV1901" s="4" t="s">
        <v>2219</v>
      </c>
    </row>
    <row r="1902" spans="1:74" ht="14.4" x14ac:dyDescent="0.3">
      <c r="A1902" s="2" t="s">
        <v>2220</v>
      </c>
      <c r="B1902" s="3" t="s">
        <v>1699</v>
      </c>
      <c r="C1902" s="3" t="s">
        <v>2221</v>
      </c>
      <c r="D1902" s="112" t="s">
        <v>2222</v>
      </c>
      <c r="E1902" s="109"/>
      <c r="F1902" s="3" t="s">
        <v>122</v>
      </c>
      <c r="G1902" s="25">
        <v>1</v>
      </c>
      <c r="H1902" s="62"/>
      <c r="I1902" s="25">
        <f t="shared" si="74"/>
        <v>0</v>
      </c>
      <c r="J1902" s="25">
        <f t="shared" si="75"/>
        <v>0</v>
      </c>
      <c r="K1902" s="25">
        <f t="shared" si="76"/>
        <v>0</v>
      </c>
      <c r="L1902" s="25">
        <v>3.3899999999999998E-3</v>
      </c>
      <c r="M1902" s="25">
        <f t="shared" si="77"/>
        <v>3.3899999999999998E-3</v>
      </c>
      <c r="N1902" s="26"/>
      <c r="X1902" s="25">
        <f t="shared" si="78"/>
        <v>0</v>
      </c>
      <c r="Z1902" s="25">
        <f t="shared" si="79"/>
        <v>0</v>
      </c>
      <c r="AA1902" s="25">
        <f t="shared" si="80"/>
        <v>0</v>
      </c>
      <c r="AB1902" s="25">
        <f t="shared" si="81"/>
        <v>0</v>
      </c>
      <c r="AC1902" s="25">
        <f t="shared" si="82"/>
        <v>0</v>
      </c>
      <c r="AD1902" s="25">
        <f t="shared" si="83"/>
        <v>0</v>
      </c>
      <c r="AE1902" s="25">
        <f t="shared" si="84"/>
        <v>0</v>
      </c>
      <c r="AF1902" s="25">
        <f t="shared" si="85"/>
        <v>0</v>
      </c>
      <c r="AG1902" s="10" t="s">
        <v>1699</v>
      </c>
      <c r="AH1902" s="25">
        <f t="shared" si="86"/>
        <v>0</v>
      </c>
      <c r="AI1902" s="25">
        <f t="shared" si="87"/>
        <v>0</v>
      </c>
      <c r="AJ1902" s="25">
        <f t="shared" si="88"/>
        <v>0</v>
      </c>
      <c r="AL1902" s="25">
        <v>21</v>
      </c>
      <c r="AM1902" s="25">
        <f>H1902*0.961486702</f>
        <v>0</v>
      </c>
      <c r="AN1902" s="25">
        <f>H1902*(1-0.961486702)</f>
        <v>0</v>
      </c>
      <c r="AO1902" s="27" t="s">
        <v>61</v>
      </c>
      <c r="AT1902" s="25">
        <f t="shared" si="89"/>
        <v>0</v>
      </c>
      <c r="AU1902" s="25">
        <f t="shared" si="90"/>
        <v>0</v>
      </c>
      <c r="AV1902" s="25">
        <f t="shared" si="91"/>
        <v>0</v>
      </c>
      <c r="AW1902" s="27" t="s">
        <v>2201</v>
      </c>
      <c r="AX1902" s="27" t="s">
        <v>2202</v>
      </c>
      <c r="AY1902" s="10" t="s">
        <v>1707</v>
      </c>
      <c r="BA1902" s="25">
        <f t="shared" si="92"/>
        <v>0</v>
      </c>
      <c r="BB1902" s="25">
        <f t="shared" si="93"/>
        <v>0</v>
      </c>
      <c r="BC1902" s="25">
        <v>0</v>
      </c>
      <c r="BD1902" s="25">
        <f t="shared" si="94"/>
        <v>3.3899999999999998E-3</v>
      </c>
      <c r="BF1902" s="25">
        <f t="shared" si="95"/>
        <v>0</v>
      </c>
      <c r="BG1902" s="25">
        <f t="shared" si="96"/>
        <v>0</v>
      </c>
      <c r="BH1902" s="25">
        <f t="shared" si="97"/>
        <v>0</v>
      </c>
      <c r="BI1902" s="27" t="s">
        <v>65</v>
      </c>
      <c r="BJ1902" s="25">
        <v>732</v>
      </c>
      <c r="BU1902" s="25" t="e">
        <f>#REF!</f>
        <v>#REF!</v>
      </c>
      <c r="BV1902" s="4" t="s">
        <v>2222</v>
      </c>
    </row>
    <row r="1903" spans="1:74" ht="14.4" x14ac:dyDescent="0.3">
      <c r="A1903" s="2" t="s">
        <v>2223</v>
      </c>
      <c r="B1903" s="3" t="s">
        <v>1699</v>
      </c>
      <c r="C1903" s="3" t="s">
        <v>1876</v>
      </c>
      <c r="D1903" s="112" t="s">
        <v>1877</v>
      </c>
      <c r="E1903" s="109"/>
      <c r="F1903" s="3" t="s">
        <v>122</v>
      </c>
      <c r="G1903" s="25">
        <v>3</v>
      </c>
      <c r="H1903" s="62"/>
      <c r="I1903" s="25">
        <f t="shared" si="74"/>
        <v>0</v>
      </c>
      <c r="J1903" s="25">
        <f t="shared" si="75"/>
        <v>0</v>
      </c>
      <c r="K1903" s="25">
        <f t="shared" si="76"/>
        <v>0</v>
      </c>
      <c r="L1903" s="25">
        <v>2.9999999999999997E-4</v>
      </c>
      <c r="M1903" s="25">
        <f t="shared" si="77"/>
        <v>8.9999999999999998E-4</v>
      </c>
      <c r="N1903" s="26"/>
      <c r="X1903" s="25">
        <f t="shared" si="78"/>
        <v>0</v>
      </c>
      <c r="Z1903" s="25">
        <f t="shared" si="79"/>
        <v>0</v>
      </c>
      <c r="AA1903" s="25">
        <f t="shared" si="80"/>
        <v>0</v>
      </c>
      <c r="AB1903" s="25">
        <f t="shared" si="81"/>
        <v>0</v>
      </c>
      <c r="AC1903" s="25">
        <f t="shared" si="82"/>
        <v>0</v>
      </c>
      <c r="AD1903" s="25">
        <f t="shared" si="83"/>
        <v>0</v>
      </c>
      <c r="AE1903" s="25">
        <f t="shared" si="84"/>
        <v>0</v>
      </c>
      <c r="AF1903" s="25">
        <f t="shared" si="85"/>
        <v>0</v>
      </c>
      <c r="AG1903" s="10" t="s">
        <v>1699</v>
      </c>
      <c r="AH1903" s="25">
        <f t="shared" si="86"/>
        <v>0</v>
      </c>
      <c r="AI1903" s="25">
        <f t="shared" si="87"/>
        <v>0</v>
      </c>
      <c r="AJ1903" s="25">
        <f t="shared" si="88"/>
        <v>0</v>
      </c>
      <c r="AL1903" s="25">
        <v>21</v>
      </c>
      <c r="AM1903" s="25">
        <f>H1903*0.743847386</f>
        <v>0</v>
      </c>
      <c r="AN1903" s="25">
        <f>H1903*(1-0.743847386)</f>
        <v>0</v>
      </c>
      <c r="AO1903" s="27" t="s">
        <v>61</v>
      </c>
      <c r="AT1903" s="25">
        <f t="shared" si="89"/>
        <v>0</v>
      </c>
      <c r="AU1903" s="25">
        <f t="shared" si="90"/>
        <v>0</v>
      </c>
      <c r="AV1903" s="25">
        <f t="shared" si="91"/>
        <v>0</v>
      </c>
      <c r="AW1903" s="27" t="s">
        <v>2201</v>
      </c>
      <c r="AX1903" s="27" t="s">
        <v>2202</v>
      </c>
      <c r="AY1903" s="10" t="s">
        <v>1707</v>
      </c>
      <c r="BA1903" s="25">
        <f t="shared" si="92"/>
        <v>0</v>
      </c>
      <c r="BB1903" s="25">
        <f t="shared" si="93"/>
        <v>0</v>
      </c>
      <c r="BC1903" s="25">
        <v>0</v>
      </c>
      <c r="BD1903" s="25">
        <f t="shared" si="94"/>
        <v>8.9999999999999998E-4</v>
      </c>
      <c r="BF1903" s="25">
        <f t="shared" si="95"/>
        <v>0</v>
      </c>
      <c r="BG1903" s="25">
        <f t="shared" si="96"/>
        <v>0</v>
      </c>
      <c r="BH1903" s="25">
        <f t="shared" si="97"/>
        <v>0</v>
      </c>
      <c r="BI1903" s="27" t="s">
        <v>65</v>
      </c>
      <c r="BJ1903" s="25">
        <v>732</v>
      </c>
      <c r="BU1903" s="25" t="e">
        <f>#REF!</f>
        <v>#REF!</v>
      </c>
      <c r="BV1903" s="4" t="s">
        <v>1877</v>
      </c>
    </row>
    <row r="1904" spans="1:74" ht="14.4" x14ac:dyDescent="0.3">
      <c r="A1904" s="2" t="s">
        <v>2224</v>
      </c>
      <c r="B1904" s="3" t="s">
        <v>1699</v>
      </c>
      <c r="C1904" s="3" t="s">
        <v>2225</v>
      </c>
      <c r="D1904" s="112" t="s">
        <v>2226</v>
      </c>
      <c r="E1904" s="109"/>
      <c r="F1904" s="3" t="s">
        <v>860</v>
      </c>
      <c r="G1904" s="25">
        <v>1</v>
      </c>
      <c r="H1904" s="62"/>
      <c r="I1904" s="25">
        <f t="shared" si="74"/>
        <v>0</v>
      </c>
      <c r="J1904" s="25">
        <f t="shared" si="75"/>
        <v>0</v>
      </c>
      <c r="K1904" s="25">
        <f t="shared" si="76"/>
        <v>0</v>
      </c>
      <c r="L1904" s="25">
        <v>4.7600000000000003E-3</v>
      </c>
      <c r="M1904" s="25">
        <f t="shared" si="77"/>
        <v>4.7600000000000003E-3</v>
      </c>
      <c r="N1904" s="26"/>
      <c r="X1904" s="25">
        <f t="shared" si="78"/>
        <v>0</v>
      </c>
      <c r="Z1904" s="25">
        <f t="shared" si="79"/>
        <v>0</v>
      </c>
      <c r="AA1904" s="25">
        <f t="shared" si="80"/>
        <v>0</v>
      </c>
      <c r="AB1904" s="25">
        <f t="shared" si="81"/>
        <v>0</v>
      </c>
      <c r="AC1904" s="25">
        <f t="shared" si="82"/>
        <v>0</v>
      </c>
      <c r="AD1904" s="25">
        <f t="shared" si="83"/>
        <v>0</v>
      </c>
      <c r="AE1904" s="25">
        <f t="shared" si="84"/>
        <v>0</v>
      </c>
      <c r="AF1904" s="25">
        <f t="shared" si="85"/>
        <v>0</v>
      </c>
      <c r="AG1904" s="10" t="s">
        <v>1699</v>
      </c>
      <c r="AH1904" s="25">
        <f t="shared" si="86"/>
        <v>0</v>
      </c>
      <c r="AI1904" s="25">
        <f t="shared" si="87"/>
        <v>0</v>
      </c>
      <c r="AJ1904" s="25">
        <f t="shared" si="88"/>
        <v>0</v>
      </c>
      <c r="AL1904" s="25">
        <v>21</v>
      </c>
      <c r="AM1904" s="25">
        <f>H1904*0.301936607</f>
        <v>0</v>
      </c>
      <c r="AN1904" s="25">
        <f>H1904*(1-0.301936607)</f>
        <v>0</v>
      </c>
      <c r="AO1904" s="27" t="s">
        <v>61</v>
      </c>
      <c r="AT1904" s="25">
        <f t="shared" si="89"/>
        <v>0</v>
      </c>
      <c r="AU1904" s="25">
        <f t="shared" si="90"/>
        <v>0</v>
      </c>
      <c r="AV1904" s="25">
        <f t="shared" si="91"/>
        <v>0</v>
      </c>
      <c r="AW1904" s="27" t="s">
        <v>2201</v>
      </c>
      <c r="AX1904" s="27" t="s">
        <v>2202</v>
      </c>
      <c r="AY1904" s="10" t="s">
        <v>1707</v>
      </c>
      <c r="BA1904" s="25">
        <f t="shared" si="92"/>
        <v>0</v>
      </c>
      <c r="BB1904" s="25">
        <f t="shared" si="93"/>
        <v>0</v>
      </c>
      <c r="BC1904" s="25">
        <v>0</v>
      </c>
      <c r="BD1904" s="25">
        <f t="shared" si="94"/>
        <v>4.7600000000000003E-3</v>
      </c>
      <c r="BF1904" s="25">
        <f t="shared" si="95"/>
        <v>0</v>
      </c>
      <c r="BG1904" s="25">
        <f t="shared" si="96"/>
        <v>0</v>
      </c>
      <c r="BH1904" s="25">
        <f t="shared" si="97"/>
        <v>0</v>
      </c>
      <c r="BI1904" s="27" t="s">
        <v>65</v>
      </c>
      <c r="BJ1904" s="25">
        <v>732</v>
      </c>
      <c r="BU1904" s="25" t="e">
        <f>#REF!</f>
        <v>#REF!</v>
      </c>
      <c r="BV1904" s="4" t="s">
        <v>2226</v>
      </c>
    </row>
    <row r="1905" spans="1:74" ht="14.4" x14ac:dyDescent="0.3">
      <c r="A1905" s="2" t="s">
        <v>2227</v>
      </c>
      <c r="B1905" s="3" t="s">
        <v>1699</v>
      </c>
      <c r="C1905" s="3" t="s">
        <v>2228</v>
      </c>
      <c r="D1905" s="112" t="s">
        <v>2229</v>
      </c>
      <c r="E1905" s="109"/>
      <c r="F1905" s="3" t="s">
        <v>122</v>
      </c>
      <c r="G1905" s="25">
        <v>1</v>
      </c>
      <c r="H1905" s="62"/>
      <c r="I1905" s="25">
        <f t="shared" si="74"/>
        <v>0</v>
      </c>
      <c r="J1905" s="25">
        <f t="shared" si="75"/>
        <v>0</v>
      </c>
      <c r="K1905" s="25">
        <f t="shared" si="76"/>
        <v>0</v>
      </c>
      <c r="L1905" s="25">
        <v>0</v>
      </c>
      <c r="M1905" s="25">
        <f t="shared" si="77"/>
        <v>0</v>
      </c>
      <c r="N1905" s="26"/>
      <c r="X1905" s="25">
        <f t="shared" si="78"/>
        <v>0</v>
      </c>
      <c r="Z1905" s="25">
        <f t="shared" si="79"/>
        <v>0</v>
      </c>
      <c r="AA1905" s="25">
        <f t="shared" si="80"/>
        <v>0</v>
      </c>
      <c r="AB1905" s="25">
        <f t="shared" si="81"/>
        <v>0</v>
      </c>
      <c r="AC1905" s="25">
        <f t="shared" si="82"/>
        <v>0</v>
      </c>
      <c r="AD1905" s="25">
        <f t="shared" si="83"/>
        <v>0</v>
      </c>
      <c r="AE1905" s="25">
        <f t="shared" si="84"/>
        <v>0</v>
      </c>
      <c r="AF1905" s="25">
        <f t="shared" si="85"/>
        <v>0</v>
      </c>
      <c r="AG1905" s="10" t="s">
        <v>1699</v>
      </c>
      <c r="AH1905" s="25">
        <f t="shared" si="86"/>
        <v>0</v>
      </c>
      <c r="AI1905" s="25">
        <f t="shared" si="87"/>
        <v>0</v>
      </c>
      <c r="AJ1905" s="25">
        <f t="shared" si="88"/>
        <v>0</v>
      </c>
      <c r="AL1905" s="25">
        <v>21</v>
      </c>
      <c r="AM1905" s="25">
        <f>H1905*0</f>
        <v>0</v>
      </c>
      <c r="AN1905" s="25">
        <f>H1905*(1-0)</f>
        <v>0</v>
      </c>
      <c r="AO1905" s="27" t="s">
        <v>61</v>
      </c>
      <c r="AT1905" s="25">
        <f t="shared" si="89"/>
        <v>0</v>
      </c>
      <c r="AU1905" s="25">
        <f t="shared" si="90"/>
        <v>0</v>
      </c>
      <c r="AV1905" s="25">
        <f t="shared" si="91"/>
        <v>0</v>
      </c>
      <c r="AW1905" s="27" t="s">
        <v>2201</v>
      </c>
      <c r="AX1905" s="27" t="s">
        <v>2202</v>
      </c>
      <c r="AY1905" s="10" t="s">
        <v>1707</v>
      </c>
      <c r="BA1905" s="25">
        <f t="shared" si="92"/>
        <v>0</v>
      </c>
      <c r="BB1905" s="25">
        <f t="shared" si="93"/>
        <v>0</v>
      </c>
      <c r="BC1905" s="25">
        <v>0</v>
      </c>
      <c r="BD1905" s="25">
        <f t="shared" si="94"/>
        <v>0</v>
      </c>
      <c r="BF1905" s="25">
        <f t="shared" si="95"/>
        <v>0</v>
      </c>
      <c r="BG1905" s="25">
        <f t="shared" si="96"/>
        <v>0</v>
      </c>
      <c r="BH1905" s="25">
        <f t="shared" si="97"/>
        <v>0</v>
      </c>
      <c r="BI1905" s="27" t="s">
        <v>65</v>
      </c>
      <c r="BJ1905" s="25">
        <v>732</v>
      </c>
      <c r="BU1905" s="25" t="e">
        <f>#REF!</f>
        <v>#REF!</v>
      </c>
      <c r="BV1905" s="4" t="s">
        <v>2229</v>
      </c>
    </row>
    <row r="1906" spans="1:74" ht="14.4" x14ac:dyDescent="0.3">
      <c r="A1906" s="2" t="s">
        <v>2230</v>
      </c>
      <c r="B1906" s="3" t="s">
        <v>1699</v>
      </c>
      <c r="C1906" s="3" t="s">
        <v>2231</v>
      </c>
      <c r="D1906" s="112" t="s">
        <v>2232</v>
      </c>
      <c r="E1906" s="109"/>
      <c r="F1906" s="3" t="s">
        <v>122</v>
      </c>
      <c r="G1906" s="25">
        <v>1</v>
      </c>
      <c r="H1906" s="62"/>
      <c r="I1906" s="25">
        <f t="shared" si="74"/>
        <v>0</v>
      </c>
      <c r="J1906" s="25">
        <f t="shared" si="75"/>
        <v>0</v>
      </c>
      <c r="K1906" s="25">
        <f t="shared" si="76"/>
        <v>0</v>
      </c>
      <c r="L1906" s="25">
        <v>3.5899999999999999E-3</v>
      </c>
      <c r="M1906" s="25">
        <f t="shared" si="77"/>
        <v>3.5899999999999999E-3</v>
      </c>
      <c r="N1906" s="26"/>
      <c r="X1906" s="25">
        <f t="shared" si="78"/>
        <v>0</v>
      </c>
      <c r="Z1906" s="25">
        <f t="shared" si="79"/>
        <v>0</v>
      </c>
      <c r="AA1906" s="25">
        <f t="shared" si="80"/>
        <v>0</v>
      </c>
      <c r="AB1906" s="25">
        <f t="shared" si="81"/>
        <v>0</v>
      </c>
      <c r="AC1906" s="25">
        <f t="shared" si="82"/>
        <v>0</v>
      </c>
      <c r="AD1906" s="25">
        <f t="shared" si="83"/>
        <v>0</v>
      </c>
      <c r="AE1906" s="25">
        <f t="shared" si="84"/>
        <v>0</v>
      </c>
      <c r="AF1906" s="25">
        <f t="shared" si="85"/>
        <v>0</v>
      </c>
      <c r="AG1906" s="10" t="s">
        <v>1699</v>
      </c>
      <c r="AH1906" s="25">
        <f t="shared" si="86"/>
        <v>0</v>
      </c>
      <c r="AI1906" s="25">
        <f t="shared" si="87"/>
        <v>0</v>
      </c>
      <c r="AJ1906" s="25">
        <f t="shared" si="88"/>
        <v>0</v>
      </c>
      <c r="AL1906" s="25">
        <v>21</v>
      </c>
      <c r="AM1906" s="25">
        <f>H1906*0.604942623</f>
        <v>0</v>
      </c>
      <c r="AN1906" s="25">
        <f>H1906*(1-0.604942623)</f>
        <v>0</v>
      </c>
      <c r="AO1906" s="27" t="s">
        <v>61</v>
      </c>
      <c r="AT1906" s="25">
        <f t="shared" si="89"/>
        <v>0</v>
      </c>
      <c r="AU1906" s="25">
        <f t="shared" si="90"/>
        <v>0</v>
      </c>
      <c r="AV1906" s="25">
        <f t="shared" si="91"/>
        <v>0</v>
      </c>
      <c r="AW1906" s="27" t="s">
        <v>2201</v>
      </c>
      <c r="AX1906" s="27" t="s">
        <v>2202</v>
      </c>
      <c r="AY1906" s="10" t="s">
        <v>1707</v>
      </c>
      <c r="BA1906" s="25">
        <f t="shared" si="92"/>
        <v>0</v>
      </c>
      <c r="BB1906" s="25">
        <f t="shared" si="93"/>
        <v>0</v>
      </c>
      <c r="BC1906" s="25">
        <v>0</v>
      </c>
      <c r="BD1906" s="25">
        <f t="shared" si="94"/>
        <v>3.5899999999999999E-3</v>
      </c>
      <c r="BF1906" s="25">
        <f t="shared" si="95"/>
        <v>0</v>
      </c>
      <c r="BG1906" s="25">
        <f t="shared" si="96"/>
        <v>0</v>
      </c>
      <c r="BH1906" s="25">
        <f t="shared" si="97"/>
        <v>0</v>
      </c>
      <c r="BI1906" s="27" t="s">
        <v>65</v>
      </c>
      <c r="BJ1906" s="25">
        <v>732</v>
      </c>
      <c r="BU1906" s="25" t="e">
        <f>#REF!</f>
        <v>#REF!</v>
      </c>
      <c r="BV1906" s="4" t="s">
        <v>2232</v>
      </c>
    </row>
    <row r="1907" spans="1:74" ht="14.4" x14ac:dyDescent="0.3">
      <c r="A1907" s="2" t="s">
        <v>2233</v>
      </c>
      <c r="B1907" s="3" t="s">
        <v>1699</v>
      </c>
      <c r="C1907" s="3" t="s">
        <v>2234</v>
      </c>
      <c r="D1907" s="112" t="s">
        <v>2235</v>
      </c>
      <c r="E1907" s="109"/>
      <c r="F1907" s="3" t="s">
        <v>122</v>
      </c>
      <c r="G1907" s="25">
        <v>1</v>
      </c>
      <c r="H1907" s="62"/>
      <c r="I1907" s="25">
        <f t="shared" si="74"/>
        <v>0</v>
      </c>
      <c r="J1907" s="25">
        <f t="shared" si="75"/>
        <v>0</v>
      </c>
      <c r="K1907" s="25">
        <f t="shared" si="76"/>
        <v>0</v>
      </c>
      <c r="L1907" s="25">
        <v>1.3500000000000001E-3</v>
      </c>
      <c r="M1907" s="25">
        <f t="shared" si="77"/>
        <v>1.3500000000000001E-3</v>
      </c>
      <c r="N1907" s="102"/>
      <c r="X1907" s="25">
        <f t="shared" si="78"/>
        <v>0</v>
      </c>
      <c r="Z1907" s="25">
        <f t="shared" si="79"/>
        <v>0</v>
      </c>
      <c r="AA1907" s="25">
        <f t="shared" si="80"/>
        <v>0</v>
      </c>
      <c r="AB1907" s="25">
        <f t="shared" si="81"/>
        <v>0</v>
      </c>
      <c r="AC1907" s="25">
        <f t="shared" si="82"/>
        <v>0</v>
      </c>
      <c r="AD1907" s="25">
        <f t="shared" si="83"/>
        <v>0</v>
      </c>
      <c r="AE1907" s="25">
        <f t="shared" si="84"/>
        <v>0</v>
      </c>
      <c r="AF1907" s="25">
        <f t="shared" si="85"/>
        <v>0</v>
      </c>
      <c r="AG1907" s="10" t="s">
        <v>1699</v>
      </c>
      <c r="AH1907" s="25">
        <f t="shared" si="86"/>
        <v>0</v>
      </c>
      <c r="AI1907" s="25">
        <f t="shared" si="87"/>
        <v>0</v>
      </c>
      <c r="AJ1907" s="25">
        <f t="shared" si="88"/>
        <v>0</v>
      </c>
      <c r="AL1907" s="25">
        <v>21</v>
      </c>
      <c r="AM1907" s="25">
        <f>H1907*0.86383442</f>
        <v>0</v>
      </c>
      <c r="AN1907" s="25">
        <f>H1907*(1-0.86383442)</f>
        <v>0</v>
      </c>
      <c r="AO1907" s="27" t="s">
        <v>61</v>
      </c>
      <c r="AT1907" s="25">
        <f t="shared" si="89"/>
        <v>0</v>
      </c>
      <c r="AU1907" s="25">
        <f t="shared" si="90"/>
        <v>0</v>
      </c>
      <c r="AV1907" s="25">
        <f t="shared" si="91"/>
        <v>0</v>
      </c>
      <c r="AW1907" s="27" t="s">
        <v>2201</v>
      </c>
      <c r="AX1907" s="27" t="s">
        <v>2202</v>
      </c>
      <c r="AY1907" s="10" t="s">
        <v>1707</v>
      </c>
      <c r="BA1907" s="25">
        <f t="shared" si="92"/>
        <v>0</v>
      </c>
      <c r="BB1907" s="25">
        <f t="shared" si="93"/>
        <v>0</v>
      </c>
      <c r="BC1907" s="25">
        <v>0</v>
      </c>
      <c r="BD1907" s="25">
        <f t="shared" si="94"/>
        <v>1.3500000000000001E-3</v>
      </c>
      <c r="BF1907" s="25">
        <f t="shared" si="95"/>
        <v>0</v>
      </c>
      <c r="BG1907" s="25">
        <f t="shared" si="96"/>
        <v>0</v>
      </c>
      <c r="BH1907" s="25">
        <f t="shared" si="97"/>
        <v>0</v>
      </c>
      <c r="BI1907" s="27" t="s">
        <v>65</v>
      </c>
      <c r="BJ1907" s="25">
        <v>732</v>
      </c>
      <c r="BU1907" s="25" t="e">
        <f>#REF!</f>
        <v>#REF!</v>
      </c>
      <c r="BV1907" s="4" t="s">
        <v>2235</v>
      </c>
    </row>
    <row r="1908" spans="1:74" ht="14.4" x14ac:dyDescent="0.3">
      <c r="A1908" s="2" t="s">
        <v>2236</v>
      </c>
      <c r="B1908" s="3" t="s">
        <v>1699</v>
      </c>
      <c r="C1908" s="3" t="s">
        <v>2237</v>
      </c>
      <c r="D1908" s="112" t="s">
        <v>2238</v>
      </c>
      <c r="E1908" s="109"/>
      <c r="F1908" s="3" t="s">
        <v>860</v>
      </c>
      <c r="G1908" s="25">
        <v>1</v>
      </c>
      <c r="H1908" s="62"/>
      <c r="I1908" s="25">
        <f t="shared" si="74"/>
        <v>0</v>
      </c>
      <c r="J1908" s="25">
        <f t="shared" si="75"/>
        <v>0</v>
      </c>
      <c r="K1908" s="25">
        <f t="shared" si="76"/>
        <v>0</v>
      </c>
      <c r="L1908" s="25">
        <v>2.0760000000000001E-2</v>
      </c>
      <c r="M1908" s="25">
        <f t="shared" si="77"/>
        <v>2.0760000000000001E-2</v>
      </c>
      <c r="N1908" s="102"/>
      <c r="X1908" s="25">
        <f t="shared" si="78"/>
        <v>0</v>
      </c>
      <c r="Z1908" s="25">
        <f t="shared" si="79"/>
        <v>0</v>
      </c>
      <c r="AA1908" s="25">
        <f t="shared" si="80"/>
        <v>0</v>
      </c>
      <c r="AB1908" s="25">
        <f t="shared" si="81"/>
        <v>0</v>
      </c>
      <c r="AC1908" s="25">
        <f t="shared" si="82"/>
        <v>0</v>
      </c>
      <c r="AD1908" s="25">
        <f t="shared" si="83"/>
        <v>0</v>
      </c>
      <c r="AE1908" s="25">
        <f t="shared" si="84"/>
        <v>0</v>
      </c>
      <c r="AF1908" s="25">
        <f t="shared" si="85"/>
        <v>0</v>
      </c>
      <c r="AG1908" s="10" t="s">
        <v>1699</v>
      </c>
      <c r="AH1908" s="25">
        <f t="shared" si="86"/>
        <v>0</v>
      </c>
      <c r="AI1908" s="25">
        <f t="shared" si="87"/>
        <v>0</v>
      </c>
      <c r="AJ1908" s="25">
        <f t="shared" si="88"/>
        <v>0</v>
      </c>
      <c r="AL1908" s="25">
        <v>21</v>
      </c>
      <c r="AM1908" s="25">
        <f>H1908*0.904131429</f>
        <v>0</v>
      </c>
      <c r="AN1908" s="25">
        <f>H1908*(1-0.904131429)</f>
        <v>0</v>
      </c>
      <c r="AO1908" s="27" t="s">
        <v>61</v>
      </c>
      <c r="AT1908" s="25">
        <f t="shared" si="89"/>
        <v>0</v>
      </c>
      <c r="AU1908" s="25">
        <f t="shared" si="90"/>
        <v>0</v>
      </c>
      <c r="AV1908" s="25">
        <f t="shared" si="91"/>
        <v>0</v>
      </c>
      <c r="AW1908" s="27" t="s">
        <v>2201</v>
      </c>
      <c r="AX1908" s="27" t="s">
        <v>2202</v>
      </c>
      <c r="AY1908" s="10" t="s">
        <v>1707</v>
      </c>
      <c r="BA1908" s="25">
        <f t="shared" si="92"/>
        <v>0</v>
      </c>
      <c r="BB1908" s="25">
        <f t="shared" si="93"/>
        <v>0</v>
      </c>
      <c r="BC1908" s="25">
        <v>0</v>
      </c>
      <c r="BD1908" s="25">
        <f t="shared" si="94"/>
        <v>2.0760000000000001E-2</v>
      </c>
      <c r="BF1908" s="25">
        <f t="shared" si="95"/>
        <v>0</v>
      </c>
      <c r="BG1908" s="25">
        <f t="shared" si="96"/>
        <v>0</v>
      </c>
      <c r="BH1908" s="25">
        <f t="shared" si="97"/>
        <v>0</v>
      </c>
      <c r="BI1908" s="27" t="s">
        <v>65</v>
      </c>
      <c r="BJ1908" s="25">
        <v>732</v>
      </c>
      <c r="BU1908" s="25" t="e">
        <f>#REF!</f>
        <v>#REF!</v>
      </c>
      <c r="BV1908" s="4" t="s">
        <v>2238</v>
      </c>
    </row>
    <row r="1909" spans="1:74" ht="14.4" x14ac:dyDescent="0.3">
      <c r="A1909" s="2" t="s">
        <v>2239</v>
      </c>
      <c r="B1909" s="3" t="s">
        <v>1699</v>
      </c>
      <c r="C1909" s="3" t="s">
        <v>2240</v>
      </c>
      <c r="D1909" s="112" t="s">
        <v>2241</v>
      </c>
      <c r="E1909" s="109"/>
      <c r="F1909" s="3" t="s">
        <v>278</v>
      </c>
      <c r="G1909" s="25">
        <v>0.46899999999999997</v>
      </c>
      <c r="H1909" s="62"/>
      <c r="I1909" s="25">
        <f t="shared" si="74"/>
        <v>0</v>
      </c>
      <c r="J1909" s="25">
        <f t="shared" si="75"/>
        <v>0</v>
      </c>
      <c r="K1909" s="25">
        <f t="shared" si="76"/>
        <v>0</v>
      </c>
      <c r="L1909" s="25">
        <v>0</v>
      </c>
      <c r="M1909" s="25">
        <f t="shared" si="77"/>
        <v>0</v>
      </c>
      <c r="N1909" s="26"/>
      <c r="X1909" s="25">
        <f t="shared" si="78"/>
        <v>0</v>
      </c>
      <c r="Z1909" s="25">
        <f t="shared" si="79"/>
        <v>0</v>
      </c>
      <c r="AA1909" s="25">
        <f t="shared" si="80"/>
        <v>0</v>
      </c>
      <c r="AB1909" s="25">
        <f t="shared" si="81"/>
        <v>0</v>
      </c>
      <c r="AC1909" s="25">
        <f t="shared" si="82"/>
        <v>0</v>
      </c>
      <c r="AD1909" s="25">
        <f t="shared" si="83"/>
        <v>0</v>
      </c>
      <c r="AE1909" s="25">
        <f t="shared" si="84"/>
        <v>0</v>
      </c>
      <c r="AF1909" s="25">
        <f t="shared" si="85"/>
        <v>0</v>
      </c>
      <c r="AG1909" s="10" t="s">
        <v>1699</v>
      </c>
      <c r="AH1909" s="25">
        <f t="shared" si="86"/>
        <v>0</v>
      </c>
      <c r="AI1909" s="25">
        <f t="shared" si="87"/>
        <v>0</v>
      </c>
      <c r="AJ1909" s="25">
        <f t="shared" si="88"/>
        <v>0</v>
      </c>
      <c r="AL1909" s="25">
        <v>21</v>
      </c>
      <c r="AM1909" s="25">
        <f>H1909*0</f>
        <v>0</v>
      </c>
      <c r="AN1909" s="25">
        <f>H1909*(1-0)</f>
        <v>0</v>
      </c>
      <c r="AO1909" s="27" t="s">
        <v>97</v>
      </c>
      <c r="AT1909" s="25">
        <f t="shared" si="89"/>
        <v>0</v>
      </c>
      <c r="AU1909" s="25">
        <f t="shared" si="90"/>
        <v>0</v>
      </c>
      <c r="AV1909" s="25">
        <f t="shared" si="91"/>
        <v>0</v>
      </c>
      <c r="AW1909" s="27" t="s">
        <v>2201</v>
      </c>
      <c r="AX1909" s="27" t="s">
        <v>2202</v>
      </c>
      <c r="AY1909" s="10" t="s">
        <v>1707</v>
      </c>
      <c r="BA1909" s="25">
        <f t="shared" si="92"/>
        <v>0</v>
      </c>
      <c r="BB1909" s="25">
        <f t="shared" si="93"/>
        <v>0</v>
      </c>
      <c r="BC1909" s="25">
        <v>0</v>
      </c>
      <c r="BD1909" s="25">
        <f t="shared" si="94"/>
        <v>0</v>
      </c>
      <c r="BF1909" s="25">
        <f t="shared" si="95"/>
        <v>0</v>
      </c>
      <c r="BG1909" s="25">
        <f t="shared" si="96"/>
        <v>0</v>
      </c>
      <c r="BH1909" s="25">
        <f t="shared" si="97"/>
        <v>0</v>
      </c>
      <c r="BI1909" s="27" t="s">
        <v>65</v>
      </c>
      <c r="BJ1909" s="25">
        <v>732</v>
      </c>
      <c r="BU1909" s="25" t="e">
        <f>#REF!</f>
        <v>#REF!</v>
      </c>
      <c r="BV1909" s="4" t="s">
        <v>2241</v>
      </c>
    </row>
    <row r="1910" spans="1:74" ht="14.4" x14ac:dyDescent="0.3">
      <c r="A1910" s="28"/>
      <c r="D1910" s="29" t="s">
        <v>2242</v>
      </c>
      <c r="E1910" s="29" t="s">
        <v>52</v>
      </c>
      <c r="G1910" s="30">
        <v>0.46899999999999997</v>
      </c>
      <c r="H1910" s="63"/>
      <c r="N1910" s="31"/>
    </row>
    <row r="1911" spans="1:74" ht="14.4" x14ac:dyDescent="0.3">
      <c r="A1911" s="2" t="s">
        <v>2243</v>
      </c>
      <c r="B1911" s="3" t="s">
        <v>1699</v>
      </c>
      <c r="C1911" s="3" t="s">
        <v>2244</v>
      </c>
      <c r="D1911" s="112" t="s">
        <v>2245</v>
      </c>
      <c r="E1911" s="109"/>
      <c r="F1911" s="3" t="s">
        <v>122</v>
      </c>
      <c r="G1911" s="25">
        <v>2</v>
      </c>
      <c r="H1911" s="62"/>
      <c r="I1911" s="25">
        <f>ROUND(G1911*AM1911,2)</f>
        <v>0</v>
      </c>
      <c r="J1911" s="25">
        <f>ROUND(G1911*AN1911,2)</f>
        <v>0</v>
      </c>
      <c r="K1911" s="25">
        <f>ROUND(G1911*H1911,2)</f>
        <v>0</v>
      </c>
      <c r="L1911" s="25">
        <v>0</v>
      </c>
      <c r="M1911" s="25">
        <f>G1911*L1911</f>
        <v>0</v>
      </c>
      <c r="N1911" s="102"/>
      <c r="X1911" s="25">
        <f>ROUND(IF(AO1911="5",BH1911,0),2)</f>
        <v>0</v>
      </c>
      <c r="Z1911" s="25">
        <f>ROUND(IF(AO1911="1",BF1911,0),2)</f>
        <v>0</v>
      </c>
      <c r="AA1911" s="25">
        <f>ROUND(IF(AO1911="1",BG1911,0),2)</f>
        <v>0</v>
      </c>
      <c r="AB1911" s="25">
        <f>ROUND(IF(AO1911="7",BF1911,0),2)</f>
        <v>0</v>
      </c>
      <c r="AC1911" s="25">
        <f>ROUND(IF(AO1911="7",BG1911,0),2)</f>
        <v>0</v>
      </c>
      <c r="AD1911" s="25">
        <f>ROUND(IF(AO1911="2",BF1911,0),2)</f>
        <v>0</v>
      </c>
      <c r="AE1911" s="25">
        <f>ROUND(IF(AO1911="2",BG1911,0),2)</f>
        <v>0</v>
      </c>
      <c r="AF1911" s="25">
        <f>ROUND(IF(AO1911="0",BH1911,0),2)</f>
        <v>0</v>
      </c>
      <c r="AG1911" s="10" t="s">
        <v>1699</v>
      </c>
      <c r="AH1911" s="25">
        <f>IF(AL1911=0,K1911,0)</f>
        <v>0</v>
      </c>
      <c r="AI1911" s="25">
        <f>IF(AL1911=12,K1911,0)</f>
        <v>0</v>
      </c>
      <c r="AJ1911" s="25">
        <f>IF(AL1911=21,K1911,0)</f>
        <v>0</v>
      </c>
      <c r="AL1911" s="25">
        <v>21</v>
      </c>
      <c r="AM1911" s="25">
        <f>H1911*1</f>
        <v>0</v>
      </c>
      <c r="AN1911" s="25">
        <f>H1911*(1-1)</f>
        <v>0</v>
      </c>
      <c r="AO1911" s="27" t="s">
        <v>61</v>
      </c>
      <c r="AT1911" s="25">
        <f>ROUND(AU1911+AV1911,2)</f>
        <v>0</v>
      </c>
      <c r="AU1911" s="25">
        <f>ROUND(G1911*AM1911,2)</f>
        <v>0</v>
      </c>
      <c r="AV1911" s="25">
        <f>ROUND(G1911*AN1911,2)</f>
        <v>0</v>
      </c>
      <c r="AW1911" s="27" t="s">
        <v>2201</v>
      </c>
      <c r="AX1911" s="27" t="s">
        <v>2202</v>
      </c>
      <c r="AY1911" s="10" t="s">
        <v>1707</v>
      </c>
      <c r="BA1911" s="25">
        <f>AU1911+AV1911</f>
        <v>0</v>
      </c>
      <c r="BB1911" s="25">
        <f>H1911/(100-BC1911)*100</f>
        <v>0</v>
      </c>
      <c r="BC1911" s="25">
        <v>0</v>
      </c>
      <c r="BD1911" s="25">
        <f>M1911</f>
        <v>0</v>
      </c>
      <c r="BF1911" s="25">
        <f>G1911*AM1911</f>
        <v>0</v>
      </c>
      <c r="BG1911" s="25">
        <f>G1911*AN1911</f>
        <v>0</v>
      </c>
      <c r="BH1911" s="25">
        <f>G1911*H1911</f>
        <v>0</v>
      </c>
      <c r="BI1911" s="27" t="s">
        <v>576</v>
      </c>
      <c r="BJ1911" s="25">
        <v>732</v>
      </c>
      <c r="BU1911" s="25" t="e">
        <f>#REF!</f>
        <v>#REF!</v>
      </c>
      <c r="BV1911" s="4" t="s">
        <v>2245</v>
      </c>
    </row>
    <row r="1912" spans="1:74" ht="14.4" x14ac:dyDescent="0.3">
      <c r="A1912" s="2" t="s">
        <v>2246</v>
      </c>
      <c r="B1912" s="3" t="s">
        <v>1699</v>
      </c>
      <c r="C1912" s="3" t="s">
        <v>2247</v>
      </c>
      <c r="D1912" s="112" t="s">
        <v>2248</v>
      </c>
      <c r="E1912" s="109"/>
      <c r="F1912" s="3" t="s">
        <v>122</v>
      </c>
      <c r="G1912" s="25">
        <v>1</v>
      </c>
      <c r="H1912" s="62"/>
      <c r="I1912" s="25">
        <f>ROUND(G1912*AM1912,2)</f>
        <v>0</v>
      </c>
      <c r="J1912" s="25">
        <f>ROUND(G1912*AN1912,2)</f>
        <v>0</v>
      </c>
      <c r="K1912" s="25">
        <f>ROUND(G1912*H1912,2)</f>
        <v>0</v>
      </c>
      <c r="L1912" s="25">
        <v>0</v>
      </c>
      <c r="M1912" s="25">
        <f>G1912*L1912</f>
        <v>0</v>
      </c>
      <c r="N1912" s="102"/>
      <c r="X1912" s="25">
        <f>ROUND(IF(AO1912="5",BH1912,0),2)</f>
        <v>0</v>
      </c>
      <c r="Z1912" s="25">
        <f>ROUND(IF(AO1912="1",BF1912,0),2)</f>
        <v>0</v>
      </c>
      <c r="AA1912" s="25">
        <f>ROUND(IF(AO1912="1",BG1912,0),2)</f>
        <v>0</v>
      </c>
      <c r="AB1912" s="25">
        <f>ROUND(IF(AO1912="7",BF1912,0),2)</f>
        <v>0</v>
      </c>
      <c r="AC1912" s="25">
        <f>ROUND(IF(AO1912="7",BG1912,0),2)</f>
        <v>0</v>
      </c>
      <c r="AD1912" s="25">
        <f>ROUND(IF(AO1912="2",BF1912,0),2)</f>
        <v>0</v>
      </c>
      <c r="AE1912" s="25">
        <f>ROUND(IF(AO1912="2",BG1912,0),2)</f>
        <v>0</v>
      </c>
      <c r="AF1912" s="25">
        <f>ROUND(IF(AO1912="0",BH1912,0),2)</f>
        <v>0</v>
      </c>
      <c r="AG1912" s="10" t="s">
        <v>1699</v>
      </c>
      <c r="AH1912" s="25">
        <f>IF(AL1912=0,K1912,0)</f>
        <v>0</v>
      </c>
      <c r="AI1912" s="25">
        <f>IF(AL1912=12,K1912,0)</f>
        <v>0</v>
      </c>
      <c r="AJ1912" s="25">
        <f>IF(AL1912=21,K1912,0)</f>
        <v>0</v>
      </c>
      <c r="AL1912" s="25">
        <v>21</v>
      </c>
      <c r="AM1912" s="25">
        <f>H1912*1</f>
        <v>0</v>
      </c>
      <c r="AN1912" s="25">
        <f>H1912*(1-1)</f>
        <v>0</v>
      </c>
      <c r="AO1912" s="27" t="s">
        <v>61</v>
      </c>
      <c r="AT1912" s="25">
        <f>ROUND(AU1912+AV1912,2)</f>
        <v>0</v>
      </c>
      <c r="AU1912" s="25">
        <f>ROUND(G1912*AM1912,2)</f>
        <v>0</v>
      </c>
      <c r="AV1912" s="25">
        <f>ROUND(G1912*AN1912,2)</f>
        <v>0</v>
      </c>
      <c r="AW1912" s="27" t="s">
        <v>2201</v>
      </c>
      <c r="AX1912" s="27" t="s">
        <v>2202</v>
      </c>
      <c r="AY1912" s="10" t="s">
        <v>1707</v>
      </c>
      <c r="BA1912" s="25">
        <f>AU1912+AV1912</f>
        <v>0</v>
      </c>
      <c r="BB1912" s="25">
        <f>H1912/(100-BC1912)*100</f>
        <v>0</v>
      </c>
      <c r="BC1912" s="25">
        <v>0</v>
      </c>
      <c r="BD1912" s="25">
        <f>M1912</f>
        <v>0</v>
      </c>
      <c r="BF1912" s="25">
        <f>G1912*AM1912</f>
        <v>0</v>
      </c>
      <c r="BG1912" s="25">
        <f>G1912*AN1912</f>
        <v>0</v>
      </c>
      <c r="BH1912" s="25">
        <f>G1912*H1912</f>
        <v>0</v>
      </c>
      <c r="BI1912" s="27" t="s">
        <v>576</v>
      </c>
      <c r="BJ1912" s="25">
        <v>732</v>
      </c>
      <c r="BU1912" s="25" t="e">
        <f>#REF!</f>
        <v>#REF!</v>
      </c>
      <c r="BV1912" s="4" t="s">
        <v>2248</v>
      </c>
    </row>
    <row r="1913" spans="1:74" ht="14.4" x14ac:dyDescent="0.3">
      <c r="A1913" s="2" t="s">
        <v>2249</v>
      </c>
      <c r="B1913" s="3" t="s">
        <v>1699</v>
      </c>
      <c r="C1913" s="3" t="s">
        <v>2250</v>
      </c>
      <c r="D1913" s="112" t="s">
        <v>2251</v>
      </c>
      <c r="E1913" s="109"/>
      <c r="F1913" s="3" t="s">
        <v>122</v>
      </c>
      <c r="G1913" s="25">
        <v>1</v>
      </c>
      <c r="H1913" s="62"/>
      <c r="I1913" s="25">
        <f>ROUND(G1913*AM1913,2)</f>
        <v>0</v>
      </c>
      <c r="J1913" s="25">
        <f>ROUND(G1913*AN1913,2)</f>
        <v>0</v>
      </c>
      <c r="K1913" s="25">
        <f>ROUND(G1913*H1913,2)</f>
        <v>0</v>
      </c>
      <c r="L1913" s="25">
        <v>0</v>
      </c>
      <c r="M1913" s="25">
        <f>G1913*L1913</f>
        <v>0</v>
      </c>
      <c r="N1913" s="102"/>
      <c r="X1913" s="25">
        <f>ROUND(IF(AO1913="5",BH1913,0),2)</f>
        <v>0</v>
      </c>
      <c r="Z1913" s="25">
        <f>ROUND(IF(AO1913="1",BF1913,0),2)</f>
        <v>0</v>
      </c>
      <c r="AA1913" s="25">
        <f>ROUND(IF(AO1913="1",BG1913,0),2)</f>
        <v>0</v>
      </c>
      <c r="AB1913" s="25">
        <f>ROUND(IF(AO1913="7",BF1913,0),2)</f>
        <v>0</v>
      </c>
      <c r="AC1913" s="25">
        <f>ROUND(IF(AO1913="7",BG1913,0),2)</f>
        <v>0</v>
      </c>
      <c r="AD1913" s="25">
        <f>ROUND(IF(AO1913="2",BF1913,0),2)</f>
        <v>0</v>
      </c>
      <c r="AE1913" s="25">
        <f>ROUND(IF(AO1913="2",BG1913,0),2)</f>
        <v>0</v>
      </c>
      <c r="AF1913" s="25">
        <f>ROUND(IF(AO1913="0",BH1913,0),2)</f>
        <v>0</v>
      </c>
      <c r="AG1913" s="10" t="s">
        <v>1699</v>
      </c>
      <c r="AH1913" s="25">
        <f>IF(AL1913=0,K1913,0)</f>
        <v>0</v>
      </c>
      <c r="AI1913" s="25">
        <f>IF(AL1913=12,K1913,0)</f>
        <v>0</v>
      </c>
      <c r="AJ1913" s="25">
        <f>IF(AL1913=21,K1913,0)</f>
        <v>0</v>
      </c>
      <c r="AL1913" s="25">
        <v>21</v>
      </c>
      <c r="AM1913" s="25">
        <f>H1913*1</f>
        <v>0</v>
      </c>
      <c r="AN1913" s="25">
        <f>H1913*(1-1)</f>
        <v>0</v>
      </c>
      <c r="AO1913" s="27" t="s">
        <v>61</v>
      </c>
      <c r="AT1913" s="25">
        <f>ROUND(AU1913+AV1913,2)</f>
        <v>0</v>
      </c>
      <c r="AU1913" s="25">
        <f>ROUND(G1913*AM1913,2)</f>
        <v>0</v>
      </c>
      <c r="AV1913" s="25">
        <f>ROUND(G1913*AN1913,2)</f>
        <v>0</v>
      </c>
      <c r="AW1913" s="27" t="s">
        <v>2201</v>
      </c>
      <c r="AX1913" s="27" t="s">
        <v>2202</v>
      </c>
      <c r="AY1913" s="10" t="s">
        <v>1707</v>
      </c>
      <c r="BA1913" s="25">
        <f>AU1913+AV1913</f>
        <v>0</v>
      </c>
      <c r="BB1913" s="25">
        <f>H1913/(100-BC1913)*100</f>
        <v>0</v>
      </c>
      <c r="BC1913" s="25">
        <v>0</v>
      </c>
      <c r="BD1913" s="25">
        <f>M1913</f>
        <v>0</v>
      </c>
      <c r="BF1913" s="25">
        <f>G1913*AM1913</f>
        <v>0</v>
      </c>
      <c r="BG1913" s="25">
        <f>G1913*AN1913</f>
        <v>0</v>
      </c>
      <c r="BH1913" s="25">
        <f>G1913*H1913</f>
        <v>0</v>
      </c>
      <c r="BI1913" s="27" t="s">
        <v>576</v>
      </c>
      <c r="BJ1913" s="25">
        <v>732</v>
      </c>
      <c r="BU1913" s="25" t="e">
        <f>#REF!</f>
        <v>#REF!</v>
      </c>
      <c r="BV1913" s="4" t="s">
        <v>2251</v>
      </c>
    </row>
    <row r="1914" spans="1:74" ht="14.4" x14ac:dyDescent="0.3">
      <c r="A1914" s="2" t="s">
        <v>2252</v>
      </c>
      <c r="B1914" s="3" t="s">
        <v>1699</v>
      </c>
      <c r="C1914" s="3" t="s">
        <v>2253</v>
      </c>
      <c r="D1914" s="112" t="s">
        <v>2254</v>
      </c>
      <c r="E1914" s="109"/>
      <c r="F1914" s="3" t="s">
        <v>860</v>
      </c>
      <c r="G1914" s="25">
        <v>1</v>
      </c>
      <c r="H1914" s="62"/>
      <c r="I1914" s="25">
        <f>ROUND(G1914*AM1914,2)</f>
        <v>0</v>
      </c>
      <c r="J1914" s="25">
        <f>ROUND(G1914*AN1914,2)</f>
        <v>0</v>
      </c>
      <c r="K1914" s="25">
        <f>ROUND(G1914*H1914,2)</f>
        <v>0</v>
      </c>
      <c r="L1914" s="25">
        <v>0</v>
      </c>
      <c r="M1914" s="25">
        <f>G1914*L1914</f>
        <v>0</v>
      </c>
      <c r="N1914" s="102"/>
      <c r="X1914" s="25">
        <f>ROUND(IF(AO1914="5",BH1914,0),2)</f>
        <v>0</v>
      </c>
      <c r="Z1914" s="25">
        <f>ROUND(IF(AO1914="1",BF1914,0),2)</f>
        <v>0</v>
      </c>
      <c r="AA1914" s="25">
        <f>ROUND(IF(AO1914="1",BG1914,0),2)</f>
        <v>0</v>
      </c>
      <c r="AB1914" s="25">
        <f>ROUND(IF(AO1914="7",BF1914,0),2)</f>
        <v>0</v>
      </c>
      <c r="AC1914" s="25">
        <f>ROUND(IF(AO1914="7",BG1914,0),2)</f>
        <v>0</v>
      </c>
      <c r="AD1914" s="25">
        <f>ROUND(IF(AO1914="2",BF1914,0),2)</f>
        <v>0</v>
      </c>
      <c r="AE1914" s="25">
        <f>ROUND(IF(AO1914="2",BG1914,0),2)</f>
        <v>0</v>
      </c>
      <c r="AF1914" s="25">
        <f>ROUND(IF(AO1914="0",BH1914,0),2)</f>
        <v>0</v>
      </c>
      <c r="AG1914" s="10" t="s">
        <v>1699</v>
      </c>
      <c r="AH1914" s="25">
        <f>IF(AL1914=0,K1914,0)</f>
        <v>0</v>
      </c>
      <c r="AI1914" s="25">
        <f>IF(AL1914=12,K1914,0)</f>
        <v>0</v>
      </c>
      <c r="AJ1914" s="25">
        <f>IF(AL1914=21,K1914,0)</f>
        <v>0</v>
      </c>
      <c r="AL1914" s="25">
        <v>21</v>
      </c>
      <c r="AM1914" s="25">
        <f>H1914*1</f>
        <v>0</v>
      </c>
      <c r="AN1914" s="25">
        <f>H1914*(1-1)</f>
        <v>0</v>
      </c>
      <c r="AO1914" s="27" t="s">
        <v>61</v>
      </c>
      <c r="AT1914" s="25">
        <f>ROUND(AU1914+AV1914,2)</f>
        <v>0</v>
      </c>
      <c r="AU1914" s="25">
        <f>ROUND(G1914*AM1914,2)</f>
        <v>0</v>
      </c>
      <c r="AV1914" s="25">
        <f>ROUND(G1914*AN1914,2)</f>
        <v>0</v>
      </c>
      <c r="AW1914" s="27" t="s">
        <v>2201</v>
      </c>
      <c r="AX1914" s="27" t="s">
        <v>2202</v>
      </c>
      <c r="AY1914" s="10" t="s">
        <v>1707</v>
      </c>
      <c r="BA1914" s="25">
        <f>AU1914+AV1914</f>
        <v>0</v>
      </c>
      <c r="BB1914" s="25">
        <f>H1914/(100-BC1914)*100</f>
        <v>0</v>
      </c>
      <c r="BC1914" s="25">
        <v>0</v>
      </c>
      <c r="BD1914" s="25">
        <f>M1914</f>
        <v>0</v>
      </c>
      <c r="BF1914" s="25">
        <f>G1914*AM1914</f>
        <v>0</v>
      </c>
      <c r="BG1914" s="25">
        <f>G1914*AN1914</f>
        <v>0</v>
      </c>
      <c r="BH1914" s="25">
        <f>G1914*H1914</f>
        <v>0</v>
      </c>
      <c r="BI1914" s="27" t="s">
        <v>576</v>
      </c>
      <c r="BJ1914" s="25">
        <v>732</v>
      </c>
      <c r="BU1914" s="25" t="e">
        <f>#REF!</f>
        <v>#REF!</v>
      </c>
      <c r="BV1914" s="4" t="s">
        <v>2254</v>
      </c>
    </row>
    <row r="1915" spans="1:74" ht="14.4" x14ac:dyDescent="0.3">
      <c r="A1915" s="2" t="s">
        <v>2255</v>
      </c>
      <c r="B1915" s="3" t="s">
        <v>1699</v>
      </c>
      <c r="C1915" s="3" t="s">
        <v>2256</v>
      </c>
      <c r="D1915" s="112" t="s">
        <v>2257</v>
      </c>
      <c r="E1915" s="109"/>
      <c r="F1915" s="3" t="s">
        <v>122</v>
      </c>
      <c r="G1915" s="25">
        <v>1</v>
      </c>
      <c r="H1915" s="62"/>
      <c r="I1915" s="25">
        <f>ROUND(G1915*AM1915,2)</f>
        <v>0</v>
      </c>
      <c r="J1915" s="25">
        <f>ROUND(G1915*AN1915,2)</f>
        <v>0</v>
      </c>
      <c r="K1915" s="25">
        <f>ROUND(G1915*H1915,2)</f>
        <v>0</v>
      </c>
      <c r="L1915" s="25">
        <v>1.21E-2</v>
      </c>
      <c r="M1915" s="25">
        <f>G1915*L1915</f>
        <v>1.21E-2</v>
      </c>
      <c r="N1915" s="26"/>
      <c r="X1915" s="25">
        <f>ROUND(IF(AO1915="5",BH1915,0),2)</f>
        <v>0</v>
      </c>
      <c r="Z1915" s="25">
        <f>ROUND(IF(AO1915="1",BF1915,0),2)</f>
        <v>0</v>
      </c>
      <c r="AA1915" s="25">
        <f>ROUND(IF(AO1915="1",BG1915,0),2)</f>
        <v>0</v>
      </c>
      <c r="AB1915" s="25">
        <f>ROUND(IF(AO1915="7",BF1915,0),2)</f>
        <v>0</v>
      </c>
      <c r="AC1915" s="25">
        <f>ROUND(IF(AO1915="7",BG1915,0),2)</f>
        <v>0</v>
      </c>
      <c r="AD1915" s="25">
        <f>ROUND(IF(AO1915="2",BF1915,0),2)</f>
        <v>0</v>
      </c>
      <c r="AE1915" s="25">
        <f>ROUND(IF(AO1915="2",BG1915,0),2)</f>
        <v>0</v>
      </c>
      <c r="AF1915" s="25">
        <f>ROUND(IF(AO1915="0",BH1915,0),2)</f>
        <v>0</v>
      </c>
      <c r="AG1915" s="10" t="s">
        <v>1699</v>
      </c>
      <c r="AH1915" s="25">
        <f>IF(AL1915=0,K1915,0)</f>
        <v>0</v>
      </c>
      <c r="AI1915" s="25">
        <f>IF(AL1915=12,K1915,0)</f>
        <v>0</v>
      </c>
      <c r="AJ1915" s="25">
        <f>IF(AL1915=21,K1915,0)</f>
        <v>0</v>
      </c>
      <c r="AL1915" s="25">
        <v>21</v>
      </c>
      <c r="AM1915" s="25">
        <f>H1915*1</f>
        <v>0</v>
      </c>
      <c r="AN1915" s="25">
        <f>H1915*(1-1)</f>
        <v>0</v>
      </c>
      <c r="AO1915" s="27" t="s">
        <v>61</v>
      </c>
      <c r="AT1915" s="25">
        <f>ROUND(AU1915+AV1915,2)</f>
        <v>0</v>
      </c>
      <c r="AU1915" s="25">
        <f>ROUND(G1915*AM1915,2)</f>
        <v>0</v>
      </c>
      <c r="AV1915" s="25">
        <f>ROUND(G1915*AN1915,2)</f>
        <v>0</v>
      </c>
      <c r="AW1915" s="27" t="s">
        <v>2201</v>
      </c>
      <c r="AX1915" s="27" t="s">
        <v>2202</v>
      </c>
      <c r="AY1915" s="10" t="s">
        <v>1707</v>
      </c>
      <c r="BA1915" s="25">
        <f>AU1915+AV1915</f>
        <v>0</v>
      </c>
      <c r="BB1915" s="25">
        <f>H1915/(100-BC1915)*100</f>
        <v>0</v>
      </c>
      <c r="BC1915" s="25">
        <v>0</v>
      </c>
      <c r="BD1915" s="25">
        <f>M1915</f>
        <v>1.21E-2</v>
      </c>
      <c r="BF1915" s="25">
        <f>G1915*AM1915</f>
        <v>0</v>
      </c>
      <c r="BG1915" s="25">
        <f>G1915*AN1915</f>
        <v>0</v>
      </c>
      <c r="BH1915" s="25">
        <f>G1915*H1915</f>
        <v>0</v>
      </c>
      <c r="BI1915" s="27" t="s">
        <v>576</v>
      </c>
      <c r="BJ1915" s="25">
        <v>732</v>
      </c>
      <c r="BU1915" s="25" t="e">
        <f>#REF!</f>
        <v>#REF!</v>
      </c>
      <c r="BV1915" s="4" t="s">
        <v>2257</v>
      </c>
    </row>
    <row r="1916" spans="1:74" ht="14.4" x14ac:dyDescent="0.3">
      <c r="A1916" s="21" t="s">
        <v>52</v>
      </c>
      <c r="B1916" s="22" t="s">
        <v>1699</v>
      </c>
      <c r="C1916" s="22" t="s">
        <v>2258</v>
      </c>
      <c r="D1916" s="170" t="s">
        <v>2259</v>
      </c>
      <c r="E1916" s="171"/>
      <c r="F1916" s="23" t="s">
        <v>32</v>
      </c>
      <c r="G1916" s="23" t="s">
        <v>32</v>
      </c>
      <c r="H1916" s="64"/>
      <c r="I1916" s="1">
        <f>SUM(I1917:I1936)</f>
        <v>0</v>
      </c>
      <c r="J1916" s="1">
        <f>SUM(J1917:J1936)</f>
        <v>0</v>
      </c>
      <c r="K1916" s="1">
        <f>SUM(K1917:K1936)</f>
        <v>0</v>
      </c>
      <c r="L1916" s="10" t="s">
        <v>52</v>
      </c>
      <c r="M1916" s="1">
        <f>SUM(M1917:M1936)</f>
        <v>2.93E-2</v>
      </c>
      <c r="N1916" s="24"/>
      <c r="AG1916" s="10" t="s">
        <v>1699</v>
      </c>
      <c r="AQ1916" s="1">
        <f>SUM(AH1917:AH1936)</f>
        <v>0</v>
      </c>
      <c r="AR1916" s="1">
        <f>SUM(AI1917:AI1936)</f>
        <v>0</v>
      </c>
      <c r="AS1916" s="1">
        <f>SUM(AJ1917:AJ1936)</f>
        <v>0</v>
      </c>
    </row>
    <row r="1917" spans="1:74" ht="14.4" x14ac:dyDescent="0.3">
      <c r="A1917" s="2" t="s">
        <v>2260</v>
      </c>
      <c r="B1917" s="3" t="s">
        <v>1699</v>
      </c>
      <c r="C1917" s="3" t="s">
        <v>1861</v>
      </c>
      <c r="D1917" s="112" t="s">
        <v>1862</v>
      </c>
      <c r="E1917" s="109"/>
      <c r="F1917" s="3" t="s">
        <v>122</v>
      </c>
      <c r="G1917" s="25">
        <v>33</v>
      </c>
      <c r="H1917" s="62"/>
      <c r="I1917" s="25">
        <f t="shared" ref="I1917:I1936" si="98">ROUND(G1917*AM1917,2)</f>
        <v>0</v>
      </c>
      <c r="J1917" s="25">
        <f t="shared" ref="J1917:J1936" si="99">ROUND(G1917*AN1917,2)</f>
        <v>0</v>
      </c>
      <c r="K1917" s="25">
        <f t="shared" ref="K1917:K1936" si="100">ROUND(G1917*H1917,2)</f>
        <v>0</v>
      </c>
      <c r="L1917" s="25">
        <v>4.0000000000000003E-5</v>
      </c>
      <c r="M1917" s="25">
        <f t="shared" ref="M1917:M1936" si="101">G1917*L1917</f>
        <v>1.3200000000000002E-3</v>
      </c>
      <c r="N1917" s="26"/>
      <c r="X1917" s="25">
        <f t="shared" ref="X1917:X1936" si="102">ROUND(IF(AO1917="5",BH1917,0),2)</f>
        <v>0</v>
      </c>
      <c r="Z1917" s="25">
        <f t="shared" ref="Z1917:Z1936" si="103">ROUND(IF(AO1917="1",BF1917,0),2)</f>
        <v>0</v>
      </c>
      <c r="AA1917" s="25">
        <f t="shared" ref="AA1917:AA1936" si="104">ROUND(IF(AO1917="1",BG1917,0),2)</f>
        <v>0</v>
      </c>
      <c r="AB1917" s="25">
        <f t="shared" ref="AB1917:AB1936" si="105">ROUND(IF(AO1917="7",BF1917,0),2)</f>
        <v>0</v>
      </c>
      <c r="AC1917" s="25">
        <f t="shared" ref="AC1917:AC1936" si="106">ROUND(IF(AO1917="7",BG1917,0),2)</f>
        <v>0</v>
      </c>
      <c r="AD1917" s="25">
        <f t="shared" ref="AD1917:AD1936" si="107">ROUND(IF(AO1917="2",BF1917,0),2)</f>
        <v>0</v>
      </c>
      <c r="AE1917" s="25">
        <f t="shared" ref="AE1917:AE1936" si="108">ROUND(IF(AO1917="2",BG1917,0),2)</f>
        <v>0</v>
      </c>
      <c r="AF1917" s="25">
        <f t="shared" ref="AF1917:AF1936" si="109">ROUND(IF(AO1917="0",BH1917,0),2)</f>
        <v>0</v>
      </c>
      <c r="AG1917" s="10" t="s">
        <v>1699</v>
      </c>
      <c r="AH1917" s="25">
        <f t="shared" ref="AH1917:AH1936" si="110">IF(AL1917=0,K1917,0)</f>
        <v>0</v>
      </c>
      <c r="AI1917" s="25">
        <f t="shared" ref="AI1917:AI1936" si="111">IF(AL1917=12,K1917,0)</f>
        <v>0</v>
      </c>
      <c r="AJ1917" s="25">
        <f t="shared" ref="AJ1917:AJ1936" si="112">IF(AL1917=21,K1917,0)</f>
        <v>0</v>
      </c>
      <c r="AL1917" s="25">
        <v>21</v>
      </c>
      <c r="AM1917" s="25">
        <f>H1917*0.339139785</f>
        <v>0</v>
      </c>
      <c r="AN1917" s="25">
        <f>H1917*(1-0.339139785)</f>
        <v>0</v>
      </c>
      <c r="AO1917" s="27" t="s">
        <v>61</v>
      </c>
      <c r="AT1917" s="25">
        <f t="shared" ref="AT1917:AT1936" si="113">ROUND(AU1917+AV1917,2)</f>
        <v>0</v>
      </c>
      <c r="AU1917" s="25">
        <f t="shared" ref="AU1917:AU1936" si="114">ROUND(G1917*AM1917,2)</f>
        <v>0</v>
      </c>
      <c r="AV1917" s="25">
        <f t="shared" ref="AV1917:AV1936" si="115">ROUND(G1917*AN1917,2)</f>
        <v>0</v>
      </c>
      <c r="AW1917" s="27" t="s">
        <v>2261</v>
      </c>
      <c r="AX1917" s="27" t="s">
        <v>2202</v>
      </c>
      <c r="AY1917" s="10" t="s">
        <v>1707</v>
      </c>
      <c r="BA1917" s="25">
        <f t="shared" ref="BA1917:BA1936" si="116">AU1917+AV1917</f>
        <v>0</v>
      </c>
      <c r="BB1917" s="25">
        <f t="shared" ref="BB1917:BB1936" si="117">H1917/(100-BC1917)*100</f>
        <v>0</v>
      </c>
      <c r="BC1917" s="25">
        <v>0</v>
      </c>
      <c r="BD1917" s="25">
        <f t="shared" ref="BD1917:BD1936" si="118">M1917</f>
        <v>1.3200000000000002E-3</v>
      </c>
      <c r="BF1917" s="25">
        <f t="shared" ref="BF1917:BF1936" si="119">G1917*AM1917</f>
        <v>0</v>
      </c>
      <c r="BG1917" s="25">
        <f t="shared" ref="BG1917:BG1936" si="120">G1917*AN1917</f>
        <v>0</v>
      </c>
      <c r="BH1917" s="25">
        <f t="shared" ref="BH1917:BH1936" si="121">G1917*H1917</f>
        <v>0</v>
      </c>
      <c r="BI1917" s="27" t="s">
        <v>65</v>
      </c>
      <c r="BJ1917" s="25">
        <v>734</v>
      </c>
      <c r="BU1917" s="25" t="e">
        <f>#REF!</f>
        <v>#REF!</v>
      </c>
      <c r="BV1917" s="4" t="s">
        <v>1862</v>
      </c>
    </row>
    <row r="1918" spans="1:74" ht="14.4" x14ac:dyDescent="0.3">
      <c r="A1918" s="2" t="s">
        <v>2262</v>
      </c>
      <c r="B1918" s="3" t="s">
        <v>1699</v>
      </c>
      <c r="C1918" s="3" t="s">
        <v>2263</v>
      </c>
      <c r="D1918" s="112" t="s">
        <v>2264</v>
      </c>
      <c r="E1918" s="109"/>
      <c r="F1918" s="3" t="s">
        <v>122</v>
      </c>
      <c r="G1918" s="25">
        <v>4</v>
      </c>
      <c r="H1918" s="62"/>
      <c r="I1918" s="25">
        <f t="shared" si="98"/>
        <v>0</v>
      </c>
      <c r="J1918" s="25">
        <f t="shared" si="99"/>
        <v>0</v>
      </c>
      <c r="K1918" s="25">
        <f t="shared" si="100"/>
        <v>0</v>
      </c>
      <c r="L1918" s="25">
        <v>0</v>
      </c>
      <c r="M1918" s="25">
        <f t="shared" si="101"/>
        <v>0</v>
      </c>
      <c r="N1918" s="26"/>
      <c r="X1918" s="25">
        <f t="shared" si="102"/>
        <v>0</v>
      </c>
      <c r="Z1918" s="25">
        <f t="shared" si="103"/>
        <v>0</v>
      </c>
      <c r="AA1918" s="25">
        <f t="shared" si="104"/>
        <v>0</v>
      </c>
      <c r="AB1918" s="25">
        <f t="shared" si="105"/>
        <v>0</v>
      </c>
      <c r="AC1918" s="25">
        <f t="shared" si="106"/>
        <v>0</v>
      </c>
      <c r="AD1918" s="25">
        <f t="shared" si="107"/>
        <v>0</v>
      </c>
      <c r="AE1918" s="25">
        <f t="shared" si="108"/>
        <v>0</v>
      </c>
      <c r="AF1918" s="25">
        <f t="shared" si="109"/>
        <v>0</v>
      </c>
      <c r="AG1918" s="10" t="s">
        <v>1699</v>
      </c>
      <c r="AH1918" s="25">
        <f t="shared" si="110"/>
        <v>0</v>
      </c>
      <c r="AI1918" s="25">
        <f t="shared" si="111"/>
        <v>0</v>
      </c>
      <c r="AJ1918" s="25">
        <f t="shared" si="112"/>
        <v>0</v>
      </c>
      <c r="AL1918" s="25">
        <v>21</v>
      </c>
      <c r="AM1918" s="25">
        <f>H1918*0.03926582</f>
        <v>0</v>
      </c>
      <c r="AN1918" s="25">
        <f>H1918*(1-0.03926582)</f>
        <v>0</v>
      </c>
      <c r="AO1918" s="27" t="s">
        <v>61</v>
      </c>
      <c r="AT1918" s="25">
        <f t="shared" si="113"/>
        <v>0</v>
      </c>
      <c r="AU1918" s="25">
        <f t="shared" si="114"/>
        <v>0</v>
      </c>
      <c r="AV1918" s="25">
        <f t="shared" si="115"/>
        <v>0</v>
      </c>
      <c r="AW1918" s="27" t="s">
        <v>2261</v>
      </c>
      <c r="AX1918" s="27" t="s">
        <v>2202</v>
      </c>
      <c r="AY1918" s="10" t="s">
        <v>1707</v>
      </c>
      <c r="BA1918" s="25">
        <f t="shared" si="116"/>
        <v>0</v>
      </c>
      <c r="BB1918" s="25">
        <f t="shared" si="117"/>
        <v>0</v>
      </c>
      <c r="BC1918" s="25">
        <v>0</v>
      </c>
      <c r="BD1918" s="25">
        <f t="shared" si="118"/>
        <v>0</v>
      </c>
      <c r="BF1918" s="25">
        <f t="shared" si="119"/>
        <v>0</v>
      </c>
      <c r="BG1918" s="25">
        <f t="shared" si="120"/>
        <v>0</v>
      </c>
      <c r="BH1918" s="25">
        <f t="shared" si="121"/>
        <v>0</v>
      </c>
      <c r="BI1918" s="27" t="s">
        <v>65</v>
      </c>
      <c r="BJ1918" s="25">
        <v>734</v>
      </c>
      <c r="BU1918" s="25" t="e">
        <f>#REF!</f>
        <v>#REF!</v>
      </c>
      <c r="BV1918" s="4" t="s">
        <v>2264</v>
      </c>
    </row>
    <row r="1919" spans="1:74" ht="14.4" x14ac:dyDescent="0.3">
      <c r="A1919" s="2" t="s">
        <v>2265</v>
      </c>
      <c r="B1919" s="3" t="s">
        <v>1699</v>
      </c>
      <c r="C1919" s="3" t="s">
        <v>2266</v>
      </c>
      <c r="D1919" s="112" t="s">
        <v>2267</v>
      </c>
      <c r="E1919" s="109"/>
      <c r="F1919" s="3" t="s">
        <v>122</v>
      </c>
      <c r="G1919" s="25">
        <v>22</v>
      </c>
      <c r="H1919" s="62"/>
      <c r="I1919" s="25">
        <f t="shared" si="98"/>
        <v>0</v>
      </c>
      <c r="J1919" s="25">
        <f t="shared" si="99"/>
        <v>0</v>
      </c>
      <c r="K1919" s="25">
        <f t="shared" si="100"/>
        <v>0</v>
      </c>
      <c r="L1919" s="25">
        <v>0</v>
      </c>
      <c r="M1919" s="25">
        <f t="shared" si="101"/>
        <v>0</v>
      </c>
      <c r="N1919" s="26"/>
      <c r="X1919" s="25">
        <f t="shared" si="102"/>
        <v>0</v>
      </c>
      <c r="Z1919" s="25">
        <f t="shared" si="103"/>
        <v>0</v>
      </c>
      <c r="AA1919" s="25">
        <f t="shared" si="104"/>
        <v>0</v>
      </c>
      <c r="AB1919" s="25">
        <f t="shared" si="105"/>
        <v>0</v>
      </c>
      <c r="AC1919" s="25">
        <f t="shared" si="106"/>
        <v>0</v>
      </c>
      <c r="AD1919" s="25">
        <f t="shared" si="107"/>
        <v>0</v>
      </c>
      <c r="AE1919" s="25">
        <f t="shared" si="108"/>
        <v>0</v>
      </c>
      <c r="AF1919" s="25">
        <f t="shared" si="109"/>
        <v>0</v>
      </c>
      <c r="AG1919" s="10" t="s">
        <v>1699</v>
      </c>
      <c r="AH1919" s="25">
        <f t="shared" si="110"/>
        <v>0</v>
      </c>
      <c r="AI1919" s="25">
        <f t="shared" si="111"/>
        <v>0</v>
      </c>
      <c r="AJ1919" s="25">
        <f t="shared" si="112"/>
        <v>0</v>
      </c>
      <c r="AL1919" s="25">
        <v>21</v>
      </c>
      <c r="AM1919" s="25">
        <f>H1919*0.041675758</f>
        <v>0</v>
      </c>
      <c r="AN1919" s="25">
        <f>H1919*(1-0.041675758)</f>
        <v>0</v>
      </c>
      <c r="AO1919" s="27" t="s">
        <v>61</v>
      </c>
      <c r="AT1919" s="25">
        <f t="shared" si="113"/>
        <v>0</v>
      </c>
      <c r="AU1919" s="25">
        <f t="shared" si="114"/>
        <v>0</v>
      </c>
      <c r="AV1919" s="25">
        <f t="shared" si="115"/>
        <v>0</v>
      </c>
      <c r="AW1919" s="27" t="s">
        <v>2261</v>
      </c>
      <c r="AX1919" s="27" t="s">
        <v>2202</v>
      </c>
      <c r="AY1919" s="10" t="s">
        <v>1707</v>
      </c>
      <c r="BA1919" s="25">
        <f t="shared" si="116"/>
        <v>0</v>
      </c>
      <c r="BB1919" s="25">
        <f t="shared" si="117"/>
        <v>0</v>
      </c>
      <c r="BC1919" s="25">
        <v>0</v>
      </c>
      <c r="BD1919" s="25">
        <f t="shared" si="118"/>
        <v>0</v>
      </c>
      <c r="BF1919" s="25">
        <f t="shared" si="119"/>
        <v>0</v>
      </c>
      <c r="BG1919" s="25">
        <f t="shared" si="120"/>
        <v>0</v>
      </c>
      <c r="BH1919" s="25">
        <f t="shared" si="121"/>
        <v>0</v>
      </c>
      <c r="BI1919" s="27" t="s">
        <v>65</v>
      </c>
      <c r="BJ1919" s="25">
        <v>734</v>
      </c>
      <c r="BU1919" s="25" t="e">
        <f>#REF!</f>
        <v>#REF!</v>
      </c>
      <c r="BV1919" s="4" t="s">
        <v>2267</v>
      </c>
    </row>
    <row r="1920" spans="1:74" ht="14.4" x14ac:dyDescent="0.3">
      <c r="A1920" s="2" t="s">
        <v>2268</v>
      </c>
      <c r="B1920" s="3" t="s">
        <v>1699</v>
      </c>
      <c r="C1920" s="3" t="s">
        <v>1864</v>
      </c>
      <c r="D1920" s="112" t="s">
        <v>1865</v>
      </c>
      <c r="E1920" s="109"/>
      <c r="F1920" s="3" t="s">
        <v>122</v>
      </c>
      <c r="G1920" s="25">
        <v>4</v>
      </c>
      <c r="H1920" s="62"/>
      <c r="I1920" s="25">
        <f t="shared" si="98"/>
        <v>0</v>
      </c>
      <c r="J1920" s="25">
        <f t="shared" si="99"/>
        <v>0</v>
      </c>
      <c r="K1920" s="25">
        <f t="shared" si="100"/>
        <v>0</v>
      </c>
      <c r="L1920" s="25">
        <v>0</v>
      </c>
      <c r="M1920" s="25">
        <f t="shared" si="101"/>
        <v>0</v>
      </c>
      <c r="N1920" s="26"/>
      <c r="X1920" s="25">
        <f t="shared" si="102"/>
        <v>0</v>
      </c>
      <c r="Z1920" s="25">
        <f t="shared" si="103"/>
        <v>0</v>
      </c>
      <c r="AA1920" s="25">
        <f t="shared" si="104"/>
        <v>0</v>
      </c>
      <c r="AB1920" s="25">
        <f t="shared" si="105"/>
        <v>0</v>
      </c>
      <c r="AC1920" s="25">
        <f t="shared" si="106"/>
        <v>0</v>
      </c>
      <c r="AD1920" s="25">
        <f t="shared" si="107"/>
        <v>0</v>
      </c>
      <c r="AE1920" s="25">
        <f t="shared" si="108"/>
        <v>0</v>
      </c>
      <c r="AF1920" s="25">
        <f t="shared" si="109"/>
        <v>0</v>
      </c>
      <c r="AG1920" s="10" t="s">
        <v>1699</v>
      </c>
      <c r="AH1920" s="25">
        <f t="shared" si="110"/>
        <v>0</v>
      </c>
      <c r="AI1920" s="25">
        <f t="shared" si="111"/>
        <v>0</v>
      </c>
      <c r="AJ1920" s="25">
        <f t="shared" si="112"/>
        <v>0</v>
      </c>
      <c r="AL1920" s="25">
        <v>21</v>
      </c>
      <c r="AM1920" s="25">
        <f>H1920*0.05627451</f>
        <v>0</v>
      </c>
      <c r="AN1920" s="25">
        <f>H1920*(1-0.05627451)</f>
        <v>0</v>
      </c>
      <c r="AO1920" s="27" t="s">
        <v>61</v>
      </c>
      <c r="AT1920" s="25">
        <f t="shared" si="113"/>
        <v>0</v>
      </c>
      <c r="AU1920" s="25">
        <f t="shared" si="114"/>
        <v>0</v>
      </c>
      <c r="AV1920" s="25">
        <f t="shared" si="115"/>
        <v>0</v>
      </c>
      <c r="AW1920" s="27" t="s">
        <v>2261</v>
      </c>
      <c r="AX1920" s="27" t="s">
        <v>2202</v>
      </c>
      <c r="AY1920" s="10" t="s">
        <v>1707</v>
      </c>
      <c r="BA1920" s="25">
        <f t="shared" si="116"/>
        <v>0</v>
      </c>
      <c r="BB1920" s="25">
        <f t="shared" si="117"/>
        <v>0</v>
      </c>
      <c r="BC1920" s="25">
        <v>0</v>
      </c>
      <c r="BD1920" s="25">
        <f t="shared" si="118"/>
        <v>0</v>
      </c>
      <c r="BF1920" s="25">
        <f t="shared" si="119"/>
        <v>0</v>
      </c>
      <c r="BG1920" s="25">
        <f t="shared" si="120"/>
        <v>0</v>
      </c>
      <c r="BH1920" s="25">
        <f t="shared" si="121"/>
        <v>0</v>
      </c>
      <c r="BI1920" s="27" t="s">
        <v>65</v>
      </c>
      <c r="BJ1920" s="25">
        <v>734</v>
      </c>
      <c r="BU1920" s="25" t="e">
        <f>#REF!</f>
        <v>#REF!</v>
      </c>
      <c r="BV1920" s="4" t="s">
        <v>1865</v>
      </c>
    </row>
    <row r="1921" spans="1:74" ht="14.4" x14ac:dyDescent="0.3">
      <c r="A1921" s="2" t="s">
        <v>2269</v>
      </c>
      <c r="B1921" s="3" t="s">
        <v>1699</v>
      </c>
      <c r="C1921" s="3" t="s">
        <v>2270</v>
      </c>
      <c r="D1921" s="112" t="s">
        <v>2271</v>
      </c>
      <c r="E1921" s="109"/>
      <c r="F1921" s="3" t="s">
        <v>122</v>
      </c>
      <c r="G1921" s="25">
        <v>1</v>
      </c>
      <c r="H1921" s="62"/>
      <c r="I1921" s="25">
        <f t="shared" si="98"/>
        <v>0</v>
      </c>
      <c r="J1921" s="25">
        <f t="shared" si="99"/>
        <v>0</v>
      </c>
      <c r="K1921" s="25">
        <f t="shared" si="100"/>
        <v>0</v>
      </c>
      <c r="L1921" s="25">
        <v>0</v>
      </c>
      <c r="M1921" s="25">
        <f t="shared" si="101"/>
        <v>0</v>
      </c>
      <c r="N1921" s="26"/>
      <c r="X1921" s="25">
        <f t="shared" si="102"/>
        <v>0</v>
      </c>
      <c r="Z1921" s="25">
        <f t="shared" si="103"/>
        <v>0</v>
      </c>
      <c r="AA1921" s="25">
        <f t="shared" si="104"/>
        <v>0</v>
      </c>
      <c r="AB1921" s="25">
        <f t="shared" si="105"/>
        <v>0</v>
      </c>
      <c r="AC1921" s="25">
        <f t="shared" si="106"/>
        <v>0</v>
      </c>
      <c r="AD1921" s="25">
        <f t="shared" si="107"/>
        <v>0</v>
      </c>
      <c r="AE1921" s="25">
        <f t="shared" si="108"/>
        <v>0</v>
      </c>
      <c r="AF1921" s="25">
        <f t="shared" si="109"/>
        <v>0</v>
      </c>
      <c r="AG1921" s="10" t="s">
        <v>1699</v>
      </c>
      <c r="AH1921" s="25">
        <f t="shared" si="110"/>
        <v>0</v>
      </c>
      <c r="AI1921" s="25">
        <f t="shared" si="111"/>
        <v>0</v>
      </c>
      <c r="AJ1921" s="25">
        <f t="shared" si="112"/>
        <v>0</v>
      </c>
      <c r="AL1921" s="25">
        <v>21</v>
      </c>
      <c r="AM1921" s="25">
        <f>H1921*0.06273224</f>
        <v>0</v>
      </c>
      <c r="AN1921" s="25">
        <f>H1921*(1-0.06273224)</f>
        <v>0</v>
      </c>
      <c r="AO1921" s="27" t="s">
        <v>61</v>
      </c>
      <c r="AT1921" s="25">
        <f t="shared" si="113"/>
        <v>0</v>
      </c>
      <c r="AU1921" s="25">
        <f t="shared" si="114"/>
        <v>0</v>
      </c>
      <c r="AV1921" s="25">
        <f t="shared" si="115"/>
        <v>0</v>
      </c>
      <c r="AW1921" s="27" t="s">
        <v>2261</v>
      </c>
      <c r="AX1921" s="27" t="s">
        <v>2202</v>
      </c>
      <c r="AY1921" s="10" t="s">
        <v>1707</v>
      </c>
      <c r="BA1921" s="25">
        <f t="shared" si="116"/>
        <v>0</v>
      </c>
      <c r="BB1921" s="25">
        <f t="shared" si="117"/>
        <v>0</v>
      </c>
      <c r="BC1921" s="25">
        <v>0</v>
      </c>
      <c r="BD1921" s="25">
        <f t="shared" si="118"/>
        <v>0</v>
      </c>
      <c r="BF1921" s="25">
        <f t="shared" si="119"/>
        <v>0</v>
      </c>
      <c r="BG1921" s="25">
        <f t="shared" si="120"/>
        <v>0</v>
      </c>
      <c r="BH1921" s="25">
        <f t="shared" si="121"/>
        <v>0</v>
      </c>
      <c r="BI1921" s="27" t="s">
        <v>65</v>
      </c>
      <c r="BJ1921" s="25">
        <v>734</v>
      </c>
      <c r="BU1921" s="25" t="e">
        <f>#REF!</f>
        <v>#REF!</v>
      </c>
      <c r="BV1921" s="4" t="s">
        <v>2271</v>
      </c>
    </row>
    <row r="1922" spans="1:74" ht="14.4" x14ac:dyDescent="0.3">
      <c r="A1922" s="2" t="s">
        <v>2272</v>
      </c>
      <c r="B1922" s="3" t="s">
        <v>1699</v>
      </c>
      <c r="C1922" s="3" t="s">
        <v>2273</v>
      </c>
      <c r="D1922" s="112" t="s">
        <v>2232</v>
      </c>
      <c r="E1922" s="109"/>
      <c r="F1922" s="3" t="s">
        <v>122</v>
      </c>
      <c r="G1922" s="25">
        <v>1</v>
      </c>
      <c r="H1922" s="62"/>
      <c r="I1922" s="25">
        <f t="shared" si="98"/>
        <v>0</v>
      </c>
      <c r="J1922" s="25">
        <f t="shared" si="99"/>
        <v>0</v>
      </c>
      <c r="K1922" s="25">
        <f t="shared" si="100"/>
        <v>0</v>
      </c>
      <c r="L1922" s="25">
        <v>1.64E-3</v>
      </c>
      <c r="M1922" s="25">
        <f t="shared" si="101"/>
        <v>1.64E-3</v>
      </c>
      <c r="N1922" s="26"/>
      <c r="X1922" s="25">
        <f t="shared" si="102"/>
        <v>0</v>
      </c>
      <c r="Z1922" s="25">
        <f t="shared" si="103"/>
        <v>0</v>
      </c>
      <c r="AA1922" s="25">
        <f t="shared" si="104"/>
        <v>0</v>
      </c>
      <c r="AB1922" s="25">
        <f t="shared" si="105"/>
        <v>0</v>
      </c>
      <c r="AC1922" s="25">
        <f t="shared" si="106"/>
        <v>0</v>
      </c>
      <c r="AD1922" s="25">
        <f t="shared" si="107"/>
        <v>0</v>
      </c>
      <c r="AE1922" s="25">
        <f t="shared" si="108"/>
        <v>0</v>
      </c>
      <c r="AF1922" s="25">
        <f t="shared" si="109"/>
        <v>0</v>
      </c>
      <c r="AG1922" s="10" t="s">
        <v>1699</v>
      </c>
      <c r="AH1922" s="25">
        <f t="shared" si="110"/>
        <v>0</v>
      </c>
      <c r="AI1922" s="25">
        <f t="shared" si="111"/>
        <v>0</v>
      </c>
      <c r="AJ1922" s="25">
        <f t="shared" si="112"/>
        <v>0</v>
      </c>
      <c r="AL1922" s="25">
        <v>21</v>
      </c>
      <c r="AM1922" s="25">
        <f>H1922*0.453156069</f>
        <v>0</v>
      </c>
      <c r="AN1922" s="25">
        <f>H1922*(1-0.453156069)</f>
        <v>0</v>
      </c>
      <c r="AO1922" s="27" t="s">
        <v>61</v>
      </c>
      <c r="AT1922" s="25">
        <f t="shared" si="113"/>
        <v>0</v>
      </c>
      <c r="AU1922" s="25">
        <f t="shared" si="114"/>
        <v>0</v>
      </c>
      <c r="AV1922" s="25">
        <f t="shared" si="115"/>
        <v>0</v>
      </c>
      <c r="AW1922" s="27" t="s">
        <v>2261</v>
      </c>
      <c r="AX1922" s="27" t="s">
        <v>2202</v>
      </c>
      <c r="AY1922" s="10" t="s">
        <v>1707</v>
      </c>
      <c r="BA1922" s="25">
        <f t="shared" si="116"/>
        <v>0</v>
      </c>
      <c r="BB1922" s="25">
        <f t="shared" si="117"/>
        <v>0</v>
      </c>
      <c r="BC1922" s="25">
        <v>0</v>
      </c>
      <c r="BD1922" s="25">
        <f t="shared" si="118"/>
        <v>1.64E-3</v>
      </c>
      <c r="BF1922" s="25">
        <f t="shared" si="119"/>
        <v>0</v>
      </c>
      <c r="BG1922" s="25">
        <f t="shared" si="120"/>
        <v>0</v>
      </c>
      <c r="BH1922" s="25">
        <f t="shared" si="121"/>
        <v>0</v>
      </c>
      <c r="BI1922" s="27" t="s">
        <v>65</v>
      </c>
      <c r="BJ1922" s="25">
        <v>734</v>
      </c>
      <c r="BU1922" s="25" t="e">
        <f>#REF!</f>
        <v>#REF!</v>
      </c>
      <c r="BV1922" s="4" t="s">
        <v>2232</v>
      </c>
    </row>
    <row r="1923" spans="1:74" ht="14.4" x14ac:dyDescent="0.3">
      <c r="A1923" s="2" t="s">
        <v>2274</v>
      </c>
      <c r="B1923" s="3" t="s">
        <v>1699</v>
      </c>
      <c r="C1923" s="3" t="s">
        <v>1867</v>
      </c>
      <c r="D1923" s="112" t="s">
        <v>1868</v>
      </c>
      <c r="E1923" s="109"/>
      <c r="F1923" s="3" t="s">
        <v>122</v>
      </c>
      <c r="G1923" s="25">
        <v>3</v>
      </c>
      <c r="H1923" s="62"/>
      <c r="I1923" s="25">
        <f t="shared" si="98"/>
        <v>0</v>
      </c>
      <c r="J1923" s="25">
        <f t="shared" si="99"/>
        <v>0</v>
      </c>
      <c r="K1923" s="25">
        <f t="shared" si="100"/>
        <v>0</v>
      </c>
      <c r="L1923" s="25">
        <v>0</v>
      </c>
      <c r="M1923" s="25">
        <f t="shared" si="101"/>
        <v>0</v>
      </c>
      <c r="N1923" s="26"/>
      <c r="X1923" s="25">
        <f t="shared" si="102"/>
        <v>0</v>
      </c>
      <c r="Z1923" s="25">
        <f t="shared" si="103"/>
        <v>0</v>
      </c>
      <c r="AA1923" s="25">
        <f t="shared" si="104"/>
        <v>0</v>
      </c>
      <c r="AB1923" s="25">
        <f t="shared" si="105"/>
        <v>0</v>
      </c>
      <c r="AC1923" s="25">
        <f t="shared" si="106"/>
        <v>0</v>
      </c>
      <c r="AD1923" s="25">
        <f t="shared" si="107"/>
        <v>0</v>
      </c>
      <c r="AE1923" s="25">
        <f t="shared" si="108"/>
        <v>0</v>
      </c>
      <c r="AF1923" s="25">
        <f t="shared" si="109"/>
        <v>0</v>
      </c>
      <c r="AG1923" s="10" t="s">
        <v>1699</v>
      </c>
      <c r="AH1923" s="25">
        <f t="shared" si="110"/>
        <v>0</v>
      </c>
      <c r="AI1923" s="25">
        <f t="shared" si="111"/>
        <v>0</v>
      </c>
      <c r="AJ1923" s="25">
        <f t="shared" si="112"/>
        <v>0</v>
      </c>
      <c r="AL1923" s="25">
        <v>21</v>
      </c>
      <c r="AM1923" s="25">
        <f>H1923*0.066022342</f>
        <v>0</v>
      </c>
      <c r="AN1923" s="25">
        <f>H1923*(1-0.066022342)</f>
        <v>0</v>
      </c>
      <c r="AO1923" s="27" t="s">
        <v>61</v>
      </c>
      <c r="AT1923" s="25">
        <f t="shared" si="113"/>
        <v>0</v>
      </c>
      <c r="AU1923" s="25">
        <f t="shared" si="114"/>
        <v>0</v>
      </c>
      <c r="AV1923" s="25">
        <f t="shared" si="115"/>
        <v>0</v>
      </c>
      <c r="AW1923" s="27" t="s">
        <v>2261</v>
      </c>
      <c r="AX1923" s="27" t="s">
        <v>2202</v>
      </c>
      <c r="AY1923" s="10" t="s">
        <v>1707</v>
      </c>
      <c r="BA1923" s="25">
        <f t="shared" si="116"/>
        <v>0</v>
      </c>
      <c r="BB1923" s="25">
        <f t="shared" si="117"/>
        <v>0</v>
      </c>
      <c r="BC1923" s="25">
        <v>0</v>
      </c>
      <c r="BD1923" s="25">
        <f t="shared" si="118"/>
        <v>0</v>
      </c>
      <c r="BF1923" s="25">
        <f t="shared" si="119"/>
        <v>0</v>
      </c>
      <c r="BG1923" s="25">
        <f t="shared" si="120"/>
        <v>0</v>
      </c>
      <c r="BH1923" s="25">
        <f t="shared" si="121"/>
        <v>0</v>
      </c>
      <c r="BI1923" s="27" t="s">
        <v>65</v>
      </c>
      <c r="BJ1923" s="25">
        <v>734</v>
      </c>
      <c r="BU1923" s="25" t="e">
        <f>#REF!</f>
        <v>#REF!</v>
      </c>
      <c r="BV1923" s="4" t="s">
        <v>1868</v>
      </c>
    </row>
    <row r="1924" spans="1:74" ht="14.4" x14ac:dyDescent="0.3">
      <c r="A1924" s="2" t="s">
        <v>2275</v>
      </c>
      <c r="B1924" s="3" t="s">
        <v>1699</v>
      </c>
      <c r="C1924" s="3" t="s">
        <v>2276</v>
      </c>
      <c r="D1924" s="112" t="s">
        <v>2277</v>
      </c>
      <c r="E1924" s="109"/>
      <c r="F1924" s="3" t="s">
        <v>122</v>
      </c>
      <c r="G1924" s="25">
        <v>3</v>
      </c>
      <c r="H1924" s="62"/>
      <c r="I1924" s="25">
        <f t="shared" si="98"/>
        <v>0</v>
      </c>
      <c r="J1924" s="25">
        <f t="shared" si="99"/>
        <v>0</v>
      </c>
      <c r="K1924" s="25">
        <f t="shared" si="100"/>
        <v>0</v>
      </c>
      <c r="L1924" s="25">
        <v>0</v>
      </c>
      <c r="M1924" s="25">
        <f t="shared" si="101"/>
        <v>0</v>
      </c>
      <c r="N1924" s="26"/>
      <c r="X1924" s="25">
        <f t="shared" si="102"/>
        <v>0</v>
      </c>
      <c r="Z1924" s="25">
        <f t="shared" si="103"/>
        <v>0</v>
      </c>
      <c r="AA1924" s="25">
        <f t="shared" si="104"/>
        <v>0</v>
      </c>
      <c r="AB1924" s="25">
        <f t="shared" si="105"/>
        <v>0</v>
      </c>
      <c r="AC1924" s="25">
        <f t="shared" si="106"/>
        <v>0</v>
      </c>
      <c r="AD1924" s="25">
        <f t="shared" si="107"/>
        <v>0</v>
      </c>
      <c r="AE1924" s="25">
        <f t="shared" si="108"/>
        <v>0</v>
      </c>
      <c r="AF1924" s="25">
        <f t="shared" si="109"/>
        <v>0</v>
      </c>
      <c r="AG1924" s="10" t="s">
        <v>1699</v>
      </c>
      <c r="AH1924" s="25">
        <f t="shared" si="110"/>
        <v>0</v>
      </c>
      <c r="AI1924" s="25">
        <f t="shared" si="111"/>
        <v>0</v>
      </c>
      <c r="AJ1924" s="25">
        <f t="shared" si="112"/>
        <v>0</v>
      </c>
      <c r="AL1924" s="25">
        <v>21</v>
      </c>
      <c r="AM1924" s="25">
        <f>H1924*0.091784512</f>
        <v>0</v>
      </c>
      <c r="AN1924" s="25">
        <f>H1924*(1-0.091784512)</f>
        <v>0</v>
      </c>
      <c r="AO1924" s="27" t="s">
        <v>61</v>
      </c>
      <c r="AT1924" s="25">
        <f t="shared" si="113"/>
        <v>0</v>
      </c>
      <c r="AU1924" s="25">
        <f t="shared" si="114"/>
        <v>0</v>
      </c>
      <c r="AV1924" s="25">
        <f t="shared" si="115"/>
        <v>0</v>
      </c>
      <c r="AW1924" s="27" t="s">
        <v>2261</v>
      </c>
      <c r="AX1924" s="27" t="s">
        <v>2202</v>
      </c>
      <c r="AY1924" s="10" t="s">
        <v>1707</v>
      </c>
      <c r="BA1924" s="25">
        <f t="shared" si="116"/>
        <v>0</v>
      </c>
      <c r="BB1924" s="25">
        <f t="shared" si="117"/>
        <v>0</v>
      </c>
      <c r="BC1924" s="25">
        <v>0</v>
      </c>
      <c r="BD1924" s="25">
        <f t="shared" si="118"/>
        <v>0</v>
      </c>
      <c r="BF1924" s="25">
        <f t="shared" si="119"/>
        <v>0</v>
      </c>
      <c r="BG1924" s="25">
        <f t="shared" si="120"/>
        <v>0</v>
      </c>
      <c r="BH1924" s="25">
        <f t="shared" si="121"/>
        <v>0</v>
      </c>
      <c r="BI1924" s="27" t="s">
        <v>65</v>
      </c>
      <c r="BJ1924" s="25">
        <v>734</v>
      </c>
      <c r="BU1924" s="25" t="e">
        <f>#REF!</f>
        <v>#REF!</v>
      </c>
      <c r="BV1924" s="4" t="s">
        <v>2277</v>
      </c>
    </row>
    <row r="1925" spans="1:74" ht="14.4" x14ac:dyDescent="0.3">
      <c r="A1925" s="2" t="s">
        <v>2278</v>
      </c>
      <c r="B1925" s="3" t="s">
        <v>1699</v>
      </c>
      <c r="C1925" s="3" t="s">
        <v>2279</v>
      </c>
      <c r="D1925" s="112" t="s">
        <v>2280</v>
      </c>
      <c r="E1925" s="109"/>
      <c r="F1925" s="3" t="s">
        <v>122</v>
      </c>
      <c r="G1925" s="25">
        <v>4</v>
      </c>
      <c r="H1925" s="62"/>
      <c r="I1925" s="25">
        <f t="shared" si="98"/>
        <v>0</v>
      </c>
      <c r="J1925" s="25">
        <f t="shared" si="99"/>
        <v>0</v>
      </c>
      <c r="K1925" s="25">
        <f t="shared" si="100"/>
        <v>0</v>
      </c>
      <c r="L1925" s="25">
        <v>1.3999999999999999E-4</v>
      </c>
      <c r="M1925" s="25">
        <f t="shared" si="101"/>
        <v>5.5999999999999995E-4</v>
      </c>
      <c r="N1925" s="26"/>
      <c r="X1925" s="25">
        <f t="shared" si="102"/>
        <v>0</v>
      </c>
      <c r="Z1925" s="25">
        <f t="shared" si="103"/>
        <v>0</v>
      </c>
      <c r="AA1925" s="25">
        <f t="shared" si="104"/>
        <v>0</v>
      </c>
      <c r="AB1925" s="25">
        <f t="shared" si="105"/>
        <v>0</v>
      </c>
      <c r="AC1925" s="25">
        <f t="shared" si="106"/>
        <v>0</v>
      </c>
      <c r="AD1925" s="25">
        <f t="shared" si="107"/>
        <v>0</v>
      </c>
      <c r="AE1925" s="25">
        <f t="shared" si="108"/>
        <v>0</v>
      </c>
      <c r="AF1925" s="25">
        <f t="shared" si="109"/>
        <v>0</v>
      </c>
      <c r="AG1925" s="10" t="s">
        <v>1699</v>
      </c>
      <c r="AH1925" s="25">
        <f t="shared" si="110"/>
        <v>0</v>
      </c>
      <c r="AI1925" s="25">
        <f t="shared" si="111"/>
        <v>0</v>
      </c>
      <c r="AJ1925" s="25">
        <f t="shared" si="112"/>
        <v>0</v>
      </c>
      <c r="AL1925" s="25">
        <v>21</v>
      </c>
      <c r="AM1925" s="25">
        <f>H1925*0.598829873</f>
        <v>0</v>
      </c>
      <c r="AN1925" s="25">
        <f>H1925*(1-0.598829873)</f>
        <v>0</v>
      </c>
      <c r="AO1925" s="27" t="s">
        <v>61</v>
      </c>
      <c r="AT1925" s="25">
        <f t="shared" si="113"/>
        <v>0</v>
      </c>
      <c r="AU1925" s="25">
        <f t="shared" si="114"/>
        <v>0</v>
      </c>
      <c r="AV1925" s="25">
        <f t="shared" si="115"/>
        <v>0</v>
      </c>
      <c r="AW1925" s="27" t="s">
        <v>2261</v>
      </c>
      <c r="AX1925" s="27" t="s">
        <v>2202</v>
      </c>
      <c r="AY1925" s="10" t="s">
        <v>1707</v>
      </c>
      <c r="BA1925" s="25">
        <f t="shared" si="116"/>
        <v>0</v>
      </c>
      <c r="BB1925" s="25">
        <f t="shared" si="117"/>
        <v>0</v>
      </c>
      <c r="BC1925" s="25">
        <v>0</v>
      </c>
      <c r="BD1925" s="25">
        <f t="shared" si="118"/>
        <v>5.5999999999999995E-4</v>
      </c>
      <c r="BF1925" s="25">
        <f t="shared" si="119"/>
        <v>0</v>
      </c>
      <c r="BG1925" s="25">
        <f t="shared" si="120"/>
        <v>0</v>
      </c>
      <c r="BH1925" s="25">
        <f t="shared" si="121"/>
        <v>0</v>
      </c>
      <c r="BI1925" s="27" t="s">
        <v>65</v>
      </c>
      <c r="BJ1925" s="25">
        <v>734</v>
      </c>
      <c r="BU1925" s="25" t="e">
        <f>#REF!</f>
        <v>#REF!</v>
      </c>
      <c r="BV1925" s="4" t="s">
        <v>2280</v>
      </c>
    </row>
    <row r="1926" spans="1:74" ht="14.4" x14ac:dyDescent="0.3">
      <c r="A1926" s="2" t="s">
        <v>2281</v>
      </c>
      <c r="B1926" s="3" t="s">
        <v>1699</v>
      </c>
      <c r="C1926" s="3" t="s">
        <v>2282</v>
      </c>
      <c r="D1926" s="112" t="s">
        <v>2283</v>
      </c>
      <c r="E1926" s="109"/>
      <c r="F1926" s="3" t="s">
        <v>122</v>
      </c>
      <c r="G1926" s="25">
        <v>19</v>
      </c>
      <c r="H1926" s="62"/>
      <c r="I1926" s="25">
        <f t="shared" si="98"/>
        <v>0</v>
      </c>
      <c r="J1926" s="25">
        <f t="shared" si="99"/>
        <v>0</v>
      </c>
      <c r="K1926" s="25">
        <f t="shared" si="100"/>
        <v>0</v>
      </c>
      <c r="L1926" s="25">
        <v>2.0000000000000001E-4</v>
      </c>
      <c r="M1926" s="25">
        <f t="shared" si="101"/>
        <v>3.8E-3</v>
      </c>
      <c r="N1926" s="26"/>
      <c r="X1926" s="25">
        <f t="shared" si="102"/>
        <v>0</v>
      </c>
      <c r="Z1926" s="25">
        <f t="shared" si="103"/>
        <v>0</v>
      </c>
      <c r="AA1926" s="25">
        <f t="shared" si="104"/>
        <v>0</v>
      </c>
      <c r="AB1926" s="25">
        <f t="shared" si="105"/>
        <v>0</v>
      </c>
      <c r="AC1926" s="25">
        <f t="shared" si="106"/>
        <v>0</v>
      </c>
      <c r="AD1926" s="25">
        <f t="shared" si="107"/>
        <v>0</v>
      </c>
      <c r="AE1926" s="25">
        <f t="shared" si="108"/>
        <v>0</v>
      </c>
      <c r="AF1926" s="25">
        <f t="shared" si="109"/>
        <v>0</v>
      </c>
      <c r="AG1926" s="10" t="s">
        <v>1699</v>
      </c>
      <c r="AH1926" s="25">
        <f t="shared" si="110"/>
        <v>0</v>
      </c>
      <c r="AI1926" s="25">
        <f t="shared" si="111"/>
        <v>0</v>
      </c>
      <c r="AJ1926" s="25">
        <f t="shared" si="112"/>
        <v>0</v>
      </c>
      <c r="AL1926" s="25">
        <v>21</v>
      </c>
      <c r="AM1926" s="25">
        <f>H1926*0.619091725</f>
        <v>0</v>
      </c>
      <c r="AN1926" s="25">
        <f>H1926*(1-0.619091725)</f>
        <v>0</v>
      </c>
      <c r="AO1926" s="27" t="s">
        <v>61</v>
      </c>
      <c r="AT1926" s="25">
        <f t="shared" si="113"/>
        <v>0</v>
      </c>
      <c r="AU1926" s="25">
        <f t="shared" si="114"/>
        <v>0</v>
      </c>
      <c r="AV1926" s="25">
        <f t="shared" si="115"/>
        <v>0</v>
      </c>
      <c r="AW1926" s="27" t="s">
        <v>2261</v>
      </c>
      <c r="AX1926" s="27" t="s">
        <v>2202</v>
      </c>
      <c r="AY1926" s="10" t="s">
        <v>1707</v>
      </c>
      <c r="BA1926" s="25">
        <f t="shared" si="116"/>
        <v>0</v>
      </c>
      <c r="BB1926" s="25">
        <f t="shared" si="117"/>
        <v>0</v>
      </c>
      <c r="BC1926" s="25">
        <v>0</v>
      </c>
      <c r="BD1926" s="25">
        <f t="shared" si="118"/>
        <v>3.8E-3</v>
      </c>
      <c r="BF1926" s="25">
        <f t="shared" si="119"/>
        <v>0</v>
      </c>
      <c r="BG1926" s="25">
        <f t="shared" si="120"/>
        <v>0</v>
      </c>
      <c r="BH1926" s="25">
        <f t="shared" si="121"/>
        <v>0</v>
      </c>
      <c r="BI1926" s="27" t="s">
        <v>65</v>
      </c>
      <c r="BJ1926" s="25">
        <v>734</v>
      </c>
      <c r="BU1926" s="25" t="e">
        <f>#REF!</f>
        <v>#REF!</v>
      </c>
      <c r="BV1926" s="4" t="s">
        <v>2283</v>
      </c>
    </row>
    <row r="1927" spans="1:74" ht="14.4" x14ac:dyDescent="0.3">
      <c r="A1927" s="2" t="s">
        <v>2284</v>
      </c>
      <c r="B1927" s="3" t="s">
        <v>1699</v>
      </c>
      <c r="C1927" s="3" t="s">
        <v>1870</v>
      </c>
      <c r="D1927" s="112" t="s">
        <v>1871</v>
      </c>
      <c r="E1927" s="109"/>
      <c r="F1927" s="3" t="s">
        <v>122</v>
      </c>
      <c r="G1927" s="25">
        <v>4</v>
      </c>
      <c r="H1927" s="62"/>
      <c r="I1927" s="25">
        <f t="shared" si="98"/>
        <v>0</v>
      </c>
      <c r="J1927" s="25">
        <f t="shared" si="99"/>
        <v>0</v>
      </c>
      <c r="K1927" s="25">
        <f t="shared" si="100"/>
        <v>0</v>
      </c>
      <c r="L1927" s="25">
        <v>3.2000000000000003E-4</v>
      </c>
      <c r="M1927" s="25">
        <f t="shared" si="101"/>
        <v>1.2800000000000001E-3</v>
      </c>
      <c r="N1927" s="26"/>
      <c r="X1927" s="25">
        <f t="shared" si="102"/>
        <v>0</v>
      </c>
      <c r="Z1927" s="25">
        <f t="shared" si="103"/>
        <v>0</v>
      </c>
      <c r="AA1927" s="25">
        <f t="shared" si="104"/>
        <v>0</v>
      </c>
      <c r="AB1927" s="25">
        <f t="shared" si="105"/>
        <v>0</v>
      </c>
      <c r="AC1927" s="25">
        <f t="shared" si="106"/>
        <v>0</v>
      </c>
      <c r="AD1927" s="25">
        <f t="shared" si="107"/>
        <v>0</v>
      </c>
      <c r="AE1927" s="25">
        <f t="shared" si="108"/>
        <v>0</v>
      </c>
      <c r="AF1927" s="25">
        <f t="shared" si="109"/>
        <v>0</v>
      </c>
      <c r="AG1927" s="10" t="s">
        <v>1699</v>
      </c>
      <c r="AH1927" s="25">
        <f t="shared" si="110"/>
        <v>0</v>
      </c>
      <c r="AI1927" s="25">
        <f t="shared" si="111"/>
        <v>0</v>
      </c>
      <c r="AJ1927" s="25">
        <f t="shared" si="112"/>
        <v>0</v>
      </c>
      <c r="AL1927" s="25">
        <v>21</v>
      </c>
      <c r="AM1927" s="25">
        <f>H1927*0.710200803</f>
        <v>0</v>
      </c>
      <c r="AN1927" s="25">
        <f>H1927*(1-0.710200803)</f>
        <v>0</v>
      </c>
      <c r="AO1927" s="27" t="s">
        <v>61</v>
      </c>
      <c r="AT1927" s="25">
        <f t="shared" si="113"/>
        <v>0</v>
      </c>
      <c r="AU1927" s="25">
        <f t="shared" si="114"/>
        <v>0</v>
      </c>
      <c r="AV1927" s="25">
        <f t="shared" si="115"/>
        <v>0</v>
      </c>
      <c r="AW1927" s="27" t="s">
        <v>2261</v>
      </c>
      <c r="AX1927" s="27" t="s">
        <v>2202</v>
      </c>
      <c r="AY1927" s="10" t="s">
        <v>1707</v>
      </c>
      <c r="BA1927" s="25">
        <f t="shared" si="116"/>
        <v>0</v>
      </c>
      <c r="BB1927" s="25">
        <f t="shared" si="117"/>
        <v>0</v>
      </c>
      <c r="BC1927" s="25">
        <v>0</v>
      </c>
      <c r="BD1927" s="25">
        <f t="shared" si="118"/>
        <v>1.2800000000000001E-3</v>
      </c>
      <c r="BF1927" s="25">
        <f t="shared" si="119"/>
        <v>0</v>
      </c>
      <c r="BG1927" s="25">
        <f t="shared" si="120"/>
        <v>0</v>
      </c>
      <c r="BH1927" s="25">
        <f t="shared" si="121"/>
        <v>0</v>
      </c>
      <c r="BI1927" s="27" t="s">
        <v>65</v>
      </c>
      <c r="BJ1927" s="25">
        <v>734</v>
      </c>
      <c r="BU1927" s="25" t="e">
        <f>#REF!</f>
        <v>#REF!</v>
      </c>
      <c r="BV1927" s="4" t="s">
        <v>1871</v>
      </c>
    </row>
    <row r="1928" spans="1:74" ht="14.4" x14ac:dyDescent="0.3">
      <c r="A1928" s="2" t="s">
        <v>2285</v>
      </c>
      <c r="B1928" s="3" t="s">
        <v>1699</v>
      </c>
      <c r="C1928" s="3" t="s">
        <v>2286</v>
      </c>
      <c r="D1928" s="112" t="s">
        <v>2287</v>
      </c>
      <c r="E1928" s="109"/>
      <c r="F1928" s="3" t="s">
        <v>122</v>
      </c>
      <c r="G1928" s="25">
        <v>1</v>
      </c>
      <c r="H1928" s="62"/>
      <c r="I1928" s="25">
        <f t="shared" si="98"/>
        <v>0</v>
      </c>
      <c r="J1928" s="25">
        <f t="shared" si="99"/>
        <v>0</v>
      </c>
      <c r="K1928" s="25">
        <f t="shared" si="100"/>
        <v>0</v>
      </c>
      <c r="L1928" s="25">
        <v>5.1999999999999995E-4</v>
      </c>
      <c r="M1928" s="25">
        <f t="shared" si="101"/>
        <v>5.1999999999999995E-4</v>
      </c>
      <c r="N1928" s="26"/>
      <c r="X1928" s="25">
        <f t="shared" si="102"/>
        <v>0</v>
      </c>
      <c r="Z1928" s="25">
        <f t="shared" si="103"/>
        <v>0</v>
      </c>
      <c r="AA1928" s="25">
        <f t="shared" si="104"/>
        <v>0</v>
      </c>
      <c r="AB1928" s="25">
        <f t="shared" si="105"/>
        <v>0</v>
      </c>
      <c r="AC1928" s="25">
        <f t="shared" si="106"/>
        <v>0</v>
      </c>
      <c r="AD1928" s="25">
        <f t="shared" si="107"/>
        <v>0</v>
      </c>
      <c r="AE1928" s="25">
        <f t="shared" si="108"/>
        <v>0</v>
      </c>
      <c r="AF1928" s="25">
        <f t="shared" si="109"/>
        <v>0</v>
      </c>
      <c r="AG1928" s="10" t="s">
        <v>1699</v>
      </c>
      <c r="AH1928" s="25">
        <f t="shared" si="110"/>
        <v>0</v>
      </c>
      <c r="AI1928" s="25">
        <f t="shared" si="111"/>
        <v>0</v>
      </c>
      <c r="AJ1928" s="25">
        <f t="shared" si="112"/>
        <v>0</v>
      </c>
      <c r="AL1928" s="25">
        <v>21</v>
      </c>
      <c r="AM1928" s="25">
        <f>H1928*0.765712329</f>
        <v>0</v>
      </c>
      <c r="AN1928" s="25">
        <f>H1928*(1-0.765712329)</f>
        <v>0</v>
      </c>
      <c r="AO1928" s="27" t="s">
        <v>61</v>
      </c>
      <c r="AT1928" s="25">
        <f t="shared" si="113"/>
        <v>0</v>
      </c>
      <c r="AU1928" s="25">
        <f t="shared" si="114"/>
        <v>0</v>
      </c>
      <c r="AV1928" s="25">
        <f t="shared" si="115"/>
        <v>0</v>
      </c>
      <c r="AW1928" s="27" t="s">
        <v>2261</v>
      </c>
      <c r="AX1928" s="27" t="s">
        <v>2202</v>
      </c>
      <c r="AY1928" s="10" t="s">
        <v>1707</v>
      </c>
      <c r="BA1928" s="25">
        <f t="shared" si="116"/>
        <v>0</v>
      </c>
      <c r="BB1928" s="25">
        <f t="shared" si="117"/>
        <v>0</v>
      </c>
      <c r="BC1928" s="25">
        <v>0</v>
      </c>
      <c r="BD1928" s="25">
        <f t="shared" si="118"/>
        <v>5.1999999999999995E-4</v>
      </c>
      <c r="BF1928" s="25">
        <f t="shared" si="119"/>
        <v>0</v>
      </c>
      <c r="BG1928" s="25">
        <f t="shared" si="120"/>
        <v>0</v>
      </c>
      <c r="BH1928" s="25">
        <f t="shared" si="121"/>
        <v>0</v>
      </c>
      <c r="BI1928" s="27" t="s">
        <v>65</v>
      </c>
      <c r="BJ1928" s="25">
        <v>734</v>
      </c>
      <c r="BU1928" s="25" t="e">
        <f>#REF!</f>
        <v>#REF!</v>
      </c>
      <c r="BV1928" s="4" t="s">
        <v>2287</v>
      </c>
    </row>
    <row r="1929" spans="1:74" ht="14.4" x14ac:dyDescent="0.3">
      <c r="A1929" s="2" t="s">
        <v>2288</v>
      </c>
      <c r="B1929" s="3" t="s">
        <v>1699</v>
      </c>
      <c r="C1929" s="3" t="s">
        <v>1873</v>
      </c>
      <c r="D1929" s="112" t="s">
        <v>1874</v>
      </c>
      <c r="E1929" s="109"/>
      <c r="F1929" s="3" t="s">
        <v>122</v>
      </c>
      <c r="G1929" s="25">
        <v>3</v>
      </c>
      <c r="H1929" s="62"/>
      <c r="I1929" s="25">
        <f t="shared" si="98"/>
        <v>0</v>
      </c>
      <c r="J1929" s="25">
        <f t="shared" si="99"/>
        <v>0</v>
      </c>
      <c r="K1929" s="25">
        <f t="shared" si="100"/>
        <v>0</v>
      </c>
      <c r="L1929" s="25">
        <v>7.6999999999999996E-4</v>
      </c>
      <c r="M1929" s="25">
        <f t="shared" si="101"/>
        <v>2.31E-3</v>
      </c>
      <c r="N1929" s="26"/>
      <c r="X1929" s="25">
        <f t="shared" si="102"/>
        <v>0</v>
      </c>
      <c r="Z1929" s="25">
        <f t="shared" si="103"/>
        <v>0</v>
      </c>
      <c r="AA1929" s="25">
        <f t="shared" si="104"/>
        <v>0</v>
      </c>
      <c r="AB1929" s="25">
        <f t="shared" si="105"/>
        <v>0</v>
      </c>
      <c r="AC1929" s="25">
        <f t="shared" si="106"/>
        <v>0</v>
      </c>
      <c r="AD1929" s="25">
        <f t="shared" si="107"/>
        <v>0</v>
      </c>
      <c r="AE1929" s="25">
        <f t="shared" si="108"/>
        <v>0</v>
      </c>
      <c r="AF1929" s="25">
        <f t="shared" si="109"/>
        <v>0</v>
      </c>
      <c r="AG1929" s="10" t="s">
        <v>1699</v>
      </c>
      <c r="AH1929" s="25">
        <f t="shared" si="110"/>
        <v>0</v>
      </c>
      <c r="AI1929" s="25">
        <f t="shared" si="111"/>
        <v>0</v>
      </c>
      <c r="AJ1929" s="25">
        <f t="shared" si="112"/>
        <v>0</v>
      </c>
      <c r="AL1929" s="25">
        <v>21</v>
      </c>
      <c r="AM1929" s="25">
        <f>H1929*0.798965775</f>
        <v>0</v>
      </c>
      <c r="AN1929" s="25">
        <f>H1929*(1-0.798965775)</f>
        <v>0</v>
      </c>
      <c r="AO1929" s="27" t="s">
        <v>61</v>
      </c>
      <c r="AT1929" s="25">
        <f t="shared" si="113"/>
        <v>0</v>
      </c>
      <c r="AU1929" s="25">
        <f t="shared" si="114"/>
        <v>0</v>
      </c>
      <c r="AV1929" s="25">
        <f t="shared" si="115"/>
        <v>0</v>
      </c>
      <c r="AW1929" s="27" t="s">
        <v>2261</v>
      </c>
      <c r="AX1929" s="27" t="s">
        <v>2202</v>
      </c>
      <c r="AY1929" s="10" t="s">
        <v>1707</v>
      </c>
      <c r="BA1929" s="25">
        <f t="shared" si="116"/>
        <v>0</v>
      </c>
      <c r="BB1929" s="25">
        <f t="shared" si="117"/>
        <v>0</v>
      </c>
      <c r="BC1929" s="25">
        <v>0</v>
      </c>
      <c r="BD1929" s="25">
        <f t="shared" si="118"/>
        <v>2.31E-3</v>
      </c>
      <c r="BF1929" s="25">
        <f t="shared" si="119"/>
        <v>0</v>
      </c>
      <c r="BG1929" s="25">
        <f t="shared" si="120"/>
        <v>0</v>
      </c>
      <c r="BH1929" s="25">
        <f t="shared" si="121"/>
        <v>0</v>
      </c>
      <c r="BI1929" s="27" t="s">
        <v>65</v>
      </c>
      <c r="BJ1929" s="25">
        <v>734</v>
      </c>
      <c r="BU1929" s="25" t="e">
        <f>#REF!</f>
        <v>#REF!</v>
      </c>
      <c r="BV1929" s="4" t="s">
        <v>1874</v>
      </c>
    </row>
    <row r="1930" spans="1:74" ht="14.4" x14ac:dyDescent="0.3">
      <c r="A1930" s="2" t="s">
        <v>2289</v>
      </c>
      <c r="B1930" s="3" t="s">
        <v>1699</v>
      </c>
      <c r="C1930" s="3" t="s">
        <v>2290</v>
      </c>
      <c r="D1930" s="112" t="s">
        <v>2291</v>
      </c>
      <c r="E1930" s="109"/>
      <c r="F1930" s="3" t="s">
        <v>122</v>
      </c>
      <c r="G1930" s="25">
        <v>3</v>
      </c>
      <c r="H1930" s="62"/>
      <c r="I1930" s="25">
        <f t="shared" si="98"/>
        <v>0</v>
      </c>
      <c r="J1930" s="25">
        <f t="shared" si="99"/>
        <v>0</v>
      </c>
      <c r="K1930" s="25">
        <f t="shared" si="100"/>
        <v>0</v>
      </c>
      <c r="L1930" s="25">
        <v>1.24E-3</v>
      </c>
      <c r="M1930" s="25">
        <f t="shared" si="101"/>
        <v>3.7200000000000002E-3</v>
      </c>
      <c r="N1930" s="26"/>
      <c r="X1930" s="25">
        <f t="shared" si="102"/>
        <v>0</v>
      </c>
      <c r="Z1930" s="25">
        <f t="shared" si="103"/>
        <v>0</v>
      </c>
      <c r="AA1930" s="25">
        <f t="shared" si="104"/>
        <v>0</v>
      </c>
      <c r="AB1930" s="25">
        <f t="shared" si="105"/>
        <v>0</v>
      </c>
      <c r="AC1930" s="25">
        <f t="shared" si="106"/>
        <v>0</v>
      </c>
      <c r="AD1930" s="25">
        <f t="shared" si="107"/>
        <v>0</v>
      </c>
      <c r="AE1930" s="25">
        <f t="shared" si="108"/>
        <v>0</v>
      </c>
      <c r="AF1930" s="25">
        <f t="shared" si="109"/>
        <v>0</v>
      </c>
      <c r="AG1930" s="10" t="s">
        <v>1699</v>
      </c>
      <c r="AH1930" s="25">
        <f t="shared" si="110"/>
        <v>0</v>
      </c>
      <c r="AI1930" s="25">
        <f t="shared" si="111"/>
        <v>0</v>
      </c>
      <c r="AJ1930" s="25">
        <f t="shared" si="112"/>
        <v>0</v>
      </c>
      <c r="AL1930" s="25">
        <v>21</v>
      </c>
      <c r="AM1930" s="25">
        <f>H1930*0.83472103</f>
        <v>0</v>
      </c>
      <c r="AN1930" s="25">
        <f>H1930*(1-0.83472103)</f>
        <v>0</v>
      </c>
      <c r="AO1930" s="27" t="s">
        <v>61</v>
      </c>
      <c r="AT1930" s="25">
        <f t="shared" si="113"/>
        <v>0</v>
      </c>
      <c r="AU1930" s="25">
        <f t="shared" si="114"/>
        <v>0</v>
      </c>
      <c r="AV1930" s="25">
        <f t="shared" si="115"/>
        <v>0</v>
      </c>
      <c r="AW1930" s="27" t="s">
        <v>2261</v>
      </c>
      <c r="AX1930" s="27" t="s">
        <v>2202</v>
      </c>
      <c r="AY1930" s="10" t="s">
        <v>1707</v>
      </c>
      <c r="BA1930" s="25">
        <f t="shared" si="116"/>
        <v>0</v>
      </c>
      <c r="BB1930" s="25">
        <f t="shared" si="117"/>
        <v>0</v>
      </c>
      <c r="BC1930" s="25">
        <v>0</v>
      </c>
      <c r="BD1930" s="25">
        <f t="shared" si="118"/>
        <v>3.7200000000000002E-3</v>
      </c>
      <c r="BF1930" s="25">
        <f t="shared" si="119"/>
        <v>0</v>
      </c>
      <c r="BG1930" s="25">
        <f t="shared" si="120"/>
        <v>0</v>
      </c>
      <c r="BH1930" s="25">
        <f t="shared" si="121"/>
        <v>0</v>
      </c>
      <c r="BI1930" s="27" t="s">
        <v>65</v>
      </c>
      <c r="BJ1930" s="25">
        <v>734</v>
      </c>
      <c r="BU1930" s="25" t="e">
        <f>#REF!</f>
        <v>#REF!</v>
      </c>
      <c r="BV1930" s="4" t="s">
        <v>2291</v>
      </c>
    </row>
    <row r="1931" spans="1:74" ht="14.4" x14ac:dyDescent="0.3">
      <c r="A1931" s="2" t="s">
        <v>2292</v>
      </c>
      <c r="B1931" s="3" t="s">
        <v>1699</v>
      </c>
      <c r="C1931" s="3" t="s">
        <v>2293</v>
      </c>
      <c r="D1931" s="112" t="s">
        <v>2294</v>
      </c>
      <c r="E1931" s="109"/>
      <c r="F1931" s="3" t="s">
        <v>122</v>
      </c>
      <c r="G1931" s="25">
        <v>1</v>
      </c>
      <c r="H1931" s="62"/>
      <c r="I1931" s="25">
        <f t="shared" si="98"/>
        <v>0</v>
      </c>
      <c r="J1931" s="25">
        <f t="shared" si="99"/>
        <v>0</v>
      </c>
      <c r="K1931" s="25">
        <f t="shared" si="100"/>
        <v>0</v>
      </c>
      <c r="L1931" s="25">
        <v>2.5000000000000001E-4</v>
      </c>
      <c r="M1931" s="25">
        <f t="shared" si="101"/>
        <v>2.5000000000000001E-4</v>
      </c>
      <c r="N1931" s="26"/>
      <c r="X1931" s="25">
        <f t="shared" si="102"/>
        <v>0</v>
      </c>
      <c r="Z1931" s="25">
        <f t="shared" si="103"/>
        <v>0</v>
      </c>
      <c r="AA1931" s="25">
        <f t="shared" si="104"/>
        <v>0</v>
      </c>
      <c r="AB1931" s="25">
        <f t="shared" si="105"/>
        <v>0</v>
      </c>
      <c r="AC1931" s="25">
        <f t="shared" si="106"/>
        <v>0</v>
      </c>
      <c r="AD1931" s="25">
        <f t="shared" si="107"/>
        <v>0</v>
      </c>
      <c r="AE1931" s="25">
        <f t="shared" si="108"/>
        <v>0</v>
      </c>
      <c r="AF1931" s="25">
        <f t="shared" si="109"/>
        <v>0</v>
      </c>
      <c r="AG1931" s="10" t="s">
        <v>1699</v>
      </c>
      <c r="AH1931" s="25">
        <f t="shared" si="110"/>
        <v>0</v>
      </c>
      <c r="AI1931" s="25">
        <f t="shared" si="111"/>
        <v>0</v>
      </c>
      <c r="AJ1931" s="25">
        <f t="shared" si="112"/>
        <v>0</v>
      </c>
      <c r="AL1931" s="25">
        <v>21</v>
      </c>
      <c r="AM1931" s="25">
        <f>H1931*0.717590506</f>
        <v>0</v>
      </c>
      <c r="AN1931" s="25">
        <f>H1931*(1-0.717590506)</f>
        <v>0</v>
      </c>
      <c r="AO1931" s="27" t="s">
        <v>61</v>
      </c>
      <c r="AT1931" s="25">
        <f t="shared" si="113"/>
        <v>0</v>
      </c>
      <c r="AU1931" s="25">
        <f t="shared" si="114"/>
        <v>0</v>
      </c>
      <c r="AV1931" s="25">
        <f t="shared" si="115"/>
        <v>0</v>
      </c>
      <c r="AW1931" s="27" t="s">
        <v>2261</v>
      </c>
      <c r="AX1931" s="27" t="s">
        <v>2202</v>
      </c>
      <c r="AY1931" s="10" t="s">
        <v>1707</v>
      </c>
      <c r="BA1931" s="25">
        <f t="shared" si="116"/>
        <v>0</v>
      </c>
      <c r="BB1931" s="25">
        <f t="shared" si="117"/>
        <v>0</v>
      </c>
      <c r="BC1931" s="25">
        <v>0</v>
      </c>
      <c r="BD1931" s="25">
        <f t="shared" si="118"/>
        <v>2.5000000000000001E-4</v>
      </c>
      <c r="BF1931" s="25">
        <f t="shared" si="119"/>
        <v>0</v>
      </c>
      <c r="BG1931" s="25">
        <f t="shared" si="120"/>
        <v>0</v>
      </c>
      <c r="BH1931" s="25">
        <f t="shared" si="121"/>
        <v>0</v>
      </c>
      <c r="BI1931" s="27" t="s">
        <v>65</v>
      </c>
      <c r="BJ1931" s="25">
        <v>734</v>
      </c>
      <c r="BU1931" s="25" t="e">
        <f>#REF!</f>
        <v>#REF!</v>
      </c>
      <c r="BV1931" s="4" t="s">
        <v>2294</v>
      </c>
    </row>
    <row r="1932" spans="1:74" ht="14.4" x14ac:dyDescent="0.3">
      <c r="A1932" s="2" t="s">
        <v>2295</v>
      </c>
      <c r="B1932" s="3" t="s">
        <v>1699</v>
      </c>
      <c r="C1932" s="3" t="s">
        <v>2296</v>
      </c>
      <c r="D1932" s="112" t="s">
        <v>2297</v>
      </c>
      <c r="E1932" s="109"/>
      <c r="F1932" s="3" t="s">
        <v>122</v>
      </c>
      <c r="G1932" s="25">
        <v>1</v>
      </c>
      <c r="H1932" s="62"/>
      <c r="I1932" s="25">
        <f t="shared" si="98"/>
        <v>0</v>
      </c>
      <c r="J1932" s="25">
        <f t="shared" si="99"/>
        <v>0</v>
      </c>
      <c r="K1932" s="25">
        <f t="shared" si="100"/>
        <v>0</v>
      </c>
      <c r="L1932" s="25">
        <v>1.3500000000000001E-3</v>
      </c>
      <c r="M1932" s="25">
        <f t="shared" si="101"/>
        <v>1.3500000000000001E-3</v>
      </c>
      <c r="N1932" s="26"/>
      <c r="X1932" s="25">
        <f t="shared" si="102"/>
        <v>0</v>
      </c>
      <c r="Z1932" s="25">
        <f t="shared" si="103"/>
        <v>0</v>
      </c>
      <c r="AA1932" s="25">
        <f t="shared" si="104"/>
        <v>0</v>
      </c>
      <c r="AB1932" s="25">
        <f t="shared" si="105"/>
        <v>0</v>
      </c>
      <c r="AC1932" s="25">
        <f t="shared" si="106"/>
        <v>0</v>
      </c>
      <c r="AD1932" s="25">
        <f t="shared" si="107"/>
        <v>0</v>
      </c>
      <c r="AE1932" s="25">
        <f t="shared" si="108"/>
        <v>0</v>
      </c>
      <c r="AF1932" s="25">
        <f t="shared" si="109"/>
        <v>0</v>
      </c>
      <c r="AG1932" s="10" t="s">
        <v>1699</v>
      </c>
      <c r="AH1932" s="25">
        <f t="shared" si="110"/>
        <v>0</v>
      </c>
      <c r="AI1932" s="25">
        <f t="shared" si="111"/>
        <v>0</v>
      </c>
      <c r="AJ1932" s="25">
        <f t="shared" si="112"/>
        <v>0</v>
      </c>
      <c r="AL1932" s="25">
        <v>21</v>
      </c>
      <c r="AM1932" s="25">
        <f>H1932*0.825068138</f>
        <v>0</v>
      </c>
      <c r="AN1932" s="25">
        <f>H1932*(1-0.825068138)</f>
        <v>0</v>
      </c>
      <c r="AO1932" s="27" t="s">
        <v>61</v>
      </c>
      <c r="AT1932" s="25">
        <f t="shared" si="113"/>
        <v>0</v>
      </c>
      <c r="AU1932" s="25">
        <f t="shared" si="114"/>
        <v>0</v>
      </c>
      <c r="AV1932" s="25">
        <f t="shared" si="115"/>
        <v>0</v>
      </c>
      <c r="AW1932" s="27" t="s">
        <v>2261</v>
      </c>
      <c r="AX1932" s="27" t="s">
        <v>2202</v>
      </c>
      <c r="AY1932" s="10" t="s">
        <v>1707</v>
      </c>
      <c r="BA1932" s="25">
        <f t="shared" si="116"/>
        <v>0</v>
      </c>
      <c r="BB1932" s="25">
        <f t="shared" si="117"/>
        <v>0</v>
      </c>
      <c r="BC1932" s="25">
        <v>0</v>
      </c>
      <c r="BD1932" s="25">
        <f t="shared" si="118"/>
        <v>1.3500000000000001E-3</v>
      </c>
      <c r="BF1932" s="25">
        <f t="shared" si="119"/>
        <v>0</v>
      </c>
      <c r="BG1932" s="25">
        <f t="shared" si="120"/>
        <v>0</v>
      </c>
      <c r="BH1932" s="25">
        <f t="shared" si="121"/>
        <v>0</v>
      </c>
      <c r="BI1932" s="27" t="s">
        <v>65</v>
      </c>
      <c r="BJ1932" s="25">
        <v>734</v>
      </c>
      <c r="BU1932" s="25" t="e">
        <f>#REF!</f>
        <v>#REF!</v>
      </c>
      <c r="BV1932" s="4" t="s">
        <v>2297</v>
      </c>
    </row>
    <row r="1933" spans="1:74" ht="14.4" x14ac:dyDescent="0.3">
      <c r="A1933" s="2" t="s">
        <v>2298</v>
      </c>
      <c r="B1933" s="3" t="s">
        <v>1699</v>
      </c>
      <c r="C1933" s="3" t="s">
        <v>1876</v>
      </c>
      <c r="D1933" s="112" t="s">
        <v>1877</v>
      </c>
      <c r="E1933" s="109"/>
      <c r="F1933" s="3" t="s">
        <v>122</v>
      </c>
      <c r="G1933" s="25">
        <v>33</v>
      </c>
      <c r="H1933" s="62"/>
      <c r="I1933" s="25">
        <f t="shared" si="98"/>
        <v>0</v>
      </c>
      <c r="J1933" s="25">
        <f t="shared" si="99"/>
        <v>0</v>
      </c>
      <c r="K1933" s="25">
        <f t="shared" si="100"/>
        <v>0</v>
      </c>
      <c r="L1933" s="25">
        <v>2.9999999999999997E-4</v>
      </c>
      <c r="M1933" s="25">
        <f t="shared" si="101"/>
        <v>9.8999999999999991E-3</v>
      </c>
      <c r="N1933" s="26"/>
      <c r="X1933" s="25">
        <f t="shared" si="102"/>
        <v>0</v>
      </c>
      <c r="Z1933" s="25">
        <f t="shared" si="103"/>
        <v>0</v>
      </c>
      <c r="AA1933" s="25">
        <f t="shared" si="104"/>
        <v>0</v>
      </c>
      <c r="AB1933" s="25">
        <f t="shared" si="105"/>
        <v>0</v>
      </c>
      <c r="AC1933" s="25">
        <f t="shared" si="106"/>
        <v>0</v>
      </c>
      <c r="AD1933" s="25">
        <f t="shared" si="107"/>
        <v>0</v>
      </c>
      <c r="AE1933" s="25">
        <f t="shared" si="108"/>
        <v>0</v>
      </c>
      <c r="AF1933" s="25">
        <f t="shared" si="109"/>
        <v>0</v>
      </c>
      <c r="AG1933" s="10" t="s">
        <v>1699</v>
      </c>
      <c r="AH1933" s="25">
        <f t="shared" si="110"/>
        <v>0</v>
      </c>
      <c r="AI1933" s="25">
        <f t="shared" si="111"/>
        <v>0</v>
      </c>
      <c r="AJ1933" s="25">
        <f t="shared" si="112"/>
        <v>0</v>
      </c>
      <c r="AL1933" s="25">
        <v>21</v>
      </c>
      <c r="AM1933" s="25">
        <f>H1933*0.743847386</f>
        <v>0</v>
      </c>
      <c r="AN1933" s="25">
        <f>H1933*(1-0.743847386)</f>
        <v>0</v>
      </c>
      <c r="AO1933" s="27" t="s">
        <v>61</v>
      </c>
      <c r="AT1933" s="25">
        <f t="shared" si="113"/>
        <v>0</v>
      </c>
      <c r="AU1933" s="25">
        <f t="shared" si="114"/>
        <v>0</v>
      </c>
      <c r="AV1933" s="25">
        <f t="shared" si="115"/>
        <v>0</v>
      </c>
      <c r="AW1933" s="27" t="s">
        <v>2261</v>
      </c>
      <c r="AX1933" s="27" t="s">
        <v>2202</v>
      </c>
      <c r="AY1933" s="10" t="s">
        <v>1707</v>
      </c>
      <c r="BA1933" s="25">
        <f t="shared" si="116"/>
        <v>0</v>
      </c>
      <c r="BB1933" s="25">
        <f t="shared" si="117"/>
        <v>0</v>
      </c>
      <c r="BC1933" s="25">
        <v>0</v>
      </c>
      <c r="BD1933" s="25">
        <f t="shared" si="118"/>
        <v>9.8999999999999991E-3</v>
      </c>
      <c r="BF1933" s="25">
        <f t="shared" si="119"/>
        <v>0</v>
      </c>
      <c r="BG1933" s="25">
        <f t="shared" si="120"/>
        <v>0</v>
      </c>
      <c r="BH1933" s="25">
        <f t="shared" si="121"/>
        <v>0</v>
      </c>
      <c r="BI1933" s="27" t="s">
        <v>65</v>
      </c>
      <c r="BJ1933" s="25">
        <v>734</v>
      </c>
      <c r="BU1933" s="25" t="e">
        <f>#REF!</f>
        <v>#REF!</v>
      </c>
      <c r="BV1933" s="4" t="s">
        <v>1877</v>
      </c>
    </row>
    <row r="1934" spans="1:74" ht="14.4" x14ac:dyDescent="0.3">
      <c r="A1934" s="2" t="s">
        <v>2299</v>
      </c>
      <c r="B1934" s="3" t="s">
        <v>1699</v>
      </c>
      <c r="C1934" s="3" t="s">
        <v>2300</v>
      </c>
      <c r="D1934" s="112" t="s">
        <v>2301</v>
      </c>
      <c r="E1934" s="109"/>
      <c r="F1934" s="3" t="s">
        <v>122</v>
      </c>
      <c r="G1934" s="25">
        <v>2</v>
      </c>
      <c r="H1934" s="62"/>
      <c r="I1934" s="25">
        <f t="shared" si="98"/>
        <v>0</v>
      </c>
      <c r="J1934" s="25">
        <f t="shared" si="99"/>
        <v>0</v>
      </c>
      <c r="K1934" s="25">
        <f t="shared" si="100"/>
        <v>0</v>
      </c>
      <c r="L1934" s="25">
        <v>6.4999999999999997E-4</v>
      </c>
      <c r="M1934" s="25">
        <f t="shared" si="101"/>
        <v>1.2999999999999999E-3</v>
      </c>
      <c r="N1934" s="26"/>
      <c r="X1934" s="25">
        <f t="shared" si="102"/>
        <v>0</v>
      </c>
      <c r="Z1934" s="25">
        <f t="shared" si="103"/>
        <v>0</v>
      </c>
      <c r="AA1934" s="25">
        <f t="shared" si="104"/>
        <v>0</v>
      </c>
      <c r="AB1934" s="25">
        <f t="shared" si="105"/>
        <v>0</v>
      </c>
      <c r="AC1934" s="25">
        <f t="shared" si="106"/>
        <v>0</v>
      </c>
      <c r="AD1934" s="25">
        <f t="shared" si="107"/>
        <v>0</v>
      </c>
      <c r="AE1934" s="25">
        <f t="shared" si="108"/>
        <v>0</v>
      </c>
      <c r="AF1934" s="25">
        <f t="shared" si="109"/>
        <v>0</v>
      </c>
      <c r="AG1934" s="10" t="s">
        <v>1699</v>
      </c>
      <c r="AH1934" s="25">
        <f t="shared" si="110"/>
        <v>0</v>
      </c>
      <c r="AI1934" s="25">
        <f t="shared" si="111"/>
        <v>0</v>
      </c>
      <c r="AJ1934" s="25">
        <f t="shared" si="112"/>
        <v>0</v>
      </c>
      <c r="AL1934" s="25">
        <v>21</v>
      </c>
      <c r="AM1934" s="25">
        <f>H1934*0.918764931</f>
        <v>0</v>
      </c>
      <c r="AN1934" s="25">
        <f>H1934*(1-0.918764931)</f>
        <v>0</v>
      </c>
      <c r="AO1934" s="27" t="s">
        <v>61</v>
      </c>
      <c r="AT1934" s="25">
        <f t="shared" si="113"/>
        <v>0</v>
      </c>
      <c r="AU1934" s="25">
        <f t="shared" si="114"/>
        <v>0</v>
      </c>
      <c r="AV1934" s="25">
        <f t="shared" si="115"/>
        <v>0</v>
      </c>
      <c r="AW1934" s="27" t="s">
        <v>2261</v>
      </c>
      <c r="AX1934" s="27" t="s">
        <v>2202</v>
      </c>
      <c r="AY1934" s="10" t="s">
        <v>1707</v>
      </c>
      <c r="BA1934" s="25">
        <f t="shared" si="116"/>
        <v>0</v>
      </c>
      <c r="BB1934" s="25">
        <f t="shared" si="117"/>
        <v>0</v>
      </c>
      <c r="BC1934" s="25">
        <v>0</v>
      </c>
      <c r="BD1934" s="25">
        <f t="shared" si="118"/>
        <v>1.2999999999999999E-3</v>
      </c>
      <c r="BF1934" s="25">
        <f t="shared" si="119"/>
        <v>0</v>
      </c>
      <c r="BG1934" s="25">
        <f t="shared" si="120"/>
        <v>0</v>
      </c>
      <c r="BH1934" s="25">
        <f t="shared" si="121"/>
        <v>0</v>
      </c>
      <c r="BI1934" s="27" t="s">
        <v>65</v>
      </c>
      <c r="BJ1934" s="25">
        <v>734</v>
      </c>
      <c r="BU1934" s="25" t="e">
        <f>#REF!</f>
        <v>#REF!</v>
      </c>
      <c r="BV1934" s="4" t="s">
        <v>2301</v>
      </c>
    </row>
    <row r="1935" spans="1:74" ht="14.4" x14ac:dyDescent="0.3">
      <c r="A1935" s="2" t="s">
        <v>2302</v>
      </c>
      <c r="B1935" s="3" t="s">
        <v>1699</v>
      </c>
      <c r="C1935" s="3" t="s">
        <v>2303</v>
      </c>
      <c r="D1935" s="112" t="s">
        <v>2304</v>
      </c>
      <c r="E1935" s="109"/>
      <c r="F1935" s="3" t="s">
        <v>122</v>
      </c>
      <c r="G1935" s="25">
        <v>1</v>
      </c>
      <c r="H1935" s="62"/>
      <c r="I1935" s="25">
        <f t="shared" si="98"/>
        <v>0</v>
      </c>
      <c r="J1935" s="25">
        <f t="shared" si="99"/>
        <v>0</v>
      </c>
      <c r="K1935" s="25">
        <f t="shared" si="100"/>
        <v>0</v>
      </c>
      <c r="L1935" s="25">
        <v>1.3500000000000001E-3</v>
      </c>
      <c r="M1935" s="25">
        <f t="shared" si="101"/>
        <v>1.3500000000000001E-3</v>
      </c>
      <c r="N1935" s="102"/>
      <c r="X1935" s="25">
        <f t="shared" si="102"/>
        <v>0</v>
      </c>
      <c r="Z1935" s="25">
        <f t="shared" si="103"/>
        <v>0</v>
      </c>
      <c r="AA1935" s="25">
        <f t="shared" si="104"/>
        <v>0</v>
      </c>
      <c r="AB1935" s="25">
        <f t="shared" si="105"/>
        <v>0</v>
      </c>
      <c r="AC1935" s="25">
        <f t="shared" si="106"/>
        <v>0</v>
      </c>
      <c r="AD1935" s="25">
        <f t="shared" si="107"/>
        <v>0</v>
      </c>
      <c r="AE1935" s="25">
        <f t="shared" si="108"/>
        <v>0</v>
      </c>
      <c r="AF1935" s="25">
        <f t="shared" si="109"/>
        <v>0</v>
      </c>
      <c r="AG1935" s="10" t="s">
        <v>1699</v>
      </c>
      <c r="AH1935" s="25">
        <f t="shared" si="110"/>
        <v>0</v>
      </c>
      <c r="AI1935" s="25">
        <f t="shared" si="111"/>
        <v>0</v>
      </c>
      <c r="AJ1935" s="25">
        <f t="shared" si="112"/>
        <v>0</v>
      </c>
      <c r="AL1935" s="25">
        <v>21</v>
      </c>
      <c r="AM1935" s="25">
        <f>H1935*0.863840504</f>
        <v>0</v>
      </c>
      <c r="AN1935" s="25">
        <f>H1935*(1-0.863840504)</f>
        <v>0</v>
      </c>
      <c r="AO1935" s="27" t="s">
        <v>61</v>
      </c>
      <c r="AT1935" s="25">
        <f t="shared" si="113"/>
        <v>0</v>
      </c>
      <c r="AU1935" s="25">
        <f t="shared" si="114"/>
        <v>0</v>
      </c>
      <c r="AV1935" s="25">
        <f t="shared" si="115"/>
        <v>0</v>
      </c>
      <c r="AW1935" s="27" t="s">
        <v>2261</v>
      </c>
      <c r="AX1935" s="27" t="s">
        <v>2202</v>
      </c>
      <c r="AY1935" s="10" t="s">
        <v>1707</v>
      </c>
      <c r="BA1935" s="25">
        <f t="shared" si="116"/>
        <v>0</v>
      </c>
      <c r="BB1935" s="25">
        <f t="shared" si="117"/>
        <v>0</v>
      </c>
      <c r="BC1935" s="25">
        <v>0</v>
      </c>
      <c r="BD1935" s="25">
        <f t="shared" si="118"/>
        <v>1.3500000000000001E-3</v>
      </c>
      <c r="BF1935" s="25">
        <f t="shared" si="119"/>
        <v>0</v>
      </c>
      <c r="BG1935" s="25">
        <f t="shared" si="120"/>
        <v>0</v>
      </c>
      <c r="BH1935" s="25">
        <f t="shared" si="121"/>
        <v>0</v>
      </c>
      <c r="BI1935" s="27" t="s">
        <v>65</v>
      </c>
      <c r="BJ1935" s="25">
        <v>734</v>
      </c>
      <c r="BU1935" s="25" t="e">
        <f>#REF!</f>
        <v>#REF!</v>
      </c>
      <c r="BV1935" s="4" t="s">
        <v>2304</v>
      </c>
    </row>
    <row r="1936" spans="1:74" ht="14.4" x14ac:dyDescent="0.3">
      <c r="A1936" s="2" t="s">
        <v>2305</v>
      </c>
      <c r="B1936" s="3" t="s">
        <v>1699</v>
      </c>
      <c r="C1936" s="3" t="s">
        <v>2306</v>
      </c>
      <c r="D1936" s="112" t="s">
        <v>2307</v>
      </c>
      <c r="E1936" s="109"/>
      <c r="F1936" s="3" t="s">
        <v>278</v>
      </c>
      <c r="G1936" s="25">
        <v>2.9000000000000001E-2</v>
      </c>
      <c r="H1936" s="62"/>
      <c r="I1936" s="25">
        <f t="shared" si="98"/>
        <v>0</v>
      </c>
      <c r="J1936" s="25">
        <f t="shared" si="99"/>
        <v>0</v>
      </c>
      <c r="K1936" s="25">
        <f t="shared" si="100"/>
        <v>0</v>
      </c>
      <c r="L1936" s="25">
        <v>0</v>
      </c>
      <c r="M1936" s="25">
        <f t="shared" si="101"/>
        <v>0</v>
      </c>
      <c r="N1936" s="26"/>
      <c r="X1936" s="25">
        <f t="shared" si="102"/>
        <v>0</v>
      </c>
      <c r="Z1936" s="25">
        <f t="shared" si="103"/>
        <v>0</v>
      </c>
      <c r="AA1936" s="25">
        <f t="shared" si="104"/>
        <v>0</v>
      </c>
      <c r="AB1936" s="25">
        <f t="shared" si="105"/>
        <v>0</v>
      </c>
      <c r="AC1936" s="25">
        <f t="shared" si="106"/>
        <v>0</v>
      </c>
      <c r="AD1936" s="25">
        <f t="shared" si="107"/>
        <v>0</v>
      </c>
      <c r="AE1936" s="25">
        <f t="shared" si="108"/>
        <v>0</v>
      </c>
      <c r="AF1936" s="25">
        <f t="shared" si="109"/>
        <v>0</v>
      </c>
      <c r="AG1936" s="10" t="s">
        <v>1699</v>
      </c>
      <c r="AH1936" s="25">
        <f t="shared" si="110"/>
        <v>0</v>
      </c>
      <c r="AI1936" s="25">
        <f t="shared" si="111"/>
        <v>0</v>
      </c>
      <c r="AJ1936" s="25">
        <f t="shared" si="112"/>
        <v>0</v>
      </c>
      <c r="AL1936" s="25">
        <v>21</v>
      </c>
      <c r="AM1936" s="25">
        <f>H1936*0</f>
        <v>0</v>
      </c>
      <c r="AN1936" s="25">
        <f>H1936*(1-0)</f>
        <v>0</v>
      </c>
      <c r="AO1936" s="27" t="s">
        <v>97</v>
      </c>
      <c r="AT1936" s="25">
        <f t="shared" si="113"/>
        <v>0</v>
      </c>
      <c r="AU1936" s="25">
        <f t="shared" si="114"/>
        <v>0</v>
      </c>
      <c r="AV1936" s="25">
        <f t="shared" si="115"/>
        <v>0</v>
      </c>
      <c r="AW1936" s="27" t="s">
        <v>2261</v>
      </c>
      <c r="AX1936" s="27" t="s">
        <v>2202</v>
      </c>
      <c r="AY1936" s="10" t="s">
        <v>1707</v>
      </c>
      <c r="BA1936" s="25">
        <f t="shared" si="116"/>
        <v>0</v>
      </c>
      <c r="BB1936" s="25">
        <f t="shared" si="117"/>
        <v>0</v>
      </c>
      <c r="BC1936" s="25">
        <v>0</v>
      </c>
      <c r="BD1936" s="25">
        <f t="shared" si="118"/>
        <v>0</v>
      </c>
      <c r="BF1936" s="25">
        <f t="shared" si="119"/>
        <v>0</v>
      </c>
      <c r="BG1936" s="25">
        <f t="shared" si="120"/>
        <v>0</v>
      </c>
      <c r="BH1936" s="25">
        <f t="shared" si="121"/>
        <v>0</v>
      </c>
      <c r="BI1936" s="27" t="s">
        <v>65</v>
      </c>
      <c r="BJ1936" s="25">
        <v>734</v>
      </c>
      <c r="BU1936" s="25" t="e">
        <f>#REF!</f>
        <v>#REF!</v>
      </c>
      <c r="BV1936" s="4" t="s">
        <v>2307</v>
      </c>
    </row>
    <row r="1937" spans="1:74" ht="14.4" x14ac:dyDescent="0.3">
      <c r="A1937" s="28"/>
      <c r="D1937" s="29" t="s">
        <v>2308</v>
      </c>
      <c r="E1937" s="29" t="s">
        <v>52</v>
      </c>
      <c r="G1937" s="30">
        <v>2.9000000000000001E-2</v>
      </c>
      <c r="H1937" s="63"/>
      <c r="N1937" s="31"/>
    </row>
    <row r="1938" spans="1:74" ht="14.4" x14ac:dyDescent="0.3">
      <c r="A1938" s="21" t="s">
        <v>52</v>
      </c>
      <c r="B1938" s="22" t="s">
        <v>1699</v>
      </c>
      <c r="C1938" s="22" t="s">
        <v>555</v>
      </c>
      <c r="D1938" s="170" t="s">
        <v>1675</v>
      </c>
      <c r="E1938" s="171"/>
      <c r="F1938" s="23" t="s">
        <v>32</v>
      </c>
      <c r="G1938" s="23" t="s">
        <v>32</v>
      </c>
      <c r="H1938" s="64"/>
      <c r="I1938" s="1">
        <f>SUM(I1939:I1941)</f>
        <v>0</v>
      </c>
      <c r="J1938" s="1">
        <f>SUM(J1939:J1941)</f>
        <v>0</v>
      </c>
      <c r="K1938" s="1">
        <f>SUM(K1939:K1941)</f>
        <v>0</v>
      </c>
      <c r="L1938" s="10" t="s">
        <v>52</v>
      </c>
      <c r="M1938" s="1">
        <f>SUM(M1939:M1941)</f>
        <v>0</v>
      </c>
      <c r="N1938" s="24"/>
      <c r="AG1938" s="10" t="s">
        <v>1699</v>
      </c>
      <c r="AQ1938" s="1">
        <f>SUM(AH1939:AH1941)</f>
        <v>0</v>
      </c>
      <c r="AR1938" s="1">
        <f>SUM(AI1939:AI1941)</f>
        <v>0</v>
      </c>
      <c r="AS1938" s="1">
        <f>SUM(AJ1939:AJ1941)</f>
        <v>0</v>
      </c>
    </row>
    <row r="1939" spans="1:74" ht="26.4" x14ac:dyDescent="0.3">
      <c r="A1939" s="2" t="s">
        <v>2309</v>
      </c>
      <c r="B1939" s="3" t="s">
        <v>1699</v>
      </c>
      <c r="C1939" s="3" t="s">
        <v>2310</v>
      </c>
      <c r="D1939" s="112" t="s">
        <v>2311</v>
      </c>
      <c r="E1939" s="109"/>
      <c r="F1939" s="3" t="s">
        <v>100</v>
      </c>
      <c r="G1939" s="25">
        <v>24</v>
      </c>
      <c r="H1939" s="62"/>
      <c r="I1939" s="25">
        <f>ROUND(G1939*AM1939,2)</f>
        <v>0</v>
      </c>
      <c r="J1939" s="25">
        <f>ROUND(G1939*AN1939,2)</f>
        <v>0</v>
      </c>
      <c r="K1939" s="25">
        <f>ROUND(G1939*H1939,2)</f>
        <v>0</v>
      </c>
      <c r="L1939" s="25">
        <v>0</v>
      </c>
      <c r="M1939" s="25">
        <f>G1939*L1939</f>
        <v>0</v>
      </c>
      <c r="N1939" s="26"/>
      <c r="X1939" s="25">
        <f>ROUND(IF(AO1939="5",BH1939,0),2)</f>
        <v>0</v>
      </c>
      <c r="Z1939" s="25">
        <f>ROUND(IF(AO1939="1",BF1939,0),2)</f>
        <v>0</v>
      </c>
      <c r="AA1939" s="25">
        <f>ROUND(IF(AO1939="1",BG1939,0),2)</f>
        <v>0</v>
      </c>
      <c r="AB1939" s="25">
        <f>ROUND(IF(AO1939="7",BF1939,0),2)</f>
        <v>0</v>
      </c>
      <c r="AC1939" s="25">
        <f>ROUND(IF(AO1939="7",BG1939,0),2)</f>
        <v>0</v>
      </c>
      <c r="AD1939" s="25">
        <f>ROUND(IF(AO1939="2",BF1939,0),2)</f>
        <v>0</v>
      </c>
      <c r="AE1939" s="25">
        <f>ROUND(IF(AO1939="2",BG1939,0),2)</f>
        <v>0</v>
      </c>
      <c r="AF1939" s="25">
        <f>ROUND(IF(AO1939="0",BH1939,0),2)</f>
        <v>0</v>
      </c>
      <c r="AG1939" s="10" t="s">
        <v>1699</v>
      </c>
      <c r="AH1939" s="25">
        <f>IF(AL1939=0,K1939,0)</f>
        <v>0</v>
      </c>
      <c r="AI1939" s="25">
        <f>IF(AL1939=12,K1939,0)</f>
        <v>0</v>
      </c>
      <c r="AJ1939" s="25">
        <f>IF(AL1939=21,K1939,0)</f>
        <v>0</v>
      </c>
      <c r="AL1939" s="25">
        <v>21</v>
      </c>
      <c r="AM1939" s="25">
        <f>H1939*0</f>
        <v>0</v>
      </c>
      <c r="AN1939" s="25">
        <f>H1939*(1-0)</f>
        <v>0</v>
      </c>
      <c r="AO1939" s="27" t="s">
        <v>57</v>
      </c>
      <c r="AT1939" s="25">
        <f>ROUND(AU1939+AV1939,2)</f>
        <v>0</v>
      </c>
      <c r="AU1939" s="25">
        <f>ROUND(G1939*AM1939,2)</f>
        <v>0</v>
      </c>
      <c r="AV1939" s="25">
        <f>ROUND(G1939*AN1939,2)</f>
        <v>0</v>
      </c>
      <c r="AW1939" s="27" t="s">
        <v>1679</v>
      </c>
      <c r="AX1939" s="27" t="s">
        <v>2312</v>
      </c>
      <c r="AY1939" s="10" t="s">
        <v>1707</v>
      </c>
      <c r="BA1939" s="25">
        <f>AU1939+AV1939</f>
        <v>0</v>
      </c>
      <c r="BB1939" s="25">
        <f>H1939/(100-BC1939)*100</f>
        <v>0</v>
      </c>
      <c r="BC1939" s="25">
        <v>0</v>
      </c>
      <c r="BD1939" s="25">
        <f>M1939</f>
        <v>0</v>
      </c>
      <c r="BF1939" s="25">
        <f>G1939*AM1939</f>
        <v>0</v>
      </c>
      <c r="BG1939" s="25">
        <f>G1939*AN1939</f>
        <v>0</v>
      </c>
      <c r="BH1939" s="25">
        <f>G1939*H1939</f>
        <v>0</v>
      </c>
      <c r="BI1939" s="27" t="s">
        <v>65</v>
      </c>
      <c r="BJ1939" s="25">
        <v>90</v>
      </c>
      <c r="BU1939" s="25" t="e">
        <f>#REF!</f>
        <v>#REF!</v>
      </c>
      <c r="BV1939" s="4" t="s">
        <v>2311</v>
      </c>
    </row>
    <row r="1940" spans="1:74" ht="14.4" x14ac:dyDescent="0.3">
      <c r="A1940" s="28"/>
      <c r="D1940" s="29" t="s">
        <v>103</v>
      </c>
      <c r="E1940" s="29" t="s">
        <v>52</v>
      </c>
      <c r="G1940" s="30">
        <v>24</v>
      </c>
      <c r="H1940" s="63"/>
      <c r="N1940" s="31"/>
    </row>
    <row r="1941" spans="1:74" ht="14.4" x14ac:dyDescent="0.3">
      <c r="A1941" s="2" t="s">
        <v>2313</v>
      </c>
      <c r="B1941" s="3" t="s">
        <v>1699</v>
      </c>
      <c r="C1941" s="3" t="s">
        <v>1682</v>
      </c>
      <c r="D1941" s="112" t="s">
        <v>1683</v>
      </c>
      <c r="E1941" s="109"/>
      <c r="F1941" s="3" t="s">
        <v>100</v>
      </c>
      <c r="G1941" s="25">
        <v>24</v>
      </c>
      <c r="H1941" s="62"/>
      <c r="I1941" s="25">
        <f>ROUND(G1941*AM1941,2)</f>
        <v>0</v>
      </c>
      <c r="J1941" s="25">
        <f>ROUND(G1941*AN1941,2)</f>
        <v>0</v>
      </c>
      <c r="K1941" s="25">
        <f>ROUND(G1941*H1941,2)</f>
        <v>0</v>
      </c>
      <c r="L1941" s="25">
        <v>0</v>
      </c>
      <c r="M1941" s="25">
        <f>G1941*L1941</f>
        <v>0</v>
      </c>
      <c r="N1941" s="26"/>
      <c r="X1941" s="25">
        <f>ROUND(IF(AO1941="5",BH1941,0),2)</f>
        <v>0</v>
      </c>
      <c r="Z1941" s="25">
        <f>ROUND(IF(AO1941="1",BF1941,0),2)</f>
        <v>0</v>
      </c>
      <c r="AA1941" s="25">
        <f>ROUND(IF(AO1941="1",BG1941,0),2)</f>
        <v>0</v>
      </c>
      <c r="AB1941" s="25">
        <f>ROUND(IF(AO1941="7",BF1941,0),2)</f>
        <v>0</v>
      </c>
      <c r="AC1941" s="25">
        <f>ROUND(IF(AO1941="7",BG1941,0),2)</f>
        <v>0</v>
      </c>
      <c r="AD1941" s="25">
        <f>ROUND(IF(AO1941="2",BF1941,0),2)</f>
        <v>0</v>
      </c>
      <c r="AE1941" s="25">
        <f>ROUND(IF(AO1941="2",BG1941,0),2)</f>
        <v>0</v>
      </c>
      <c r="AF1941" s="25">
        <f>ROUND(IF(AO1941="0",BH1941,0),2)</f>
        <v>0</v>
      </c>
      <c r="AG1941" s="10" t="s">
        <v>1699</v>
      </c>
      <c r="AH1941" s="25">
        <f>IF(AL1941=0,K1941,0)</f>
        <v>0</v>
      </c>
      <c r="AI1941" s="25">
        <f>IF(AL1941=12,K1941,0)</f>
        <v>0</v>
      </c>
      <c r="AJ1941" s="25">
        <f>IF(AL1941=21,K1941,0)</f>
        <v>0</v>
      </c>
      <c r="AL1941" s="25">
        <v>21</v>
      </c>
      <c r="AM1941" s="25">
        <f>H1941*0</f>
        <v>0</v>
      </c>
      <c r="AN1941" s="25">
        <f>H1941*(1-0)</f>
        <v>0</v>
      </c>
      <c r="AO1941" s="27" t="s">
        <v>57</v>
      </c>
      <c r="AT1941" s="25">
        <f>ROUND(AU1941+AV1941,2)</f>
        <v>0</v>
      </c>
      <c r="AU1941" s="25">
        <f>ROUND(G1941*AM1941,2)</f>
        <v>0</v>
      </c>
      <c r="AV1941" s="25">
        <f>ROUND(G1941*AN1941,2)</f>
        <v>0</v>
      </c>
      <c r="AW1941" s="27" t="s">
        <v>1679</v>
      </c>
      <c r="AX1941" s="27" t="s">
        <v>2312</v>
      </c>
      <c r="AY1941" s="10" t="s">
        <v>1707</v>
      </c>
      <c r="BA1941" s="25">
        <f>AU1941+AV1941</f>
        <v>0</v>
      </c>
      <c r="BB1941" s="25">
        <f>H1941/(100-BC1941)*100</f>
        <v>0</v>
      </c>
      <c r="BC1941" s="25">
        <v>0</v>
      </c>
      <c r="BD1941" s="25">
        <f>M1941</f>
        <v>0</v>
      </c>
      <c r="BF1941" s="25">
        <f>G1941*AM1941</f>
        <v>0</v>
      </c>
      <c r="BG1941" s="25">
        <f>G1941*AN1941</f>
        <v>0</v>
      </c>
      <c r="BH1941" s="25">
        <f>G1941*H1941</f>
        <v>0</v>
      </c>
      <c r="BI1941" s="27" t="s">
        <v>65</v>
      </c>
      <c r="BJ1941" s="25">
        <v>90</v>
      </c>
      <c r="BU1941" s="25" t="e">
        <f>#REF!</f>
        <v>#REF!</v>
      </c>
      <c r="BV1941" s="4" t="s">
        <v>1683</v>
      </c>
    </row>
    <row r="1942" spans="1:74" ht="14.4" x14ac:dyDescent="0.3">
      <c r="A1942" s="28"/>
      <c r="D1942" s="29" t="s">
        <v>103</v>
      </c>
      <c r="E1942" s="29" t="s">
        <v>52</v>
      </c>
      <c r="G1942" s="30">
        <v>24</v>
      </c>
      <c r="H1942" s="63"/>
      <c r="N1942" s="31"/>
    </row>
    <row r="1943" spans="1:74" ht="14.4" x14ac:dyDescent="0.3">
      <c r="A1943" s="21" t="s">
        <v>52</v>
      </c>
      <c r="B1943" s="22" t="s">
        <v>1699</v>
      </c>
      <c r="C1943" s="22" t="s">
        <v>209</v>
      </c>
      <c r="D1943" s="170" t="s">
        <v>210</v>
      </c>
      <c r="E1943" s="171"/>
      <c r="F1943" s="23" t="s">
        <v>32</v>
      </c>
      <c r="G1943" s="23" t="s">
        <v>32</v>
      </c>
      <c r="H1943" s="64"/>
      <c r="I1943" s="1">
        <f>SUM(I1944:I1946)</f>
        <v>0</v>
      </c>
      <c r="J1943" s="1">
        <f>SUM(J1944:J1946)</f>
        <v>0</v>
      </c>
      <c r="K1943" s="1">
        <f>SUM(K1944:K1946)</f>
        <v>0</v>
      </c>
      <c r="L1943" s="10" t="s">
        <v>52</v>
      </c>
      <c r="M1943" s="1">
        <f>SUM(M1944:M1946)</f>
        <v>1.0204399999999999E-2</v>
      </c>
      <c r="N1943" s="24"/>
      <c r="AG1943" s="10" t="s">
        <v>1699</v>
      </c>
      <c r="AQ1943" s="1">
        <f>SUM(AH1944:AH1946)</f>
        <v>0</v>
      </c>
      <c r="AR1943" s="1">
        <f>SUM(AI1944:AI1946)</f>
        <v>0</v>
      </c>
      <c r="AS1943" s="1">
        <f>SUM(AJ1944:AJ1946)</f>
        <v>0</v>
      </c>
    </row>
    <row r="1944" spans="1:74" ht="14.4" x14ac:dyDescent="0.3">
      <c r="A1944" s="2" t="s">
        <v>2314</v>
      </c>
      <c r="B1944" s="3" t="s">
        <v>1699</v>
      </c>
      <c r="C1944" s="3" t="s">
        <v>2315</v>
      </c>
      <c r="D1944" s="112" t="s">
        <v>2316</v>
      </c>
      <c r="E1944" s="109"/>
      <c r="F1944" s="3" t="s">
        <v>115</v>
      </c>
      <c r="G1944" s="25">
        <v>2.38</v>
      </c>
      <c r="H1944" s="62"/>
      <c r="I1944" s="25">
        <f>ROUND(G1944*AM1944,2)</f>
        <v>0</v>
      </c>
      <c r="J1944" s="25">
        <f>ROUND(G1944*AN1944,2)</f>
        <v>0</v>
      </c>
      <c r="K1944" s="25">
        <f>ROUND(G1944*H1944,2)</f>
        <v>0</v>
      </c>
      <c r="L1944" s="25">
        <v>2.63E-3</v>
      </c>
      <c r="M1944" s="25">
        <f>G1944*L1944</f>
        <v>6.2594E-3</v>
      </c>
      <c r="N1944" s="26"/>
      <c r="X1944" s="25">
        <f>ROUND(IF(AO1944="5",BH1944,0),2)</f>
        <v>0</v>
      </c>
      <c r="Z1944" s="25">
        <f>ROUND(IF(AO1944="1",BF1944,0),2)</f>
        <v>0</v>
      </c>
      <c r="AA1944" s="25">
        <f>ROUND(IF(AO1944="1",BG1944,0),2)</f>
        <v>0</v>
      </c>
      <c r="AB1944" s="25">
        <f>ROUND(IF(AO1944="7",BF1944,0),2)</f>
        <v>0</v>
      </c>
      <c r="AC1944" s="25">
        <f>ROUND(IF(AO1944="7",BG1944,0),2)</f>
        <v>0</v>
      </c>
      <c r="AD1944" s="25">
        <f>ROUND(IF(AO1944="2",BF1944,0),2)</f>
        <v>0</v>
      </c>
      <c r="AE1944" s="25">
        <f>ROUND(IF(AO1944="2",BG1944,0),2)</f>
        <v>0</v>
      </c>
      <c r="AF1944" s="25">
        <f>ROUND(IF(AO1944="0",BH1944,0),2)</f>
        <v>0</v>
      </c>
      <c r="AG1944" s="10" t="s">
        <v>1699</v>
      </c>
      <c r="AH1944" s="25">
        <f>IF(AL1944=0,K1944,0)</f>
        <v>0</v>
      </c>
      <c r="AI1944" s="25">
        <f>IF(AL1944=12,K1944,0)</f>
        <v>0</v>
      </c>
      <c r="AJ1944" s="25">
        <f>IF(AL1944=21,K1944,0)</f>
        <v>0</v>
      </c>
      <c r="AL1944" s="25">
        <v>21</v>
      </c>
      <c r="AM1944" s="25">
        <f>H1944*0.293528729</f>
        <v>0</v>
      </c>
      <c r="AN1944" s="25">
        <f>H1944*(1-0.293528729)</f>
        <v>0</v>
      </c>
      <c r="AO1944" s="27" t="s">
        <v>57</v>
      </c>
      <c r="AT1944" s="25">
        <f>ROUND(AU1944+AV1944,2)</f>
        <v>0</v>
      </c>
      <c r="AU1944" s="25">
        <f>ROUND(G1944*AM1944,2)</f>
        <v>0</v>
      </c>
      <c r="AV1944" s="25">
        <f>ROUND(G1944*AN1944,2)</f>
        <v>0</v>
      </c>
      <c r="AW1944" s="27" t="s">
        <v>214</v>
      </c>
      <c r="AX1944" s="27" t="s">
        <v>2312</v>
      </c>
      <c r="AY1944" s="10" t="s">
        <v>1707</v>
      </c>
      <c r="BA1944" s="25">
        <f>AU1944+AV1944</f>
        <v>0</v>
      </c>
      <c r="BB1944" s="25">
        <f>H1944/(100-BC1944)*100</f>
        <v>0</v>
      </c>
      <c r="BC1944" s="25">
        <v>0</v>
      </c>
      <c r="BD1944" s="25">
        <f>M1944</f>
        <v>6.2594E-3</v>
      </c>
      <c r="BF1944" s="25">
        <f>G1944*AM1944</f>
        <v>0</v>
      </c>
      <c r="BG1944" s="25">
        <f>G1944*AN1944</f>
        <v>0</v>
      </c>
      <c r="BH1944" s="25">
        <f>G1944*H1944</f>
        <v>0</v>
      </c>
      <c r="BI1944" s="27" t="s">
        <v>65</v>
      </c>
      <c r="BJ1944" s="25">
        <v>97</v>
      </c>
      <c r="BU1944" s="25" t="e">
        <f>#REF!</f>
        <v>#REF!</v>
      </c>
      <c r="BV1944" s="4" t="s">
        <v>2316</v>
      </c>
    </row>
    <row r="1945" spans="1:74" ht="14.4" x14ac:dyDescent="0.3">
      <c r="A1945" s="28"/>
      <c r="D1945" s="29" t="s">
        <v>2317</v>
      </c>
      <c r="E1945" s="29" t="s">
        <v>52</v>
      </c>
      <c r="G1945" s="30">
        <v>2.38</v>
      </c>
      <c r="H1945" s="63"/>
      <c r="N1945" s="31"/>
    </row>
    <row r="1946" spans="1:74" ht="14.4" x14ac:dyDescent="0.3">
      <c r="A1946" s="2" t="s">
        <v>2318</v>
      </c>
      <c r="B1946" s="3" t="s">
        <v>1699</v>
      </c>
      <c r="C1946" s="3" t="s">
        <v>2319</v>
      </c>
      <c r="D1946" s="112" t="s">
        <v>2320</v>
      </c>
      <c r="E1946" s="109"/>
      <c r="F1946" s="3" t="s">
        <v>115</v>
      </c>
      <c r="G1946" s="25">
        <v>1.5</v>
      </c>
      <c r="H1946" s="62"/>
      <c r="I1946" s="25">
        <f>ROUND(G1946*AM1946,2)</f>
        <v>0</v>
      </c>
      <c r="J1946" s="25">
        <f>ROUND(G1946*AN1946,2)</f>
        <v>0</v>
      </c>
      <c r="K1946" s="25">
        <f>ROUND(G1946*H1946,2)</f>
        <v>0</v>
      </c>
      <c r="L1946" s="25">
        <v>2.63E-3</v>
      </c>
      <c r="M1946" s="25">
        <f>G1946*L1946</f>
        <v>3.9449999999999997E-3</v>
      </c>
      <c r="N1946" s="26"/>
      <c r="X1946" s="25">
        <f>ROUND(IF(AO1946="5",BH1946,0),2)</f>
        <v>0</v>
      </c>
      <c r="Z1946" s="25">
        <f>ROUND(IF(AO1946="1",BF1946,0),2)</f>
        <v>0</v>
      </c>
      <c r="AA1946" s="25">
        <f>ROUND(IF(AO1946="1",BG1946,0),2)</f>
        <v>0</v>
      </c>
      <c r="AB1946" s="25">
        <f>ROUND(IF(AO1946="7",BF1946,0),2)</f>
        <v>0</v>
      </c>
      <c r="AC1946" s="25">
        <f>ROUND(IF(AO1946="7",BG1946,0),2)</f>
        <v>0</v>
      </c>
      <c r="AD1946" s="25">
        <f>ROUND(IF(AO1946="2",BF1946,0),2)</f>
        <v>0</v>
      </c>
      <c r="AE1946" s="25">
        <f>ROUND(IF(AO1946="2",BG1946,0),2)</f>
        <v>0</v>
      </c>
      <c r="AF1946" s="25">
        <f>ROUND(IF(AO1946="0",BH1946,0),2)</f>
        <v>0</v>
      </c>
      <c r="AG1946" s="10" t="s">
        <v>1699</v>
      </c>
      <c r="AH1946" s="25">
        <f>IF(AL1946=0,K1946,0)</f>
        <v>0</v>
      </c>
      <c r="AI1946" s="25">
        <f>IF(AL1946=12,K1946,0)</f>
        <v>0</v>
      </c>
      <c r="AJ1946" s="25">
        <f>IF(AL1946=21,K1946,0)</f>
        <v>0</v>
      </c>
      <c r="AL1946" s="25">
        <v>21</v>
      </c>
      <c r="AM1946" s="25">
        <f>H1946*0.316651797</f>
        <v>0</v>
      </c>
      <c r="AN1946" s="25">
        <f>H1946*(1-0.316651797)</f>
        <v>0</v>
      </c>
      <c r="AO1946" s="27" t="s">
        <v>57</v>
      </c>
      <c r="AT1946" s="25">
        <f>ROUND(AU1946+AV1946,2)</f>
        <v>0</v>
      </c>
      <c r="AU1946" s="25">
        <f>ROUND(G1946*AM1946,2)</f>
        <v>0</v>
      </c>
      <c r="AV1946" s="25">
        <f>ROUND(G1946*AN1946,2)</f>
        <v>0</v>
      </c>
      <c r="AW1946" s="27" t="s">
        <v>214</v>
      </c>
      <c r="AX1946" s="27" t="s">
        <v>2312</v>
      </c>
      <c r="AY1946" s="10" t="s">
        <v>1707</v>
      </c>
      <c r="BA1946" s="25">
        <f>AU1946+AV1946</f>
        <v>0</v>
      </c>
      <c r="BB1946" s="25">
        <f>H1946/(100-BC1946)*100</f>
        <v>0</v>
      </c>
      <c r="BC1946" s="25">
        <v>0</v>
      </c>
      <c r="BD1946" s="25">
        <f>M1946</f>
        <v>3.9449999999999997E-3</v>
      </c>
      <c r="BF1946" s="25">
        <f>G1946*AM1946</f>
        <v>0</v>
      </c>
      <c r="BG1946" s="25">
        <f>G1946*AN1946</f>
        <v>0</v>
      </c>
      <c r="BH1946" s="25">
        <f>G1946*H1946</f>
        <v>0</v>
      </c>
      <c r="BI1946" s="27" t="s">
        <v>65</v>
      </c>
      <c r="BJ1946" s="25">
        <v>97</v>
      </c>
      <c r="BU1946" s="25" t="e">
        <f>#REF!</f>
        <v>#REF!</v>
      </c>
      <c r="BV1946" s="4" t="s">
        <v>2320</v>
      </c>
    </row>
    <row r="1947" spans="1:74" ht="14.4" x14ac:dyDescent="0.3">
      <c r="A1947" s="28"/>
      <c r="D1947" s="29" t="s">
        <v>2321</v>
      </c>
      <c r="E1947" s="29" t="s">
        <v>52</v>
      </c>
      <c r="G1947" s="30">
        <v>1.5</v>
      </c>
      <c r="H1947" s="63"/>
      <c r="N1947" s="31"/>
    </row>
    <row r="1948" spans="1:74" ht="14.4" x14ac:dyDescent="0.3">
      <c r="A1948" s="21" t="s">
        <v>52</v>
      </c>
      <c r="B1948" s="22" t="s">
        <v>1699</v>
      </c>
      <c r="C1948" s="22" t="s">
        <v>273</v>
      </c>
      <c r="D1948" s="170" t="s">
        <v>274</v>
      </c>
      <c r="E1948" s="171"/>
      <c r="F1948" s="23" t="s">
        <v>32</v>
      </c>
      <c r="G1948" s="23" t="s">
        <v>32</v>
      </c>
      <c r="H1948" s="64"/>
      <c r="I1948" s="1">
        <f>SUM(I1949:I1961)</f>
        <v>0</v>
      </c>
      <c r="J1948" s="1">
        <f>SUM(J1949:J1961)</f>
        <v>0</v>
      </c>
      <c r="K1948" s="1">
        <f>SUM(K1949:K1961)</f>
        <v>0</v>
      </c>
      <c r="L1948" s="10" t="s">
        <v>52</v>
      </c>
      <c r="M1948" s="1">
        <f>SUM(M1949:M1961)</f>
        <v>0</v>
      </c>
      <c r="N1948" s="24"/>
      <c r="AG1948" s="10" t="s">
        <v>1699</v>
      </c>
      <c r="AQ1948" s="1">
        <f>SUM(AH1949:AH1961)</f>
        <v>0</v>
      </c>
      <c r="AR1948" s="1">
        <f>SUM(AI1949:AI1961)</f>
        <v>0</v>
      </c>
      <c r="AS1948" s="1">
        <f>SUM(AJ1949:AJ1961)</f>
        <v>0</v>
      </c>
    </row>
    <row r="1949" spans="1:74" ht="14.4" x14ac:dyDescent="0.3">
      <c r="A1949" s="2" t="s">
        <v>2322</v>
      </c>
      <c r="B1949" s="3" t="s">
        <v>1699</v>
      </c>
      <c r="C1949" s="3" t="s">
        <v>276</v>
      </c>
      <c r="D1949" s="112" t="s">
        <v>277</v>
      </c>
      <c r="E1949" s="109"/>
      <c r="F1949" s="3" t="s">
        <v>278</v>
      </c>
      <c r="G1949" s="25">
        <v>5.423</v>
      </c>
      <c r="H1949" s="62"/>
      <c r="I1949" s="25">
        <f>ROUND(G1949*AM1949,2)</f>
        <v>0</v>
      </c>
      <c r="J1949" s="25">
        <f>ROUND(G1949*AN1949,2)</f>
        <v>0</v>
      </c>
      <c r="K1949" s="25">
        <f>ROUND(G1949*H1949,2)</f>
        <v>0</v>
      </c>
      <c r="L1949" s="25">
        <v>0</v>
      </c>
      <c r="M1949" s="25">
        <f>G1949*L1949</f>
        <v>0</v>
      </c>
      <c r="N1949" s="26"/>
      <c r="X1949" s="25">
        <f>ROUND(IF(AO1949="5",BH1949,0),2)</f>
        <v>0</v>
      </c>
      <c r="Z1949" s="25">
        <f>ROUND(IF(AO1949="1",BF1949,0),2)</f>
        <v>0</v>
      </c>
      <c r="AA1949" s="25">
        <f>ROUND(IF(AO1949="1",BG1949,0),2)</f>
        <v>0</v>
      </c>
      <c r="AB1949" s="25">
        <f>ROUND(IF(AO1949="7",BF1949,0),2)</f>
        <v>0</v>
      </c>
      <c r="AC1949" s="25">
        <f>ROUND(IF(AO1949="7",BG1949,0),2)</f>
        <v>0</v>
      </c>
      <c r="AD1949" s="25">
        <f>ROUND(IF(AO1949="2",BF1949,0),2)</f>
        <v>0</v>
      </c>
      <c r="AE1949" s="25">
        <f>ROUND(IF(AO1949="2",BG1949,0),2)</f>
        <v>0</v>
      </c>
      <c r="AF1949" s="25">
        <f>ROUND(IF(AO1949="0",BH1949,0),2)</f>
        <v>0</v>
      </c>
      <c r="AG1949" s="10" t="s">
        <v>1699</v>
      </c>
      <c r="AH1949" s="25">
        <f>IF(AL1949=0,K1949,0)</f>
        <v>0</v>
      </c>
      <c r="AI1949" s="25">
        <f>IF(AL1949=12,K1949,0)</f>
        <v>0</v>
      </c>
      <c r="AJ1949" s="25">
        <f>IF(AL1949=21,K1949,0)</f>
        <v>0</v>
      </c>
      <c r="AL1949" s="25">
        <v>21</v>
      </c>
      <c r="AM1949" s="25">
        <f>H1949*0</f>
        <v>0</v>
      </c>
      <c r="AN1949" s="25">
        <f>H1949*(1-0)</f>
        <v>0</v>
      </c>
      <c r="AO1949" s="27" t="s">
        <v>97</v>
      </c>
      <c r="AT1949" s="25">
        <f>ROUND(AU1949+AV1949,2)</f>
        <v>0</v>
      </c>
      <c r="AU1949" s="25">
        <f>ROUND(G1949*AM1949,2)</f>
        <v>0</v>
      </c>
      <c r="AV1949" s="25">
        <f>ROUND(G1949*AN1949,2)</f>
        <v>0</v>
      </c>
      <c r="AW1949" s="27" t="s">
        <v>279</v>
      </c>
      <c r="AX1949" s="27" t="s">
        <v>2312</v>
      </c>
      <c r="AY1949" s="10" t="s">
        <v>1707</v>
      </c>
      <c r="BA1949" s="25">
        <f>AU1949+AV1949</f>
        <v>0</v>
      </c>
      <c r="BB1949" s="25">
        <f>H1949/(100-BC1949)*100</f>
        <v>0</v>
      </c>
      <c r="BC1949" s="25">
        <v>0</v>
      </c>
      <c r="BD1949" s="25">
        <f>M1949</f>
        <v>0</v>
      </c>
      <c r="BF1949" s="25">
        <f>G1949*AM1949</f>
        <v>0</v>
      </c>
      <c r="BG1949" s="25">
        <f>G1949*AN1949</f>
        <v>0</v>
      </c>
      <c r="BH1949" s="25">
        <f>G1949*H1949</f>
        <v>0</v>
      </c>
      <c r="BI1949" s="27" t="s">
        <v>65</v>
      </c>
      <c r="BJ1949" s="25"/>
      <c r="BU1949" s="25" t="e">
        <f>#REF!</f>
        <v>#REF!</v>
      </c>
      <c r="BV1949" s="4" t="s">
        <v>277</v>
      </c>
    </row>
    <row r="1950" spans="1:74" ht="14.4" x14ac:dyDescent="0.3">
      <c r="A1950" s="28"/>
      <c r="D1950" s="29" t="s">
        <v>2323</v>
      </c>
      <c r="E1950" s="29" t="s">
        <v>52</v>
      </c>
      <c r="G1950" s="30">
        <v>5.423</v>
      </c>
      <c r="H1950" s="63"/>
      <c r="N1950" s="31"/>
    </row>
    <row r="1951" spans="1:74" ht="14.4" x14ac:dyDescent="0.3">
      <c r="A1951" s="2" t="s">
        <v>2324</v>
      </c>
      <c r="B1951" s="3" t="s">
        <v>1699</v>
      </c>
      <c r="C1951" s="3" t="s">
        <v>282</v>
      </c>
      <c r="D1951" s="112" t="s">
        <v>283</v>
      </c>
      <c r="E1951" s="109"/>
      <c r="F1951" s="3" t="s">
        <v>278</v>
      </c>
      <c r="G1951" s="25">
        <v>27.114999999999998</v>
      </c>
      <c r="H1951" s="62"/>
      <c r="I1951" s="25">
        <f>ROUND(G1951*AM1951,2)</f>
        <v>0</v>
      </c>
      <c r="J1951" s="25">
        <f>ROUND(G1951*AN1951,2)</f>
        <v>0</v>
      </c>
      <c r="K1951" s="25">
        <f>ROUND(G1951*H1951,2)</f>
        <v>0</v>
      </c>
      <c r="L1951" s="25">
        <v>0</v>
      </c>
      <c r="M1951" s="25">
        <f>G1951*L1951</f>
        <v>0</v>
      </c>
      <c r="N1951" s="26"/>
      <c r="X1951" s="25">
        <f>ROUND(IF(AO1951="5",BH1951,0),2)</f>
        <v>0</v>
      </c>
      <c r="Z1951" s="25">
        <f>ROUND(IF(AO1951="1",BF1951,0),2)</f>
        <v>0</v>
      </c>
      <c r="AA1951" s="25">
        <f>ROUND(IF(AO1951="1",BG1951,0),2)</f>
        <v>0</v>
      </c>
      <c r="AB1951" s="25">
        <f>ROUND(IF(AO1951="7",BF1951,0),2)</f>
        <v>0</v>
      </c>
      <c r="AC1951" s="25">
        <f>ROUND(IF(AO1951="7",BG1951,0),2)</f>
        <v>0</v>
      </c>
      <c r="AD1951" s="25">
        <f>ROUND(IF(AO1951="2",BF1951,0),2)</f>
        <v>0</v>
      </c>
      <c r="AE1951" s="25">
        <f>ROUND(IF(AO1951="2",BG1951,0),2)</f>
        <v>0</v>
      </c>
      <c r="AF1951" s="25">
        <f>ROUND(IF(AO1951="0",BH1951,0),2)</f>
        <v>0</v>
      </c>
      <c r="AG1951" s="10" t="s">
        <v>1699</v>
      </c>
      <c r="AH1951" s="25">
        <f>IF(AL1951=0,K1951,0)</f>
        <v>0</v>
      </c>
      <c r="AI1951" s="25">
        <f>IF(AL1951=12,K1951,0)</f>
        <v>0</v>
      </c>
      <c r="AJ1951" s="25">
        <f>IF(AL1951=21,K1951,0)</f>
        <v>0</v>
      </c>
      <c r="AL1951" s="25">
        <v>21</v>
      </c>
      <c r="AM1951" s="25">
        <f>H1951*0</f>
        <v>0</v>
      </c>
      <c r="AN1951" s="25">
        <f>H1951*(1-0)</f>
        <v>0</v>
      </c>
      <c r="AO1951" s="27" t="s">
        <v>97</v>
      </c>
      <c r="AT1951" s="25">
        <f>ROUND(AU1951+AV1951,2)</f>
        <v>0</v>
      </c>
      <c r="AU1951" s="25">
        <f>ROUND(G1951*AM1951,2)</f>
        <v>0</v>
      </c>
      <c r="AV1951" s="25">
        <f>ROUND(G1951*AN1951,2)</f>
        <v>0</v>
      </c>
      <c r="AW1951" s="27" t="s">
        <v>279</v>
      </c>
      <c r="AX1951" s="27" t="s">
        <v>2312</v>
      </c>
      <c r="AY1951" s="10" t="s">
        <v>1707</v>
      </c>
      <c r="BA1951" s="25">
        <f>AU1951+AV1951</f>
        <v>0</v>
      </c>
      <c r="BB1951" s="25">
        <f>H1951/(100-BC1951)*100</f>
        <v>0</v>
      </c>
      <c r="BC1951" s="25">
        <v>0</v>
      </c>
      <c r="BD1951" s="25">
        <f>M1951</f>
        <v>0</v>
      </c>
      <c r="BF1951" s="25">
        <f>G1951*AM1951</f>
        <v>0</v>
      </c>
      <c r="BG1951" s="25">
        <f>G1951*AN1951</f>
        <v>0</v>
      </c>
      <c r="BH1951" s="25">
        <f>G1951*H1951</f>
        <v>0</v>
      </c>
      <c r="BI1951" s="27" t="s">
        <v>65</v>
      </c>
      <c r="BJ1951" s="25"/>
      <c r="BU1951" s="25" t="e">
        <f>#REF!</f>
        <v>#REF!</v>
      </c>
      <c r="BV1951" s="4" t="s">
        <v>283</v>
      </c>
    </row>
    <row r="1952" spans="1:74" ht="14.4" x14ac:dyDescent="0.3">
      <c r="A1952" s="28"/>
      <c r="D1952" s="29" t="s">
        <v>2325</v>
      </c>
      <c r="E1952" s="29" t="s">
        <v>52</v>
      </c>
      <c r="G1952" s="30">
        <v>27.114999999999998</v>
      </c>
      <c r="H1952" s="63"/>
      <c r="N1952" s="31"/>
    </row>
    <row r="1953" spans="1:74" ht="14.4" x14ac:dyDescent="0.3">
      <c r="A1953" s="2" t="s">
        <v>2326</v>
      </c>
      <c r="B1953" s="3" t="s">
        <v>1699</v>
      </c>
      <c r="C1953" s="3" t="s">
        <v>286</v>
      </c>
      <c r="D1953" s="112" t="s">
        <v>287</v>
      </c>
      <c r="E1953" s="109"/>
      <c r="F1953" s="3" t="s">
        <v>278</v>
      </c>
      <c r="G1953" s="25">
        <v>5.423</v>
      </c>
      <c r="H1953" s="62"/>
      <c r="I1953" s="25">
        <f>ROUND(G1953*AM1953,2)</f>
        <v>0</v>
      </c>
      <c r="J1953" s="25">
        <f>ROUND(G1953*AN1953,2)</f>
        <v>0</v>
      </c>
      <c r="K1953" s="25">
        <f>ROUND(G1953*H1953,2)</f>
        <v>0</v>
      </c>
      <c r="L1953" s="25">
        <v>0</v>
      </c>
      <c r="M1953" s="25">
        <f>G1953*L1953</f>
        <v>0</v>
      </c>
      <c r="N1953" s="26"/>
      <c r="X1953" s="25">
        <f>ROUND(IF(AO1953="5",BH1953,0),2)</f>
        <v>0</v>
      </c>
      <c r="Z1953" s="25">
        <f>ROUND(IF(AO1953="1",BF1953,0),2)</f>
        <v>0</v>
      </c>
      <c r="AA1953" s="25">
        <f>ROUND(IF(AO1953="1",BG1953,0),2)</f>
        <v>0</v>
      </c>
      <c r="AB1953" s="25">
        <f>ROUND(IF(AO1953="7",BF1953,0),2)</f>
        <v>0</v>
      </c>
      <c r="AC1953" s="25">
        <f>ROUND(IF(AO1953="7",BG1953,0),2)</f>
        <v>0</v>
      </c>
      <c r="AD1953" s="25">
        <f>ROUND(IF(AO1953="2",BF1953,0),2)</f>
        <v>0</v>
      </c>
      <c r="AE1953" s="25">
        <f>ROUND(IF(AO1953="2",BG1953,0),2)</f>
        <v>0</v>
      </c>
      <c r="AF1953" s="25">
        <f>ROUND(IF(AO1953="0",BH1953,0),2)</f>
        <v>0</v>
      </c>
      <c r="AG1953" s="10" t="s">
        <v>1699</v>
      </c>
      <c r="AH1953" s="25">
        <f>IF(AL1953=0,K1953,0)</f>
        <v>0</v>
      </c>
      <c r="AI1953" s="25">
        <f>IF(AL1953=12,K1953,0)</f>
        <v>0</v>
      </c>
      <c r="AJ1953" s="25">
        <f>IF(AL1953=21,K1953,0)</f>
        <v>0</v>
      </c>
      <c r="AL1953" s="25">
        <v>21</v>
      </c>
      <c r="AM1953" s="25">
        <f>H1953*0</f>
        <v>0</v>
      </c>
      <c r="AN1953" s="25">
        <f>H1953*(1-0)</f>
        <v>0</v>
      </c>
      <c r="AO1953" s="27" t="s">
        <v>97</v>
      </c>
      <c r="AT1953" s="25">
        <f>ROUND(AU1953+AV1953,2)</f>
        <v>0</v>
      </c>
      <c r="AU1953" s="25">
        <f>ROUND(G1953*AM1953,2)</f>
        <v>0</v>
      </c>
      <c r="AV1953" s="25">
        <f>ROUND(G1953*AN1953,2)</f>
        <v>0</v>
      </c>
      <c r="AW1953" s="27" t="s">
        <v>279</v>
      </c>
      <c r="AX1953" s="27" t="s">
        <v>2312</v>
      </c>
      <c r="AY1953" s="10" t="s">
        <v>1707</v>
      </c>
      <c r="BA1953" s="25">
        <f>AU1953+AV1953</f>
        <v>0</v>
      </c>
      <c r="BB1953" s="25">
        <f>H1953/(100-BC1953)*100</f>
        <v>0</v>
      </c>
      <c r="BC1953" s="25">
        <v>0</v>
      </c>
      <c r="BD1953" s="25">
        <f>M1953</f>
        <v>0</v>
      </c>
      <c r="BF1953" s="25">
        <f>G1953*AM1953</f>
        <v>0</v>
      </c>
      <c r="BG1953" s="25">
        <f>G1953*AN1953</f>
        <v>0</v>
      </c>
      <c r="BH1953" s="25">
        <f>G1953*H1953</f>
        <v>0</v>
      </c>
      <c r="BI1953" s="27" t="s">
        <v>65</v>
      </c>
      <c r="BJ1953" s="25"/>
      <c r="BU1953" s="25" t="e">
        <f>#REF!</f>
        <v>#REF!</v>
      </c>
      <c r="BV1953" s="4" t="s">
        <v>287</v>
      </c>
    </row>
    <row r="1954" spans="1:74" ht="14.4" x14ac:dyDescent="0.3">
      <c r="A1954" s="28"/>
      <c r="D1954" s="29" t="s">
        <v>2327</v>
      </c>
      <c r="E1954" s="29" t="s">
        <v>52</v>
      </c>
      <c r="G1954" s="30">
        <v>5.423</v>
      </c>
      <c r="H1954" s="63"/>
      <c r="N1954" s="31"/>
    </row>
    <row r="1955" spans="1:74" ht="14.4" x14ac:dyDescent="0.3">
      <c r="A1955" s="2" t="s">
        <v>2328</v>
      </c>
      <c r="B1955" s="3" t="s">
        <v>1699</v>
      </c>
      <c r="C1955" s="3" t="s">
        <v>289</v>
      </c>
      <c r="D1955" s="112" t="s">
        <v>290</v>
      </c>
      <c r="E1955" s="109"/>
      <c r="F1955" s="3" t="s">
        <v>278</v>
      </c>
      <c r="G1955" s="25">
        <v>5.423</v>
      </c>
      <c r="H1955" s="62"/>
      <c r="I1955" s="25">
        <f>ROUND(G1955*AM1955,2)</f>
        <v>0</v>
      </c>
      <c r="J1955" s="25">
        <f>ROUND(G1955*AN1955,2)</f>
        <v>0</v>
      </c>
      <c r="K1955" s="25">
        <f>ROUND(G1955*H1955,2)</f>
        <v>0</v>
      </c>
      <c r="L1955" s="25">
        <v>0</v>
      </c>
      <c r="M1955" s="25">
        <f>G1955*L1955</f>
        <v>0</v>
      </c>
      <c r="N1955" s="26"/>
      <c r="X1955" s="25">
        <f>ROUND(IF(AO1955="5",BH1955,0),2)</f>
        <v>0</v>
      </c>
      <c r="Z1955" s="25">
        <f>ROUND(IF(AO1955="1",BF1955,0),2)</f>
        <v>0</v>
      </c>
      <c r="AA1955" s="25">
        <f>ROUND(IF(AO1955="1",BG1955,0),2)</f>
        <v>0</v>
      </c>
      <c r="AB1955" s="25">
        <f>ROUND(IF(AO1955="7",BF1955,0),2)</f>
        <v>0</v>
      </c>
      <c r="AC1955" s="25">
        <f>ROUND(IF(AO1955="7",BG1955,0),2)</f>
        <v>0</v>
      </c>
      <c r="AD1955" s="25">
        <f>ROUND(IF(AO1955="2",BF1955,0),2)</f>
        <v>0</v>
      </c>
      <c r="AE1955" s="25">
        <f>ROUND(IF(AO1955="2",BG1955,0),2)</f>
        <v>0</v>
      </c>
      <c r="AF1955" s="25">
        <f>ROUND(IF(AO1955="0",BH1955,0),2)</f>
        <v>0</v>
      </c>
      <c r="AG1955" s="10" t="s">
        <v>1699</v>
      </c>
      <c r="AH1955" s="25">
        <f>IF(AL1955=0,K1955,0)</f>
        <v>0</v>
      </c>
      <c r="AI1955" s="25">
        <f>IF(AL1955=12,K1955,0)</f>
        <v>0</v>
      </c>
      <c r="AJ1955" s="25">
        <f>IF(AL1955=21,K1955,0)</f>
        <v>0</v>
      </c>
      <c r="AL1955" s="25">
        <v>21</v>
      </c>
      <c r="AM1955" s="25">
        <f>H1955*0</f>
        <v>0</v>
      </c>
      <c r="AN1955" s="25">
        <f>H1955*(1-0)</f>
        <v>0</v>
      </c>
      <c r="AO1955" s="27" t="s">
        <v>97</v>
      </c>
      <c r="AT1955" s="25">
        <f>ROUND(AU1955+AV1955,2)</f>
        <v>0</v>
      </c>
      <c r="AU1955" s="25">
        <f>ROUND(G1955*AM1955,2)</f>
        <v>0</v>
      </c>
      <c r="AV1955" s="25">
        <f>ROUND(G1955*AN1955,2)</f>
        <v>0</v>
      </c>
      <c r="AW1955" s="27" t="s">
        <v>279</v>
      </c>
      <c r="AX1955" s="27" t="s">
        <v>2312</v>
      </c>
      <c r="AY1955" s="10" t="s">
        <v>1707</v>
      </c>
      <c r="BA1955" s="25">
        <f>AU1955+AV1955</f>
        <v>0</v>
      </c>
      <c r="BB1955" s="25">
        <f>H1955/(100-BC1955)*100</f>
        <v>0</v>
      </c>
      <c r="BC1955" s="25">
        <v>0</v>
      </c>
      <c r="BD1955" s="25">
        <f>M1955</f>
        <v>0</v>
      </c>
      <c r="BF1955" s="25">
        <f>G1955*AM1955</f>
        <v>0</v>
      </c>
      <c r="BG1955" s="25">
        <f>G1955*AN1955</f>
        <v>0</v>
      </c>
      <c r="BH1955" s="25">
        <f>G1955*H1955</f>
        <v>0</v>
      </c>
      <c r="BI1955" s="27" t="s">
        <v>65</v>
      </c>
      <c r="BJ1955" s="25"/>
      <c r="BU1955" s="25" t="e">
        <f>#REF!</f>
        <v>#REF!</v>
      </c>
      <c r="BV1955" s="4" t="s">
        <v>290</v>
      </c>
    </row>
    <row r="1956" spans="1:74" ht="14.4" x14ac:dyDescent="0.3">
      <c r="A1956" s="28"/>
      <c r="D1956" s="29" t="s">
        <v>2327</v>
      </c>
      <c r="E1956" s="29" t="s">
        <v>52</v>
      </c>
      <c r="G1956" s="30">
        <v>5.423</v>
      </c>
      <c r="H1956" s="63"/>
      <c r="N1956" s="31"/>
    </row>
    <row r="1957" spans="1:74" ht="14.4" x14ac:dyDescent="0.3">
      <c r="A1957" s="2" t="s">
        <v>2329</v>
      </c>
      <c r="B1957" s="3" t="s">
        <v>1699</v>
      </c>
      <c r="C1957" s="3" t="s">
        <v>292</v>
      </c>
      <c r="D1957" s="112" t="s">
        <v>293</v>
      </c>
      <c r="E1957" s="109"/>
      <c r="F1957" s="3" t="s">
        <v>278</v>
      </c>
      <c r="G1957" s="25">
        <v>5.423</v>
      </c>
      <c r="H1957" s="62"/>
      <c r="I1957" s="25">
        <f>ROUND(G1957*AM1957,2)</f>
        <v>0</v>
      </c>
      <c r="J1957" s="25">
        <f>ROUND(G1957*AN1957,2)</f>
        <v>0</v>
      </c>
      <c r="K1957" s="25">
        <f>ROUND(G1957*H1957,2)</f>
        <v>0</v>
      </c>
      <c r="L1957" s="25">
        <v>0</v>
      </c>
      <c r="M1957" s="25">
        <f>G1957*L1957</f>
        <v>0</v>
      </c>
      <c r="N1957" s="26"/>
      <c r="X1957" s="25">
        <f>ROUND(IF(AO1957="5",BH1957,0),2)</f>
        <v>0</v>
      </c>
      <c r="Z1957" s="25">
        <f>ROUND(IF(AO1957="1",BF1957,0),2)</f>
        <v>0</v>
      </c>
      <c r="AA1957" s="25">
        <f>ROUND(IF(AO1957="1",BG1957,0),2)</f>
        <v>0</v>
      </c>
      <c r="AB1957" s="25">
        <f>ROUND(IF(AO1957="7",BF1957,0),2)</f>
        <v>0</v>
      </c>
      <c r="AC1957" s="25">
        <f>ROUND(IF(AO1957="7",BG1957,0),2)</f>
        <v>0</v>
      </c>
      <c r="AD1957" s="25">
        <f>ROUND(IF(AO1957="2",BF1957,0),2)</f>
        <v>0</v>
      </c>
      <c r="AE1957" s="25">
        <f>ROUND(IF(AO1957="2",BG1957,0),2)</f>
        <v>0</v>
      </c>
      <c r="AF1957" s="25">
        <f>ROUND(IF(AO1957="0",BH1957,0),2)</f>
        <v>0</v>
      </c>
      <c r="AG1957" s="10" t="s">
        <v>1699</v>
      </c>
      <c r="AH1957" s="25">
        <f>IF(AL1957=0,K1957,0)</f>
        <v>0</v>
      </c>
      <c r="AI1957" s="25">
        <f>IF(AL1957=12,K1957,0)</f>
        <v>0</v>
      </c>
      <c r="AJ1957" s="25">
        <f>IF(AL1957=21,K1957,0)</f>
        <v>0</v>
      </c>
      <c r="AL1957" s="25">
        <v>21</v>
      </c>
      <c r="AM1957" s="25">
        <f>H1957*0</f>
        <v>0</v>
      </c>
      <c r="AN1957" s="25">
        <f>H1957*(1-0)</f>
        <v>0</v>
      </c>
      <c r="AO1957" s="27" t="s">
        <v>97</v>
      </c>
      <c r="AT1957" s="25">
        <f>ROUND(AU1957+AV1957,2)</f>
        <v>0</v>
      </c>
      <c r="AU1957" s="25">
        <f>ROUND(G1957*AM1957,2)</f>
        <v>0</v>
      </c>
      <c r="AV1957" s="25">
        <f>ROUND(G1957*AN1957,2)</f>
        <v>0</v>
      </c>
      <c r="AW1957" s="27" t="s">
        <v>279</v>
      </c>
      <c r="AX1957" s="27" t="s">
        <v>2312</v>
      </c>
      <c r="AY1957" s="10" t="s">
        <v>1707</v>
      </c>
      <c r="BA1957" s="25">
        <f>AU1957+AV1957</f>
        <v>0</v>
      </c>
      <c r="BB1957" s="25">
        <f>H1957/(100-BC1957)*100</f>
        <v>0</v>
      </c>
      <c r="BC1957" s="25">
        <v>0</v>
      </c>
      <c r="BD1957" s="25">
        <f>M1957</f>
        <v>0</v>
      </c>
      <c r="BF1957" s="25">
        <f>G1957*AM1957</f>
        <v>0</v>
      </c>
      <c r="BG1957" s="25">
        <f>G1957*AN1957</f>
        <v>0</v>
      </c>
      <c r="BH1957" s="25">
        <f>G1957*H1957</f>
        <v>0</v>
      </c>
      <c r="BI1957" s="27" t="s">
        <v>65</v>
      </c>
      <c r="BJ1957" s="25"/>
      <c r="BU1957" s="25" t="e">
        <f>#REF!</f>
        <v>#REF!</v>
      </c>
      <c r="BV1957" s="4" t="s">
        <v>293</v>
      </c>
    </row>
    <row r="1958" spans="1:74" ht="14.4" x14ac:dyDescent="0.3">
      <c r="A1958" s="28"/>
      <c r="D1958" s="29" t="s">
        <v>2327</v>
      </c>
      <c r="E1958" s="29" t="s">
        <v>52</v>
      </c>
      <c r="G1958" s="30">
        <v>5.423</v>
      </c>
      <c r="H1958" s="63"/>
      <c r="N1958" s="31"/>
    </row>
    <row r="1959" spans="1:74" ht="14.4" x14ac:dyDescent="0.3">
      <c r="A1959" s="2" t="s">
        <v>2330</v>
      </c>
      <c r="B1959" s="3" t="s">
        <v>1699</v>
      </c>
      <c r="C1959" s="3" t="s">
        <v>295</v>
      </c>
      <c r="D1959" s="112" t="s">
        <v>296</v>
      </c>
      <c r="E1959" s="109"/>
      <c r="F1959" s="3" t="s">
        <v>278</v>
      </c>
      <c r="G1959" s="25">
        <v>54.23</v>
      </c>
      <c r="H1959" s="62"/>
      <c r="I1959" s="25">
        <f>ROUND(G1959*AM1959,2)</f>
        <v>0</v>
      </c>
      <c r="J1959" s="25">
        <f>ROUND(G1959*AN1959,2)</f>
        <v>0</v>
      </c>
      <c r="K1959" s="25">
        <f>ROUND(G1959*H1959,2)</f>
        <v>0</v>
      </c>
      <c r="L1959" s="25">
        <v>0</v>
      </c>
      <c r="M1959" s="25">
        <f>G1959*L1959</f>
        <v>0</v>
      </c>
      <c r="N1959" s="26"/>
      <c r="X1959" s="25">
        <f>ROUND(IF(AO1959="5",BH1959,0),2)</f>
        <v>0</v>
      </c>
      <c r="Z1959" s="25">
        <f>ROUND(IF(AO1959="1",BF1959,0),2)</f>
        <v>0</v>
      </c>
      <c r="AA1959" s="25">
        <f>ROUND(IF(AO1959="1",BG1959,0),2)</f>
        <v>0</v>
      </c>
      <c r="AB1959" s="25">
        <f>ROUND(IF(AO1959="7",BF1959,0),2)</f>
        <v>0</v>
      </c>
      <c r="AC1959" s="25">
        <f>ROUND(IF(AO1959="7",BG1959,0),2)</f>
        <v>0</v>
      </c>
      <c r="AD1959" s="25">
        <f>ROUND(IF(AO1959="2",BF1959,0),2)</f>
        <v>0</v>
      </c>
      <c r="AE1959" s="25">
        <f>ROUND(IF(AO1959="2",BG1959,0),2)</f>
        <v>0</v>
      </c>
      <c r="AF1959" s="25">
        <f>ROUND(IF(AO1959="0",BH1959,0),2)</f>
        <v>0</v>
      </c>
      <c r="AG1959" s="10" t="s">
        <v>1699</v>
      </c>
      <c r="AH1959" s="25">
        <f>IF(AL1959=0,K1959,0)</f>
        <v>0</v>
      </c>
      <c r="AI1959" s="25">
        <f>IF(AL1959=12,K1959,0)</f>
        <v>0</v>
      </c>
      <c r="AJ1959" s="25">
        <f>IF(AL1959=21,K1959,0)</f>
        <v>0</v>
      </c>
      <c r="AL1959" s="25">
        <v>21</v>
      </c>
      <c r="AM1959" s="25">
        <f>H1959*0</f>
        <v>0</v>
      </c>
      <c r="AN1959" s="25">
        <f>H1959*(1-0)</f>
        <v>0</v>
      </c>
      <c r="AO1959" s="27" t="s">
        <v>97</v>
      </c>
      <c r="AT1959" s="25">
        <f>ROUND(AU1959+AV1959,2)</f>
        <v>0</v>
      </c>
      <c r="AU1959" s="25">
        <f>ROUND(G1959*AM1959,2)</f>
        <v>0</v>
      </c>
      <c r="AV1959" s="25">
        <f>ROUND(G1959*AN1959,2)</f>
        <v>0</v>
      </c>
      <c r="AW1959" s="27" t="s">
        <v>279</v>
      </c>
      <c r="AX1959" s="27" t="s">
        <v>2312</v>
      </c>
      <c r="AY1959" s="10" t="s">
        <v>1707</v>
      </c>
      <c r="BA1959" s="25">
        <f>AU1959+AV1959</f>
        <v>0</v>
      </c>
      <c r="BB1959" s="25">
        <f>H1959/(100-BC1959)*100</f>
        <v>0</v>
      </c>
      <c r="BC1959" s="25">
        <v>0</v>
      </c>
      <c r="BD1959" s="25">
        <f>M1959</f>
        <v>0</v>
      </c>
      <c r="BF1959" s="25">
        <f>G1959*AM1959</f>
        <v>0</v>
      </c>
      <c r="BG1959" s="25">
        <f>G1959*AN1959</f>
        <v>0</v>
      </c>
      <c r="BH1959" s="25">
        <f>G1959*H1959</f>
        <v>0</v>
      </c>
      <c r="BI1959" s="27" t="s">
        <v>65</v>
      </c>
      <c r="BJ1959" s="25"/>
      <c r="BU1959" s="25" t="e">
        <f>#REF!</f>
        <v>#REF!</v>
      </c>
      <c r="BV1959" s="4" t="s">
        <v>296</v>
      </c>
    </row>
    <row r="1960" spans="1:74" ht="14.4" x14ac:dyDescent="0.3">
      <c r="A1960" s="28"/>
      <c r="D1960" s="29" t="s">
        <v>2331</v>
      </c>
      <c r="E1960" s="29" t="s">
        <v>52</v>
      </c>
      <c r="G1960" s="30">
        <v>54.23</v>
      </c>
      <c r="H1960" s="63"/>
      <c r="N1960" s="31"/>
    </row>
    <row r="1961" spans="1:74" ht="14.4" x14ac:dyDescent="0.3">
      <c r="A1961" s="2" t="s">
        <v>2332</v>
      </c>
      <c r="B1961" s="3" t="s">
        <v>1699</v>
      </c>
      <c r="C1961" s="3" t="s">
        <v>299</v>
      </c>
      <c r="D1961" s="112" t="s">
        <v>300</v>
      </c>
      <c r="E1961" s="109"/>
      <c r="F1961" s="3" t="s">
        <v>278</v>
      </c>
      <c r="G1961" s="25">
        <v>5.423</v>
      </c>
      <c r="H1961" s="62"/>
      <c r="I1961" s="25">
        <f>ROUND(G1961*AM1961,2)</f>
        <v>0</v>
      </c>
      <c r="J1961" s="25">
        <f>ROUND(G1961*AN1961,2)</f>
        <v>0</v>
      </c>
      <c r="K1961" s="25">
        <f>ROUND(G1961*H1961,2)</f>
        <v>0</v>
      </c>
      <c r="L1961" s="25">
        <v>0</v>
      </c>
      <c r="M1961" s="25">
        <f>G1961*L1961</f>
        <v>0</v>
      </c>
      <c r="N1961" s="26"/>
      <c r="X1961" s="25">
        <f>ROUND(IF(AO1961="5",BH1961,0),2)</f>
        <v>0</v>
      </c>
      <c r="Z1961" s="25">
        <f>ROUND(IF(AO1961="1",BF1961,0),2)</f>
        <v>0</v>
      </c>
      <c r="AA1961" s="25">
        <f>ROUND(IF(AO1961="1",BG1961,0),2)</f>
        <v>0</v>
      </c>
      <c r="AB1961" s="25">
        <f>ROUND(IF(AO1961="7",BF1961,0),2)</f>
        <v>0</v>
      </c>
      <c r="AC1961" s="25">
        <f>ROUND(IF(AO1961="7",BG1961,0),2)</f>
        <v>0</v>
      </c>
      <c r="AD1961" s="25">
        <f>ROUND(IF(AO1961="2",BF1961,0),2)</f>
        <v>0</v>
      </c>
      <c r="AE1961" s="25">
        <f>ROUND(IF(AO1961="2",BG1961,0),2)</f>
        <v>0</v>
      </c>
      <c r="AF1961" s="25">
        <f>ROUND(IF(AO1961="0",BH1961,0),2)</f>
        <v>0</v>
      </c>
      <c r="AG1961" s="10" t="s">
        <v>1699</v>
      </c>
      <c r="AH1961" s="25">
        <f>IF(AL1961=0,K1961,0)</f>
        <v>0</v>
      </c>
      <c r="AI1961" s="25">
        <f>IF(AL1961=12,K1961,0)</f>
        <v>0</v>
      </c>
      <c r="AJ1961" s="25">
        <f>IF(AL1961=21,K1961,0)</f>
        <v>0</v>
      </c>
      <c r="AL1961" s="25">
        <v>21</v>
      </c>
      <c r="AM1961" s="25">
        <f>H1961*0</f>
        <v>0</v>
      </c>
      <c r="AN1961" s="25">
        <f>H1961*(1-0)</f>
        <v>0</v>
      </c>
      <c r="AO1961" s="27" t="s">
        <v>97</v>
      </c>
      <c r="AT1961" s="25">
        <f>ROUND(AU1961+AV1961,2)</f>
        <v>0</v>
      </c>
      <c r="AU1961" s="25">
        <f>ROUND(G1961*AM1961,2)</f>
        <v>0</v>
      </c>
      <c r="AV1961" s="25">
        <f>ROUND(G1961*AN1961,2)</f>
        <v>0</v>
      </c>
      <c r="AW1961" s="27" t="s">
        <v>279</v>
      </c>
      <c r="AX1961" s="27" t="s">
        <v>2312</v>
      </c>
      <c r="AY1961" s="10" t="s">
        <v>1707</v>
      </c>
      <c r="BA1961" s="25">
        <f>AU1961+AV1961</f>
        <v>0</v>
      </c>
      <c r="BB1961" s="25">
        <f>H1961/(100-BC1961)*100</f>
        <v>0</v>
      </c>
      <c r="BC1961" s="25">
        <v>0</v>
      </c>
      <c r="BD1961" s="25">
        <f>M1961</f>
        <v>0</v>
      </c>
      <c r="BF1961" s="25">
        <f>G1961*AM1961</f>
        <v>0</v>
      </c>
      <c r="BG1961" s="25">
        <f>G1961*AN1961</f>
        <v>0</v>
      </c>
      <c r="BH1961" s="25">
        <f>G1961*H1961</f>
        <v>0</v>
      </c>
      <c r="BI1961" s="27" t="s">
        <v>65</v>
      </c>
      <c r="BJ1961" s="25"/>
      <c r="BU1961" s="25" t="e">
        <f>#REF!</f>
        <v>#REF!</v>
      </c>
      <c r="BV1961" s="4" t="s">
        <v>300</v>
      </c>
    </row>
    <row r="1962" spans="1:74" ht="14.4" x14ac:dyDescent="0.3">
      <c r="A1962" s="28"/>
      <c r="D1962" s="29" t="s">
        <v>2327</v>
      </c>
      <c r="E1962" s="29" t="s">
        <v>52</v>
      </c>
      <c r="G1962" s="30">
        <v>5.423</v>
      </c>
      <c r="H1962" s="63"/>
      <c r="N1962" s="31"/>
    </row>
    <row r="1963" spans="1:74" ht="14.4" x14ac:dyDescent="0.3">
      <c r="A1963" s="95" t="s">
        <v>52</v>
      </c>
      <c r="B1963" s="96" t="s">
        <v>2333</v>
      </c>
      <c r="C1963" s="96" t="s">
        <v>52</v>
      </c>
      <c r="D1963" s="179" t="s">
        <v>2334</v>
      </c>
      <c r="E1963" s="180"/>
      <c r="F1963" s="97" t="s">
        <v>32</v>
      </c>
      <c r="G1963" s="97" t="s">
        <v>32</v>
      </c>
      <c r="H1963" s="98"/>
      <c r="I1963" s="99">
        <f>I1964+I1981+I1994+I2030+I2041+I2050+I2144+I2155+I2165+I2168</f>
        <v>0</v>
      </c>
      <c r="J1963" s="99">
        <f>J1964+J1981+J1994+J2030+J2041+J2050+J2144+J2155+J2165+J2168</f>
        <v>0</v>
      </c>
      <c r="K1963" s="99">
        <f>K1964+K1981+K1994+K2030+K2041+K2050+K2144+K2155+K2165+K2168</f>
        <v>0</v>
      </c>
      <c r="L1963" s="100" t="s">
        <v>52</v>
      </c>
      <c r="M1963" s="99">
        <f>M1964+M1981+M1994+M2030+M2041+M2050+M2144+M2155+M2165+M2168</f>
        <v>7.575098552600001</v>
      </c>
      <c r="N1963" s="101"/>
    </row>
    <row r="1964" spans="1:74" ht="14.4" x14ac:dyDescent="0.3">
      <c r="A1964" s="21" t="s">
        <v>52</v>
      </c>
      <c r="B1964" s="22" t="s">
        <v>2333</v>
      </c>
      <c r="C1964" s="22" t="s">
        <v>175</v>
      </c>
      <c r="D1964" s="170" t="s">
        <v>2335</v>
      </c>
      <c r="E1964" s="171"/>
      <c r="F1964" s="23" t="s">
        <v>32</v>
      </c>
      <c r="G1964" s="23" t="s">
        <v>32</v>
      </c>
      <c r="H1964" s="64"/>
      <c r="I1964" s="1">
        <f>SUM(I1965:I1980)</f>
        <v>0</v>
      </c>
      <c r="J1964" s="1">
        <f>SUM(J1965:J1980)</f>
        <v>0</v>
      </c>
      <c r="K1964" s="1">
        <f>SUM(K1965:K1980)</f>
        <v>0</v>
      </c>
      <c r="L1964" s="10" t="s">
        <v>52</v>
      </c>
      <c r="M1964" s="1">
        <f>SUM(M1965:M1980)</f>
        <v>4.6410000000000007E-2</v>
      </c>
      <c r="N1964" s="24"/>
      <c r="AG1964" s="10" t="s">
        <v>2333</v>
      </c>
      <c r="AQ1964" s="1">
        <f>SUM(AH1965:AH1980)</f>
        <v>0</v>
      </c>
      <c r="AR1964" s="1">
        <f>SUM(AI1965:AI1980)</f>
        <v>0</v>
      </c>
      <c r="AS1964" s="1">
        <f>SUM(AJ1965:AJ1980)</f>
        <v>0</v>
      </c>
    </row>
    <row r="1965" spans="1:74" ht="14.4" x14ac:dyDescent="0.3">
      <c r="A1965" s="2" t="s">
        <v>2336</v>
      </c>
      <c r="B1965" s="3" t="s">
        <v>2333</v>
      </c>
      <c r="C1965" s="3" t="s">
        <v>2337</v>
      </c>
      <c r="D1965" s="112" t="s">
        <v>2338</v>
      </c>
      <c r="E1965" s="109"/>
      <c r="F1965" s="3" t="s">
        <v>122</v>
      </c>
      <c r="G1965" s="25">
        <v>1</v>
      </c>
      <c r="H1965" s="62"/>
      <c r="I1965" s="25">
        <f t="shared" ref="I1965:I1970" si="122">ROUND(G1965*AM1965,2)</f>
        <v>0</v>
      </c>
      <c r="J1965" s="25">
        <f t="shared" ref="J1965:J1970" si="123">ROUND(G1965*AN1965,2)</f>
        <v>0</v>
      </c>
      <c r="K1965" s="25">
        <f t="shared" ref="K1965:K1970" si="124">ROUND(G1965*H1965,2)</f>
        <v>0</v>
      </c>
      <c r="L1965" s="25">
        <v>0</v>
      </c>
      <c r="M1965" s="25">
        <f t="shared" ref="M1965:M1970" si="125">G1965*L1965</f>
        <v>0</v>
      </c>
      <c r="N1965" s="26"/>
      <c r="X1965" s="25">
        <f t="shared" ref="X1965:X1970" si="126">ROUND(IF(AO1965="5",BH1965,0),2)</f>
        <v>0</v>
      </c>
      <c r="Z1965" s="25">
        <f t="shared" ref="Z1965:Z1970" si="127">ROUND(IF(AO1965="1",BF1965,0),2)</f>
        <v>0</v>
      </c>
      <c r="AA1965" s="25">
        <f t="shared" ref="AA1965:AA1970" si="128">ROUND(IF(AO1965="1",BG1965,0),2)</f>
        <v>0</v>
      </c>
      <c r="AB1965" s="25">
        <f t="shared" ref="AB1965:AB1970" si="129">ROUND(IF(AO1965="7",BF1965,0),2)</f>
        <v>0</v>
      </c>
      <c r="AC1965" s="25">
        <f t="shared" ref="AC1965:AC1970" si="130">ROUND(IF(AO1965="7",BG1965,0),2)</f>
        <v>0</v>
      </c>
      <c r="AD1965" s="25">
        <f t="shared" ref="AD1965:AD1970" si="131">ROUND(IF(AO1965="2",BF1965,0),2)</f>
        <v>0</v>
      </c>
      <c r="AE1965" s="25">
        <f t="shared" ref="AE1965:AE1970" si="132">ROUND(IF(AO1965="2",BG1965,0),2)</f>
        <v>0</v>
      </c>
      <c r="AF1965" s="25">
        <f t="shared" ref="AF1965:AF1970" si="133">ROUND(IF(AO1965="0",BH1965,0),2)</f>
        <v>0</v>
      </c>
      <c r="AG1965" s="10" t="s">
        <v>2333</v>
      </c>
      <c r="AH1965" s="25">
        <f t="shared" ref="AH1965:AH1970" si="134">IF(AL1965=0,K1965,0)</f>
        <v>0</v>
      </c>
      <c r="AI1965" s="25">
        <f t="shared" ref="AI1965:AI1970" si="135">IF(AL1965=12,K1965,0)</f>
        <v>0</v>
      </c>
      <c r="AJ1965" s="25">
        <f t="shared" ref="AJ1965:AJ1970" si="136">IF(AL1965=21,K1965,0)</f>
        <v>0</v>
      </c>
      <c r="AL1965" s="25">
        <v>21</v>
      </c>
      <c r="AM1965" s="25">
        <f>H1965*0</f>
        <v>0</v>
      </c>
      <c r="AN1965" s="25">
        <f>H1965*(1-0)</f>
        <v>0</v>
      </c>
      <c r="AO1965" s="27" t="s">
        <v>57</v>
      </c>
      <c r="AT1965" s="25">
        <f t="shared" ref="AT1965:AT1970" si="137">ROUND(AU1965+AV1965,2)</f>
        <v>0</v>
      </c>
      <c r="AU1965" s="25">
        <f t="shared" ref="AU1965:AU1970" si="138">ROUND(G1965*AM1965,2)</f>
        <v>0</v>
      </c>
      <c r="AV1965" s="25">
        <f t="shared" ref="AV1965:AV1970" si="139">ROUND(G1965*AN1965,2)</f>
        <v>0</v>
      </c>
      <c r="AW1965" s="27" t="s">
        <v>2339</v>
      </c>
      <c r="AX1965" s="27" t="s">
        <v>2340</v>
      </c>
      <c r="AY1965" s="10" t="s">
        <v>2341</v>
      </c>
      <c r="BA1965" s="25">
        <f t="shared" ref="BA1965:BA1970" si="140">AU1965+AV1965</f>
        <v>0</v>
      </c>
      <c r="BB1965" s="25">
        <f t="shared" ref="BB1965:BB1970" si="141">H1965/(100-BC1965)*100</f>
        <v>0</v>
      </c>
      <c r="BC1965" s="25">
        <v>0</v>
      </c>
      <c r="BD1965" s="25">
        <f t="shared" ref="BD1965:BD1970" si="142">M1965</f>
        <v>0</v>
      </c>
      <c r="BF1965" s="25">
        <f t="shared" ref="BF1965:BF1970" si="143">G1965*AM1965</f>
        <v>0</v>
      </c>
      <c r="BG1965" s="25">
        <f t="shared" ref="BG1965:BG1970" si="144">G1965*AN1965</f>
        <v>0</v>
      </c>
      <c r="BH1965" s="25">
        <f t="shared" ref="BH1965:BH1970" si="145">G1965*H1965</f>
        <v>0</v>
      </c>
      <c r="BI1965" s="27" t="s">
        <v>65</v>
      </c>
      <c r="BJ1965" s="25">
        <v>16</v>
      </c>
      <c r="BU1965" s="25" t="e">
        <f>#REF!</f>
        <v>#REF!</v>
      </c>
      <c r="BV1965" s="4" t="s">
        <v>2338</v>
      </c>
    </row>
    <row r="1966" spans="1:74" ht="14.4" x14ac:dyDescent="0.3">
      <c r="A1966" s="2" t="s">
        <v>2342</v>
      </c>
      <c r="B1966" s="3" t="s">
        <v>2333</v>
      </c>
      <c r="C1966" s="3" t="s">
        <v>2343</v>
      </c>
      <c r="D1966" s="112" t="s">
        <v>2344</v>
      </c>
      <c r="E1966" s="109"/>
      <c r="F1966" s="3" t="s">
        <v>122</v>
      </c>
      <c r="G1966" s="25">
        <v>2</v>
      </c>
      <c r="H1966" s="62"/>
      <c r="I1966" s="25">
        <f t="shared" si="122"/>
        <v>0</v>
      </c>
      <c r="J1966" s="25">
        <f t="shared" si="123"/>
        <v>0</v>
      </c>
      <c r="K1966" s="25">
        <f t="shared" si="124"/>
        <v>0</v>
      </c>
      <c r="L1966" s="25">
        <v>0</v>
      </c>
      <c r="M1966" s="25">
        <f t="shared" si="125"/>
        <v>0</v>
      </c>
      <c r="N1966" s="26"/>
      <c r="X1966" s="25">
        <f t="shared" si="126"/>
        <v>0</v>
      </c>
      <c r="Z1966" s="25">
        <f t="shared" si="127"/>
        <v>0</v>
      </c>
      <c r="AA1966" s="25">
        <f t="shared" si="128"/>
        <v>0</v>
      </c>
      <c r="AB1966" s="25">
        <f t="shared" si="129"/>
        <v>0</v>
      </c>
      <c r="AC1966" s="25">
        <f t="shared" si="130"/>
        <v>0</v>
      </c>
      <c r="AD1966" s="25">
        <f t="shared" si="131"/>
        <v>0</v>
      </c>
      <c r="AE1966" s="25">
        <f t="shared" si="132"/>
        <v>0</v>
      </c>
      <c r="AF1966" s="25">
        <f t="shared" si="133"/>
        <v>0</v>
      </c>
      <c r="AG1966" s="10" t="s">
        <v>2333</v>
      </c>
      <c r="AH1966" s="25">
        <f t="shared" si="134"/>
        <v>0</v>
      </c>
      <c r="AI1966" s="25">
        <f t="shared" si="135"/>
        <v>0</v>
      </c>
      <c r="AJ1966" s="25">
        <f t="shared" si="136"/>
        <v>0</v>
      </c>
      <c r="AL1966" s="25">
        <v>21</v>
      </c>
      <c r="AM1966" s="25">
        <f>H1966*0</f>
        <v>0</v>
      </c>
      <c r="AN1966" s="25">
        <f>H1966*(1-0)</f>
        <v>0</v>
      </c>
      <c r="AO1966" s="27" t="s">
        <v>57</v>
      </c>
      <c r="AT1966" s="25">
        <f t="shared" si="137"/>
        <v>0</v>
      </c>
      <c r="AU1966" s="25">
        <f t="shared" si="138"/>
        <v>0</v>
      </c>
      <c r="AV1966" s="25">
        <f t="shared" si="139"/>
        <v>0</v>
      </c>
      <c r="AW1966" s="27" t="s">
        <v>2339</v>
      </c>
      <c r="AX1966" s="27" t="s">
        <v>2340</v>
      </c>
      <c r="AY1966" s="10" t="s">
        <v>2341</v>
      </c>
      <c r="BA1966" s="25">
        <f t="shared" si="140"/>
        <v>0</v>
      </c>
      <c r="BB1966" s="25">
        <f t="shared" si="141"/>
        <v>0</v>
      </c>
      <c r="BC1966" s="25">
        <v>0</v>
      </c>
      <c r="BD1966" s="25">
        <f t="shared" si="142"/>
        <v>0</v>
      </c>
      <c r="BF1966" s="25">
        <f t="shared" si="143"/>
        <v>0</v>
      </c>
      <c r="BG1966" s="25">
        <f t="shared" si="144"/>
        <v>0</v>
      </c>
      <c r="BH1966" s="25">
        <f t="shared" si="145"/>
        <v>0</v>
      </c>
      <c r="BI1966" s="27" t="s">
        <v>65</v>
      </c>
      <c r="BJ1966" s="25">
        <v>16</v>
      </c>
      <c r="BU1966" s="25" t="e">
        <f>#REF!</f>
        <v>#REF!</v>
      </c>
      <c r="BV1966" s="4" t="s">
        <v>2344</v>
      </c>
    </row>
    <row r="1967" spans="1:74" ht="14.4" x14ac:dyDescent="0.3">
      <c r="A1967" s="2" t="s">
        <v>2345</v>
      </c>
      <c r="B1967" s="3" t="s">
        <v>2333</v>
      </c>
      <c r="C1967" s="3" t="s">
        <v>2346</v>
      </c>
      <c r="D1967" s="112" t="s">
        <v>2347</v>
      </c>
      <c r="E1967" s="109"/>
      <c r="F1967" s="3" t="s">
        <v>122</v>
      </c>
      <c r="G1967" s="25">
        <v>5</v>
      </c>
      <c r="H1967" s="62"/>
      <c r="I1967" s="25">
        <f t="shared" si="122"/>
        <v>0</v>
      </c>
      <c r="J1967" s="25">
        <f t="shared" si="123"/>
        <v>0</v>
      </c>
      <c r="K1967" s="25">
        <f t="shared" si="124"/>
        <v>0</v>
      </c>
      <c r="L1967" s="25">
        <v>0</v>
      </c>
      <c r="M1967" s="25">
        <f t="shared" si="125"/>
        <v>0</v>
      </c>
      <c r="N1967" s="26"/>
      <c r="X1967" s="25">
        <f t="shared" si="126"/>
        <v>0</v>
      </c>
      <c r="Z1967" s="25">
        <f t="shared" si="127"/>
        <v>0</v>
      </c>
      <c r="AA1967" s="25">
        <f t="shared" si="128"/>
        <v>0</v>
      </c>
      <c r="AB1967" s="25">
        <f t="shared" si="129"/>
        <v>0</v>
      </c>
      <c r="AC1967" s="25">
        <f t="shared" si="130"/>
        <v>0</v>
      </c>
      <c r="AD1967" s="25">
        <f t="shared" si="131"/>
        <v>0</v>
      </c>
      <c r="AE1967" s="25">
        <f t="shared" si="132"/>
        <v>0</v>
      </c>
      <c r="AF1967" s="25">
        <f t="shared" si="133"/>
        <v>0</v>
      </c>
      <c r="AG1967" s="10" t="s">
        <v>2333</v>
      </c>
      <c r="AH1967" s="25">
        <f t="shared" si="134"/>
        <v>0</v>
      </c>
      <c r="AI1967" s="25">
        <f t="shared" si="135"/>
        <v>0</v>
      </c>
      <c r="AJ1967" s="25">
        <f t="shared" si="136"/>
        <v>0</v>
      </c>
      <c r="AL1967" s="25">
        <v>21</v>
      </c>
      <c r="AM1967" s="25">
        <f>H1967*0</f>
        <v>0</v>
      </c>
      <c r="AN1967" s="25">
        <f>H1967*(1-0)</f>
        <v>0</v>
      </c>
      <c r="AO1967" s="27" t="s">
        <v>57</v>
      </c>
      <c r="AT1967" s="25">
        <f t="shared" si="137"/>
        <v>0</v>
      </c>
      <c r="AU1967" s="25">
        <f t="shared" si="138"/>
        <v>0</v>
      </c>
      <c r="AV1967" s="25">
        <f t="shared" si="139"/>
        <v>0</v>
      </c>
      <c r="AW1967" s="27" t="s">
        <v>2339</v>
      </c>
      <c r="AX1967" s="27" t="s">
        <v>2340</v>
      </c>
      <c r="AY1967" s="10" t="s">
        <v>2341</v>
      </c>
      <c r="BA1967" s="25">
        <f t="shared" si="140"/>
        <v>0</v>
      </c>
      <c r="BB1967" s="25">
        <f t="shared" si="141"/>
        <v>0</v>
      </c>
      <c r="BC1967" s="25">
        <v>0</v>
      </c>
      <c r="BD1967" s="25">
        <f t="shared" si="142"/>
        <v>0</v>
      </c>
      <c r="BF1967" s="25">
        <f t="shared" si="143"/>
        <v>0</v>
      </c>
      <c r="BG1967" s="25">
        <f t="shared" si="144"/>
        <v>0</v>
      </c>
      <c r="BH1967" s="25">
        <f t="shared" si="145"/>
        <v>0</v>
      </c>
      <c r="BI1967" s="27" t="s">
        <v>65</v>
      </c>
      <c r="BJ1967" s="25">
        <v>16</v>
      </c>
      <c r="BU1967" s="25" t="e">
        <f>#REF!</f>
        <v>#REF!</v>
      </c>
      <c r="BV1967" s="4" t="s">
        <v>2347</v>
      </c>
    </row>
    <row r="1968" spans="1:74" ht="14.4" x14ac:dyDescent="0.3">
      <c r="A1968" s="2" t="s">
        <v>2348</v>
      </c>
      <c r="B1968" s="3" t="s">
        <v>2333</v>
      </c>
      <c r="C1968" s="3" t="s">
        <v>2349</v>
      </c>
      <c r="D1968" s="112" t="s">
        <v>2350</v>
      </c>
      <c r="E1968" s="109"/>
      <c r="F1968" s="3" t="s">
        <v>122</v>
      </c>
      <c r="G1968" s="25">
        <v>5</v>
      </c>
      <c r="H1968" s="62"/>
      <c r="I1968" s="25">
        <f t="shared" si="122"/>
        <v>0</v>
      </c>
      <c r="J1968" s="25">
        <f t="shared" si="123"/>
        <v>0</v>
      </c>
      <c r="K1968" s="25">
        <f t="shared" si="124"/>
        <v>0</v>
      </c>
      <c r="L1968" s="25">
        <v>0</v>
      </c>
      <c r="M1968" s="25">
        <f t="shared" si="125"/>
        <v>0</v>
      </c>
      <c r="N1968" s="26"/>
      <c r="X1968" s="25">
        <f t="shared" si="126"/>
        <v>0</v>
      </c>
      <c r="Z1968" s="25">
        <f t="shared" si="127"/>
        <v>0</v>
      </c>
      <c r="AA1968" s="25">
        <f t="shared" si="128"/>
        <v>0</v>
      </c>
      <c r="AB1968" s="25">
        <f t="shared" si="129"/>
        <v>0</v>
      </c>
      <c r="AC1968" s="25">
        <f t="shared" si="130"/>
        <v>0</v>
      </c>
      <c r="AD1968" s="25">
        <f t="shared" si="131"/>
        <v>0</v>
      </c>
      <c r="AE1968" s="25">
        <f t="shared" si="132"/>
        <v>0</v>
      </c>
      <c r="AF1968" s="25">
        <f t="shared" si="133"/>
        <v>0</v>
      </c>
      <c r="AG1968" s="10" t="s">
        <v>2333</v>
      </c>
      <c r="AH1968" s="25">
        <f t="shared" si="134"/>
        <v>0</v>
      </c>
      <c r="AI1968" s="25">
        <f t="shared" si="135"/>
        <v>0</v>
      </c>
      <c r="AJ1968" s="25">
        <f t="shared" si="136"/>
        <v>0</v>
      </c>
      <c r="AL1968" s="25">
        <v>21</v>
      </c>
      <c r="AM1968" s="25">
        <f>H1968*0</f>
        <v>0</v>
      </c>
      <c r="AN1968" s="25">
        <f>H1968*(1-0)</f>
        <v>0</v>
      </c>
      <c r="AO1968" s="27" t="s">
        <v>57</v>
      </c>
      <c r="AT1968" s="25">
        <f t="shared" si="137"/>
        <v>0</v>
      </c>
      <c r="AU1968" s="25">
        <f t="shared" si="138"/>
        <v>0</v>
      </c>
      <c r="AV1968" s="25">
        <f t="shared" si="139"/>
        <v>0</v>
      </c>
      <c r="AW1968" s="27" t="s">
        <v>2339</v>
      </c>
      <c r="AX1968" s="27" t="s">
        <v>2340</v>
      </c>
      <c r="AY1968" s="10" t="s">
        <v>2341</v>
      </c>
      <c r="BA1968" s="25">
        <f t="shared" si="140"/>
        <v>0</v>
      </c>
      <c r="BB1968" s="25">
        <f t="shared" si="141"/>
        <v>0</v>
      </c>
      <c r="BC1968" s="25">
        <v>0</v>
      </c>
      <c r="BD1968" s="25">
        <f t="shared" si="142"/>
        <v>0</v>
      </c>
      <c r="BF1968" s="25">
        <f t="shared" si="143"/>
        <v>0</v>
      </c>
      <c r="BG1968" s="25">
        <f t="shared" si="144"/>
        <v>0</v>
      </c>
      <c r="BH1968" s="25">
        <f t="shared" si="145"/>
        <v>0</v>
      </c>
      <c r="BI1968" s="27" t="s">
        <v>65</v>
      </c>
      <c r="BJ1968" s="25">
        <v>16</v>
      </c>
      <c r="BU1968" s="25" t="e">
        <f>#REF!</f>
        <v>#REF!</v>
      </c>
      <c r="BV1968" s="4" t="s">
        <v>2350</v>
      </c>
    </row>
    <row r="1969" spans="1:74" ht="14.4" x14ac:dyDescent="0.3">
      <c r="A1969" s="2" t="s">
        <v>2351</v>
      </c>
      <c r="B1969" s="3" t="s">
        <v>2333</v>
      </c>
      <c r="C1969" s="3" t="s">
        <v>2352</v>
      </c>
      <c r="D1969" s="112" t="s">
        <v>2353</v>
      </c>
      <c r="E1969" s="109"/>
      <c r="F1969" s="3" t="s">
        <v>122</v>
      </c>
      <c r="G1969" s="25">
        <v>1</v>
      </c>
      <c r="H1969" s="62"/>
      <c r="I1969" s="25">
        <f t="shared" si="122"/>
        <v>0</v>
      </c>
      <c r="J1969" s="25">
        <f t="shared" si="123"/>
        <v>0</v>
      </c>
      <c r="K1969" s="25">
        <f t="shared" si="124"/>
        <v>0</v>
      </c>
      <c r="L1969" s="25">
        <v>0</v>
      </c>
      <c r="M1969" s="25">
        <f t="shared" si="125"/>
        <v>0</v>
      </c>
      <c r="N1969" s="26"/>
      <c r="X1969" s="25">
        <f t="shared" si="126"/>
        <v>0</v>
      </c>
      <c r="Z1969" s="25">
        <f t="shared" si="127"/>
        <v>0</v>
      </c>
      <c r="AA1969" s="25">
        <f t="shared" si="128"/>
        <v>0</v>
      </c>
      <c r="AB1969" s="25">
        <f t="shared" si="129"/>
        <v>0</v>
      </c>
      <c r="AC1969" s="25">
        <f t="shared" si="130"/>
        <v>0</v>
      </c>
      <c r="AD1969" s="25">
        <f t="shared" si="131"/>
        <v>0</v>
      </c>
      <c r="AE1969" s="25">
        <f t="shared" si="132"/>
        <v>0</v>
      </c>
      <c r="AF1969" s="25">
        <f t="shared" si="133"/>
        <v>0</v>
      </c>
      <c r="AG1969" s="10" t="s">
        <v>2333</v>
      </c>
      <c r="AH1969" s="25">
        <f t="shared" si="134"/>
        <v>0</v>
      </c>
      <c r="AI1969" s="25">
        <f t="shared" si="135"/>
        <v>0</v>
      </c>
      <c r="AJ1969" s="25">
        <f t="shared" si="136"/>
        <v>0</v>
      </c>
      <c r="AL1969" s="25">
        <v>21</v>
      </c>
      <c r="AM1969" s="25">
        <f>H1969*0</f>
        <v>0</v>
      </c>
      <c r="AN1969" s="25">
        <f>H1969*(1-0)</f>
        <v>0</v>
      </c>
      <c r="AO1969" s="27" t="s">
        <v>57</v>
      </c>
      <c r="AT1969" s="25">
        <f t="shared" si="137"/>
        <v>0</v>
      </c>
      <c r="AU1969" s="25">
        <f t="shared" si="138"/>
        <v>0</v>
      </c>
      <c r="AV1969" s="25">
        <f t="shared" si="139"/>
        <v>0</v>
      </c>
      <c r="AW1969" s="27" t="s">
        <v>2339</v>
      </c>
      <c r="AX1969" s="27" t="s">
        <v>2340</v>
      </c>
      <c r="AY1969" s="10" t="s">
        <v>2341</v>
      </c>
      <c r="BA1969" s="25">
        <f t="shared" si="140"/>
        <v>0</v>
      </c>
      <c r="BB1969" s="25">
        <f t="shared" si="141"/>
        <v>0</v>
      </c>
      <c r="BC1969" s="25">
        <v>0</v>
      </c>
      <c r="BD1969" s="25">
        <f t="shared" si="142"/>
        <v>0</v>
      </c>
      <c r="BF1969" s="25">
        <f t="shared" si="143"/>
        <v>0</v>
      </c>
      <c r="BG1969" s="25">
        <f t="shared" si="144"/>
        <v>0</v>
      </c>
      <c r="BH1969" s="25">
        <f t="shared" si="145"/>
        <v>0</v>
      </c>
      <c r="BI1969" s="27" t="s">
        <v>65</v>
      </c>
      <c r="BJ1969" s="25">
        <v>16</v>
      </c>
      <c r="BU1969" s="25" t="e">
        <f>#REF!</f>
        <v>#REF!</v>
      </c>
      <c r="BV1969" s="4" t="s">
        <v>2353</v>
      </c>
    </row>
    <row r="1970" spans="1:74" ht="14.4" x14ac:dyDescent="0.3">
      <c r="A1970" s="2" t="s">
        <v>2354</v>
      </c>
      <c r="B1970" s="3" t="s">
        <v>2333</v>
      </c>
      <c r="C1970" s="3" t="s">
        <v>2355</v>
      </c>
      <c r="D1970" s="112" t="s">
        <v>2356</v>
      </c>
      <c r="E1970" s="109"/>
      <c r="F1970" s="3" t="s">
        <v>122</v>
      </c>
      <c r="G1970" s="25">
        <v>2</v>
      </c>
      <c r="H1970" s="62"/>
      <c r="I1970" s="25">
        <f t="shared" si="122"/>
        <v>0</v>
      </c>
      <c r="J1970" s="25">
        <f t="shared" si="123"/>
        <v>0</v>
      </c>
      <c r="K1970" s="25">
        <f t="shared" si="124"/>
        <v>0</v>
      </c>
      <c r="L1970" s="25">
        <v>1.1000000000000001E-3</v>
      </c>
      <c r="M1970" s="25">
        <f t="shared" si="125"/>
        <v>2.2000000000000001E-3</v>
      </c>
      <c r="N1970" s="26"/>
      <c r="X1970" s="25">
        <f t="shared" si="126"/>
        <v>0</v>
      </c>
      <c r="Z1970" s="25">
        <f t="shared" si="127"/>
        <v>0</v>
      </c>
      <c r="AA1970" s="25">
        <f t="shared" si="128"/>
        <v>0</v>
      </c>
      <c r="AB1970" s="25">
        <f t="shared" si="129"/>
        <v>0</v>
      </c>
      <c r="AC1970" s="25">
        <f t="shared" si="130"/>
        <v>0</v>
      </c>
      <c r="AD1970" s="25">
        <f t="shared" si="131"/>
        <v>0</v>
      </c>
      <c r="AE1970" s="25">
        <f t="shared" si="132"/>
        <v>0</v>
      </c>
      <c r="AF1970" s="25">
        <f t="shared" si="133"/>
        <v>0</v>
      </c>
      <c r="AG1970" s="10" t="s">
        <v>2333</v>
      </c>
      <c r="AH1970" s="25">
        <f t="shared" si="134"/>
        <v>0</v>
      </c>
      <c r="AI1970" s="25">
        <f t="shared" si="135"/>
        <v>0</v>
      </c>
      <c r="AJ1970" s="25">
        <f t="shared" si="136"/>
        <v>0</v>
      </c>
      <c r="AL1970" s="25">
        <v>21</v>
      </c>
      <c r="AM1970" s="25">
        <f>H1970*1</f>
        <v>0</v>
      </c>
      <c r="AN1970" s="25">
        <f>H1970*(1-1)</f>
        <v>0</v>
      </c>
      <c r="AO1970" s="27" t="s">
        <v>57</v>
      </c>
      <c r="AT1970" s="25">
        <f t="shared" si="137"/>
        <v>0</v>
      </c>
      <c r="AU1970" s="25">
        <f t="shared" si="138"/>
        <v>0</v>
      </c>
      <c r="AV1970" s="25">
        <f t="shared" si="139"/>
        <v>0</v>
      </c>
      <c r="AW1970" s="27" t="s">
        <v>2339</v>
      </c>
      <c r="AX1970" s="27" t="s">
        <v>2340</v>
      </c>
      <c r="AY1970" s="10" t="s">
        <v>2341</v>
      </c>
      <c r="BA1970" s="25">
        <f t="shared" si="140"/>
        <v>0</v>
      </c>
      <c r="BB1970" s="25">
        <f t="shared" si="141"/>
        <v>0</v>
      </c>
      <c r="BC1970" s="25">
        <v>0</v>
      </c>
      <c r="BD1970" s="25">
        <f t="shared" si="142"/>
        <v>2.2000000000000001E-3</v>
      </c>
      <c r="BF1970" s="25">
        <f t="shared" si="143"/>
        <v>0</v>
      </c>
      <c r="BG1970" s="25">
        <f t="shared" si="144"/>
        <v>0</v>
      </c>
      <c r="BH1970" s="25">
        <f t="shared" si="145"/>
        <v>0</v>
      </c>
      <c r="BI1970" s="27" t="s">
        <v>576</v>
      </c>
      <c r="BJ1970" s="25">
        <v>16</v>
      </c>
      <c r="BU1970" s="25" t="e">
        <f>#REF!</f>
        <v>#REF!</v>
      </c>
      <c r="BV1970" s="4" t="s">
        <v>2356</v>
      </c>
    </row>
    <row r="1971" spans="1:74" ht="14.4" x14ac:dyDescent="0.3">
      <c r="A1971" s="28"/>
      <c r="D1971" s="29" t="s">
        <v>81</v>
      </c>
      <c r="E1971" s="29" t="s">
        <v>52</v>
      </c>
      <c r="G1971" s="30">
        <v>2</v>
      </c>
      <c r="H1971" s="63"/>
      <c r="N1971" s="31"/>
    </row>
    <row r="1972" spans="1:74" ht="14.4" x14ac:dyDescent="0.3">
      <c r="A1972" s="2" t="s">
        <v>2357</v>
      </c>
      <c r="B1972" s="3" t="s">
        <v>2333</v>
      </c>
      <c r="C1972" s="3" t="s">
        <v>2358</v>
      </c>
      <c r="D1972" s="112" t="s">
        <v>2359</v>
      </c>
      <c r="E1972" s="109"/>
      <c r="F1972" s="3" t="s">
        <v>122</v>
      </c>
      <c r="G1972" s="25">
        <v>4</v>
      </c>
      <c r="H1972" s="62"/>
      <c r="I1972" s="25">
        <f>ROUND(G1972*AM1972,2)</f>
        <v>0</v>
      </c>
      <c r="J1972" s="25">
        <f>ROUND(G1972*AN1972,2)</f>
        <v>0</v>
      </c>
      <c r="K1972" s="25">
        <f>ROUND(G1972*H1972,2)</f>
        <v>0</v>
      </c>
      <c r="L1972" s="25">
        <v>1.99E-3</v>
      </c>
      <c r="M1972" s="25">
        <f>G1972*L1972</f>
        <v>7.9600000000000001E-3</v>
      </c>
      <c r="N1972" s="26"/>
      <c r="X1972" s="25">
        <f>ROUND(IF(AO1972="5",BH1972,0),2)</f>
        <v>0</v>
      </c>
      <c r="Z1972" s="25">
        <f>ROUND(IF(AO1972="1",BF1972,0),2)</f>
        <v>0</v>
      </c>
      <c r="AA1972" s="25">
        <f>ROUND(IF(AO1972="1",BG1972,0),2)</f>
        <v>0</v>
      </c>
      <c r="AB1972" s="25">
        <f>ROUND(IF(AO1972="7",BF1972,0),2)</f>
        <v>0</v>
      </c>
      <c r="AC1972" s="25">
        <f>ROUND(IF(AO1972="7",BG1972,0),2)</f>
        <v>0</v>
      </c>
      <c r="AD1972" s="25">
        <f>ROUND(IF(AO1972="2",BF1972,0),2)</f>
        <v>0</v>
      </c>
      <c r="AE1972" s="25">
        <f>ROUND(IF(AO1972="2",BG1972,0),2)</f>
        <v>0</v>
      </c>
      <c r="AF1972" s="25">
        <f>ROUND(IF(AO1972="0",BH1972,0),2)</f>
        <v>0</v>
      </c>
      <c r="AG1972" s="10" t="s">
        <v>2333</v>
      </c>
      <c r="AH1972" s="25">
        <f>IF(AL1972=0,K1972,0)</f>
        <v>0</v>
      </c>
      <c r="AI1972" s="25">
        <f>IF(AL1972=12,K1972,0)</f>
        <v>0</v>
      </c>
      <c r="AJ1972" s="25">
        <f>IF(AL1972=21,K1972,0)</f>
        <v>0</v>
      </c>
      <c r="AL1972" s="25">
        <v>21</v>
      </c>
      <c r="AM1972" s="25">
        <f>H1972*1</f>
        <v>0</v>
      </c>
      <c r="AN1972" s="25">
        <f>H1972*(1-1)</f>
        <v>0</v>
      </c>
      <c r="AO1972" s="27" t="s">
        <v>57</v>
      </c>
      <c r="AT1972" s="25">
        <f>ROUND(AU1972+AV1972,2)</f>
        <v>0</v>
      </c>
      <c r="AU1972" s="25">
        <f>ROUND(G1972*AM1972,2)</f>
        <v>0</v>
      </c>
      <c r="AV1972" s="25">
        <f>ROUND(G1972*AN1972,2)</f>
        <v>0</v>
      </c>
      <c r="AW1972" s="27" t="s">
        <v>2339</v>
      </c>
      <c r="AX1972" s="27" t="s">
        <v>2340</v>
      </c>
      <c r="AY1972" s="10" t="s">
        <v>2341</v>
      </c>
      <c r="BA1972" s="25">
        <f>AU1972+AV1972</f>
        <v>0</v>
      </c>
      <c r="BB1972" s="25">
        <f>H1972/(100-BC1972)*100</f>
        <v>0</v>
      </c>
      <c r="BC1972" s="25">
        <v>0</v>
      </c>
      <c r="BD1972" s="25">
        <f>M1972</f>
        <v>7.9600000000000001E-3</v>
      </c>
      <c r="BF1972" s="25">
        <f>G1972*AM1972</f>
        <v>0</v>
      </c>
      <c r="BG1972" s="25">
        <f>G1972*AN1972</f>
        <v>0</v>
      </c>
      <c r="BH1972" s="25">
        <f>G1972*H1972</f>
        <v>0</v>
      </c>
      <c r="BI1972" s="27" t="s">
        <v>576</v>
      </c>
      <c r="BJ1972" s="25">
        <v>16</v>
      </c>
      <c r="BU1972" s="25" t="e">
        <f>#REF!</f>
        <v>#REF!</v>
      </c>
      <c r="BV1972" s="4" t="s">
        <v>2359</v>
      </c>
    </row>
    <row r="1973" spans="1:74" ht="14.4" x14ac:dyDescent="0.3">
      <c r="A1973" s="28"/>
      <c r="D1973" s="29" t="s">
        <v>90</v>
      </c>
      <c r="E1973" s="29" t="s">
        <v>52</v>
      </c>
      <c r="G1973" s="30">
        <v>4</v>
      </c>
      <c r="H1973" s="63"/>
      <c r="N1973" s="31"/>
    </row>
    <row r="1974" spans="1:74" ht="14.4" x14ac:dyDescent="0.3">
      <c r="A1974" s="2" t="s">
        <v>2360</v>
      </c>
      <c r="B1974" s="3" t="s">
        <v>2333</v>
      </c>
      <c r="C1974" s="3" t="s">
        <v>2361</v>
      </c>
      <c r="D1974" s="112" t="s">
        <v>2362</v>
      </c>
      <c r="E1974" s="109"/>
      <c r="F1974" s="3" t="s">
        <v>122</v>
      </c>
      <c r="G1974" s="25">
        <v>1</v>
      </c>
      <c r="H1974" s="62"/>
      <c r="I1974" s="25">
        <f>ROUND(G1974*AM1974,2)</f>
        <v>0</v>
      </c>
      <c r="J1974" s="25">
        <f>ROUND(G1974*AN1974,2)</f>
        <v>0</v>
      </c>
      <c r="K1974" s="25">
        <f>ROUND(G1974*H1974,2)</f>
        <v>0</v>
      </c>
      <c r="L1974" s="25">
        <v>2.2499999999999998E-3</v>
      </c>
      <c r="M1974" s="25">
        <f>G1974*L1974</f>
        <v>2.2499999999999998E-3</v>
      </c>
      <c r="N1974" s="26"/>
      <c r="X1974" s="25">
        <f>ROUND(IF(AO1974="5",BH1974,0),2)</f>
        <v>0</v>
      </c>
      <c r="Z1974" s="25">
        <f>ROUND(IF(AO1974="1",BF1974,0),2)</f>
        <v>0</v>
      </c>
      <c r="AA1974" s="25">
        <f>ROUND(IF(AO1974="1",BG1974,0),2)</f>
        <v>0</v>
      </c>
      <c r="AB1974" s="25">
        <f>ROUND(IF(AO1974="7",BF1974,0),2)</f>
        <v>0</v>
      </c>
      <c r="AC1974" s="25">
        <f>ROUND(IF(AO1974="7",BG1974,0),2)</f>
        <v>0</v>
      </c>
      <c r="AD1974" s="25">
        <f>ROUND(IF(AO1974="2",BF1974,0),2)</f>
        <v>0</v>
      </c>
      <c r="AE1974" s="25">
        <f>ROUND(IF(AO1974="2",BG1974,0),2)</f>
        <v>0</v>
      </c>
      <c r="AF1974" s="25">
        <f>ROUND(IF(AO1974="0",BH1974,0),2)</f>
        <v>0</v>
      </c>
      <c r="AG1974" s="10" t="s">
        <v>2333</v>
      </c>
      <c r="AH1974" s="25">
        <f>IF(AL1974=0,K1974,0)</f>
        <v>0</v>
      </c>
      <c r="AI1974" s="25">
        <f>IF(AL1974=12,K1974,0)</f>
        <v>0</v>
      </c>
      <c r="AJ1974" s="25">
        <f>IF(AL1974=21,K1974,0)</f>
        <v>0</v>
      </c>
      <c r="AL1974" s="25">
        <v>21</v>
      </c>
      <c r="AM1974" s="25">
        <f>H1974*1</f>
        <v>0</v>
      </c>
      <c r="AN1974" s="25">
        <f>H1974*(1-1)</f>
        <v>0</v>
      </c>
      <c r="AO1974" s="27" t="s">
        <v>57</v>
      </c>
      <c r="AT1974" s="25">
        <f>ROUND(AU1974+AV1974,2)</f>
        <v>0</v>
      </c>
      <c r="AU1974" s="25">
        <f>ROUND(G1974*AM1974,2)</f>
        <v>0</v>
      </c>
      <c r="AV1974" s="25">
        <f>ROUND(G1974*AN1974,2)</f>
        <v>0</v>
      </c>
      <c r="AW1974" s="27" t="s">
        <v>2339</v>
      </c>
      <c r="AX1974" s="27" t="s">
        <v>2340</v>
      </c>
      <c r="AY1974" s="10" t="s">
        <v>2341</v>
      </c>
      <c r="BA1974" s="25">
        <f>AU1974+AV1974</f>
        <v>0</v>
      </c>
      <c r="BB1974" s="25">
        <f>H1974/(100-BC1974)*100</f>
        <v>0</v>
      </c>
      <c r="BC1974" s="25">
        <v>0</v>
      </c>
      <c r="BD1974" s="25">
        <f>M1974</f>
        <v>2.2499999999999998E-3</v>
      </c>
      <c r="BF1974" s="25">
        <f>G1974*AM1974</f>
        <v>0</v>
      </c>
      <c r="BG1974" s="25">
        <f>G1974*AN1974</f>
        <v>0</v>
      </c>
      <c r="BH1974" s="25">
        <f>G1974*H1974</f>
        <v>0</v>
      </c>
      <c r="BI1974" s="27" t="s">
        <v>576</v>
      </c>
      <c r="BJ1974" s="25">
        <v>16</v>
      </c>
      <c r="BU1974" s="25" t="e">
        <f>#REF!</f>
        <v>#REF!</v>
      </c>
      <c r="BV1974" s="4" t="s">
        <v>2362</v>
      </c>
    </row>
    <row r="1975" spans="1:74" ht="14.4" x14ac:dyDescent="0.3">
      <c r="A1975" s="28"/>
      <c r="D1975" s="29" t="s">
        <v>57</v>
      </c>
      <c r="E1975" s="29" t="s">
        <v>52</v>
      </c>
      <c r="G1975" s="30">
        <v>1</v>
      </c>
      <c r="H1975" s="63"/>
      <c r="N1975" s="31"/>
    </row>
    <row r="1976" spans="1:74" ht="14.4" x14ac:dyDescent="0.3">
      <c r="A1976" s="2" t="s">
        <v>2363</v>
      </c>
      <c r="B1976" s="3" t="s">
        <v>2333</v>
      </c>
      <c r="C1976" s="3" t="s">
        <v>2364</v>
      </c>
      <c r="D1976" s="112" t="s">
        <v>2365</v>
      </c>
      <c r="E1976" s="109"/>
      <c r="F1976" s="3" t="s">
        <v>122</v>
      </c>
      <c r="G1976" s="25">
        <v>5</v>
      </c>
      <c r="H1976" s="62"/>
      <c r="I1976" s="25">
        <f>ROUND(G1976*AM1976,2)</f>
        <v>0</v>
      </c>
      <c r="J1976" s="25">
        <f>ROUND(G1976*AN1976,2)</f>
        <v>0</v>
      </c>
      <c r="K1976" s="25">
        <f>ROUND(G1976*H1976,2)</f>
        <v>0</v>
      </c>
      <c r="L1976" s="25">
        <v>3.3700000000000002E-3</v>
      </c>
      <c r="M1976" s="25">
        <f>G1976*L1976</f>
        <v>1.685E-2</v>
      </c>
      <c r="N1976" s="26"/>
      <c r="X1976" s="25">
        <f>ROUND(IF(AO1976="5",BH1976,0),2)</f>
        <v>0</v>
      </c>
      <c r="Z1976" s="25">
        <f>ROUND(IF(AO1976="1",BF1976,0),2)</f>
        <v>0</v>
      </c>
      <c r="AA1976" s="25">
        <f>ROUND(IF(AO1976="1",BG1976,0),2)</f>
        <v>0</v>
      </c>
      <c r="AB1976" s="25">
        <f>ROUND(IF(AO1976="7",BF1976,0),2)</f>
        <v>0</v>
      </c>
      <c r="AC1976" s="25">
        <f>ROUND(IF(AO1976="7",BG1976,0),2)</f>
        <v>0</v>
      </c>
      <c r="AD1976" s="25">
        <f>ROUND(IF(AO1976="2",BF1976,0),2)</f>
        <v>0</v>
      </c>
      <c r="AE1976" s="25">
        <f>ROUND(IF(AO1976="2",BG1976,0),2)</f>
        <v>0</v>
      </c>
      <c r="AF1976" s="25">
        <f>ROUND(IF(AO1976="0",BH1976,0),2)</f>
        <v>0</v>
      </c>
      <c r="AG1976" s="10" t="s">
        <v>2333</v>
      </c>
      <c r="AH1976" s="25">
        <f>IF(AL1976=0,K1976,0)</f>
        <v>0</v>
      </c>
      <c r="AI1976" s="25">
        <f>IF(AL1976=12,K1976,0)</f>
        <v>0</v>
      </c>
      <c r="AJ1976" s="25">
        <f>IF(AL1976=21,K1976,0)</f>
        <v>0</v>
      </c>
      <c r="AL1976" s="25">
        <v>21</v>
      </c>
      <c r="AM1976" s="25">
        <f>H1976*1</f>
        <v>0</v>
      </c>
      <c r="AN1976" s="25">
        <f>H1976*(1-1)</f>
        <v>0</v>
      </c>
      <c r="AO1976" s="27" t="s">
        <v>57</v>
      </c>
      <c r="AT1976" s="25">
        <f>ROUND(AU1976+AV1976,2)</f>
        <v>0</v>
      </c>
      <c r="AU1976" s="25">
        <f>ROUND(G1976*AM1976,2)</f>
        <v>0</v>
      </c>
      <c r="AV1976" s="25">
        <f>ROUND(G1976*AN1976,2)</f>
        <v>0</v>
      </c>
      <c r="AW1976" s="27" t="s">
        <v>2339</v>
      </c>
      <c r="AX1976" s="27" t="s">
        <v>2340</v>
      </c>
      <c r="AY1976" s="10" t="s">
        <v>2341</v>
      </c>
      <c r="BA1976" s="25">
        <f>AU1976+AV1976</f>
        <v>0</v>
      </c>
      <c r="BB1976" s="25">
        <f>H1976/(100-BC1976)*100</f>
        <v>0</v>
      </c>
      <c r="BC1976" s="25">
        <v>0</v>
      </c>
      <c r="BD1976" s="25">
        <f>M1976</f>
        <v>1.685E-2</v>
      </c>
      <c r="BF1976" s="25">
        <f>G1976*AM1976</f>
        <v>0</v>
      </c>
      <c r="BG1976" s="25">
        <f>G1976*AN1976</f>
        <v>0</v>
      </c>
      <c r="BH1976" s="25">
        <f>G1976*H1976</f>
        <v>0</v>
      </c>
      <c r="BI1976" s="27" t="s">
        <v>576</v>
      </c>
      <c r="BJ1976" s="25">
        <v>16</v>
      </c>
      <c r="BU1976" s="25" t="e">
        <f>#REF!</f>
        <v>#REF!</v>
      </c>
      <c r="BV1976" s="4" t="s">
        <v>2365</v>
      </c>
    </row>
    <row r="1977" spans="1:74" ht="14.4" x14ac:dyDescent="0.3">
      <c r="A1977" s="28"/>
      <c r="D1977" s="29" t="s">
        <v>97</v>
      </c>
      <c r="E1977" s="29" t="s">
        <v>52</v>
      </c>
      <c r="G1977" s="30">
        <v>5</v>
      </c>
      <c r="H1977" s="63"/>
      <c r="N1977" s="31"/>
    </row>
    <row r="1978" spans="1:74" ht="14.4" x14ac:dyDescent="0.3">
      <c r="A1978" s="2" t="s">
        <v>2366</v>
      </c>
      <c r="B1978" s="3" t="s">
        <v>2333</v>
      </c>
      <c r="C1978" s="3" t="s">
        <v>2367</v>
      </c>
      <c r="D1978" s="112" t="s">
        <v>2368</v>
      </c>
      <c r="E1978" s="109"/>
      <c r="F1978" s="3" t="s">
        <v>122</v>
      </c>
      <c r="G1978" s="25">
        <v>1</v>
      </c>
      <c r="H1978" s="62"/>
      <c r="I1978" s="25">
        <f>ROUND(G1978*AM1978,2)</f>
        <v>0</v>
      </c>
      <c r="J1978" s="25">
        <f>ROUND(G1978*AN1978,2)</f>
        <v>0</v>
      </c>
      <c r="K1978" s="25">
        <f>ROUND(G1978*H1978,2)</f>
        <v>0</v>
      </c>
      <c r="L1978" s="25">
        <v>5.1500000000000001E-3</v>
      </c>
      <c r="M1978" s="25">
        <f>G1978*L1978</f>
        <v>5.1500000000000001E-3</v>
      </c>
      <c r="N1978" s="26"/>
      <c r="X1978" s="25">
        <f>ROUND(IF(AO1978="5",BH1978,0),2)</f>
        <v>0</v>
      </c>
      <c r="Z1978" s="25">
        <f>ROUND(IF(AO1978="1",BF1978,0),2)</f>
        <v>0</v>
      </c>
      <c r="AA1978" s="25">
        <f>ROUND(IF(AO1978="1",BG1978,0),2)</f>
        <v>0</v>
      </c>
      <c r="AB1978" s="25">
        <f>ROUND(IF(AO1978="7",BF1978,0),2)</f>
        <v>0</v>
      </c>
      <c r="AC1978" s="25">
        <f>ROUND(IF(AO1978="7",BG1978,0),2)</f>
        <v>0</v>
      </c>
      <c r="AD1978" s="25">
        <f>ROUND(IF(AO1978="2",BF1978,0),2)</f>
        <v>0</v>
      </c>
      <c r="AE1978" s="25">
        <f>ROUND(IF(AO1978="2",BG1978,0),2)</f>
        <v>0</v>
      </c>
      <c r="AF1978" s="25">
        <f>ROUND(IF(AO1978="0",BH1978,0),2)</f>
        <v>0</v>
      </c>
      <c r="AG1978" s="10" t="s">
        <v>2333</v>
      </c>
      <c r="AH1978" s="25">
        <f>IF(AL1978=0,K1978,0)</f>
        <v>0</v>
      </c>
      <c r="AI1978" s="25">
        <f>IF(AL1978=12,K1978,0)</f>
        <v>0</v>
      </c>
      <c r="AJ1978" s="25">
        <f>IF(AL1978=21,K1978,0)</f>
        <v>0</v>
      </c>
      <c r="AL1978" s="25">
        <v>21</v>
      </c>
      <c r="AM1978" s="25">
        <f>H1978*1</f>
        <v>0</v>
      </c>
      <c r="AN1978" s="25">
        <f>H1978*(1-1)</f>
        <v>0</v>
      </c>
      <c r="AO1978" s="27" t="s">
        <v>57</v>
      </c>
      <c r="AT1978" s="25">
        <f>ROUND(AU1978+AV1978,2)</f>
        <v>0</v>
      </c>
      <c r="AU1978" s="25">
        <f>ROUND(G1978*AM1978,2)</f>
        <v>0</v>
      </c>
      <c r="AV1978" s="25">
        <f>ROUND(G1978*AN1978,2)</f>
        <v>0</v>
      </c>
      <c r="AW1978" s="27" t="s">
        <v>2339</v>
      </c>
      <c r="AX1978" s="27" t="s">
        <v>2340</v>
      </c>
      <c r="AY1978" s="10" t="s">
        <v>2341</v>
      </c>
      <c r="BA1978" s="25">
        <f>AU1978+AV1978</f>
        <v>0</v>
      </c>
      <c r="BB1978" s="25">
        <f>H1978/(100-BC1978)*100</f>
        <v>0</v>
      </c>
      <c r="BC1978" s="25">
        <v>0</v>
      </c>
      <c r="BD1978" s="25">
        <f>M1978</f>
        <v>5.1500000000000001E-3</v>
      </c>
      <c r="BF1978" s="25">
        <f>G1978*AM1978</f>
        <v>0</v>
      </c>
      <c r="BG1978" s="25">
        <f>G1978*AN1978</f>
        <v>0</v>
      </c>
      <c r="BH1978" s="25">
        <f>G1978*H1978</f>
        <v>0</v>
      </c>
      <c r="BI1978" s="27" t="s">
        <v>576</v>
      </c>
      <c r="BJ1978" s="25">
        <v>16</v>
      </c>
      <c r="BU1978" s="25" t="e">
        <f>#REF!</f>
        <v>#REF!</v>
      </c>
      <c r="BV1978" s="4" t="s">
        <v>2368</v>
      </c>
    </row>
    <row r="1979" spans="1:74" ht="14.4" x14ac:dyDescent="0.3">
      <c r="A1979" s="28"/>
      <c r="D1979" s="29" t="s">
        <v>57</v>
      </c>
      <c r="E1979" s="29" t="s">
        <v>52</v>
      </c>
      <c r="G1979" s="30">
        <v>1</v>
      </c>
      <c r="H1979" s="63"/>
      <c r="N1979" s="31"/>
    </row>
    <row r="1980" spans="1:74" ht="14.4" x14ac:dyDescent="0.3">
      <c r="A1980" s="2" t="s">
        <v>2369</v>
      </c>
      <c r="B1980" s="3" t="s">
        <v>2333</v>
      </c>
      <c r="C1980" s="3" t="s">
        <v>1797</v>
      </c>
      <c r="D1980" s="112" t="s">
        <v>2370</v>
      </c>
      <c r="E1980" s="109"/>
      <c r="F1980" s="3" t="s">
        <v>122</v>
      </c>
      <c r="G1980" s="25">
        <v>1</v>
      </c>
      <c r="H1980" s="62"/>
      <c r="I1980" s="25">
        <f>ROUND(G1980*AM1980,2)</f>
        <v>0</v>
      </c>
      <c r="J1980" s="25">
        <f>ROUND(G1980*AN1980,2)</f>
        <v>0</v>
      </c>
      <c r="K1980" s="25">
        <f>ROUND(G1980*H1980,2)</f>
        <v>0</v>
      </c>
      <c r="L1980" s="25">
        <v>1.2E-2</v>
      </c>
      <c r="M1980" s="25">
        <f>G1980*L1980</f>
        <v>1.2E-2</v>
      </c>
      <c r="N1980" s="26"/>
      <c r="X1980" s="25">
        <f>ROUND(IF(AO1980="5",BH1980,0),2)</f>
        <v>0</v>
      </c>
      <c r="Z1980" s="25">
        <f>ROUND(IF(AO1980="1",BF1980,0),2)</f>
        <v>0</v>
      </c>
      <c r="AA1980" s="25">
        <f>ROUND(IF(AO1980="1",BG1980,0),2)</f>
        <v>0</v>
      </c>
      <c r="AB1980" s="25">
        <f>ROUND(IF(AO1980="7",BF1980,0),2)</f>
        <v>0</v>
      </c>
      <c r="AC1980" s="25">
        <f>ROUND(IF(AO1980="7",BG1980,0),2)</f>
        <v>0</v>
      </c>
      <c r="AD1980" s="25">
        <f>ROUND(IF(AO1980="2",BF1980,0),2)</f>
        <v>0</v>
      </c>
      <c r="AE1980" s="25">
        <f>ROUND(IF(AO1980="2",BG1980,0),2)</f>
        <v>0</v>
      </c>
      <c r="AF1980" s="25">
        <f>ROUND(IF(AO1980="0",BH1980,0),2)</f>
        <v>0</v>
      </c>
      <c r="AG1980" s="10" t="s">
        <v>2333</v>
      </c>
      <c r="AH1980" s="25">
        <f>IF(AL1980=0,K1980,0)</f>
        <v>0</v>
      </c>
      <c r="AI1980" s="25">
        <f>IF(AL1980=12,K1980,0)</f>
        <v>0</v>
      </c>
      <c r="AJ1980" s="25">
        <f>IF(AL1980=21,K1980,0)</f>
        <v>0</v>
      </c>
      <c r="AL1980" s="25">
        <v>21</v>
      </c>
      <c r="AM1980" s="25">
        <f>H1980*1</f>
        <v>0</v>
      </c>
      <c r="AN1980" s="25">
        <f>H1980*(1-1)</f>
        <v>0</v>
      </c>
      <c r="AO1980" s="27" t="s">
        <v>57</v>
      </c>
      <c r="AT1980" s="25">
        <f>ROUND(AU1980+AV1980,2)</f>
        <v>0</v>
      </c>
      <c r="AU1980" s="25">
        <f>ROUND(G1980*AM1980,2)</f>
        <v>0</v>
      </c>
      <c r="AV1980" s="25">
        <f>ROUND(G1980*AN1980,2)</f>
        <v>0</v>
      </c>
      <c r="AW1980" s="27" t="s">
        <v>2339</v>
      </c>
      <c r="AX1980" s="27" t="s">
        <v>2340</v>
      </c>
      <c r="AY1980" s="10" t="s">
        <v>2341</v>
      </c>
      <c r="BA1980" s="25">
        <f>AU1980+AV1980</f>
        <v>0</v>
      </c>
      <c r="BB1980" s="25">
        <f>H1980/(100-BC1980)*100</f>
        <v>0</v>
      </c>
      <c r="BC1980" s="25">
        <v>0</v>
      </c>
      <c r="BD1980" s="25">
        <f>M1980</f>
        <v>1.2E-2</v>
      </c>
      <c r="BF1980" s="25">
        <f>G1980*AM1980</f>
        <v>0</v>
      </c>
      <c r="BG1980" s="25">
        <f>G1980*AN1980</f>
        <v>0</v>
      </c>
      <c r="BH1980" s="25">
        <f>G1980*H1980</f>
        <v>0</v>
      </c>
      <c r="BI1980" s="27" t="s">
        <v>576</v>
      </c>
      <c r="BJ1980" s="25">
        <v>16</v>
      </c>
      <c r="BU1980" s="25" t="e">
        <f>#REF!</f>
        <v>#REF!</v>
      </c>
      <c r="BV1980" s="4" t="s">
        <v>2370</v>
      </c>
    </row>
    <row r="1981" spans="1:74" ht="14.4" x14ac:dyDescent="0.3">
      <c r="A1981" s="21" t="s">
        <v>52</v>
      </c>
      <c r="B1981" s="22" t="s">
        <v>2333</v>
      </c>
      <c r="C1981" s="22" t="s">
        <v>258</v>
      </c>
      <c r="D1981" s="170" t="s">
        <v>1898</v>
      </c>
      <c r="E1981" s="171"/>
      <c r="F1981" s="23" t="s">
        <v>32</v>
      </c>
      <c r="G1981" s="23" t="s">
        <v>32</v>
      </c>
      <c r="H1981" s="64"/>
      <c r="I1981" s="1">
        <f>SUM(I1982:I1992)</f>
        <v>0</v>
      </c>
      <c r="J1981" s="1">
        <f>SUM(J1982:J1992)</f>
        <v>0</v>
      </c>
      <c r="K1981" s="1">
        <f>SUM(K1982:K1992)</f>
        <v>0</v>
      </c>
      <c r="L1981" s="10" t="s">
        <v>52</v>
      </c>
      <c r="M1981" s="1">
        <f>SUM(M1982:M1992)</f>
        <v>4.5254000000000012</v>
      </c>
      <c r="N1981" s="24"/>
      <c r="AG1981" s="10" t="s">
        <v>2333</v>
      </c>
      <c r="AQ1981" s="1">
        <f>SUM(AH1982:AH1992)</f>
        <v>0</v>
      </c>
      <c r="AR1981" s="1">
        <f>SUM(AI1982:AI1992)</f>
        <v>0</v>
      </c>
      <c r="AS1981" s="1">
        <f>SUM(AJ1982:AJ1992)</f>
        <v>0</v>
      </c>
    </row>
    <row r="1982" spans="1:74" ht="14.4" x14ac:dyDescent="0.3">
      <c r="A1982" s="2" t="s">
        <v>2371</v>
      </c>
      <c r="B1982" s="3" t="s">
        <v>2333</v>
      </c>
      <c r="C1982" s="3" t="s">
        <v>1824</v>
      </c>
      <c r="D1982" s="112" t="s">
        <v>2372</v>
      </c>
      <c r="E1982" s="109"/>
      <c r="F1982" s="3" t="s">
        <v>2373</v>
      </c>
      <c r="G1982" s="25">
        <v>16</v>
      </c>
      <c r="H1982" s="62"/>
      <c r="I1982" s="25">
        <f>ROUND(G1982*AM1982,2)</f>
        <v>0</v>
      </c>
      <c r="J1982" s="25">
        <f>ROUND(G1982*AN1982,2)</f>
        <v>0</v>
      </c>
      <c r="K1982" s="25">
        <f>ROUND(G1982*H1982,2)</f>
        <v>0</v>
      </c>
      <c r="L1982" s="25">
        <v>0.22627</v>
      </c>
      <c r="M1982" s="25">
        <f>G1982*L1982</f>
        <v>3.62032</v>
      </c>
      <c r="N1982" s="102"/>
      <c r="X1982" s="25">
        <f>ROUND(IF(AO1982="5",BH1982,0),2)</f>
        <v>0</v>
      </c>
      <c r="Z1982" s="25">
        <f>ROUND(IF(AO1982="1",BF1982,0),2)</f>
        <v>0</v>
      </c>
      <c r="AA1982" s="25">
        <f>ROUND(IF(AO1982="1",BG1982,0),2)</f>
        <v>0</v>
      </c>
      <c r="AB1982" s="25">
        <f>ROUND(IF(AO1982="7",BF1982,0),2)</f>
        <v>0</v>
      </c>
      <c r="AC1982" s="25">
        <f>ROUND(IF(AO1982="7",BG1982,0),2)</f>
        <v>0</v>
      </c>
      <c r="AD1982" s="25">
        <f>ROUND(IF(AO1982="2",BF1982,0),2)</f>
        <v>0</v>
      </c>
      <c r="AE1982" s="25">
        <f>ROUND(IF(AO1982="2",BG1982,0),2)</f>
        <v>0</v>
      </c>
      <c r="AF1982" s="25">
        <f>ROUND(IF(AO1982="0",BH1982,0),2)</f>
        <v>0</v>
      </c>
      <c r="AG1982" s="10" t="s">
        <v>2333</v>
      </c>
      <c r="AH1982" s="25">
        <f>IF(AL1982=0,K1982,0)</f>
        <v>0</v>
      </c>
      <c r="AI1982" s="25">
        <f>IF(AL1982=12,K1982,0)</f>
        <v>0</v>
      </c>
      <c r="AJ1982" s="25">
        <f>IF(AL1982=21,K1982,0)</f>
        <v>0</v>
      </c>
      <c r="AL1982" s="25">
        <v>21</v>
      </c>
      <c r="AM1982" s="25">
        <f>H1982*0.166066763</f>
        <v>0</v>
      </c>
      <c r="AN1982" s="25">
        <f>H1982*(1-0.166066763)</f>
        <v>0</v>
      </c>
      <c r="AO1982" s="27" t="s">
        <v>57</v>
      </c>
      <c r="AT1982" s="25">
        <f>ROUND(AU1982+AV1982,2)</f>
        <v>0</v>
      </c>
      <c r="AU1982" s="25">
        <f>ROUND(G1982*AM1982,2)</f>
        <v>0</v>
      </c>
      <c r="AV1982" s="25">
        <f>ROUND(G1982*AN1982,2)</f>
        <v>0</v>
      </c>
      <c r="AW1982" s="27" t="s">
        <v>2374</v>
      </c>
      <c r="AX1982" s="27" t="s">
        <v>2375</v>
      </c>
      <c r="AY1982" s="10" t="s">
        <v>2341</v>
      </c>
      <c r="BA1982" s="25">
        <f>AU1982+AV1982</f>
        <v>0</v>
      </c>
      <c r="BB1982" s="25">
        <f>H1982/(100-BC1982)*100</f>
        <v>0</v>
      </c>
      <c r="BC1982" s="25">
        <v>0</v>
      </c>
      <c r="BD1982" s="25">
        <f>M1982</f>
        <v>3.62032</v>
      </c>
      <c r="BF1982" s="25">
        <f>G1982*AM1982</f>
        <v>0</v>
      </c>
      <c r="BG1982" s="25">
        <f>G1982*AN1982</f>
        <v>0</v>
      </c>
      <c r="BH1982" s="25">
        <f>G1982*H1982</f>
        <v>0</v>
      </c>
      <c r="BI1982" s="27" t="s">
        <v>65</v>
      </c>
      <c r="BJ1982" s="25">
        <v>27</v>
      </c>
      <c r="BU1982" s="25" t="e">
        <f>#REF!</f>
        <v>#REF!</v>
      </c>
      <c r="BV1982" s="4" t="s">
        <v>2372</v>
      </c>
    </row>
    <row r="1983" spans="1:74" ht="14.4" x14ac:dyDescent="0.3">
      <c r="A1983" s="28"/>
      <c r="D1983" s="29" t="s">
        <v>1907</v>
      </c>
      <c r="E1983" s="29" t="s">
        <v>52</v>
      </c>
      <c r="G1983" s="30">
        <v>16</v>
      </c>
      <c r="H1983" s="63"/>
      <c r="N1983" s="31"/>
    </row>
    <row r="1984" spans="1:74" ht="26.4" x14ac:dyDescent="0.3">
      <c r="A1984" s="2" t="s">
        <v>2376</v>
      </c>
      <c r="B1984" s="3" t="s">
        <v>2333</v>
      </c>
      <c r="C1984" s="3" t="s">
        <v>1827</v>
      </c>
      <c r="D1984" s="112" t="s">
        <v>2377</v>
      </c>
      <c r="E1984" s="109"/>
      <c r="F1984" s="3" t="s">
        <v>860</v>
      </c>
      <c r="G1984" s="25">
        <v>1</v>
      </c>
      <c r="H1984" s="62"/>
      <c r="I1984" s="25">
        <f>ROUND(G1984*AM1984,2)</f>
        <v>0</v>
      </c>
      <c r="J1984" s="25">
        <f>ROUND(G1984*AN1984,2)</f>
        <v>0</v>
      </c>
      <c r="K1984" s="25">
        <f>ROUND(G1984*H1984,2)</f>
        <v>0</v>
      </c>
      <c r="L1984" s="25">
        <v>0.22627</v>
      </c>
      <c r="M1984" s="25">
        <f>G1984*L1984</f>
        <v>0.22627</v>
      </c>
      <c r="N1984" s="102"/>
      <c r="X1984" s="25">
        <f>ROUND(IF(AO1984="5",BH1984,0),2)</f>
        <v>0</v>
      </c>
      <c r="Z1984" s="25">
        <f>ROUND(IF(AO1984="1",BF1984,0),2)</f>
        <v>0</v>
      </c>
      <c r="AA1984" s="25">
        <f>ROUND(IF(AO1984="1",BG1984,0),2)</f>
        <v>0</v>
      </c>
      <c r="AB1984" s="25">
        <f>ROUND(IF(AO1984="7",BF1984,0),2)</f>
        <v>0</v>
      </c>
      <c r="AC1984" s="25">
        <f>ROUND(IF(AO1984="7",BG1984,0),2)</f>
        <v>0</v>
      </c>
      <c r="AD1984" s="25">
        <f>ROUND(IF(AO1984="2",BF1984,0),2)</f>
        <v>0</v>
      </c>
      <c r="AE1984" s="25">
        <f>ROUND(IF(AO1984="2",BG1984,0),2)</f>
        <v>0</v>
      </c>
      <c r="AF1984" s="25">
        <f>ROUND(IF(AO1984="0",BH1984,0),2)</f>
        <v>0</v>
      </c>
      <c r="AG1984" s="10" t="s">
        <v>2333</v>
      </c>
      <c r="AH1984" s="25">
        <f>IF(AL1984=0,K1984,0)</f>
        <v>0</v>
      </c>
      <c r="AI1984" s="25">
        <f>IF(AL1984=12,K1984,0)</f>
        <v>0</v>
      </c>
      <c r="AJ1984" s="25">
        <f>IF(AL1984=21,K1984,0)</f>
        <v>0</v>
      </c>
      <c r="AL1984" s="25">
        <v>21</v>
      </c>
      <c r="AM1984" s="25">
        <f>H1984*0.150067</f>
        <v>0</v>
      </c>
      <c r="AN1984" s="25">
        <f>H1984*(1-0.150067)</f>
        <v>0</v>
      </c>
      <c r="AO1984" s="27" t="s">
        <v>57</v>
      </c>
      <c r="AT1984" s="25">
        <f>ROUND(AU1984+AV1984,2)</f>
        <v>0</v>
      </c>
      <c r="AU1984" s="25">
        <f>ROUND(G1984*AM1984,2)</f>
        <v>0</v>
      </c>
      <c r="AV1984" s="25">
        <f>ROUND(G1984*AN1984,2)</f>
        <v>0</v>
      </c>
      <c r="AW1984" s="27" t="s">
        <v>2374</v>
      </c>
      <c r="AX1984" s="27" t="s">
        <v>2375</v>
      </c>
      <c r="AY1984" s="10" t="s">
        <v>2341</v>
      </c>
      <c r="BA1984" s="25">
        <f>AU1984+AV1984</f>
        <v>0</v>
      </c>
      <c r="BB1984" s="25">
        <f>H1984/(100-BC1984)*100</f>
        <v>0</v>
      </c>
      <c r="BC1984" s="25">
        <v>0</v>
      </c>
      <c r="BD1984" s="25">
        <f>M1984</f>
        <v>0.22627</v>
      </c>
      <c r="BF1984" s="25">
        <f>G1984*AM1984</f>
        <v>0</v>
      </c>
      <c r="BG1984" s="25">
        <f>G1984*AN1984</f>
        <v>0</v>
      </c>
      <c r="BH1984" s="25">
        <f>G1984*H1984</f>
        <v>0</v>
      </c>
      <c r="BI1984" s="27" t="s">
        <v>65</v>
      </c>
      <c r="BJ1984" s="25">
        <v>27</v>
      </c>
      <c r="BU1984" s="25" t="e">
        <f>#REF!</f>
        <v>#REF!</v>
      </c>
      <c r="BV1984" s="4" t="s">
        <v>2377</v>
      </c>
    </row>
    <row r="1985" spans="1:74" ht="14.4" x14ac:dyDescent="0.3">
      <c r="A1985" s="28"/>
      <c r="D1985" s="29" t="s">
        <v>57</v>
      </c>
      <c r="E1985" s="29" t="s">
        <v>52</v>
      </c>
      <c r="G1985" s="30">
        <v>1</v>
      </c>
      <c r="H1985" s="63"/>
      <c r="N1985" s="31"/>
    </row>
    <row r="1986" spans="1:74" ht="14.4" x14ac:dyDescent="0.3">
      <c r="A1986" s="2" t="s">
        <v>2378</v>
      </c>
      <c r="B1986" s="3" t="s">
        <v>2333</v>
      </c>
      <c r="C1986" s="3" t="s">
        <v>2379</v>
      </c>
      <c r="D1986" s="112" t="s">
        <v>2380</v>
      </c>
      <c r="E1986" s="109"/>
      <c r="F1986" s="3" t="s">
        <v>860</v>
      </c>
      <c r="G1986" s="25">
        <v>1</v>
      </c>
      <c r="H1986" s="62"/>
      <c r="I1986" s="25">
        <f>ROUND(G1986*AM1986,2)</f>
        <v>0</v>
      </c>
      <c r="J1986" s="25">
        <f>ROUND(G1986*AN1986,2)</f>
        <v>0</v>
      </c>
      <c r="K1986" s="25">
        <f>ROUND(G1986*H1986,2)</f>
        <v>0</v>
      </c>
      <c r="L1986" s="25">
        <v>0</v>
      </c>
      <c r="M1986" s="25">
        <f>G1986*L1986</f>
        <v>0</v>
      </c>
      <c r="N1986" s="102"/>
      <c r="X1986" s="25">
        <f>ROUND(IF(AO1986="5",BH1986,0),2)</f>
        <v>0</v>
      </c>
      <c r="Z1986" s="25">
        <f>ROUND(IF(AO1986="1",BF1986,0),2)</f>
        <v>0</v>
      </c>
      <c r="AA1986" s="25">
        <f>ROUND(IF(AO1986="1",BG1986,0),2)</f>
        <v>0</v>
      </c>
      <c r="AB1986" s="25">
        <f>ROUND(IF(AO1986="7",BF1986,0),2)</f>
        <v>0</v>
      </c>
      <c r="AC1986" s="25">
        <f>ROUND(IF(AO1986="7",BG1986,0),2)</f>
        <v>0</v>
      </c>
      <c r="AD1986" s="25">
        <f>ROUND(IF(AO1986="2",BF1986,0),2)</f>
        <v>0</v>
      </c>
      <c r="AE1986" s="25">
        <f>ROUND(IF(AO1986="2",BG1986,0),2)</f>
        <v>0</v>
      </c>
      <c r="AF1986" s="25">
        <f>ROUND(IF(AO1986="0",BH1986,0),2)</f>
        <v>0</v>
      </c>
      <c r="AG1986" s="10" t="s">
        <v>2333</v>
      </c>
      <c r="AH1986" s="25">
        <f>IF(AL1986=0,K1986,0)</f>
        <v>0</v>
      </c>
      <c r="AI1986" s="25">
        <f>IF(AL1986=12,K1986,0)</f>
        <v>0</v>
      </c>
      <c r="AJ1986" s="25">
        <f>IF(AL1986=21,K1986,0)</f>
        <v>0</v>
      </c>
      <c r="AL1986" s="25">
        <v>21</v>
      </c>
      <c r="AM1986" s="25">
        <f>H1986*0</f>
        <v>0</v>
      </c>
      <c r="AN1986" s="25">
        <f>H1986*(1-0)</f>
        <v>0</v>
      </c>
      <c r="AO1986" s="27" t="s">
        <v>57</v>
      </c>
      <c r="AT1986" s="25">
        <f>ROUND(AU1986+AV1986,2)</f>
        <v>0</v>
      </c>
      <c r="AU1986" s="25">
        <f>ROUND(G1986*AM1986,2)</f>
        <v>0</v>
      </c>
      <c r="AV1986" s="25">
        <f>ROUND(G1986*AN1986,2)</f>
        <v>0</v>
      </c>
      <c r="AW1986" s="27" t="s">
        <v>2374</v>
      </c>
      <c r="AX1986" s="27" t="s">
        <v>2375</v>
      </c>
      <c r="AY1986" s="10" t="s">
        <v>2341</v>
      </c>
      <c r="BA1986" s="25">
        <f>AU1986+AV1986</f>
        <v>0</v>
      </c>
      <c r="BB1986" s="25">
        <f>H1986/(100-BC1986)*100</f>
        <v>0</v>
      </c>
      <c r="BC1986" s="25">
        <v>0</v>
      </c>
      <c r="BD1986" s="25">
        <f>M1986</f>
        <v>0</v>
      </c>
      <c r="BF1986" s="25">
        <f>G1986*AM1986</f>
        <v>0</v>
      </c>
      <c r="BG1986" s="25">
        <f>G1986*AN1986</f>
        <v>0</v>
      </c>
      <c r="BH1986" s="25">
        <f>G1986*H1986</f>
        <v>0</v>
      </c>
      <c r="BI1986" s="27" t="s">
        <v>65</v>
      </c>
      <c r="BJ1986" s="25">
        <v>27</v>
      </c>
      <c r="BU1986" s="25" t="e">
        <f>#REF!</f>
        <v>#REF!</v>
      </c>
      <c r="BV1986" s="4" t="s">
        <v>2380</v>
      </c>
    </row>
    <row r="1987" spans="1:74" ht="14.4" x14ac:dyDescent="0.3">
      <c r="A1987" s="28"/>
      <c r="D1987" s="29" t="s">
        <v>57</v>
      </c>
      <c r="E1987" s="29" t="s">
        <v>52</v>
      </c>
      <c r="G1987" s="30">
        <v>1</v>
      </c>
      <c r="H1987" s="63"/>
      <c r="N1987" s="31"/>
    </row>
    <row r="1988" spans="1:74" ht="14.4" x14ac:dyDescent="0.3">
      <c r="A1988" s="2" t="s">
        <v>2381</v>
      </c>
      <c r="B1988" s="3" t="s">
        <v>2333</v>
      </c>
      <c r="C1988" s="3" t="s">
        <v>1847</v>
      </c>
      <c r="D1988" s="112" t="s">
        <v>2382</v>
      </c>
      <c r="E1988" s="109"/>
      <c r="F1988" s="3" t="s">
        <v>860</v>
      </c>
      <c r="G1988" s="25">
        <v>1</v>
      </c>
      <c r="H1988" s="62"/>
      <c r="I1988" s="25">
        <f>ROUND(G1988*AM1988,2)</f>
        <v>0</v>
      </c>
      <c r="J1988" s="25">
        <f>ROUND(G1988*AN1988,2)</f>
        <v>0</v>
      </c>
      <c r="K1988" s="25">
        <f>ROUND(G1988*H1988,2)</f>
        <v>0</v>
      </c>
      <c r="L1988" s="25">
        <v>0.22627</v>
      </c>
      <c r="M1988" s="25">
        <f>G1988*L1988</f>
        <v>0.22627</v>
      </c>
      <c r="N1988" s="102"/>
      <c r="X1988" s="25">
        <f>ROUND(IF(AO1988="5",BH1988,0),2)</f>
        <v>0</v>
      </c>
      <c r="Z1988" s="25">
        <f>ROUND(IF(AO1988="1",BF1988,0),2)</f>
        <v>0</v>
      </c>
      <c r="AA1988" s="25">
        <f>ROUND(IF(AO1988="1",BG1988,0),2)</f>
        <v>0</v>
      </c>
      <c r="AB1988" s="25">
        <f>ROUND(IF(AO1988="7",BF1988,0),2)</f>
        <v>0</v>
      </c>
      <c r="AC1988" s="25">
        <f>ROUND(IF(AO1988="7",BG1988,0),2)</f>
        <v>0</v>
      </c>
      <c r="AD1988" s="25">
        <f>ROUND(IF(AO1988="2",BF1988,0),2)</f>
        <v>0</v>
      </c>
      <c r="AE1988" s="25">
        <f>ROUND(IF(AO1988="2",BG1988,0),2)</f>
        <v>0</v>
      </c>
      <c r="AF1988" s="25">
        <f>ROUND(IF(AO1988="0",BH1988,0),2)</f>
        <v>0</v>
      </c>
      <c r="AG1988" s="10" t="s">
        <v>2333</v>
      </c>
      <c r="AH1988" s="25">
        <f>IF(AL1988=0,K1988,0)</f>
        <v>0</v>
      </c>
      <c r="AI1988" s="25">
        <f>IF(AL1988=12,K1988,0)</f>
        <v>0</v>
      </c>
      <c r="AJ1988" s="25">
        <f>IF(AL1988=21,K1988,0)</f>
        <v>0</v>
      </c>
      <c r="AL1988" s="25">
        <v>21</v>
      </c>
      <c r="AM1988" s="25">
        <f>H1988*0.166062</f>
        <v>0</v>
      </c>
      <c r="AN1988" s="25">
        <f>H1988*(1-0.166062)</f>
        <v>0</v>
      </c>
      <c r="AO1988" s="27" t="s">
        <v>57</v>
      </c>
      <c r="AT1988" s="25">
        <f>ROUND(AU1988+AV1988,2)</f>
        <v>0</v>
      </c>
      <c r="AU1988" s="25">
        <f>ROUND(G1988*AM1988,2)</f>
        <v>0</v>
      </c>
      <c r="AV1988" s="25">
        <f>ROUND(G1988*AN1988,2)</f>
        <v>0</v>
      </c>
      <c r="AW1988" s="27" t="s">
        <v>2374</v>
      </c>
      <c r="AX1988" s="27" t="s">
        <v>2375</v>
      </c>
      <c r="AY1988" s="10" t="s">
        <v>2341</v>
      </c>
      <c r="BA1988" s="25">
        <f>AU1988+AV1988</f>
        <v>0</v>
      </c>
      <c r="BB1988" s="25">
        <f>H1988/(100-BC1988)*100</f>
        <v>0</v>
      </c>
      <c r="BC1988" s="25">
        <v>0</v>
      </c>
      <c r="BD1988" s="25">
        <f>M1988</f>
        <v>0.22627</v>
      </c>
      <c r="BF1988" s="25">
        <f>G1988*AM1988</f>
        <v>0</v>
      </c>
      <c r="BG1988" s="25">
        <f>G1988*AN1988</f>
        <v>0</v>
      </c>
      <c r="BH1988" s="25">
        <f>G1988*H1988</f>
        <v>0</v>
      </c>
      <c r="BI1988" s="27" t="s">
        <v>65</v>
      </c>
      <c r="BJ1988" s="25">
        <v>27</v>
      </c>
      <c r="BU1988" s="25" t="e">
        <f>#REF!</f>
        <v>#REF!</v>
      </c>
      <c r="BV1988" s="4" t="s">
        <v>2382</v>
      </c>
    </row>
    <row r="1989" spans="1:74" ht="14.4" x14ac:dyDescent="0.3">
      <c r="A1989" s="28"/>
      <c r="D1989" s="29" t="s">
        <v>57</v>
      </c>
      <c r="E1989" s="29" t="s">
        <v>52</v>
      </c>
      <c r="G1989" s="30">
        <v>1</v>
      </c>
      <c r="H1989" s="63"/>
      <c r="N1989" s="31"/>
    </row>
    <row r="1990" spans="1:74" ht="14.4" x14ac:dyDescent="0.3">
      <c r="A1990" s="2" t="s">
        <v>2383</v>
      </c>
      <c r="B1990" s="3" t="s">
        <v>2333</v>
      </c>
      <c r="C1990" s="3" t="s">
        <v>2384</v>
      </c>
      <c r="D1990" s="112" t="s">
        <v>2385</v>
      </c>
      <c r="E1990" s="109"/>
      <c r="F1990" s="3" t="s">
        <v>860</v>
      </c>
      <c r="G1990" s="25">
        <v>1</v>
      </c>
      <c r="H1990" s="62"/>
      <c r="I1990" s="25">
        <f>ROUND(G1990*AM1990,2)</f>
        <v>0</v>
      </c>
      <c r="J1990" s="25">
        <f>ROUND(G1990*AN1990,2)</f>
        <v>0</v>
      </c>
      <c r="K1990" s="25">
        <f>ROUND(G1990*H1990,2)</f>
        <v>0</v>
      </c>
      <c r="L1990" s="25">
        <v>0.22627</v>
      </c>
      <c r="M1990" s="25">
        <f>G1990*L1990</f>
        <v>0.22627</v>
      </c>
      <c r="N1990" s="102"/>
      <c r="X1990" s="25">
        <f>ROUND(IF(AO1990="5",BH1990,0),2)</f>
        <v>0</v>
      </c>
      <c r="Z1990" s="25">
        <f>ROUND(IF(AO1990="1",BF1990,0),2)</f>
        <v>0</v>
      </c>
      <c r="AA1990" s="25">
        <f>ROUND(IF(AO1990="1",BG1990,0),2)</f>
        <v>0</v>
      </c>
      <c r="AB1990" s="25">
        <f>ROUND(IF(AO1990="7",BF1990,0),2)</f>
        <v>0</v>
      </c>
      <c r="AC1990" s="25">
        <f>ROUND(IF(AO1990="7",BG1990,0),2)</f>
        <v>0</v>
      </c>
      <c r="AD1990" s="25">
        <f>ROUND(IF(AO1990="2",BF1990,0),2)</f>
        <v>0</v>
      </c>
      <c r="AE1990" s="25">
        <f>ROUND(IF(AO1990="2",BG1990,0),2)</f>
        <v>0</v>
      </c>
      <c r="AF1990" s="25">
        <f>ROUND(IF(AO1990="0",BH1990,0),2)</f>
        <v>0</v>
      </c>
      <c r="AG1990" s="10" t="s">
        <v>2333</v>
      </c>
      <c r="AH1990" s="25">
        <f>IF(AL1990=0,K1990,0)</f>
        <v>0</v>
      </c>
      <c r="AI1990" s="25">
        <f>IF(AL1990=12,K1990,0)</f>
        <v>0</v>
      </c>
      <c r="AJ1990" s="25">
        <f>IF(AL1990=21,K1990,0)</f>
        <v>0</v>
      </c>
      <c r="AL1990" s="25">
        <v>21</v>
      </c>
      <c r="AM1990" s="25">
        <f>H1990*0</f>
        <v>0</v>
      </c>
      <c r="AN1990" s="25">
        <f>H1990*(1-0)</f>
        <v>0</v>
      </c>
      <c r="AO1990" s="27" t="s">
        <v>57</v>
      </c>
      <c r="AT1990" s="25">
        <f>ROUND(AU1990+AV1990,2)</f>
        <v>0</v>
      </c>
      <c r="AU1990" s="25">
        <f>ROUND(G1990*AM1990,2)</f>
        <v>0</v>
      </c>
      <c r="AV1990" s="25">
        <f>ROUND(G1990*AN1990,2)</f>
        <v>0</v>
      </c>
      <c r="AW1990" s="27" t="s">
        <v>2374</v>
      </c>
      <c r="AX1990" s="27" t="s">
        <v>2375</v>
      </c>
      <c r="AY1990" s="10" t="s">
        <v>2341</v>
      </c>
      <c r="BA1990" s="25">
        <f>AU1990+AV1990</f>
        <v>0</v>
      </c>
      <c r="BB1990" s="25">
        <f>H1990/(100-BC1990)*100</f>
        <v>0</v>
      </c>
      <c r="BC1990" s="25">
        <v>0</v>
      </c>
      <c r="BD1990" s="25">
        <f>M1990</f>
        <v>0.22627</v>
      </c>
      <c r="BF1990" s="25">
        <f>G1990*AM1990</f>
        <v>0</v>
      </c>
      <c r="BG1990" s="25">
        <f>G1990*AN1990</f>
        <v>0</v>
      </c>
      <c r="BH1990" s="25">
        <f>G1990*H1990</f>
        <v>0</v>
      </c>
      <c r="BI1990" s="27" t="s">
        <v>65</v>
      </c>
      <c r="BJ1990" s="25">
        <v>27</v>
      </c>
      <c r="BU1990" s="25" t="e">
        <f>#REF!</f>
        <v>#REF!</v>
      </c>
      <c r="BV1990" s="4" t="s">
        <v>2385</v>
      </c>
    </row>
    <row r="1991" spans="1:74" ht="14.4" x14ac:dyDescent="0.3">
      <c r="A1991" s="28"/>
      <c r="D1991" s="29" t="s">
        <v>57</v>
      </c>
      <c r="E1991" s="29" t="s">
        <v>52</v>
      </c>
      <c r="G1991" s="30">
        <v>1</v>
      </c>
      <c r="H1991" s="63"/>
      <c r="N1991" s="31"/>
    </row>
    <row r="1992" spans="1:74" ht="14.4" x14ac:dyDescent="0.3">
      <c r="A1992" s="2" t="s">
        <v>2386</v>
      </c>
      <c r="B1992" s="3" t="s">
        <v>2333</v>
      </c>
      <c r="C1992" s="3" t="s">
        <v>2387</v>
      </c>
      <c r="D1992" s="112" t="s">
        <v>2388</v>
      </c>
      <c r="E1992" s="109"/>
      <c r="F1992" s="3" t="s">
        <v>860</v>
      </c>
      <c r="G1992" s="25">
        <v>1</v>
      </c>
      <c r="H1992" s="62"/>
      <c r="I1992" s="25">
        <f>ROUND(G1992*AM1992,2)</f>
        <v>0</v>
      </c>
      <c r="J1992" s="25">
        <f>ROUND(G1992*AN1992,2)</f>
        <v>0</v>
      </c>
      <c r="K1992" s="25">
        <f>ROUND(G1992*H1992,2)</f>
        <v>0</v>
      </c>
      <c r="L1992" s="25">
        <v>0.22627</v>
      </c>
      <c r="M1992" s="25">
        <f>G1992*L1992</f>
        <v>0.22627</v>
      </c>
      <c r="N1992" s="102"/>
      <c r="X1992" s="25">
        <f>ROUND(IF(AO1992="5",BH1992,0),2)</f>
        <v>0</v>
      </c>
      <c r="Z1992" s="25">
        <f>ROUND(IF(AO1992="1",BF1992,0),2)</f>
        <v>0</v>
      </c>
      <c r="AA1992" s="25">
        <f>ROUND(IF(AO1992="1",BG1992,0),2)</f>
        <v>0</v>
      </c>
      <c r="AB1992" s="25">
        <f>ROUND(IF(AO1992="7",BF1992,0),2)</f>
        <v>0</v>
      </c>
      <c r="AC1992" s="25">
        <f>ROUND(IF(AO1992="7",BG1992,0),2)</f>
        <v>0</v>
      </c>
      <c r="AD1992" s="25">
        <f>ROUND(IF(AO1992="2",BF1992,0),2)</f>
        <v>0</v>
      </c>
      <c r="AE1992" s="25">
        <f>ROUND(IF(AO1992="2",BG1992,0),2)</f>
        <v>0</v>
      </c>
      <c r="AF1992" s="25">
        <f>ROUND(IF(AO1992="0",BH1992,0),2)</f>
        <v>0</v>
      </c>
      <c r="AG1992" s="10" t="s">
        <v>2333</v>
      </c>
      <c r="AH1992" s="25">
        <f>IF(AL1992=0,K1992,0)</f>
        <v>0</v>
      </c>
      <c r="AI1992" s="25">
        <f>IF(AL1992=12,K1992,0)</f>
        <v>0</v>
      </c>
      <c r="AJ1992" s="25">
        <f>IF(AL1992=21,K1992,0)</f>
        <v>0</v>
      </c>
      <c r="AL1992" s="25">
        <v>21</v>
      </c>
      <c r="AM1992" s="25">
        <f>H1992*0.166062</f>
        <v>0</v>
      </c>
      <c r="AN1992" s="25">
        <f>H1992*(1-0.166062)</f>
        <v>0</v>
      </c>
      <c r="AO1992" s="27" t="s">
        <v>57</v>
      </c>
      <c r="AT1992" s="25">
        <f>ROUND(AU1992+AV1992,2)</f>
        <v>0</v>
      </c>
      <c r="AU1992" s="25">
        <f>ROUND(G1992*AM1992,2)</f>
        <v>0</v>
      </c>
      <c r="AV1992" s="25">
        <f>ROUND(G1992*AN1992,2)</f>
        <v>0</v>
      </c>
      <c r="AW1992" s="27" t="s">
        <v>2374</v>
      </c>
      <c r="AX1992" s="27" t="s">
        <v>2375</v>
      </c>
      <c r="AY1992" s="10" t="s">
        <v>2341</v>
      </c>
      <c r="BA1992" s="25">
        <f>AU1992+AV1992</f>
        <v>0</v>
      </c>
      <c r="BB1992" s="25">
        <f>H1992/(100-BC1992)*100</f>
        <v>0</v>
      </c>
      <c r="BC1992" s="25">
        <v>0</v>
      </c>
      <c r="BD1992" s="25">
        <f>M1992</f>
        <v>0.22627</v>
      </c>
      <c r="BF1992" s="25">
        <f>G1992*AM1992</f>
        <v>0</v>
      </c>
      <c r="BG1992" s="25">
        <f>G1992*AN1992</f>
        <v>0</v>
      </c>
      <c r="BH1992" s="25">
        <f>G1992*H1992</f>
        <v>0</v>
      </c>
      <c r="BI1992" s="27" t="s">
        <v>65</v>
      </c>
      <c r="BJ1992" s="25">
        <v>27</v>
      </c>
      <c r="BU1992" s="25" t="e">
        <f>#REF!</f>
        <v>#REF!</v>
      </c>
      <c r="BV1992" s="4" t="s">
        <v>2388</v>
      </c>
    </row>
    <row r="1993" spans="1:74" ht="14.4" x14ac:dyDescent="0.3">
      <c r="A1993" s="28"/>
      <c r="D1993" s="29" t="s">
        <v>57</v>
      </c>
      <c r="E1993" s="29" t="s">
        <v>52</v>
      </c>
      <c r="G1993" s="30">
        <v>1</v>
      </c>
      <c r="H1993" s="63"/>
      <c r="N1993" s="31"/>
    </row>
    <row r="1994" spans="1:74" ht="14.4" x14ac:dyDescent="0.3">
      <c r="A1994" s="21" t="s">
        <v>52</v>
      </c>
      <c r="B1994" s="22" t="s">
        <v>2333</v>
      </c>
      <c r="C1994" s="22" t="s">
        <v>559</v>
      </c>
      <c r="D1994" s="170" t="s">
        <v>560</v>
      </c>
      <c r="E1994" s="171"/>
      <c r="F1994" s="23" t="s">
        <v>32</v>
      </c>
      <c r="G1994" s="23" t="s">
        <v>32</v>
      </c>
      <c r="H1994" s="64"/>
      <c r="I1994" s="1">
        <f>SUM(I1995:I2029)</f>
        <v>0</v>
      </c>
      <c r="J1994" s="1">
        <f>SUM(J1995:J2029)</f>
        <v>0</v>
      </c>
      <c r="K1994" s="1">
        <f>SUM(K1995:K2029)</f>
        <v>0</v>
      </c>
      <c r="L1994" s="10" t="s">
        <v>52</v>
      </c>
      <c r="M1994" s="1">
        <f>SUM(M1995:M2029)</f>
        <v>1.3455799999999998</v>
      </c>
      <c r="N1994" s="24"/>
      <c r="AG1994" s="10" t="s">
        <v>2333</v>
      </c>
      <c r="AQ1994" s="1">
        <f>SUM(AH1995:AH2029)</f>
        <v>0</v>
      </c>
      <c r="AR1994" s="1">
        <f>SUM(AI1995:AI2029)</f>
        <v>0</v>
      </c>
      <c r="AS1994" s="1">
        <f>SUM(AJ1995:AJ2029)</f>
        <v>0</v>
      </c>
    </row>
    <row r="1995" spans="1:74" ht="26.4" x14ac:dyDescent="0.3">
      <c r="A1995" s="2" t="s">
        <v>2389</v>
      </c>
      <c r="B1995" s="3" t="s">
        <v>2333</v>
      </c>
      <c r="C1995" s="3" t="s">
        <v>2390</v>
      </c>
      <c r="D1995" s="112" t="s">
        <v>2391</v>
      </c>
      <c r="E1995" s="109"/>
      <c r="F1995" s="3" t="s">
        <v>860</v>
      </c>
      <c r="G1995" s="25">
        <v>1</v>
      </c>
      <c r="H1995" s="62"/>
      <c r="I1995" s="25">
        <f>ROUND(G1995*AM1995,2)</f>
        <v>0</v>
      </c>
      <c r="J1995" s="25">
        <f>ROUND(G1995*AN1995,2)</f>
        <v>0</v>
      </c>
      <c r="K1995" s="25">
        <f>ROUND(G1995*H1995,2)</f>
        <v>0</v>
      </c>
      <c r="L1995" s="25">
        <v>0</v>
      </c>
      <c r="M1995" s="25">
        <f>G1995*L1995</f>
        <v>0</v>
      </c>
      <c r="N1995" s="102"/>
      <c r="X1995" s="25">
        <f>ROUND(IF(AO1995="5",BH1995,0),2)</f>
        <v>0</v>
      </c>
      <c r="Z1995" s="25">
        <f>ROUND(IF(AO1995="1",BF1995,0),2)</f>
        <v>0</v>
      </c>
      <c r="AA1995" s="25">
        <f>ROUND(IF(AO1995="1",BG1995,0),2)</f>
        <v>0</v>
      </c>
      <c r="AB1995" s="25">
        <f>ROUND(IF(AO1995="7",BF1995,0),2)</f>
        <v>0</v>
      </c>
      <c r="AC1995" s="25">
        <f>ROUND(IF(AO1995="7",BG1995,0),2)</f>
        <v>0</v>
      </c>
      <c r="AD1995" s="25">
        <f>ROUND(IF(AO1995="2",BF1995,0),2)</f>
        <v>0</v>
      </c>
      <c r="AE1995" s="25">
        <f>ROUND(IF(AO1995="2",BG1995,0),2)</f>
        <v>0</v>
      </c>
      <c r="AF1995" s="25">
        <f>ROUND(IF(AO1995="0",BH1995,0),2)</f>
        <v>0</v>
      </c>
      <c r="AG1995" s="10" t="s">
        <v>2333</v>
      </c>
      <c r="AH1995" s="25">
        <f>IF(AL1995=0,K1995,0)</f>
        <v>0</v>
      </c>
      <c r="AI1995" s="25">
        <f>IF(AL1995=12,K1995,0)</f>
        <v>0</v>
      </c>
      <c r="AJ1995" s="25">
        <f>IF(AL1995=21,K1995,0)</f>
        <v>0</v>
      </c>
      <c r="AL1995" s="25">
        <v>21</v>
      </c>
      <c r="AM1995" s="25">
        <f>H1995*0</f>
        <v>0</v>
      </c>
      <c r="AN1995" s="25">
        <f>H1995*(1-0)</f>
        <v>0</v>
      </c>
      <c r="AO1995" s="27" t="s">
        <v>57</v>
      </c>
      <c r="AT1995" s="25">
        <f>ROUND(AU1995+AV1995,2)</f>
        <v>0</v>
      </c>
      <c r="AU1995" s="25">
        <f>ROUND(G1995*AM1995,2)</f>
        <v>0</v>
      </c>
      <c r="AV1995" s="25">
        <f>ROUND(G1995*AN1995,2)</f>
        <v>0</v>
      </c>
      <c r="AW1995" s="27" t="s">
        <v>564</v>
      </c>
      <c r="AX1995" s="27" t="s">
        <v>2392</v>
      </c>
      <c r="AY1995" s="10" t="s">
        <v>2341</v>
      </c>
      <c r="BA1995" s="25">
        <f>AU1995+AV1995</f>
        <v>0</v>
      </c>
      <c r="BB1995" s="25">
        <f>H1995/(100-BC1995)*100</f>
        <v>0</v>
      </c>
      <c r="BC1995" s="25">
        <v>0</v>
      </c>
      <c r="BD1995" s="25">
        <f>M1995</f>
        <v>0</v>
      </c>
      <c r="BF1995" s="25">
        <f>G1995*AM1995</f>
        <v>0</v>
      </c>
      <c r="BG1995" s="25">
        <f>G1995*AN1995</f>
        <v>0</v>
      </c>
      <c r="BH1995" s="25">
        <f>G1995*H1995</f>
        <v>0</v>
      </c>
      <c r="BI1995" s="27" t="s">
        <v>65</v>
      </c>
      <c r="BJ1995" s="25"/>
      <c r="BU1995" s="25" t="e">
        <f>#REF!</f>
        <v>#REF!</v>
      </c>
      <c r="BV1995" s="4" t="s">
        <v>2391</v>
      </c>
    </row>
    <row r="1996" spans="1:74" ht="14.4" x14ac:dyDescent="0.3">
      <c r="A1996" s="28"/>
      <c r="D1996" s="29" t="s">
        <v>57</v>
      </c>
      <c r="E1996" s="29" t="s">
        <v>52</v>
      </c>
      <c r="G1996" s="30">
        <v>1</v>
      </c>
      <c r="H1996" s="63"/>
      <c r="N1996" s="31"/>
    </row>
    <row r="1997" spans="1:74" ht="14.4" x14ac:dyDescent="0.3">
      <c r="A1997" s="2" t="s">
        <v>2393</v>
      </c>
      <c r="B1997" s="3" t="s">
        <v>2333</v>
      </c>
      <c r="C1997" s="3" t="s">
        <v>2394</v>
      </c>
      <c r="D1997" s="112" t="s">
        <v>2395</v>
      </c>
      <c r="E1997" s="109"/>
      <c r="F1997" s="3" t="s">
        <v>2183</v>
      </c>
      <c r="G1997" s="25">
        <v>1</v>
      </c>
      <c r="H1997" s="62"/>
      <c r="I1997" s="25">
        <f>ROUND(G1997*AM1997,2)</f>
        <v>0</v>
      </c>
      <c r="J1997" s="25">
        <f>ROUND(G1997*AN1997,2)</f>
        <v>0</v>
      </c>
      <c r="K1997" s="25">
        <f>ROUND(G1997*H1997,2)</f>
        <v>0</v>
      </c>
      <c r="L1997" s="25">
        <v>5.1499999999999997E-2</v>
      </c>
      <c r="M1997" s="25">
        <f>G1997*L1997</f>
        <v>5.1499999999999997E-2</v>
      </c>
      <c r="N1997" s="102"/>
      <c r="X1997" s="25">
        <f>ROUND(IF(AO1997="5",BH1997,0),2)</f>
        <v>0</v>
      </c>
      <c r="Z1997" s="25">
        <f>ROUND(IF(AO1997="1",BF1997,0),2)</f>
        <v>0</v>
      </c>
      <c r="AA1997" s="25">
        <f>ROUND(IF(AO1997="1",BG1997,0),2)</f>
        <v>0</v>
      </c>
      <c r="AB1997" s="25">
        <f>ROUND(IF(AO1997="7",BF1997,0),2)</f>
        <v>0</v>
      </c>
      <c r="AC1997" s="25">
        <f>ROUND(IF(AO1997="7",BG1997,0),2)</f>
        <v>0</v>
      </c>
      <c r="AD1997" s="25">
        <f>ROUND(IF(AO1997="2",BF1997,0),2)</f>
        <v>0</v>
      </c>
      <c r="AE1997" s="25">
        <f>ROUND(IF(AO1997="2",BG1997,0),2)</f>
        <v>0</v>
      </c>
      <c r="AF1997" s="25">
        <f>ROUND(IF(AO1997="0",BH1997,0),2)</f>
        <v>0</v>
      </c>
      <c r="AG1997" s="10" t="s">
        <v>2333</v>
      </c>
      <c r="AH1997" s="25">
        <f>IF(AL1997=0,K1997,0)</f>
        <v>0</v>
      </c>
      <c r="AI1997" s="25">
        <f>IF(AL1997=12,K1997,0)</f>
        <v>0</v>
      </c>
      <c r="AJ1997" s="25">
        <f>IF(AL1997=21,K1997,0)</f>
        <v>0</v>
      </c>
      <c r="AL1997" s="25">
        <v>21</v>
      </c>
      <c r="AM1997" s="25">
        <f>H1997*0.462577333</f>
        <v>0</v>
      </c>
      <c r="AN1997" s="25">
        <f>H1997*(1-0.462577333)</f>
        <v>0</v>
      </c>
      <c r="AO1997" s="27" t="s">
        <v>57</v>
      </c>
      <c r="AT1997" s="25">
        <f>ROUND(AU1997+AV1997,2)</f>
        <v>0</v>
      </c>
      <c r="AU1997" s="25">
        <f>ROUND(G1997*AM1997,2)</f>
        <v>0</v>
      </c>
      <c r="AV1997" s="25">
        <f>ROUND(G1997*AN1997,2)</f>
        <v>0</v>
      </c>
      <c r="AW1997" s="27" t="s">
        <v>564</v>
      </c>
      <c r="AX1997" s="27" t="s">
        <v>2392</v>
      </c>
      <c r="AY1997" s="10" t="s">
        <v>2341</v>
      </c>
      <c r="BA1997" s="25">
        <f>AU1997+AV1997</f>
        <v>0</v>
      </c>
      <c r="BB1997" s="25">
        <f>H1997/(100-BC1997)*100</f>
        <v>0</v>
      </c>
      <c r="BC1997" s="25">
        <v>0</v>
      </c>
      <c r="BD1997" s="25">
        <f>M1997</f>
        <v>5.1499999999999997E-2</v>
      </c>
      <c r="BF1997" s="25">
        <f>G1997*AM1997</f>
        <v>0</v>
      </c>
      <c r="BG1997" s="25">
        <f>G1997*AN1997</f>
        <v>0</v>
      </c>
      <c r="BH1997" s="25">
        <f>G1997*H1997</f>
        <v>0</v>
      </c>
      <c r="BI1997" s="27" t="s">
        <v>65</v>
      </c>
      <c r="BJ1997" s="25"/>
      <c r="BU1997" s="25" t="e">
        <f>#REF!</f>
        <v>#REF!</v>
      </c>
      <c r="BV1997" s="4" t="s">
        <v>2395</v>
      </c>
    </row>
    <row r="1998" spans="1:74" ht="26.4" x14ac:dyDescent="0.3">
      <c r="A1998" s="2" t="s">
        <v>2396</v>
      </c>
      <c r="B1998" s="3" t="s">
        <v>2333</v>
      </c>
      <c r="C1998" s="3" t="s">
        <v>2397</v>
      </c>
      <c r="D1998" s="112" t="s">
        <v>2398</v>
      </c>
      <c r="E1998" s="109"/>
      <c r="F1998" s="3" t="s">
        <v>2183</v>
      </c>
      <c r="G1998" s="25">
        <v>1</v>
      </c>
      <c r="H1998" s="62"/>
      <c r="I1998" s="25">
        <f>ROUND(G1998*AM1998,2)</f>
        <v>0</v>
      </c>
      <c r="J1998" s="25">
        <f>ROUND(G1998*AN1998,2)</f>
        <v>0</v>
      </c>
      <c r="K1998" s="25">
        <f>ROUND(G1998*H1998,2)</f>
        <v>0</v>
      </c>
      <c r="L1998" s="25">
        <v>0</v>
      </c>
      <c r="M1998" s="25">
        <f>G1998*L1998</f>
        <v>0</v>
      </c>
      <c r="N1998" s="102"/>
      <c r="X1998" s="25">
        <f>ROUND(IF(AO1998="5",BH1998,0),2)</f>
        <v>0</v>
      </c>
      <c r="Z1998" s="25">
        <f>ROUND(IF(AO1998="1",BF1998,0),2)</f>
        <v>0</v>
      </c>
      <c r="AA1998" s="25">
        <f>ROUND(IF(AO1998="1",BG1998,0),2)</f>
        <v>0</v>
      </c>
      <c r="AB1998" s="25">
        <f>ROUND(IF(AO1998="7",BF1998,0),2)</f>
        <v>0</v>
      </c>
      <c r="AC1998" s="25">
        <f>ROUND(IF(AO1998="7",BG1998,0),2)</f>
        <v>0</v>
      </c>
      <c r="AD1998" s="25">
        <f>ROUND(IF(AO1998="2",BF1998,0),2)</f>
        <v>0</v>
      </c>
      <c r="AE1998" s="25">
        <f>ROUND(IF(AO1998="2",BG1998,0),2)</f>
        <v>0</v>
      </c>
      <c r="AF1998" s="25">
        <f>ROUND(IF(AO1998="0",BH1998,0),2)</f>
        <v>0</v>
      </c>
      <c r="AG1998" s="10" t="s">
        <v>2333</v>
      </c>
      <c r="AH1998" s="25">
        <f>IF(AL1998=0,K1998,0)</f>
        <v>0</v>
      </c>
      <c r="AI1998" s="25">
        <f>IF(AL1998=12,K1998,0)</f>
        <v>0</v>
      </c>
      <c r="AJ1998" s="25">
        <f>IF(AL1998=21,K1998,0)</f>
        <v>0</v>
      </c>
      <c r="AL1998" s="25">
        <v>21</v>
      </c>
      <c r="AM1998" s="25">
        <f>H1998*0.666922306</f>
        <v>0</v>
      </c>
      <c r="AN1998" s="25">
        <f>H1998*(1-0.666922306)</f>
        <v>0</v>
      </c>
      <c r="AO1998" s="27" t="s">
        <v>57</v>
      </c>
      <c r="AT1998" s="25">
        <f>ROUND(AU1998+AV1998,2)</f>
        <v>0</v>
      </c>
      <c r="AU1998" s="25">
        <f>ROUND(G1998*AM1998,2)</f>
        <v>0</v>
      </c>
      <c r="AV1998" s="25">
        <f>ROUND(G1998*AN1998,2)</f>
        <v>0</v>
      </c>
      <c r="AW1998" s="27" t="s">
        <v>564</v>
      </c>
      <c r="AX1998" s="27" t="s">
        <v>2392</v>
      </c>
      <c r="AY1998" s="10" t="s">
        <v>2341</v>
      </c>
      <c r="BA1998" s="25">
        <f>AU1998+AV1998</f>
        <v>0</v>
      </c>
      <c r="BB1998" s="25">
        <f>H1998/(100-BC1998)*100</f>
        <v>0</v>
      </c>
      <c r="BC1998" s="25">
        <v>0</v>
      </c>
      <c r="BD1998" s="25">
        <f>M1998</f>
        <v>0</v>
      </c>
      <c r="BF1998" s="25">
        <f>G1998*AM1998</f>
        <v>0</v>
      </c>
      <c r="BG1998" s="25">
        <f>G1998*AN1998</f>
        <v>0</v>
      </c>
      <c r="BH1998" s="25">
        <f>G1998*H1998</f>
        <v>0</v>
      </c>
      <c r="BI1998" s="27" t="s">
        <v>65</v>
      </c>
      <c r="BJ1998" s="25"/>
      <c r="BU1998" s="25" t="e">
        <f>#REF!</f>
        <v>#REF!</v>
      </c>
      <c r="BV1998" s="4" t="s">
        <v>2398</v>
      </c>
    </row>
    <row r="1999" spans="1:74" ht="14.4" x14ac:dyDescent="0.3">
      <c r="A1999" s="28"/>
      <c r="D1999" s="29" t="s">
        <v>57</v>
      </c>
      <c r="E1999" s="29" t="s">
        <v>52</v>
      </c>
      <c r="G1999" s="30">
        <v>1</v>
      </c>
      <c r="H1999" s="63"/>
      <c r="N1999" s="31"/>
    </row>
    <row r="2000" spans="1:74" ht="26.4" x14ac:dyDescent="0.3">
      <c r="A2000" s="2" t="s">
        <v>2399</v>
      </c>
      <c r="B2000" s="3" t="s">
        <v>2333</v>
      </c>
      <c r="C2000" s="3" t="s">
        <v>2137</v>
      </c>
      <c r="D2000" s="112" t="s">
        <v>2400</v>
      </c>
      <c r="E2000" s="109"/>
      <c r="F2000" s="3" t="s">
        <v>2183</v>
      </c>
      <c r="G2000" s="25">
        <v>1</v>
      </c>
      <c r="H2000" s="62"/>
      <c r="I2000" s="25">
        <f>ROUND(G2000*AM2000,2)</f>
        <v>0</v>
      </c>
      <c r="J2000" s="25">
        <f>ROUND(G2000*AN2000,2)</f>
        <v>0</v>
      </c>
      <c r="K2000" s="25">
        <f>ROUND(G2000*H2000,2)</f>
        <v>0</v>
      </c>
      <c r="L2000" s="25">
        <v>0</v>
      </c>
      <c r="M2000" s="25">
        <f>G2000*L2000</f>
        <v>0</v>
      </c>
      <c r="N2000" s="102"/>
      <c r="X2000" s="25">
        <f>ROUND(IF(AO2000="5",BH2000,0),2)</f>
        <v>0</v>
      </c>
      <c r="Z2000" s="25">
        <f>ROUND(IF(AO2000="1",BF2000,0),2)</f>
        <v>0</v>
      </c>
      <c r="AA2000" s="25">
        <f>ROUND(IF(AO2000="1",BG2000,0),2)</f>
        <v>0</v>
      </c>
      <c r="AB2000" s="25">
        <f>ROUND(IF(AO2000="7",BF2000,0),2)</f>
        <v>0</v>
      </c>
      <c r="AC2000" s="25">
        <f>ROUND(IF(AO2000="7",BG2000,0),2)</f>
        <v>0</v>
      </c>
      <c r="AD2000" s="25">
        <f>ROUND(IF(AO2000="2",BF2000,0),2)</f>
        <v>0</v>
      </c>
      <c r="AE2000" s="25">
        <f>ROUND(IF(AO2000="2",BG2000,0),2)</f>
        <v>0</v>
      </c>
      <c r="AF2000" s="25">
        <f>ROUND(IF(AO2000="0",BH2000,0),2)</f>
        <v>0</v>
      </c>
      <c r="AG2000" s="10" t="s">
        <v>2333</v>
      </c>
      <c r="AH2000" s="25">
        <f>IF(AL2000=0,K2000,0)</f>
        <v>0</v>
      </c>
      <c r="AI2000" s="25">
        <f>IF(AL2000=12,K2000,0)</f>
        <v>0</v>
      </c>
      <c r="AJ2000" s="25">
        <f>IF(AL2000=21,K2000,0)</f>
        <v>0</v>
      </c>
      <c r="AL2000" s="25">
        <v>21</v>
      </c>
      <c r="AM2000" s="25">
        <f>H2000*0.666922643</f>
        <v>0</v>
      </c>
      <c r="AN2000" s="25">
        <f>H2000*(1-0.666922643)</f>
        <v>0</v>
      </c>
      <c r="AO2000" s="27" t="s">
        <v>57</v>
      </c>
      <c r="AT2000" s="25">
        <f>ROUND(AU2000+AV2000,2)</f>
        <v>0</v>
      </c>
      <c r="AU2000" s="25">
        <f>ROUND(G2000*AM2000,2)</f>
        <v>0</v>
      </c>
      <c r="AV2000" s="25">
        <f>ROUND(G2000*AN2000,2)</f>
        <v>0</v>
      </c>
      <c r="AW2000" s="27" t="s">
        <v>564</v>
      </c>
      <c r="AX2000" s="27" t="s">
        <v>2392</v>
      </c>
      <c r="AY2000" s="10" t="s">
        <v>2341</v>
      </c>
      <c r="BA2000" s="25">
        <f>AU2000+AV2000</f>
        <v>0</v>
      </c>
      <c r="BB2000" s="25">
        <f>H2000/(100-BC2000)*100</f>
        <v>0</v>
      </c>
      <c r="BC2000" s="25">
        <v>0</v>
      </c>
      <c r="BD2000" s="25">
        <f>M2000</f>
        <v>0</v>
      </c>
      <c r="BF2000" s="25">
        <f>G2000*AM2000</f>
        <v>0</v>
      </c>
      <c r="BG2000" s="25">
        <f>G2000*AN2000</f>
        <v>0</v>
      </c>
      <c r="BH2000" s="25">
        <f>G2000*H2000</f>
        <v>0</v>
      </c>
      <c r="BI2000" s="27" t="s">
        <v>65</v>
      </c>
      <c r="BJ2000" s="25"/>
      <c r="BU2000" s="25" t="e">
        <f>#REF!</f>
        <v>#REF!</v>
      </c>
      <c r="BV2000" s="4" t="s">
        <v>2400</v>
      </c>
    </row>
    <row r="2001" spans="1:74" ht="14.4" x14ac:dyDescent="0.3">
      <c r="A2001" s="28"/>
      <c r="D2001" s="29" t="s">
        <v>57</v>
      </c>
      <c r="E2001" s="29" t="s">
        <v>52</v>
      </c>
      <c r="G2001" s="30">
        <v>1</v>
      </c>
      <c r="H2001" s="63"/>
      <c r="N2001" s="31"/>
    </row>
    <row r="2002" spans="1:74" ht="26.4" x14ac:dyDescent="0.3">
      <c r="A2002" s="2" t="s">
        <v>2401</v>
      </c>
      <c r="B2002" s="3" t="s">
        <v>2333</v>
      </c>
      <c r="C2002" s="3" t="s">
        <v>2402</v>
      </c>
      <c r="D2002" s="112" t="s">
        <v>2403</v>
      </c>
      <c r="E2002" s="109"/>
      <c r="F2002" s="3" t="s">
        <v>2183</v>
      </c>
      <c r="G2002" s="25">
        <v>1</v>
      </c>
      <c r="H2002" s="62"/>
      <c r="I2002" s="25">
        <f>ROUND(G2002*AM2002,2)</f>
        <v>0</v>
      </c>
      <c r="J2002" s="25">
        <f>ROUND(G2002*AN2002,2)</f>
        <v>0</v>
      </c>
      <c r="K2002" s="25">
        <f>ROUND(G2002*H2002,2)</f>
        <v>0</v>
      </c>
      <c r="L2002" s="25">
        <v>0</v>
      </c>
      <c r="M2002" s="25">
        <f>G2002*L2002</f>
        <v>0</v>
      </c>
      <c r="N2002" s="102"/>
      <c r="X2002" s="25">
        <f>ROUND(IF(AO2002="5",BH2002,0),2)</f>
        <v>0</v>
      </c>
      <c r="Z2002" s="25">
        <f>ROUND(IF(AO2002="1",BF2002,0),2)</f>
        <v>0</v>
      </c>
      <c r="AA2002" s="25">
        <f>ROUND(IF(AO2002="1",BG2002,0),2)</f>
        <v>0</v>
      </c>
      <c r="AB2002" s="25">
        <f>ROUND(IF(AO2002="7",BF2002,0),2)</f>
        <v>0</v>
      </c>
      <c r="AC2002" s="25">
        <f>ROUND(IF(AO2002="7",BG2002,0),2)</f>
        <v>0</v>
      </c>
      <c r="AD2002" s="25">
        <f>ROUND(IF(AO2002="2",BF2002,0),2)</f>
        <v>0</v>
      </c>
      <c r="AE2002" s="25">
        <f>ROUND(IF(AO2002="2",BG2002,0),2)</f>
        <v>0</v>
      </c>
      <c r="AF2002" s="25">
        <f>ROUND(IF(AO2002="0",BH2002,0),2)</f>
        <v>0</v>
      </c>
      <c r="AG2002" s="10" t="s">
        <v>2333</v>
      </c>
      <c r="AH2002" s="25">
        <f>IF(AL2002=0,K2002,0)</f>
        <v>0</v>
      </c>
      <c r="AI2002" s="25">
        <f>IF(AL2002=12,K2002,0)</f>
        <v>0</v>
      </c>
      <c r="AJ2002" s="25">
        <f>IF(AL2002=21,K2002,0)</f>
        <v>0</v>
      </c>
      <c r="AL2002" s="25">
        <v>21</v>
      </c>
      <c r="AM2002" s="25">
        <f>H2002*0.666924783</f>
        <v>0</v>
      </c>
      <c r="AN2002" s="25">
        <f>H2002*(1-0.666924783)</f>
        <v>0</v>
      </c>
      <c r="AO2002" s="27" t="s">
        <v>57</v>
      </c>
      <c r="AT2002" s="25">
        <f>ROUND(AU2002+AV2002,2)</f>
        <v>0</v>
      </c>
      <c r="AU2002" s="25">
        <f>ROUND(G2002*AM2002,2)</f>
        <v>0</v>
      </c>
      <c r="AV2002" s="25">
        <f>ROUND(G2002*AN2002,2)</f>
        <v>0</v>
      </c>
      <c r="AW2002" s="27" t="s">
        <v>564</v>
      </c>
      <c r="AX2002" s="27" t="s">
        <v>2392</v>
      </c>
      <c r="AY2002" s="10" t="s">
        <v>2341</v>
      </c>
      <c r="BA2002" s="25">
        <f>AU2002+AV2002</f>
        <v>0</v>
      </c>
      <c r="BB2002" s="25">
        <f>H2002/(100-BC2002)*100</f>
        <v>0</v>
      </c>
      <c r="BC2002" s="25">
        <v>0</v>
      </c>
      <c r="BD2002" s="25">
        <f>M2002</f>
        <v>0</v>
      </c>
      <c r="BF2002" s="25">
        <f>G2002*AM2002</f>
        <v>0</v>
      </c>
      <c r="BG2002" s="25">
        <f>G2002*AN2002</f>
        <v>0</v>
      </c>
      <c r="BH2002" s="25">
        <f>G2002*H2002</f>
        <v>0</v>
      </c>
      <c r="BI2002" s="27" t="s">
        <v>65</v>
      </c>
      <c r="BJ2002" s="25"/>
      <c r="BU2002" s="25" t="e">
        <f>#REF!</f>
        <v>#REF!</v>
      </c>
      <c r="BV2002" s="4" t="s">
        <v>2403</v>
      </c>
    </row>
    <row r="2003" spans="1:74" ht="14.4" x14ac:dyDescent="0.3">
      <c r="A2003" s="28"/>
      <c r="D2003" s="29" t="s">
        <v>57</v>
      </c>
      <c r="E2003" s="29" t="s">
        <v>52</v>
      </c>
      <c r="G2003" s="30">
        <v>1</v>
      </c>
      <c r="H2003" s="63"/>
      <c r="N2003" s="31"/>
    </row>
    <row r="2004" spans="1:74" ht="26.4" x14ac:dyDescent="0.3">
      <c r="A2004" s="2" t="s">
        <v>2404</v>
      </c>
      <c r="B2004" s="3" t="s">
        <v>2333</v>
      </c>
      <c r="C2004" s="3" t="s">
        <v>2405</v>
      </c>
      <c r="D2004" s="112" t="s">
        <v>2406</v>
      </c>
      <c r="E2004" s="109"/>
      <c r="F2004" s="3" t="s">
        <v>2183</v>
      </c>
      <c r="G2004" s="25">
        <v>1</v>
      </c>
      <c r="H2004" s="62"/>
      <c r="I2004" s="25">
        <f>ROUND(G2004*AM2004,2)</f>
        <v>0</v>
      </c>
      <c r="J2004" s="25">
        <f>ROUND(G2004*AN2004,2)</f>
        <v>0</v>
      </c>
      <c r="K2004" s="25">
        <f>ROUND(G2004*H2004,2)</f>
        <v>0</v>
      </c>
      <c r="L2004" s="25">
        <v>0</v>
      </c>
      <c r="M2004" s="25">
        <f>G2004*L2004</f>
        <v>0</v>
      </c>
      <c r="N2004" s="102"/>
      <c r="X2004" s="25">
        <f>ROUND(IF(AO2004="5",BH2004,0),2)</f>
        <v>0</v>
      </c>
      <c r="Z2004" s="25">
        <f>ROUND(IF(AO2004="1",BF2004,0),2)</f>
        <v>0</v>
      </c>
      <c r="AA2004" s="25">
        <f>ROUND(IF(AO2004="1",BG2004,0),2)</f>
        <v>0</v>
      </c>
      <c r="AB2004" s="25">
        <f>ROUND(IF(AO2004="7",BF2004,0),2)</f>
        <v>0</v>
      </c>
      <c r="AC2004" s="25">
        <f>ROUND(IF(AO2004="7",BG2004,0),2)</f>
        <v>0</v>
      </c>
      <c r="AD2004" s="25">
        <f>ROUND(IF(AO2004="2",BF2004,0),2)</f>
        <v>0</v>
      </c>
      <c r="AE2004" s="25">
        <f>ROUND(IF(AO2004="2",BG2004,0),2)</f>
        <v>0</v>
      </c>
      <c r="AF2004" s="25">
        <f>ROUND(IF(AO2004="0",BH2004,0),2)</f>
        <v>0</v>
      </c>
      <c r="AG2004" s="10" t="s">
        <v>2333</v>
      </c>
      <c r="AH2004" s="25">
        <f>IF(AL2004=0,K2004,0)</f>
        <v>0</v>
      </c>
      <c r="AI2004" s="25">
        <f>IF(AL2004=12,K2004,0)</f>
        <v>0</v>
      </c>
      <c r="AJ2004" s="25">
        <f>IF(AL2004=21,K2004,0)</f>
        <v>0</v>
      </c>
      <c r="AL2004" s="25">
        <v>21</v>
      </c>
      <c r="AM2004" s="25">
        <f>H2004*0.66692252</f>
        <v>0</v>
      </c>
      <c r="AN2004" s="25">
        <f>H2004*(1-0.66692252)</f>
        <v>0</v>
      </c>
      <c r="AO2004" s="27" t="s">
        <v>57</v>
      </c>
      <c r="AT2004" s="25">
        <f>ROUND(AU2004+AV2004,2)</f>
        <v>0</v>
      </c>
      <c r="AU2004" s="25">
        <f>ROUND(G2004*AM2004,2)</f>
        <v>0</v>
      </c>
      <c r="AV2004" s="25">
        <f>ROUND(G2004*AN2004,2)</f>
        <v>0</v>
      </c>
      <c r="AW2004" s="27" t="s">
        <v>564</v>
      </c>
      <c r="AX2004" s="27" t="s">
        <v>2392</v>
      </c>
      <c r="AY2004" s="10" t="s">
        <v>2341</v>
      </c>
      <c r="BA2004" s="25">
        <f>AU2004+AV2004</f>
        <v>0</v>
      </c>
      <c r="BB2004" s="25">
        <f>H2004/(100-BC2004)*100</f>
        <v>0</v>
      </c>
      <c r="BC2004" s="25">
        <v>0</v>
      </c>
      <c r="BD2004" s="25">
        <f>M2004</f>
        <v>0</v>
      </c>
      <c r="BF2004" s="25">
        <f>G2004*AM2004</f>
        <v>0</v>
      </c>
      <c r="BG2004" s="25">
        <f>G2004*AN2004</f>
        <v>0</v>
      </c>
      <c r="BH2004" s="25">
        <f>G2004*H2004</f>
        <v>0</v>
      </c>
      <c r="BI2004" s="27" t="s">
        <v>65</v>
      </c>
      <c r="BJ2004" s="25"/>
      <c r="BU2004" s="25" t="e">
        <f>#REF!</f>
        <v>#REF!</v>
      </c>
      <c r="BV2004" s="4" t="s">
        <v>2406</v>
      </c>
    </row>
    <row r="2005" spans="1:74" ht="14.4" x14ac:dyDescent="0.3">
      <c r="A2005" s="28"/>
      <c r="D2005" s="29" t="s">
        <v>57</v>
      </c>
      <c r="E2005" s="29" t="s">
        <v>52</v>
      </c>
      <c r="G2005" s="30">
        <v>1</v>
      </c>
      <c r="H2005" s="63"/>
      <c r="N2005" s="31"/>
    </row>
    <row r="2006" spans="1:74" ht="26.4" x14ac:dyDescent="0.3">
      <c r="A2006" s="2" t="s">
        <v>2407</v>
      </c>
      <c r="B2006" s="3" t="s">
        <v>2333</v>
      </c>
      <c r="C2006" s="3" t="s">
        <v>2193</v>
      </c>
      <c r="D2006" s="112" t="s">
        <v>2408</v>
      </c>
      <c r="E2006" s="109"/>
      <c r="F2006" s="3" t="s">
        <v>2183</v>
      </c>
      <c r="G2006" s="25">
        <v>1</v>
      </c>
      <c r="H2006" s="62"/>
      <c r="I2006" s="25">
        <f>ROUND(G2006*AM2006,2)</f>
        <v>0</v>
      </c>
      <c r="J2006" s="25">
        <f>ROUND(G2006*AN2006,2)</f>
        <v>0</v>
      </c>
      <c r="K2006" s="25">
        <f>ROUND(G2006*H2006,2)</f>
        <v>0</v>
      </c>
      <c r="L2006" s="25">
        <v>0</v>
      </c>
      <c r="M2006" s="25">
        <f>G2006*L2006</f>
        <v>0</v>
      </c>
      <c r="N2006" s="102"/>
      <c r="X2006" s="25">
        <f>ROUND(IF(AO2006="5",BH2006,0),2)</f>
        <v>0</v>
      </c>
      <c r="Z2006" s="25">
        <f>ROUND(IF(AO2006="1",BF2006,0),2)</f>
        <v>0</v>
      </c>
      <c r="AA2006" s="25">
        <f>ROUND(IF(AO2006="1",BG2006,0),2)</f>
        <v>0</v>
      </c>
      <c r="AB2006" s="25">
        <f>ROUND(IF(AO2006="7",BF2006,0),2)</f>
        <v>0</v>
      </c>
      <c r="AC2006" s="25">
        <f>ROUND(IF(AO2006="7",BG2006,0),2)</f>
        <v>0</v>
      </c>
      <c r="AD2006" s="25">
        <f>ROUND(IF(AO2006="2",BF2006,0),2)</f>
        <v>0</v>
      </c>
      <c r="AE2006" s="25">
        <f>ROUND(IF(AO2006="2",BG2006,0),2)</f>
        <v>0</v>
      </c>
      <c r="AF2006" s="25">
        <f>ROUND(IF(AO2006="0",BH2006,0),2)</f>
        <v>0</v>
      </c>
      <c r="AG2006" s="10" t="s">
        <v>2333</v>
      </c>
      <c r="AH2006" s="25">
        <f>IF(AL2006=0,K2006,0)</f>
        <v>0</v>
      </c>
      <c r="AI2006" s="25">
        <f>IF(AL2006=12,K2006,0)</f>
        <v>0</v>
      </c>
      <c r="AJ2006" s="25">
        <f>IF(AL2006=21,K2006,0)</f>
        <v>0</v>
      </c>
      <c r="AL2006" s="25">
        <v>21</v>
      </c>
      <c r="AM2006" s="25">
        <f>H2006*0.666923653</f>
        <v>0</v>
      </c>
      <c r="AN2006" s="25">
        <f>H2006*(1-0.666923653)</f>
        <v>0</v>
      </c>
      <c r="AO2006" s="27" t="s">
        <v>57</v>
      </c>
      <c r="AT2006" s="25">
        <f>ROUND(AU2006+AV2006,2)</f>
        <v>0</v>
      </c>
      <c r="AU2006" s="25">
        <f>ROUND(G2006*AM2006,2)</f>
        <v>0</v>
      </c>
      <c r="AV2006" s="25">
        <f>ROUND(G2006*AN2006,2)</f>
        <v>0</v>
      </c>
      <c r="AW2006" s="27" t="s">
        <v>564</v>
      </c>
      <c r="AX2006" s="27" t="s">
        <v>2392</v>
      </c>
      <c r="AY2006" s="10" t="s">
        <v>2341</v>
      </c>
      <c r="BA2006" s="25">
        <f>AU2006+AV2006</f>
        <v>0</v>
      </c>
      <c r="BB2006" s="25">
        <f>H2006/(100-BC2006)*100</f>
        <v>0</v>
      </c>
      <c r="BC2006" s="25">
        <v>0</v>
      </c>
      <c r="BD2006" s="25">
        <f>M2006</f>
        <v>0</v>
      </c>
      <c r="BF2006" s="25">
        <f>G2006*AM2006</f>
        <v>0</v>
      </c>
      <c r="BG2006" s="25">
        <f>G2006*AN2006</f>
        <v>0</v>
      </c>
      <c r="BH2006" s="25">
        <f>G2006*H2006</f>
        <v>0</v>
      </c>
      <c r="BI2006" s="27" t="s">
        <v>65</v>
      </c>
      <c r="BJ2006" s="25"/>
      <c r="BU2006" s="25" t="e">
        <f>#REF!</f>
        <v>#REF!</v>
      </c>
      <c r="BV2006" s="4" t="s">
        <v>2408</v>
      </c>
    </row>
    <row r="2007" spans="1:74" ht="14.4" x14ac:dyDescent="0.3">
      <c r="A2007" s="28"/>
      <c r="D2007" s="29" t="s">
        <v>57</v>
      </c>
      <c r="E2007" s="29" t="s">
        <v>52</v>
      </c>
      <c r="G2007" s="30">
        <v>1</v>
      </c>
      <c r="H2007" s="63"/>
      <c r="N2007" s="31"/>
    </row>
    <row r="2008" spans="1:74" ht="26.4" x14ac:dyDescent="0.3">
      <c r="A2008" s="2" t="s">
        <v>2409</v>
      </c>
      <c r="B2008" s="3" t="s">
        <v>2333</v>
      </c>
      <c r="C2008" s="3" t="s">
        <v>2410</v>
      </c>
      <c r="D2008" s="112" t="s">
        <v>2411</v>
      </c>
      <c r="E2008" s="109"/>
      <c r="F2008" s="3" t="s">
        <v>2183</v>
      </c>
      <c r="G2008" s="25">
        <v>1</v>
      </c>
      <c r="H2008" s="62"/>
      <c r="I2008" s="25">
        <f>ROUND(G2008*AM2008,2)</f>
        <v>0</v>
      </c>
      <c r="J2008" s="25">
        <f>ROUND(G2008*AN2008,2)</f>
        <v>0</v>
      </c>
      <c r="K2008" s="25">
        <f>ROUND(G2008*H2008,2)</f>
        <v>0</v>
      </c>
      <c r="L2008" s="25">
        <v>0</v>
      </c>
      <c r="M2008" s="25">
        <f>G2008*L2008</f>
        <v>0</v>
      </c>
      <c r="N2008" s="102"/>
      <c r="X2008" s="25">
        <f>ROUND(IF(AO2008="5",BH2008,0),2)</f>
        <v>0</v>
      </c>
      <c r="Z2008" s="25">
        <f>ROUND(IF(AO2008="1",BF2008,0),2)</f>
        <v>0</v>
      </c>
      <c r="AA2008" s="25">
        <f>ROUND(IF(AO2008="1",BG2008,0),2)</f>
        <v>0</v>
      </c>
      <c r="AB2008" s="25">
        <f>ROUND(IF(AO2008="7",BF2008,0),2)</f>
        <v>0</v>
      </c>
      <c r="AC2008" s="25">
        <f>ROUND(IF(AO2008="7",BG2008,0),2)</f>
        <v>0</v>
      </c>
      <c r="AD2008" s="25">
        <f>ROUND(IF(AO2008="2",BF2008,0),2)</f>
        <v>0</v>
      </c>
      <c r="AE2008" s="25">
        <f>ROUND(IF(AO2008="2",BG2008,0),2)</f>
        <v>0</v>
      </c>
      <c r="AF2008" s="25">
        <f>ROUND(IF(AO2008="0",BH2008,0),2)</f>
        <v>0</v>
      </c>
      <c r="AG2008" s="10" t="s">
        <v>2333</v>
      </c>
      <c r="AH2008" s="25">
        <f>IF(AL2008=0,K2008,0)</f>
        <v>0</v>
      </c>
      <c r="AI2008" s="25">
        <f>IF(AL2008=12,K2008,0)</f>
        <v>0</v>
      </c>
      <c r="AJ2008" s="25">
        <f>IF(AL2008=21,K2008,0)</f>
        <v>0</v>
      </c>
      <c r="AL2008" s="25">
        <v>21</v>
      </c>
      <c r="AM2008" s="25">
        <f>H2008*0.666924662</f>
        <v>0</v>
      </c>
      <c r="AN2008" s="25">
        <f>H2008*(1-0.666924662)</f>
        <v>0</v>
      </c>
      <c r="AO2008" s="27" t="s">
        <v>57</v>
      </c>
      <c r="AT2008" s="25">
        <f>ROUND(AU2008+AV2008,2)</f>
        <v>0</v>
      </c>
      <c r="AU2008" s="25">
        <f>ROUND(G2008*AM2008,2)</f>
        <v>0</v>
      </c>
      <c r="AV2008" s="25">
        <f>ROUND(G2008*AN2008,2)</f>
        <v>0</v>
      </c>
      <c r="AW2008" s="27" t="s">
        <v>564</v>
      </c>
      <c r="AX2008" s="27" t="s">
        <v>2392</v>
      </c>
      <c r="AY2008" s="10" t="s">
        <v>2341</v>
      </c>
      <c r="BA2008" s="25">
        <f>AU2008+AV2008</f>
        <v>0</v>
      </c>
      <c r="BB2008" s="25">
        <f>H2008/(100-BC2008)*100</f>
        <v>0</v>
      </c>
      <c r="BC2008" s="25">
        <v>0</v>
      </c>
      <c r="BD2008" s="25">
        <f>M2008</f>
        <v>0</v>
      </c>
      <c r="BF2008" s="25">
        <f>G2008*AM2008</f>
        <v>0</v>
      </c>
      <c r="BG2008" s="25">
        <f>G2008*AN2008</f>
        <v>0</v>
      </c>
      <c r="BH2008" s="25">
        <f>G2008*H2008</f>
        <v>0</v>
      </c>
      <c r="BI2008" s="27" t="s">
        <v>65</v>
      </c>
      <c r="BJ2008" s="25"/>
      <c r="BU2008" s="25" t="e">
        <f>#REF!</f>
        <v>#REF!</v>
      </c>
      <c r="BV2008" s="4" t="s">
        <v>2411</v>
      </c>
    </row>
    <row r="2009" spans="1:74" ht="14.4" x14ac:dyDescent="0.3">
      <c r="A2009" s="28"/>
      <c r="D2009" s="29" t="s">
        <v>57</v>
      </c>
      <c r="E2009" s="29" t="s">
        <v>52</v>
      </c>
      <c r="G2009" s="30">
        <v>1</v>
      </c>
      <c r="H2009" s="63"/>
      <c r="N2009" s="31"/>
    </row>
    <row r="2010" spans="1:74" ht="14.4" x14ac:dyDescent="0.3">
      <c r="A2010" s="2" t="s">
        <v>2412</v>
      </c>
      <c r="B2010" s="3" t="s">
        <v>2333</v>
      </c>
      <c r="C2010" s="3" t="s">
        <v>2413</v>
      </c>
      <c r="D2010" s="112" t="s">
        <v>2414</v>
      </c>
      <c r="E2010" s="109"/>
      <c r="F2010" s="3" t="s">
        <v>122</v>
      </c>
      <c r="G2010" s="25">
        <v>6</v>
      </c>
      <c r="H2010" s="62"/>
      <c r="I2010" s="25">
        <f>ROUND(G2010*AM2010,2)</f>
        <v>0</v>
      </c>
      <c r="J2010" s="25">
        <f>ROUND(G2010*AN2010,2)</f>
        <v>0</v>
      </c>
      <c r="K2010" s="25">
        <f>ROUND(G2010*H2010,2)</f>
        <v>0</v>
      </c>
      <c r="L2010" s="25">
        <v>0</v>
      </c>
      <c r="M2010" s="25">
        <f>G2010*L2010</f>
        <v>0</v>
      </c>
      <c r="N2010" s="26"/>
      <c r="X2010" s="25">
        <f>ROUND(IF(AO2010="5",BH2010,0),2)</f>
        <v>0</v>
      </c>
      <c r="Z2010" s="25">
        <f>ROUND(IF(AO2010="1",BF2010,0),2)</f>
        <v>0</v>
      </c>
      <c r="AA2010" s="25">
        <f>ROUND(IF(AO2010="1",BG2010,0),2)</f>
        <v>0</v>
      </c>
      <c r="AB2010" s="25">
        <f>ROUND(IF(AO2010="7",BF2010,0),2)</f>
        <v>0</v>
      </c>
      <c r="AC2010" s="25">
        <f>ROUND(IF(AO2010="7",BG2010,0),2)</f>
        <v>0</v>
      </c>
      <c r="AD2010" s="25">
        <f>ROUND(IF(AO2010="2",BF2010,0),2)</f>
        <v>0</v>
      </c>
      <c r="AE2010" s="25">
        <f>ROUND(IF(AO2010="2",BG2010,0),2)</f>
        <v>0</v>
      </c>
      <c r="AF2010" s="25">
        <f>ROUND(IF(AO2010="0",BH2010,0),2)</f>
        <v>0</v>
      </c>
      <c r="AG2010" s="10" t="s">
        <v>2333</v>
      </c>
      <c r="AH2010" s="25">
        <f>IF(AL2010=0,K2010,0)</f>
        <v>0</v>
      </c>
      <c r="AI2010" s="25">
        <f>IF(AL2010=12,K2010,0)</f>
        <v>0</v>
      </c>
      <c r="AJ2010" s="25">
        <f>IF(AL2010=21,K2010,0)</f>
        <v>0</v>
      </c>
      <c r="AL2010" s="25">
        <v>21</v>
      </c>
      <c r="AM2010" s="25">
        <f>H2010*0</f>
        <v>0</v>
      </c>
      <c r="AN2010" s="25">
        <f>H2010*(1-0)</f>
        <v>0</v>
      </c>
      <c r="AO2010" s="27" t="s">
        <v>57</v>
      </c>
      <c r="AT2010" s="25">
        <f>ROUND(AU2010+AV2010,2)</f>
        <v>0</v>
      </c>
      <c r="AU2010" s="25">
        <f>ROUND(G2010*AM2010,2)</f>
        <v>0</v>
      </c>
      <c r="AV2010" s="25">
        <f>ROUND(G2010*AN2010,2)</f>
        <v>0</v>
      </c>
      <c r="AW2010" s="27" t="s">
        <v>564</v>
      </c>
      <c r="AX2010" s="27" t="s">
        <v>2392</v>
      </c>
      <c r="AY2010" s="10" t="s">
        <v>2341</v>
      </c>
      <c r="BA2010" s="25">
        <f>AU2010+AV2010</f>
        <v>0</v>
      </c>
      <c r="BB2010" s="25">
        <f>H2010/(100-BC2010)*100</f>
        <v>0</v>
      </c>
      <c r="BC2010" s="25">
        <v>0</v>
      </c>
      <c r="BD2010" s="25">
        <f>M2010</f>
        <v>0</v>
      </c>
      <c r="BF2010" s="25">
        <f>G2010*AM2010</f>
        <v>0</v>
      </c>
      <c r="BG2010" s="25">
        <f>G2010*AN2010</f>
        <v>0</v>
      </c>
      <c r="BH2010" s="25">
        <f>G2010*H2010</f>
        <v>0</v>
      </c>
      <c r="BI2010" s="27" t="s">
        <v>65</v>
      </c>
      <c r="BJ2010" s="25"/>
      <c r="BU2010" s="25" t="e">
        <f>#REF!</f>
        <v>#REF!</v>
      </c>
      <c r="BV2010" s="4" t="s">
        <v>2414</v>
      </c>
    </row>
    <row r="2011" spans="1:74" ht="14.4" x14ac:dyDescent="0.3">
      <c r="A2011" s="2" t="s">
        <v>2415</v>
      </c>
      <c r="B2011" s="3" t="s">
        <v>2333</v>
      </c>
      <c r="C2011" s="3" t="s">
        <v>2175</v>
      </c>
      <c r="D2011" s="112" t="s">
        <v>2416</v>
      </c>
      <c r="E2011" s="109"/>
      <c r="F2011" s="3" t="s">
        <v>860</v>
      </c>
      <c r="G2011" s="25">
        <v>75</v>
      </c>
      <c r="H2011" s="62"/>
      <c r="I2011" s="25">
        <f>ROUND(G2011*AM2011,2)</f>
        <v>0</v>
      </c>
      <c r="J2011" s="25">
        <f>ROUND(G2011*AN2011,2)</f>
        <v>0</v>
      </c>
      <c r="K2011" s="25">
        <f>ROUND(G2011*H2011,2)</f>
        <v>0</v>
      </c>
      <c r="L2011" s="25">
        <v>3.4199999999999999E-3</v>
      </c>
      <c r="M2011" s="25">
        <f>G2011*L2011</f>
        <v>0.25650000000000001</v>
      </c>
      <c r="N2011" s="102"/>
      <c r="X2011" s="25">
        <f>ROUND(IF(AO2011="5",BH2011,0),2)</f>
        <v>0</v>
      </c>
      <c r="Z2011" s="25">
        <f>ROUND(IF(AO2011="1",BF2011,0),2)</f>
        <v>0</v>
      </c>
      <c r="AA2011" s="25">
        <f>ROUND(IF(AO2011="1",BG2011,0),2)</f>
        <v>0</v>
      </c>
      <c r="AB2011" s="25">
        <f>ROUND(IF(AO2011="7",BF2011,0),2)</f>
        <v>0</v>
      </c>
      <c r="AC2011" s="25">
        <f>ROUND(IF(AO2011="7",BG2011,0),2)</f>
        <v>0</v>
      </c>
      <c r="AD2011" s="25">
        <f>ROUND(IF(AO2011="2",BF2011,0),2)</f>
        <v>0</v>
      </c>
      <c r="AE2011" s="25">
        <f>ROUND(IF(AO2011="2",BG2011,0),2)</f>
        <v>0</v>
      </c>
      <c r="AF2011" s="25">
        <f>ROUND(IF(AO2011="0",BH2011,0),2)</f>
        <v>0</v>
      </c>
      <c r="AG2011" s="10" t="s">
        <v>2333</v>
      </c>
      <c r="AH2011" s="25">
        <f>IF(AL2011=0,K2011,0)</f>
        <v>0</v>
      </c>
      <c r="AI2011" s="25">
        <f>IF(AL2011=12,K2011,0)</f>
        <v>0</v>
      </c>
      <c r="AJ2011" s="25">
        <f>IF(AL2011=21,K2011,0)</f>
        <v>0</v>
      </c>
      <c r="AL2011" s="25">
        <v>21</v>
      </c>
      <c r="AM2011" s="25">
        <f>H2011*0</f>
        <v>0</v>
      </c>
      <c r="AN2011" s="25">
        <f>H2011*(1-0)</f>
        <v>0</v>
      </c>
      <c r="AO2011" s="27" t="s">
        <v>57</v>
      </c>
      <c r="AT2011" s="25">
        <f>ROUND(AU2011+AV2011,2)</f>
        <v>0</v>
      </c>
      <c r="AU2011" s="25">
        <f>ROUND(G2011*AM2011,2)</f>
        <v>0</v>
      </c>
      <c r="AV2011" s="25">
        <f>ROUND(G2011*AN2011,2)</f>
        <v>0</v>
      </c>
      <c r="AW2011" s="27" t="s">
        <v>564</v>
      </c>
      <c r="AX2011" s="27" t="s">
        <v>2392</v>
      </c>
      <c r="AY2011" s="10" t="s">
        <v>2341</v>
      </c>
      <c r="BA2011" s="25">
        <f>AU2011+AV2011</f>
        <v>0</v>
      </c>
      <c r="BB2011" s="25">
        <f>H2011/(100-BC2011)*100</f>
        <v>0</v>
      </c>
      <c r="BC2011" s="25">
        <v>0</v>
      </c>
      <c r="BD2011" s="25">
        <f>M2011</f>
        <v>0.25650000000000001</v>
      </c>
      <c r="BF2011" s="25">
        <f>G2011*AM2011</f>
        <v>0</v>
      </c>
      <c r="BG2011" s="25">
        <f>G2011*AN2011</f>
        <v>0</v>
      </c>
      <c r="BH2011" s="25">
        <f>G2011*H2011</f>
        <v>0</v>
      </c>
      <c r="BI2011" s="27" t="s">
        <v>65</v>
      </c>
      <c r="BJ2011" s="25"/>
      <c r="BU2011" s="25" t="e">
        <f>#REF!</f>
        <v>#REF!</v>
      </c>
      <c r="BV2011" s="4" t="s">
        <v>2416</v>
      </c>
    </row>
    <row r="2012" spans="1:74" ht="14.4" x14ac:dyDescent="0.3">
      <c r="A2012" s="2" t="s">
        <v>2417</v>
      </c>
      <c r="B2012" s="3" t="s">
        <v>2333</v>
      </c>
      <c r="C2012" s="3" t="s">
        <v>2418</v>
      </c>
      <c r="D2012" s="112" t="s">
        <v>2419</v>
      </c>
      <c r="E2012" s="109"/>
      <c r="F2012" s="3" t="s">
        <v>122</v>
      </c>
      <c r="G2012" s="25">
        <v>1</v>
      </c>
      <c r="H2012" s="62"/>
      <c r="I2012" s="25">
        <f>ROUND(G2012*AM2012,2)</f>
        <v>0</v>
      </c>
      <c r="J2012" s="25">
        <f>ROUND(G2012*AN2012,2)</f>
        <v>0</v>
      </c>
      <c r="K2012" s="25">
        <f>ROUND(G2012*H2012,2)</f>
        <v>0</v>
      </c>
      <c r="L2012" s="25">
        <v>0</v>
      </c>
      <c r="M2012" s="25">
        <f>G2012*L2012</f>
        <v>0</v>
      </c>
      <c r="N2012" s="26"/>
      <c r="X2012" s="25">
        <f>ROUND(IF(AO2012="5",BH2012,0),2)</f>
        <v>0</v>
      </c>
      <c r="Z2012" s="25">
        <f>ROUND(IF(AO2012="1",BF2012,0),2)</f>
        <v>0</v>
      </c>
      <c r="AA2012" s="25">
        <f>ROUND(IF(AO2012="1",BG2012,0),2)</f>
        <v>0</v>
      </c>
      <c r="AB2012" s="25">
        <f>ROUND(IF(AO2012="7",BF2012,0),2)</f>
        <v>0</v>
      </c>
      <c r="AC2012" s="25">
        <f>ROUND(IF(AO2012="7",BG2012,0),2)</f>
        <v>0</v>
      </c>
      <c r="AD2012" s="25">
        <f>ROUND(IF(AO2012="2",BF2012,0),2)</f>
        <v>0</v>
      </c>
      <c r="AE2012" s="25">
        <f>ROUND(IF(AO2012="2",BG2012,0),2)</f>
        <v>0</v>
      </c>
      <c r="AF2012" s="25">
        <f>ROUND(IF(AO2012="0",BH2012,0),2)</f>
        <v>0</v>
      </c>
      <c r="AG2012" s="10" t="s">
        <v>2333</v>
      </c>
      <c r="AH2012" s="25">
        <f>IF(AL2012=0,K2012,0)</f>
        <v>0</v>
      </c>
      <c r="AI2012" s="25">
        <f>IF(AL2012=12,K2012,0)</f>
        <v>0</v>
      </c>
      <c r="AJ2012" s="25">
        <f>IF(AL2012=21,K2012,0)</f>
        <v>0</v>
      </c>
      <c r="AL2012" s="25">
        <v>21</v>
      </c>
      <c r="AM2012" s="25">
        <f>H2012*0.643500644</f>
        <v>0</v>
      </c>
      <c r="AN2012" s="25">
        <f>H2012*(1-0.643500644)</f>
        <v>0</v>
      </c>
      <c r="AO2012" s="27" t="s">
        <v>57</v>
      </c>
      <c r="AT2012" s="25">
        <f>ROUND(AU2012+AV2012,2)</f>
        <v>0</v>
      </c>
      <c r="AU2012" s="25">
        <f>ROUND(G2012*AM2012,2)</f>
        <v>0</v>
      </c>
      <c r="AV2012" s="25">
        <f>ROUND(G2012*AN2012,2)</f>
        <v>0</v>
      </c>
      <c r="AW2012" s="27" t="s">
        <v>564</v>
      </c>
      <c r="AX2012" s="27" t="s">
        <v>2392</v>
      </c>
      <c r="AY2012" s="10" t="s">
        <v>2341</v>
      </c>
      <c r="BA2012" s="25">
        <f>AU2012+AV2012</f>
        <v>0</v>
      </c>
      <c r="BB2012" s="25">
        <f>H2012/(100-BC2012)*100</f>
        <v>0</v>
      </c>
      <c r="BC2012" s="25">
        <v>0</v>
      </c>
      <c r="BD2012" s="25">
        <f>M2012</f>
        <v>0</v>
      </c>
      <c r="BF2012" s="25">
        <f>G2012*AM2012</f>
        <v>0</v>
      </c>
      <c r="BG2012" s="25">
        <f>G2012*AN2012</f>
        <v>0</v>
      </c>
      <c r="BH2012" s="25">
        <f>G2012*H2012</f>
        <v>0</v>
      </c>
      <c r="BI2012" s="27" t="s">
        <v>65</v>
      </c>
      <c r="BJ2012" s="25"/>
      <c r="BU2012" s="25" t="e">
        <f>#REF!</f>
        <v>#REF!</v>
      </c>
      <c r="BV2012" s="4" t="s">
        <v>2419</v>
      </c>
    </row>
    <row r="2013" spans="1:74" ht="14.4" x14ac:dyDescent="0.3">
      <c r="A2013" s="28"/>
      <c r="D2013" s="29" t="s">
        <v>57</v>
      </c>
      <c r="E2013" s="29" t="s">
        <v>52</v>
      </c>
      <c r="G2013" s="30">
        <v>1</v>
      </c>
      <c r="H2013" s="63"/>
      <c r="N2013" s="31"/>
    </row>
    <row r="2014" spans="1:74" ht="14.4" x14ac:dyDescent="0.3">
      <c r="A2014" s="2" t="s">
        <v>2420</v>
      </c>
      <c r="B2014" s="3" t="s">
        <v>2333</v>
      </c>
      <c r="C2014" s="3" t="s">
        <v>2421</v>
      </c>
      <c r="D2014" s="112" t="s">
        <v>2422</v>
      </c>
      <c r="E2014" s="109"/>
      <c r="F2014" s="3" t="s">
        <v>122</v>
      </c>
      <c r="G2014" s="25">
        <v>2</v>
      </c>
      <c r="H2014" s="62"/>
      <c r="I2014" s="25">
        <f>ROUND(G2014*AM2014,2)</f>
        <v>0</v>
      </c>
      <c r="J2014" s="25">
        <f>ROUND(G2014*AN2014,2)</f>
        <v>0</v>
      </c>
      <c r="K2014" s="25">
        <f>ROUND(G2014*H2014,2)</f>
        <v>0</v>
      </c>
      <c r="L2014" s="25">
        <v>0</v>
      </c>
      <c r="M2014" s="25">
        <f>G2014*L2014</f>
        <v>0</v>
      </c>
      <c r="N2014" s="26"/>
      <c r="X2014" s="25">
        <f>ROUND(IF(AO2014="5",BH2014,0),2)</f>
        <v>0</v>
      </c>
      <c r="Z2014" s="25">
        <f>ROUND(IF(AO2014="1",BF2014,0),2)</f>
        <v>0</v>
      </c>
      <c r="AA2014" s="25">
        <f>ROUND(IF(AO2014="1",BG2014,0),2)</f>
        <v>0</v>
      </c>
      <c r="AB2014" s="25">
        <f>ROUND(IF(AO2014="7",BF2014,0),2)</f>
        <v>0</v>
      </c>
      <c r="AC2014" s="25">
        <f>ROUND(IF(AO2014="7",BG2014,0),2)</f>
        <v>0</v>
      </c>
      <c r="AD2014" s="25">
        <f>ROUND(IF(AO2014="2",BF2014,0),2)</f>
        <v>0</v>
      </c>
      <c r="AE2014" s="25">
        <f>ROUND(IF(AO2014="2",BG2014,0),2)</f>
        <v>0</v>
      </c>
      <c r="AF2014" s="25">
        <f>ROUND(IF(AO2014="0",BH2014,0),2)</f>
        <v>0</v>
      </c>
      <c r="AG2014" s="10" t="s">
        <v>2333</v>
      </c>
      <c r="AH2014" s="25">
        <f>IF(AL2014=0,K2014,0)</f>
        <v>0</v>
      </c>
      <c r="AI2014" s="25">
        <f>IF(AL2014=12,K2014,0)</f>
        <v>0</v>
      </c>
      <c r="AJ2014" s="25">
        <f>IF(AL2014=21,K2014,0)</f>
        <v>0</v>
      </c>
      <c r="AL2014" s="25">
        <v>21</v>
      </c>
      <c r="AM2014" s="25">
        <f>H2014*0</f>
        <v>0</v>
      </c>
      <c r="AN2014" s="25">
        <f>H2014*(1-0)</f>
        <v>0</v>
      </c>
      <c r="AO2014" s="27" t="s">
        <v>57</v>
      </c>
      <c r="AT2014" s="25">
        <f>ROUND(AU2014+AV2014,2)</f>
        <v>0</v>
      </c>
      <c r="AU2014" s="25">
        <f>ROUND(G2014*AM2014,2)</f>
        <v>0</v>
      </c>
      <c r="AV2014" s="25">
        <f>ROUND(G2014*AN2014,2)</f>
        <v>0</v>
      </c>
      <c r="AW2014" s="27" t="s">
        <v>564</v>
      </c>
      <c r="AX2014" s="27" t="s">
        <v>2392</v>
      </c>
      <c r="AY2014" s="10" t="s">
        <v>2341</v>
      </c>
      <c r="BA2014" s="25">
        <f>AU2014+AV2014</f>
        <v>0</v>
      </c>
      <c r="BB2014" s="25">
        <f>H2014/(100-BC2014)*100</f>
        <v>0</v>
      </c>
      <c r="BC2014" s="25">
        <v>0</v>
      </c>
      <c r="BD2014" s="25">
        <f>M2014</f>
        <v>0</v>
      </c>
      <c r="BF2014" s="25">
        <f>G2014*AM2014</f>
        <v>0</v>
      </c>
      <c r="BG2014" s="25">
        <f>G2014*AN2014</f>
        <v>0</v>
      </c>
      <c r="BH2014" s="25">
        <f>G2014*H2014</f>
        <v>0</v>
      </c>
      <c r="BI2014" s="27" t="s">
        <v>65</v>
      </c>
      <c r="BJ2014" s="25"/>
      <c r="BU2014" s="25" t="e">
        <f>#REF!</f>
        <v>#REF!</v>
      </c>
      <c r="BV2014" s="4" t="s">
        <v>2422</v>
      </c>
    </row>
    <row r="2015" spans="1:74" ht="14.4" x14ac:dyDescent="0.3">
      <c r="A2015" s="2" t="s">
        <v>2423</v>
      </c>
      <c r="B2015" s="3" t="s">
        <v>2333</v>
      </c>
      <c r="C2015" s="3" t="s">
        <v>2253</v>
      </c>
      <c r="D2015" s="112" t="s">
        <v>2424</v>
      </c>
      <c r="E2015" s="109"/>
      <c r="F2015" s="3" t="s">
        <v>122</v>
      </c>
      <c r="G2015" s="25">
        <v>6</v>
      </c>
      <c r="H2015" s="62"/>
      <c r="I2015" s="25">
        <f>ROUND(G2015*AM2015,2)</f>
        <v>0</v>
      </c>
      <c r="J2015" s="25">
        <f>ROUND(G2015*AN2015,2)</f>
        <v>0</v>
      </c>
      <c r="K2015" s="25">
        <f>ROUND(G2015*H2015,2)</f>
        <v>0</v>
      </c>
      <c r="L2015" s="25">
        <v>5.1499999999999997E-2</v>
      </c>
      <c r="M2015" s="25">
        <f>G2015*L2015</f>
        <v>0.309</v>
      </c>
      <c r="N2015" s="102"/>
      <c r="X2015" s="25">
        <f>ROUND(IF(AO2015="5",BH2015,0),2)</f>
        <v>0</v>
      </c>
      <c r="Z2015" s="25">
        <f>ROUND(IF(AO2015="1",BF2015,0),2)</f>
        <v>0</v>
      </c>
      <c r="AA2015" s="25">
        <f>ROUND(IF(AO2015="1",BG2015,0),2)</f>
        <v>0</v>
      </c>
      <c r="AB2015" s="25">
        <f>ROUND(IF(AO2015="7",BF2015,0),2)</f>
        <v>0</v>
      </c>
      <c r="AC2015" s="25">
        <f>ROUND(IF(AO2015="7",BG2015,0),2)</f>
        <v>0</v>
      </c>
      <c r="AD2015" s="25">
        <f>ROUND(IF(AO2015="2",BF2015,0),2)</f>
        <v>0</v>
      </c>
      <c r="AE2015" s="25">
        <f>ROUND(IF(AO2015="2",BG2015,0),2)</f>
        <v>0</v>
      </c>
      <c r="AF2015" s="25">
        <f>ROUND(IF(AO2015="0",BH2015,0),2)</f>
        <v>0</v>
      </c>
      <c r="AG2015" s="10" t="s">
        <v>2333</v>
      </c>
      <c r="AH2015" s="25">
        <f>IF(AL2015=0,K2015,0)</f>
        <v>0</v>
      </c>
      <c r="AI2015" s="25">
        <f>IF(AL2015=12,K2015,0)</f>
        <v>0</v>
      </c>
      <c r="AJ2015" s="25">
        <f>IF(AL2015=21,K2015,0)</f>
        <v>0</v>
      </c>
      <c r="AL2015" s="25">
        <v>21</v>
      </c>
      <c r="AM2015" s="25">
        <f>H2015*0.397549612</f>
        <v>0</v>
      </c>
      <c r="AN2015" s="25">
        <f>H2015*(1-0.397549612)</f>
        <v>0</v>
      </c>
      <c r="AO2015" s="27" t="s">
        <v>57</v>
      </c>
      <c r="AT2015" s="25">
        <f>ROUND(AU2015+AV2015,2)</f>
        <v>0</v>
      </c>
      <c r="AU2015" s="25">
        <f>ROUND(G2015*AM2015,2)</f>
        <v>0</v>
      </c>
      <c r="AV2015" s="25">
        <f>ROUND(G2015*AN2015,2)</f>
        <v>0</v>
      </c>
      <c r="AW2015" s="27" t="s">
        <v>564</v>
      </c>
      <c r="AX2015" s="27" t="s">
        <v>2392</v>
      </c>
      <c r="AY2015" s="10" t="s">
        <v>2341</v>
      </c>
      <c r="BA2015" s="25">
        <f>AU2015+AV2015</f>
        <v>0</v>
      </c>
      <c r="BB2015" s="25">
        <f>H2015/(100-BC2015)*100</f>
        <v>0</v>
      </c>
      <c r="BC2015" s="25">
        <v>0</v>
      </c>
      <c r="BD2015" s="25">
        <f>M2015</f>
        <v>0.309</v>
      </c>
      <c r="BF2015" s="25">
        <f>G2015*AM2015</f>
        <v>0</v>
      </c>
      <c r="BG2015" s="25">
        <f>G2015*AN2015</f>
        <v>0</v>
      </c>
      <c r="BH2015" s="25">
        <f>G2015*H2015</f>
        <v>0</v>
      </c>
      <c r="BI2015" s="27" t="s">
        <v>65</v>
      </c>
      <c r="BJ2015" s="25"/>
      <c r="BU2015" s="25" t="e">
        <f>#REF!</f>
        <v>#REF!</v>
      </c>
      <c r="BV2015" s="4" t="s">
        <v>2424</v>
      </c>
    </row>
    <row r="2016" spans="1:74" ht="14.4" x14ac:dyDescent="0.3">
      <c r="A2016" s="28"/>
      <c r="D2016" s="29" t="s">
        <v>106</v>
      </c>
      <c r="E2016" s="29" t="s">
        <v>52</v>
      </c>
      <c r="G2016" s="30">
        <v>6</v>
      </c>
      <c r="H2016" s="63"/>
      <c r="N2016" s="31"/>
    </row>
    <row r="2017" spans="1:74" ht="14.4" x14ac:dyDescent="0.3">
      <c r="A2017" s="2" t="s">
        <v>2425</v>
      </c>
      <c r="B2017" s="3" t="s">
        <v>2333</v>
      </c>
      <c r="C2017" s="3" t="s">
        <v>1924</v>
      </c>
      <c r="D2017" s="112" t="s">
        <v>2426</v>
      </c>
      <c r="E2017" s="109"/>
      <c r="F2017" s="3" t="s">
        <v>122</v>
      </c>
      <c r="G2017" s="25">
        <v>1</v>
      </c>
      <c r="H2017" s="62"/>
      <c r="I2017" s="25">
        <f>ROUND(G2017*AM2017,2)</f>
        <v>0</v>
      </c>
      <c r="J2017" s="25">
        <f>ROUND(G2017*AN2017,2)</f>
        <v>0</v>
      </c>
      <c r="K2017" s="25">
        <f>ROUND(G2017*H2017,2)</f>
        <v>0</v>
      </c>
      <c r="L2017" s="25">
        <v>0</v>
      </c>
      <c r="M2017" s="25">
        <f>G2017*L2017</f>
        <v>0</v>
      </c>
      <c r="N2017" s="102"/>
      <c r="X2017" s="25">
        <f>ROUND(IF(AO2017="5",BH2017,0),2)</f>
        <v>0</v>
      </c>
      <c r="Z2017" s="25">
        <f>ROUND(IF(AO2017="1",BF2017,0),2)</f>
        <v>0</v>
      </c>
      <c r="AA2017" s="25">
        <f>ROUND(IF(AO2017="1",BG2017,0),2)</f>
        <v>0</v>
      </c>
      <c r="AB2017" s="25">
        <f>ROUND(IF(AO2017="7",BF2017,0),2)</f>
        <v>0</v>
      </c>
      <c r="AC2017" s="25">
        <f>ROUND(IF(AO2017="7",BG2017,0),2)</f>
        <v>0</v>
      </c>
      <c r="AD2017" s="25">
        <f>ROUND(IF(AO2017="2",BF2017,0),2)</f>
        <v>0</v>
      </c>
      <c r="AE2017" s="25">
        <f>ROUND(IF(AO2017="2",BG2017,0),2)</f>
        <v>0</v>
      </c>
      <c r="AF2017" s="25">
        <f>ROUND(IF(AO2017="0",BH2017,0),2)</f>
        <v>0</v>
      </c>
      <c r="AG2017" s="10" t="s">
        <v>2333</v>
      </c>
      <c r="AH2017" s="25">
        <f>IF(AL2017=0,K2017,0)</f>
        <v>0</v>
      </c>
      <c r="AI2017" s="25">
        <f>IF(AL2017=12,K2017,0)</f>
        <v>0</v>
      </c>
      <c r="AJ2017" s="25">
        <f>IF(AL2017=21,K2017,0)</f>
        <v>0</v>
      </c>
      <c r="AL2017" s="25">
        <v>21</v>
      </c>
      <c r="AM2017" s="25">
        <f>H2017*0.747097718</f>
        <v>0</v>
      </c>
      <c r="AN2017" s="25">
        <f>H2017*(1-0.747097718)</f>
        <v>0</v>
      </c>
      <c r="AO2017" s="27" t="s">
        <v>57</v>
      </c>
      <c r="AT2017" s="25">
        <f>ROUND(AU2017+AV2017,2)</f>
        <v>0</v>
      </c>
      <c r="AU2017" s="25">
        <f>ROUND(G2017*AM2017,2)</f>
        <v>0</v>
      </c>
      <c r="AV2017" s="25">
        <f>ROUND(G2017*AN2017,2)</f>
        <v>0</v>
      </c>
      <c r="AW2017" s="27" t="s">
        <v>564</v>
      </c>
      <c r="AX2017" s="27" t="s">
        <v>2392</v>
      </c>
      <c r="AY2017" s="10" t="s">
        <v>2341</v>
      </c>
      <c r="BA2017" s="25">
        <f>AU2017+AV2017</f>
        <v>0</v>
      </c>
      <c r="BB2017" s="25">
        <f>H2017/(100-BC2017)*100</f>
        <v>0</v>
      </c>
      <c r="BC2017" s="25">
        <v>0</v>
      </c>
      <c r="BD2017" s="25">
        <f>M2017</f>
        <v>0</v>
      </c>
      <c r="BF2017" s="25">
        <f>G2017*AM2017</f>
        <v>0</v>
      </c>
      <c r="BG2017" s="25">
        <f>G2017*AN2017</f>
        <v>0</v>
      </c>
      <c r="BH2017" s="25">
        <f>G2017*H2017</f>
        <v>0</v>
      </c>
      <c r="BI2017" s="27" t="s">
        <v>65</v>
      </c>
      <c r="BJ2017" s="25"/>
      <c r="BU2017" s="25" t="e">
        <f>#REF!</f>
        <v>#REF!</v>
      </c>
      <c r="BV2017" s="4" t="s">
        <v>2426</v>
      </c>
    </row>
    <row r="2018" spans="1:74" ht="14.4" x14ac:dyDescent="0.3">
      <c r="A2018" s="28"/>
      <c r="D2018" s="29" t="s">
        <v>57</v>
      </c>
      <c r="E2018" s="29" t="s">
        <v>52</v>
      </c>
      <c r="G2018" s="30">
        <v>1</v>
      </c>
      <c r="H2018" s="63"/>
      <c r="N2018" s="31"/>
    </row>
    <row r="2019" spans="1:74" ht="14.4" x14ac:dyDescent="0.3">
      <c r="A2019" s="2" t="s">
        <v>2427</v>
      </c>
      <c r="B2019" s="3" t="s">
        <v>2333</v>
      </c>
      <c r="C2019" s="3" t="s">
        <v>2234</v>
      </c>
      <c r="D2019" s="112" t="s">
        <v>2428</v>
      </c>
      <c r="E2019" s="109"/>
      <c r="F2019" s="3" t="s">
        <v>122</v>
      </c>
      <c r="G2019" s="25">
        <v>4</v>
      </c>
      <c r="H2019" s="62"/>
      <c r="I2019" s="25">
        <f>ROUND(G2019*AM2019,2)</f>
        <v>0</v>
      </c>
      <c r="J2019" s="25">
        <f>ROUND(G2019*AN2019,2)</f>
        <v>0</v>
      </c>
      <c r="K2019" s="25">
        <f>ROUND(G2019*H2019,2)</f>
        <v>0</v>
      </c>
      <c r="L2019" s="25">
        <v>5.1499999999999997E-2</v>
      </c>
      <c r="M2019" s="25">
        <f>G2019*L2019</f>
        <v>0.20599999999999999</v>
      </c>
      <c r="N2019" s="102"/>
      <c r="X2019" s="25">
        <f>ROUND(IF(AO2019="5",BH2019,0),2)</f>
        <v>0</v>
      </c>
      <c r="Z2019" s="25">
        <f>ROUND(IF(AO2019="1",BF2019,0),2)</f>
        <v>0</v>
      </c>
      <c r="AA2019" s="25">
        <f>ROUND(IF(AO2019="1",BG2019,0),2)</f>
        <v>0</v>
      </c>
      <c r="AB2019" s="25">
        <f>ROUND(IF(AO2019="7",BF2019,0),2)</f>
        <v>0</v>
      </c>
      <c r="AC2019" s="25">
        <f>ROUND(IF(AO2019="7",BG2019,0),2)</f>
        <v>0</v>
      </c>
      <c r="AD2019" s="25">
        <f>ROUND(IF(AO2019="2",BF2019,0),2)</f>
        <v>0</v>
      </c>
      <c r="AE2019" s="25">
        <f>ROUND(IF(AO2019="2",BG2019,0),2)</f>
        <v>0</v>
      </c>
      <c r="AF2019" s="25">
        <f>ROUND(IF(AO2019="0",BH2019,0),2)</f>
        <v>0</v>
      </c>
      <c r="AG2019" s="10" t="s">
        <v>2333</v>
      </c>
      <c r="AH2019" s="25">
        <f>IF(AL2019=0,K2019,0)</f>
        <v>0</v>
      </c>
      <c r="AI2019" s="25">
        <f>IF(AL2019=12,K2019,0)</f>
        <v>0</v>
      </c>
      <c r="AJ2019" s="25">
        <f>IF(AL2019=21,K2019,0)</f>
        <v>0</v>
      </c>
      <c r="AL2019" s="25">
        <v>21</v>
      </c>
      <c r="AM2019" s="25">
        <f>H2019*1</f>
        <v>0</v>
      </c>
      <c r="AN2019" s="25">
        <f>H2019*(1-1)</f>
        <v>0</v>
      </c>
      <c r="AO2019" s="27" t="s">
        <v>57</v>
      </c>
      <c r="AT2019" s="25">
        <f>ROUND(AU2019+AV2019,2)</f>
        <v>0</v>
      </c>
      <c r="AU2019" s="25">
        <f>ROUND(G2019*AM2019,2)</f>
        <v>0</v>
      </c>
      <c r="AV2019" s="25">
        <f>ROUND(G2019*AN2019,2)</f>
        <v>0</v>
      </c>
      <c r="AW2019" s="27" t="s">
        <v>564</v>
      </c>
      <c r="AX2019" s="27" t="s">
        <v>2392</v>
      </c>
      <c r="AY2019" s="10" t="s">
        <v>2341</v>
      </c>
      <c r="BA2019" s="25">
        <f>AU2019+AV2019</f>
        <v>0</v>
      </c>
      <c r="BB2019" s="25">
        <f>H2019/(100-BC2019)*100</f>
        <v>0</v>
      </c>
      <c r="BC2019" s="25">
        <v>0</v>
      </c>
      <c r="BD2019" s="25">
        <f>M2019</f>
        <v>0.20599999999999999</v>
      </c>
      <c r="BF2019" s="25">
        <f>G2019*AM2019</f>
        <v>0</v>
      </c>
      <c r="BG2019" s="25">
        <f>G2019*AN2019</f>
        <v>0</v>
      </c>
      <c r="BH2019" s="25">
        <f>G2019*H2019</f>
        <v>0</v>
      </c>
      <c r="BI2019" s="27" t="s">
        <v>65</v>
      </c>
      <c r="BJ2019" s="25"/>
      <c r="BU2019" s="25" t="e">
        <f>#REF!</f>
        <v>#REF!</v>
      </c>
      <c r="BV2019" s="4" t="s">
        <v>2428</v>
      </c>
    </row>
    <row r="2020" spans="1:74" ht="14.4" x14ac:dyDescent="0.3">
      <c r="A2020" s="28"/>
      <c r="D2020" s="29" t="s">
        <v>90</v>
      </c>
      <c r="E2020" s="29" t="s">
        <v>52</v>
      </c>
      <c r="G2020" s="30">
        <v>4</v>
      </c>
      <c r="H2020" s="63"/>
      <c r="N2020" s="31"/>
    </row>
    <row r="2021" spans="1:74" ht="14.4" x14ac:dyDescent="0.3">
      <c r="A2021" s="2" t="s">
        <v>2429</v>
      </c>
      <c r="B2021" s="3" t="s">
        <v>2333</v>
      </c>
      <c r="C2021" s="3" t="s">
        <v>2237</v>
      </c>
      <c r="D2021" s="112" t="s">
        <v>2430</v>
      </c>
      <c r="E2021" s="109"/>
      <c r="F2021" s="3" t="s">
        <v>122</v>
      </c>
      <c r="G2021" s="25">
        <v>2</v>
      </c>
      <c r="H2021" s="62"/>
      <c r="I2021" s="25">
        <f>ROUND(G2021*AM2021,2)</f>
        <v>0</v>
      </c>
      <c r="J2021" s="25">
        <f>ROUND(G2021*AN2021,2)</f>
        <v>0</v>
      </c>
      <c r="K2021" s="25">
        <f>ROUND(G2021*H2021,2)</f>
        <v>0</v>
      </c>
      <c r="L2021" s="25">
        <v>5.1499999999999997E-2</v>
      </c>
      <c r="M2021" s="25">
        <f>G2021*L2021</f>
        <v>0.10299999999999999</v>
      </c>
      <c r="N2021" s="102"/>
      <c r="X2021" s="25">
        <f>ROUND(IF(AO2021="5",BH2021,0),2)</f>
        <v>0</v>
      </c>
      <c r="Z2021" s="25">
        <f>ROUND(IF(AO2021="1",BF2021,0),2)</f>
        <v>0</v>
      </c>
      <c r="AA2021" s="25">
        <f>ROUND(IF(AO2021="1",BG2021,0),2)</f>
        <v>0</v>
      </c>
      <c r="AB2021" s="25">
        <f>ROUND(IF(AO2021="7",BF2021,0),2)</f>
        <v>0</v>
      </c>
      <c r="AC2021" s="25">
        <f>ROUND(IF(AO2021="7",BG2021,0),2)</f>
        <v>0</v>
      </c>
      <c r="AD2021" s="25">
        <f>ROUND(IF(AO2021="2",BF2021,0),2)</f>
        <v>0</v>
      </c>
      <c r="AE2021" s="25">
        <f>ROUND(IF(AO2021="2",BG2021,0),2)</f>
        <v>0</v>
      </c>
      <c r="AF2021" s="25">
        <f>ROUND(IF(AO2021="0",BH2021,0),2)</f>
        <v>0</v>
      </c>
      <c r="AG2021" s="10" t="s">
        <v>2333</v>
      </c>
      <c r="AH2021" s="25">
        <f>IF(AL2021=0,K2021,0)</f>
        <v>0</v>
      </c>
      <c r="AI2021" s="25">
        <f>IF(AL2021=12,K2021,0)</f>
        <v>0</v>
      </c>
      <c r="AJ2021" s="25">
        <f>IF(AL2021=21,K2021,0)</f>
        <v>0</v>
      </c>
      <c r="AL2021" s="25">
        <v>21</v>
      </c>
      <c r="AM2021" s="25">
        <f>H2021*1</f>
        <v>0</v>
      </c>
      <c r="AN2021" s="25">
        <f>H2021*(1-1)</f>
        <v>0</v>
      </c>
      <c r="AO2021" s="27" t="s">
        <v>57</v>
      </c>
      <c r="AT2021" s="25">
        <f>ROUND(AU2021+AV2021,2)</f>
        <v>0</v>
      </c>
      <c r="AU2021" s="25">
        <f>ROUND(G2021*AM2021,2)</f>
        <v>0</v>
      </c>
      <c r="AV2021" s="25">
        <f>ROUND(G2021*AN2021,2)</f>
        <v>0</v>
      </c>
      <c r="AW2021" s="27" t="s">
        <v>564</v>
      </c>
      <c r="AX2021" s="27" t="s">
        <v>2392</v>
      </c>
      <c r="AY2021" s="10" t="s">
        <v>2341</v>
      </c>
      <c r="BA2021" s="25">
        <f>AU2021+AV2021</f>
        <v>0</v>
      </c>
      <c r="BB2021" s="25">
        <f>H2021/(100-BC2021)*100</f>
        <v>0</v>
      </c>
      <c r="BC2021" s="25">
        <v>0</v>
      </c>
      <c r="BD2021" s="25">
        <f>M2021</f>
        <v>0.10299999999999999</v>
      </c>
      <c r="BF2021" s="25">
        <f>G2021*AM2021</f>
        <v>0</v>
      </c>
      <c r="BG2021" s="25">
        <f>G2021*AN2021</f>
        <v>0</v>
      </c>
      <c r="BH2021" s="25">
        <f>G2021*H2021</f>
        <v>0</v>
      </c>
      <c r="BI2021" s="27" t="s">
        <v>65</v>
      </c>
      <c r="BJ2021" s="25"/>
      <c r="BU2021" s="25" t="e">
        <f>#REF!</f>
        <v>#REF!</v>
      </c>
      <c r="BV2021" s="4" t="s">
        <v>2430</v>
      </c>
    </row>
    <row r="2022" spans="1:74" ht="14.4" x14ac:dyDescent="0.3">
      <c r="A2022" s="28"/>
      <c r="D2022" s="29" t="s">
        <v>81</v>
      </c>
      <c r="E2022" s="29" t="s">
        <v>52</v>
      </c>
      <c r="G2022" s="30">
        <v>2</v>
      </c>
      <c r="H2022" s="63"/>
      <c r="N2022" s="31"/>
    </row>
    <row r="2023" spans="1:74" ht="14.4" x14ac:dyDescent="0.3">
      <c r="A2023" s="2" t="s">
        <v>2431</v>
      </c>
      <c r="B2023" s="3" t="s">
        <v>2333</v>
      </c>
      <c r="C2023" s="3" t="s">
        <v>2303</v>
      </c>
      <c r="D2023" s="112" t="s">
        <v>2432</v>
      </c>
      <c r="E2023" s="109"/>
      <c r="F2023" s="3" t="s">
        <v>122</v>
      </c>
      <c r="G2023" s="25">
        <v>1</v>
      </c>
      <c r="H2023" s="62"/>
      <c r="I2023" s="25">
        <f>ROUND(G2023*AM2023,2)</f>
        <v>0</v>
      </c>
      <c r="J2023" s="25">
        <f>ROUND(G2023*AN2023,2)</f>
        <v>0</v>
      </c>
      <c r="K2023" s="25">
        <f>ROUND(G2023*H2023,2)</f>
        <v>0</v>
      </c>
      <c r="L2023" s="25">
        <v>5.1499999999999997E-2</v>
      </c>
      <c r="M2023" s="25">
        <f>G2023*L2023</f>
        <v>5.1499999999999997E-2</v>
      </c>
      <c r="N2023" s="102"/>
      <c r="X2023" s="25">
        <f>ROUND(IF(AO2023="5",BH2023,0),2)</f>
        <v>0</v>
      </c>
      <c r="Z2023" s="25">
        <f>ROUND(IF(AO2023="1",BF2023,0),2)</f>
        <v>0</v>
      </c>
      <c r="AA2023" s="25">
        <f>ROUND(IF(AO2023="1",BG2023,0),2)</f>
        <v>0</v>
      </c>
      <c r="AB2023" s="25">
        <f>ROUND(IF(AO2023="7",BF2023,0),2)</f>
        <v>0</v>
      </c>
      <c r="AC2023" s="25">
        <f>ROUND(IF(AO2023="7",BG2023,0),2)</f>
        <v>0</v>
      </c>
      <c r="AD2023" s="25">
        <f>ROUND(IF(AO2023="2",BF2023,0),2)</f>
        <v>0</v>
      </c>
      <c r="AE2023" s="25">
        <f>ROUND(IF(AO2023="2",BG2023,0),2)</f>
        <v>0</v>
      </c>
      <c r="AF2023" s="25">
        <f>ROUND(IF(AO2023="0",BH2023,0),2)</f>
        <v>0</v>
      </c>
      <c r="AG2023" s="10" t="s">
        <v>2333</v>
      </c>
      <c r="AH2023" s="25">
        <f>IF(AL2023=0,K2023,0)</f>
        <v>0</v>
      </c>
      <c r="AI2023" s="25">
        <f>IF(AL2023=12,K2023,0)</f>
        <v>0</v>
      </c>
      <c r="AJ2023" s="25">
        <f>IF(AL2023=21,K2023,0)</f>
        <v>0</v>
      </c>
      <c r="AL2023" s="25">
        <v>21</v>
      </c>
      <c r="AM2023" s="25">
        <f>H2023*1</f>
        <v>0</v>
      </c>
      <c r="AN2023" s="25">
        <f>H2023*(1-1)</f>
        <v>0</v>
      </c>
      <c r="AO2023" s="27" t="s">
        <v>57</v>
      </c>
      <c r="AT2023" s="25">
        <f>ROUND(AU2023+AV2023,2)</f>
        <v>0</v>
      </c>
      <c r="AU2023" s="25">
        <f>ROUND(G2023*AM2023,2)</f>
        <v>0</v>
      </c>
      <c r="AV2023" s="25">
        <f>ROUND(G2023*AN2023,2)</f>
        <v>0</v>
      </c>
      <c r="AW2023" s="27" t="s">
        <v>564</v>
      </c>
      <c r="AX2023" s="27" t="s">
        <v>2392</v>
      </c>
      <c r="AY2023" s="10" t="s">
        <v>2341</v>
      </c>
      <c r="BA2023" s="25">
        <f>AU2023+AV2023</f>
        <v>0</v>
      </c>
      <c r="BB2023" s="25">
        <f>H2023/(100-BC2023)*100</f>
        <v>0</v>
      </c>
      <c r="BC2023" s="25">
        <v>0</v>
      </c>
      <c r="BD2023" s="25">
        <f>M2023</f>
        <v>5.1499999999999997E-2</v>
      </c>
      <c r="BF2023" s="25">
        <f>G2023*AM2023</f>
        <v>0</v>
      </c>
      <c r="BG2023" s="25">
        <f>G2023*AN2023</f>
        <v>0</v>
      </c>
      <c r="BH2023" s="25">
        <f>G2023*H2023</f>
        <v>0</v>
      </c>
      <c r="BI2023" s="27" t="s">
        <v>65</v>
      </c>
      <c r="BJ2023" s="25"/>
      <c r="BU2023" s="25" t="e">
        <f>#REF!</f>
        <v>#REF!</v>
      </c>
      <c r="BV2023" s="4" t="s">
        <v>2432</v>
      </c>
    </row>
    <row r="2024" spans="1:74" ht="14.4" x14ac:dyDescent="0.3">
      <c r="A2024" s="28"/>
      <c r="D2024" s="29" t="s">
        <v>57</v>
      </c>
      <c r="E2024" s="29" t="s">
        <v>52</v>
      </c>
      <c r="G2024" s="30">
        <v>1</v>
      </c>
      <c r="H2024" s="63"/>
      <c r="N2024" s="31"/>
    </row>
    <row r="2025" spans="1:74" ht="14.4" x14ac:dyDescent="0.3">
      <c r="A2025" s="2" t="s">
        <v>2433</v>
      </c>
      <c r="B2025" s="3" t="s">
        <v>2333</v>
      </c>
      <c r="C2025" s="3" t="s">
        <v>1753</v>
      </c>
      <c r="D2025" s="112" t="s">
        <v>2434</v>
      </c>
      <c r="E2025" s="109"/>
      <c r="F2025" s="3" t="s">
        <v>122</v>
      </c>
      <c r="G2025" s="25">
        <v>7</v>
      </c>
      <c r="H2025" s="62"/>
      <c r="I2025" s="25">
        <f>ROUND(G2025*AM2025,2)</f>
        <v>0</v>
      </c>
      <c r="J2025" s="25">
        <f>ROUND(G2025*AN2025,2)</f>
        <v>0</v>
      </c>
      <c r="K2025" s="25">
        <f>ROUND(G2025*H2025,2)</f>
        <v>0</v>
      </c>
      <c r="L2025" s="25">
        <v>5.1499999999999997E-2</v>
      </c>
      <c r="M2025" s="25">
        <f>G2025*L2025</f>
        <v>0.36049999999999999</v>
      </c>
      <c r="N2025" s="102"/>
      <c r="X2025" s="25">
        <f>ROUND(IF(AO2025="5",BH2025,0),2)</f>
        <v>0</v>
      </c>
      <c r="Z2025" s="25">
        <f>ROUND(IF(AO2025="1",BF2025,0),2)</f>
        <v>0</v>
      </c>
      <c r="AA2025" s="25">
        <f>ROUND(IF(AO2025="1",BG2025,0),2)</f>
        <v>0</v>
      </c>
      <c r="AB2025" s="25">
        <f>ROUND(IF(AO2025="7",BF2025,0),2)</f>
        <v>0</v>
      </c>
      <c r="AC2025" s="25">
        <f>ROUND(IF(AO2025="7",BG2025,0),2)</f>
        <v>0</v>
      </c>
      <c r="AD2025" s="25">
        <f>ROUND(IF(AO2025="2",BF2025,0),2)</f>
        <v>0</v>
      </c>
      <c r="AE2025" s="25">
        <f>ROUND(IF(AO2025="2",BG2025,0),2)</f>
        <v>0</v>
      </c>
      <c r="AF2025" s="25">
        <f>ROUND(IF(AO2025="0",BH2025,0),2)</f>
        <v>0</v>
      </c>
      <c r="AG2025" s="10" t="s">
        <v>2333</v>
      </c>
      <c r="AH2025" s="25">
        <f>IF(AL2025=0,K2025,0)</f>
        <v>0</v>
      </c>
      <c r="AI2025" s="25">
        <f>IF(AL2025=12,K2025,0)</f>
        <v>0</v>
      </c>
      <c r="AJ2025" s="25">
        <f>IF(AL2025=21,K2025,0)</f>
        <v>0</v>
      </c>
      <c r="AL2025" s="25">
        <v>21</v>
      </c>
      <c r="AM2025" s="25">
        <f>H2025*0.462605412</f>
        <v>0</v>
      </c>
      <c r="AN2025" s="25">
        <f>H2025*(1-0.462605412)</f>
        <v>0</v>
      </c>
      <c r="AO2025" s="27" t="s">
        <v>57</v>
      </c>
      <c r="AT2025" s="25">
        <f>ROUND(AU2025+AV2025,2)</f>
        <v>0</v>
      </c>
      <c r="AU2025" s="25">
        <f>ROUND(G2025*AM2025,2)</f>
        <v>0</v>
      </c>
      <c r="AV2025" s="25">
        <f>ROUND(G2025*AN2025,2)</f>
        <v>0</v>
      </c>
      <c r="AW2025" s="27" t="s">
        <v>564</v>
      </c>
      <c r="AX2025" s="27" t="s">
        <v>2392</v>
      </c>
      <c r="AY2025" s="10" t="s">
        <v>2341</v>
      </c>
      <c r="BA2025" s="25">
        <f>AU2025+AV2025</f>
        <v>0</v>
      </c>
      <c r="BB2025" s="25">
        <f>H2025/(100-BC2025)*100</f>
        <v>0</v>
      </c>
      <c r="BC2025" s="25">
        <v>0</v>
      </c>
      <c r="BD2025" s="25">
        <f>M2025</f>
        <v>0.36049999999999999</v>
      </c>
      <c r="BF2025" s="25">
        <f>G2025*AM2025</f>
        <v>0</v>
      </c>
      <c r="BG2025" s="25">
        <f>G2025*AN2025</f>
        <v>0</v>
      </c>
      <c r="BH2025" s="25">
        <f>G2025*H2025</f>
        <v>0</v>
      </c>
      <c r="BI2025" s="27" t="s">
        <v>65</v>
      </c>
      <c r="BJ2025" s="25"/>
      <c r="BU2025" s="25" t="e">
        <f>#REF!</f>
        <v>#REF!</v>
      </c>
      <c r="BV2025" s="4" t="s">
        <v>2434</v>
      </c>
    </row>
    <row r="2026" spans="1:74" ht="14.4" x14ac:dyDescent="0.3">
      <c r="A2026" s="2" t="s">
        <v>2435</v>
      </c>
      <c r="B2026" s="3" t="s">
        <v>2333</v>
      </c>
      <c r="C2026" s="3" t="s">
        <v>2167</v>
      </c>
      <c r="D2026" s="112" t="s">
        <v>2436</v>
      </c>
      <c r="E2026" s="109"/>
      <c r="F2026" s="3" t="s">
        <v>860</v>
      </c>
      <c r="G2026" s="25">
        <v>1</v>
      </c>
      <c r="H2026" s="62"/>
      <c r="I2026" s="25">
        <f>ROUND(G2026*AM2026,2)</f>
        <v>0</v>
      </c>
      <c r="J2026" s="25">
        <f>ROUND(G2026*AN2026,2)</f>
        <v>0</v>
      </c>
      <c r="K2026" s="25">
        <f>ROUND(G2026*H2026,2)</f>
        <v>0</v>
      </c>
      <c r="L2026" s="25">
        <v>3.1800000000000001E-3</v>
      </c>
      <c r="M2026" s="25">
        <f>G2026*L2026</f>
        <v>3.1800000000000001E-3</v>
      </c>
      <c r="N2026" s="102"/>
      <c r="X2026" s="25">
        <f>ROUND(IF(AO2026="5",BH2026,0),2)</f>
        <v>0</v>
      </c>
      <c r="Z2026" s="25">
        <f>ROUND(IF(AO2026="1",BF2026,0),2)</f>
        <v>0</v>
      </c>
      <c r="AA2026" s="25">
        <f>ROUND(IF(AO2026="1",BG2026,0),2)</f>
        <v>0</v>
      </c>
      <c r="AB2026" s="25">
        <f>ROUND(IF(AO2026="7",BF2026,0),2)</f>
        <v>0</v>
      </c>
      <c r="AC2026" s="25">
        <f>ROUND(IF(AO2026="7",BG2026,0),2)</f>
        <v>0</v>
      </c>
      <c r="AD2026" s="25">
        <f>ROUND(IF(AO2026="2",BF2026,0),2)</f>
        <v>0</v>
      </c>
      <c r="AE2026" s="25">
        <f>ROUND(IF(AO2026="2",BG2026,0),2)</f>
        <v>0</v>
      </c>
      <c r="AF2026" s="25">
        <f>ROUND(IF(AO2026="0",BH2026,0),2)</f>
        <v>0</v>
      </c>
      <c r="AG2026" s="10" t="s">
        <v>2333</v>
      </c>
      <c r="AH2026" s="25">
        <f>IF(AL2026=0,K2026,0)</f>
        <v>0</v>
      </c>
      <c r="AI2026" s="25">
        <f>IF(AL2026=12,K2026,0)</f>
        <v>0</v>
      </c>
      <c r="AJ2026" s="25">
        <f>IF(AL2026=21,K2026,0)</f>
        <v>0</v>
      </c>
      <c r="AL2026" s="25">
        <v>21</v>
      </c>
      <c r="AM2026" s="25">
        <f>H2026*1</f>
        <v>0</v>
      </c>
      <c r="AN2026" s="25">
        <f>H2026*(1-1)</f>
        <v>0</v>
      </c>
      <c r="AO2026" s="27" t="s">
        <v>57</v>
      </c>
      <c r="AT2026" s="25">
        <f>ROUND(AU2026+AV2026,2)</f>
        <v>0</v>
      </c>
      <c r="AU2026" s="25">
        <f>ROUND(G2026*AM2026,2)</f>
        <v>0</v>
      </c>
      <c r="AV2026" s="25">
        <f>ROUND(G2026*AN2026,2)</f>
        <v>0</v>
      </c>
      <c r="AW2026" s="27" t="s">
        <v>564</v>
      </c>
      <c r="AX2026" s="27" t="s">
        <v>2392</v>
      </c>
      <c r="AY2026" s="10" t="s">
        <v>2341</v>
      </c>
      <c r="BA2026" s="25">
        <f>AU2026+AV2026</f>
        <v>0</v>
      </c>
      <c r="BB2026" s="25">
        <f>H2026/(100-BC2026)*100</f>
        <v>0</v>
      </c>
      <c r="BC2026" s="25">
        <v>0</v>
      </c>
      <c r="BD2026" s="25">
        <f>M2026</f>
        <v>3.1800000000000001E-3</v>
      </c>
      <c r="BF2026" s="25">
        <f>G2026*AM2026</f>
        <v>0</v>
      </c>
      <c r="BG2026" s="25">
        <f>G2026*AN2026</f>
        <v>0</v>
      </c>
      <c r="BH2026" s="25">
        <f>G2026*H2026</f>
        <v>0</v>
      </c>
      <c r="BI2026" s="27" t="s">
        <v>576</v>
      </c>
      <c r="BJ2026" s="25"/>
      <c r="BU2026" s="25" t="e">
        <f>#REF!</f>
        <v>#REF!</v>
      </c>
      <c r="BV2026" s="4" t="s">
        <v>2436</v>
      </c>
    </row>
    <row r="2027" spans="1:74" ht="14.4" x14ac:dyDescent="0.3">
      <c r="A2027" s="28"/>
      <c r="D2027" s="29" t="s">
        <v>57</v>
      </c>
      <c r="E2027" s="29" t="s">
        <v>52</v>
      </c>
      <c r="G2027" s="30">
        <v>1</v>
      </c>
      <c r="H2027" s="63"/>
      <c r="N2027" s="31"/>
    </row>
    <row r="2028" spans="1:74" ht="14.4" x14ac:dyDescent="0.3">
      <c r="A2028" s="2" t="s">
        <v>2437</v>
      </c>
      <c r="B2028" s="3" t="s">
        <v>2333</v>
      </c>
      <c r="C2028" s="3" t="s">
        <v>2247</v>
      </c>
      <c r="D2028" s="112" t="s">
        <v>2438</v>
      </c>
      <c r="E2028" s="109"/>
      <c r="F2028" s="3" t="s">
        <v>122</v>
      </c>
      <c r="G2028" s="25">
        <v>1</v>
      </c>
      <c r="H2028" s="62"/>
      <c r="I2028" s="25">
        <f>ROUND(G2028*AM2028,2)</f>
        <v>0</v>
      </c>
      <c r="J2028" s="25">
        <f>ROUND(G2028*AN2028,2)</f>
        <v>0</v>
      </c>
      <c r="K2028" s="25">
        <f>ROUND(G2028*H2028,2)</f>
        <v>0</v>
      </c>
      <c r="L2028" s="25">
        <v>2.2000000000000001E-3</v>
      </c>
      <c r="M2028" s="25">
        <f>G2028*L2028</f>
        <v>2.2000000000000001E-3</v>
      </c>
      <c r="N2028" s="102"/>
      <c r="X2028" s="25">
        <f>ROUND(IF(AO2028="5",BH2028,0),2)</f>
        <v>0</v>
      </c>
      <c r="Z2028" s="25">
        <f>ROUND(IF(AO2028="1",BF2028,0),2)</f>
        <v>0</v>
      </c>
      <c r="AA2028" s="25">
        <f>ROUND(IF(AO2028="1",BG2028,0),2)</f>
        <v>0</v>
      </c>
      <c r="AB2028" s="25">
        <f>ROUND(IF(AO2028="7",BF2028,0),2)</f>
        <v>0</v>
      </c>
      <c r="AC2028" s="25">
        <f>ROUND(IF(AO2028="7",BG2028,0),2)</f>
        <v>0</v>
      </c>
      <c r="AD2028" s="25">
        <f>ROUND(IF(AO2028="2",BF2028,0),2)</f>
        <v>0</v>
      </c>
      <c r="AE2028" s="25">
        <f>ROUND(IF(AO2028="2",BG2028,0),2)</f>
        <v>0</v>
      </c>
      <c r="AF2028" s="25">
        <f>ROUND(IF(AO2028="0",BH2028,0),2)</f>
        <v>0</v>
      </c>
      <c r="AG2028" s="10" t="s">
        <v>2333</v>
      </c>
      <c r="AH2028" s="25">
        <f>IF(AL2028=0,K2028,0)</f>
        <v>0</v>
      </c>
      <c r="AI2028" s="25">
        <f>IF(AL2028=12,K2028,0)</f>
        <v>0</v>
      </c>
      <c r="AJ2028" s="25">
        <f>IF(AL2028=21,K2028,0)</f>
        <v>0</v>
      </c>
      <c r="AL2028" s="25">
        <v>21</v>
      </c>
      <c r="AM2028" s="25">
        <f>H2028*1</f>
        <v>0</v>
      </c>
      <c r="AN2028" s="25">
        <f>H2028*(1-1)</f>
        <v>0</v>
      </c>
      <c r="AO2028" s="27" t="s">
        <v>57</v>
      </c>
      <c r="AT2028" s="25">
        <f>ROUND(AU2028+AV2028,2)</f>
        <v>0</v>
      </c>
      <c r="AU2028" s="25">
        <f>ROUND(G2028*AM2028,2)</f>
        <v>0</v>
      </c>
      <c r="AV2028" s="25">
        <f>ROUND(G2028*AN2028,2)</f>
        <v>0</v>
      </c>
      <c r="AW2028" s="27" t="s">
        <v>564</v>
      </c>
      <c r="AX2028" s="27" t="s">
        <v>2392</v>
      </c>
      <c r="AY2028" s="10" t="s">
        <v>2341</v>
      </c>
      <c r="BA2028" s="25">
        <f>AU2028+AV2028</f>
        <v>0</v>
      </c>
      <c r="BB2028" s="25">
        <f>H2028/(100-BC2028)*100</f>
        <v>0</v>
      </c>
      <c r="BC2028" s="25">
        <v>0</v>
      </c>
      <c r="BD2028" s="25">
        <f>M2028</f>
        <v>2.2000000000000001E-3</v>
      </c>
      <c r="BF2028" s="25">
        <f>G2028*AM2028</f>
        <v>0</v>
      </c>
      <c r="BG2028" s="25">
        <f>G2028*AN2028</f>
        <v>0</v>
      </c>
      <c r="BH2028" s="25">
        <f>G2028*H2028</f>
        <v>0</v>
      </c>
      <c r="BI2028" s="27" t="s">
        <v>576</v>
      </c>
      <c r="BJ2028" s="25"/>
      <c r="BU2028" s="25" t="e">
        <f>#REF!</f>
        <v>#REF!</v>
      </c>
      <c r="BV2028" s="4" t="s">
        <v>2438</v>
      </c>
    </row>
    <row r="2029" spans="1:74" ht="14.4" x14ac:dyDescent="0.3">
      <c r="A2029" s="2" t="s">
        <v>2439</v>
      </c>
      <c r="B2029" s="3" t="s">
        <v>2333</v>
      </c>
      <c r="C2029" s="3" t="s">
        <v>2250</v>
      </c>
      <c r="D2029" s="112" t="s">
        <v>2440</v>
      </c>
      <c r="E2029" s="109"/>
      <c r="F2029" s="3" t="s">
        <v>122</v>
      </c>
      <c r="G2029" s="25">
        <v>1</v>
      </c>
      <c r="H2029" s="62"/>
      <c r="I2029" s="25">
        <f>ROUND(G2029*AM2029,2)</f>
        <v>0</v>
      </c>
      <c r="J2029" s="25">
        <f>ROUND(G2029*AN2029,2)</f>
        <v>0</v>
      </c>
      <c r="K2029" s="25">
        <f>ROUND(G2029*H2029,2)</f>
        <v>0</v>
      </c>
      <c r="L2029" s="25">
        <v>2.2000000000000001E-3</v>
      </c>
      <c r="M2029" s="25">
        <f>G2029*L2029</f>
        <v>2.2000000000000001E-3</v>
      </c>
      <c r="N2029" s="102"/>
      <c r="X2029" s="25">
        <f>ROUND(IF(AO2029="5",BH2029,0),2)</f>
        <v>0</v>
      </c>
      <c r="Z2029" s="25">
        <f>ROUND(IF(AO2029="1",BF2029,0),2)</f>
        <v>0</v>
      </c>
      <c r="AA2029" s="25">
        <f>ROUND(IF(AO2029="1",BG2029,0),2)</f>
        <v>0</v>
      </c>
      <c r="AB2029" s="25">
        <f>ROUND(IF(AO2029="7",BF2029,0),2)</f>
        <v>0</v>
      </c>
      <c r="AC2029" s="25">
        <f>ROUND(IF(AO2029="7",BG2029,0),2)</f>
        <v>0</v>
      </c>
      <c r="AD2029" s="25">
        <f>ROUND(IF(AO2029="2",BF2029,0),2)</f>
        <v>0</v>
      </c>
      <c r="AE2029" s="25">
        <f>ROUND(IF(AO2029="2",BG2029,0),2)</f>
        <v>0</v>
      </c>
      <c r="AF2029" s="25">
        <f>ROUND(IF(AO2029="0",BH2029,0),2)</f>
        <v>0</v>
      </c>
      <c r="AG2029" s="10" t="s">
        <v>2333</v>
      </c>
      <c r="AH2029" s="25">
        <f>IF(AL2029=0,K2029,0)</f>
        <v>0</v>
      </c>
      <c r="AI2029" s="25">
        <f>IF(AL2029=12,K2029,0)</f>
        <v>0</v>
      </c>
      <c r="AJ2029" s="25">
        <f>IF(AL2029=21,K2029,0)</f>
        <v>0</v>
      </c>
      <c r="AL2029" s="25">
        <v>21</v>
      </c>
      <c r="AM2029" s="25">
        <f>H2029*1</f>
        <v>0</v>
      </c>
      <c r="AN2029" s="25">
        <f>H2029*(1-1)</f>
        <v>0</v>
      </c>
      <c r="AO2029" s="27" t="s">
        <v>57</v>
      </c>
      <c r="AT2029" s="25">
        <f>ROUND(AU2029+AV2029,2)</f>
        <v>0</v>
      </c>
      <c r="AU2029" s="25">
        <f>ROUND(G2029*AM2029,2)</f>
        <v>0</v>
      </c>
      <c r="AV2029" s="25">
        <f>ROUND(G2029*AN2029,2)</f>
        <v>0</v>
      </c>
      <c r="AW2029" s="27" t="s">
        <v>564</v>
      </c>
      <c r="AX2029" s="27" t="s">
        <v>2392</v>
      </c>
      <c r="AY2029" s="10" t="s">
        <v>2341</v>
      </c>
      <c r="BA2029" s="25">
        <f>AU2029+AV2029</f>
        <v>0</v>
      </c>
      <c r="BB2029" s="25">
        <f>H2029/(100-BC2029)*100</f>
        <v>0</v>
      </c>
      <c r="BC2029" s="25">
        <v>0</v>
      </c>
      <c r="BD2029" s="25">
        <f>M2029</f>
        <v>2.2000000000000001E-3</v>
      </c>
      <c r="BF2029" s="25">
        <f>G2029*AM2029</f>
        <v>0</v>
      </c>
      <c r="BG2029" s="25">
        <f>G2029*AN2029</f>
        <v>0</v>
      </c>
      <c r="BH2029" s="25">
        <f>G2029*H2029</f>
        <v>0</v>
      </c>
      <c r="BI2029" s="27" t="s">
        <v>576</v>
      </c>
      <c r="BJ2029" s="25"/>
      <c r="BU2029" s="25" t="e">
        <f>#REF!</f>
        <v>#REF!</v>
      </c>
      <c r="BV2029" s="4" t="s">
        <v>2440</v>
      </c>
    </row>
    <row r="2030" spans="1:74" ht="14.4" x14ac:dyDescent="0.3">
      <c r="A2030" s="21" t="s">
        <v>52</v>
      </c>
      <c r="B2030" s="22" t="s">
        <v>2333</v>
      </c>
      <c r="C2030" s="22" t="s">
        <v>298</v>
      </c>
      <c r="D2030" s="170" t="s">
        <v>2441</v>
      </c>
      <c r="E2030" s="171"/>
      <c r="F2030" s="23" t="s">
        <v>32</v>
      </c>
      <c r="G2030" s="23" t="s">
        <v>32</v>
      </c>
      <c r="H2030" s="64"/>
      <c r="I2030" s="1">
        <f>SUM(I2031:I2039)</f>
        <v>0</v>
      </c>
      <c r="J2030" s="1">
        <f>SUM(J2031:J2039)</f>
        <v>0</v>
      </c>
      <c r="K2030" s="1">
        <f>SUM(K2031:K2039)</f>
        <v>0</v>
      </c>
      <c r="L2030" s="10" t="s">
        <v>52</v>
      </c>
      <c r="M2030" s="1">
        <f>SUM(M2031:M2039)</f>
        <v>0.25991999999999998</v>
      </c>
      <c r="N2030" s="24"/>
      <c r="AG2030" s="10" t="s">
        <v>2333</v>
      </c>
      <c r="AQ2030" s="1">
        <f>SUM(AH2031:AH2039)</f>
        <v>0</v>
      </c>
      <c r="AR2030" s="1">
        <f>SUM(AI2031:AI2039)</f>
        <v>0</v>
      </c>
      <c r="AS2030" s="1">
        <f>SUM(AJ2031:AJ2039)</f>
        <v>0</v>
      </c>
    </row>
    <row r="2031" spans="1:74" ht="14.4" x14ac:dyDescent="0.3">
      <c r="A2031" s="2" t="s">
        <v>2442</v>
      </c>
      <c r="B2031" s="3" t="s">
        <v>2333</v>
      </c>
      <c r="C2031" s="3" t="s">
        <v>1800</v>
      </c>
      <c r="D2031" s="112" t="s">
        <v>2443</v>
      </c>
      <c r="E2031" s="109"/>
      <c r="F2031" s="3" t="s">
        <v>2183</v>
      </c>
      <c r="G2031" s="25">
        <v>20</v>
      </c>
      <c r="H2031" s="62"/>
      <c r="I2031" s="25">
        <f>ROUND(G2031*AM2031,2)</f>
        <v>0</v>
      </c>
      <c r="J2031" s="25">
        <f>ROUND(G2031*AN2031,2)</f>
        <v>0</v>
      </c>
      <c r="K2031" s="25">
        <f>ROUND(G2031*H2031,2)</f>
        <v>0</v>
      </c>
      <c r="L2031" s="25">
        <v>3.4199999999999999E-3</v>
      </c>
      <c r="M2031" s="25">
        <f>G2031*L2031</f>
        <v>6.8400000000000002E-2</v>
      </c>
      <c r="N2031" s="102"/>
      <c r="X2031" s="25">
        <f>ROUND(IF(AO2031="5",BH2031,0),2)</f>
        <v>0</v>
      </c>
      <c r="Z2031" s="25">
        <f>ROUND(IF(AO2031="1",BF2031,0),2)</f>
        <v>0</v>
      </c>
      <c r="AA2031" s="25">
        <f>ROUND(IF(AO2031="1",BG2031,0),2)</f>
        <v>0</v>
      </c>
      <c r="AB2031" s="25">
        <f>ROUND(IF(AO2031="7",BF2031,0),2)</f>
        <v>0</v>
      </c>
      <c r="AC2031" s="25">
        <f>ROUND(IF(AO2031="7",BG2031,0),2)</f>
        <v>0</v>
      </c>
      <c r="AD2031" s="25">
        <f>ROUND(IF(AO2031="2",BF2031,0),2)</f>
        <v>0</v>
      </c>
      <c r="AE2031" s="25">
        <f>ROUND(IF(AO2031="2",BG2031,0),2)</f>
        <v>0</v>
      </c>
      <c r="AF2031" s="25">
        <f>ROUND(IF(AO2031="0",BH2031,0),2)</f>
        <v>0</v>
      </c>
      <c r="AG2031" s="10" t="s">
        <v>2333</v>
      </c>
      <c r="AH2031" s="25">
        <f>IF(AL2031=0,K2031,0)</f>
        <v>0</v>
      </c>
      <c r="AI2031" s="25">
        <f>IF(AL2031=12,K2031,0)</f>
        <v>0</v>
      </c>
      <c r="AJ2031" s="25">
        <f>IF(AL2031=21,K2031,0)</f>
        <v>0</v>
      </c>
      <c r="AL2031" s="25">
        <v>21</v>
      </c>
      <c r="AM2031" s="25">
        <f>H2031*0.32814433</f>
        <v>0</v>
      </c>
      <c r="AN2031" s="25">
        <f>H2031*(1-0.32814433)</f>
        <v>0</v>
      </c>
      <c r="AO2031" s="27" t="s">
        <v>57</v>
      </c>
      <c r="AT2031" s="25">
        <f>ROUND(AU2031+AV2031,2)</f>
        <v>0</v>
      </c>
      <c r="AU2031" s="25">
        <f>ROUND(G2031*AM2031,2)</f>
        <v>0</v>
      </c>
      <c r="AV2031" s="25">
        <f>ROUND(G2031*AN2031,2)</f>
        <v>0</v>
      </c>
      <c r="AW2031" s="27" t="s">
        <v>2444</v>
      </c>
      <c r="AX2031" s="27" t="s">
        <v>2445</v>
      </c>
      <c r="AY2031" s="10" t="s">
        <v>2341</v>
      </c>
      <c r="BA2031" s="25">
        <f>AU2031+AV2031</f>
        <v>0</v>
      </c>
      <c r="BB2031" s="25">
        <f>H2031/(100-BC2031)*100</f>
        <v>0</v>
      </c>
      <c r="BC2031" s="25">
        <v>0</v>
      </c>
      <c r="BD2031" s="25">
        <f>M2031</f>
        <v>6.8400000000000002E-2</v>
      </c>
      <c r="BF2031" s="25">
        <f>G2031*AM2031</f>
        <v>0</v>
      </c>
      <c r="BG2031" s="25">
        <f>G2031*AN2031</f>
        <v>0</v>
      </c>
      <c r="BH2031" s="25">
        <f>G2031*H2031</f>
        <v>0</v>
      </c>
      <c r="BI2031" s="27" t="s">
        <v>65</v>
      </c>
      <c r="BJ2031" s="25">
        <v>37</v>
      </c>
      <c r="BU2031" s="25" t="e">
        <f>#REF!</f>
        <v>#REF!</v>
      </c>
      <c r="BV2031" s="4" t="s">
        <v>2443</v>
      </c>
    </row>
    <row r="2032" spans="1:74" ht="14.4" x14ac:dyDescent="0.3">
      <c r="A2032" s="28"/>
      <c r="D2032" s="29" t="s">
        <v>202</v>
      </c>
      <c r="E2032" s="29" t="s">
        <v>52</v>
      </c>
      <c r="G2032" s="30">
        <v>20</v>
      </c>
      <c r="H2032" s="63"/>
      <c r="N2032" s="31"/>
    </row>
    <row r="2033" spans="1:74" ht="14.4" x14ac:dyDescent="0.3">
      <c r="A2033" s="2" t="s">
        <v>2446</v>
      </c>
      <c r="B2033" s="3" t="s">
        <v>2333</v>
      </c>
      <c r="C2033" s="3" t="s">
        <v>1803</v>
      </c>
      <c r="D2033" s="112" t="s">
        <v>2447</v>
      </c>
      <c r="E2033" s="109"/>
      <c r="F2033" s="3" t="s">
        <v>2448</v>
      </c>
      <c r="G2033" s="25">
        <v>22</v>
      </c>
      <c r="H2033" s="62"/>
      <c r="I2033" s="25">
        <f>ROUND(G2033*AM2033,2)</f>
        <v>0</v>
      </c>
      <c r="J2033" s="25">
        <f>ROUND(G2033*AN2033,2)</f>
        <v>0</v>
      </c>
      <c r="K2033" s="25">
        <f>ROUND(G2033*H2033,2)</f>
        <v>0</v>
      </c>
      <c r="L2033" s="25">
        <v>3.4199999999999999E-3</v>
      </c>
      <c r="M2033" s="25">
        <f>G2033*L2033</f>
        <v>7.5240000000000001E-2</v>
      </c>
      <c r="N2033" s="102"/>
      <c r="X2033" s="25">
        <f>ROUND(IF(AO2033="5",BH2033,0),2)</f>
        <v>0</v>
      </c>
      <c r="Z2033" s="25">
        <f>ROUND(IF(AO2033="1",BF2033,0),2)</f>
        <v>0</v>
      </c>
      <c r="AA2033" s="25">
        <f>ROUND(IF(AO2033="1",BG2033,0),2)</f>
        <v>0</v>
      </c>
      <c r="AB2033" s="25">
        <f>ROUND(IF(AO2033="7",BF2033,0),2)</f>
        <v>0</v>
      </c>
      <c r="AC2033" s="25">
        <f>ROUND(IF(AO2033="7",BG2033,0),2)</f>
        <v>0</v>
      </c>
      <c r="AD2033" s="25">
        <f>ROUND(IF(AO2033="2",BF2033,0),2)</f>
        <v>0</v>
      </c>
      <c r="AE2033" s="25">
        <f>ROUND(IF(AO2033="2",BG2033,0),2)</f>
        <v>0</v>
      </c>
      <c r="AF2033" s="25">
        <f>ROUND(IF(AO2033="0",BH2033,0),2)</f>
        <v>0</v>
      </c>
      <c r="AG2033" s="10" t="s">
        <v>2333</v>
      </c>
      <c r="AH2033" s="25">
        <f>IF(AL2033=0,K2033,0)</f>
        <v>0</v>
      </c>
      <c r="AI2033" s="25">
        <f>IF(AL2033=12,K2033,0)</f>
        <v>0</v>
      </c>
      <c r="AJ2033" s="25">
        <f>IF(AL2033=21,K2033,0)</f>
        <v>0</v>
      </c>
      <c r="AL2033" s="25">
        <v>21</v>
      </c>
      <c r="AM2033" s="25">
        <f>H2033*0.328243902</f>
        <v>0</v>
      </c>
      <c r="AN2033" s="25">
        <f>H2033*(1-0.328243902)</f>
        <v>0</v>
      </c>
      <c r="AO2033" s="27" t="s">
        <v>57</v>
      </c>
      <c r="AT2033" s="25">
        <f>ROUND(AU2033+AV2033,2)</f>
        <v>0</v>
      </c>
      <c r="AU2033" s="25">
        <f>ROUND(G2033*AM2033,2)</f>
        <v>0</v>
      </c>
      <c r="AV2033" s="25">
        <f>ROUND(G2033*AN2033,2)</f>
        <v>0</v>
      </c>
      <c r="AW2033" s="27" t="s">
        <v>2444</v>
      </c>
      <c r="AX2033" s="27" t="s">
        <v>2445</v>
      </c>
      <c r="AY2033" s="10" t="s">
        <v>2341</v>
      </c>
      <c r="BA2033" s="25">
        <f>AU2033+AV2033</f>
        <v>0</v>
      </c>
      <c r="BB2033" s="25">
        <f>H2033/(100-BC2033)*100</f>
        <v>0</v>
      </c>
      <c r="BC2033" s="25">
        <v>0</v>
      </c>
      <c r="BD2033" s="25">
        <f>M2033</f>
        <v>7.5240000000000001E-2</v>
      </c>
      <c r="BF2033" s="25">
        <f>G2033*AM2033</f>
        <v>0</v>
      </c>
      <c r="BG2033" s="25">
        <f>G2033*AN2033</f>
        <v>0</v>
      </c>
      <c r="BH2033" s="25">
        <f>G2033*H2033</f>
        <v>0</v>
      </c>
      <c r="BI2033" s="27" t="s">
        <v>65</v>
      </c>
      <c r="BJ2033" s="25">
        <v>37</v>
      </c>
      <c r="BU2033" s="25" t="e">
        <f>#REF!</f>
        <v>#REF!</v>
      </c>
      <c r="BV2033" s="4" t="s">
        <v>2447</v>
      </c>
    </row>
    <row r="2034" spans="1:74" ht="14.4" x14ac:dyDescent="0.3">
      <c r="A2034" s="28"/>
      <c r="D2034" s="29" t="s">
        <v>219</v>
      </c>
      <c r="E2034" s="29" t="s">
        <v>52</v>
      </c>
      <c r="G2034" s="30">
        <v>22</v>
      </c>
      <c r="H2034" s="63"/>
      <c r="N2034" s="31"/>
    </row>
    <row r="2035" spans="1:74" ht="14.4" x14ac:dyDescent="0.3">
      <c r="A2035" s="2" t="s">
        <v>2449</v>
      </c>
      <c r="B2035" s="3" t="s">
        <v>2333</v>
      </c>
      <c r="C2035" s="3" t="s">
        <v>1806</v>
      </c>
      <c r="D2035" s="112" t="s">
        <v>2450</v>
      </c>
      <c r="E2035" s="109"/>
      <c r="F2035" s="3" t="s">
        <v>1520</v>
      </c>
      <c r="G2035" s="25">
        <v>14</v>
      </c>
      <c r="H2035" s="62"/>
      <c r="I2035" s="25">
        <f>ROUND(G2035*AM2035,2)</f>
        <v>0</v>
      </c>
      <c r="J2035" s="25">
        <f>ROUND(G2035*AN2035,2)</f>
        <v>0</v>
      </c>
      <c r="K2035" s="25">
        <f>ROUND(G2035*H2035,2)</f>
        <v>0</v>
      </c>
      <c r="L2035" s="25">
        <v>3.4199999999999999E-3</v>
      </c>
      <c r="M2035" s="25">
        <f>G2035*L2035</f>
        <v>4.7879999999999999E-2</v>
      </c>
      <c r="N2035" s="102"/>
      <c r="X2035" s="25">
        <f>ROUND(IF(AO2035="5",BH2035,0),2)</f>
        <v>0</v>
      </c>
      <c r="Z2035" s="25">
        <f>ROUND(IF(AO2035="1",BF2035,0),2)</f>
        <v>0</v>
      </c>
      <c r="AA2035" s="25">
        <f>ROUND(IF(AO2035="1",BG2035,0),2)</f>
        <v>0</v>
      </c>
      <c r="AB2035" s="25">
        <f>ROUND(IF(AO2035="7",BF2035,0),2)</f>
        <v>0</v>
      </c>
      <c r="AC2035" s="25">
        <f>ROUND(IF(AO2035="7",BG2035,0),2)</f>
        <v>0</v>
      </c>
      <c r="AD2035" s="25">
        <f>ROUND(IF(AO2035="2",BF2035,0),2)</f>
        <v>0</v>
      </c>
      <c r="AE2035" s="25">
        <f>ROUND(IF(AO2035="2",BG2035,0),2)</f>
        <v>0</v>
      </c>
      <c r="AF2035" s="25">
        <f>ROUND(IF(AO2035="0",BH2035,0),2)</f>
        <v>0</v>
      </c>
      <c r="AG2035" s="10" t="s">
        <v>2333</v>
      </c>
      <c r="AH2035" s="25">
        <f>IF(AL2035=0,K2035,0)</f>
        <v>0</v>
      </c>
      <c r="AI2035" s="25">
        <f>IF(AL2035=12,K2035,0)</f>
        <v>0</v>
      </c>
      <c r="AJ2035" s="25">
        <f>IF(AL2035=21,K2035,0)</f>
        <v>0</v>
      </c>
      <c r="AL2035" s="25">
        <v>21</v>
      </c>
      <c r="AM2035" s="25">
        <f>H2035*0.297765315</f>
        <v>0</v>
      </c>
      <c r="AN2035" s="25">
        <f>H2035*(1-0.297765315)</f>
        <v>0</v>
      </c>
      <c r="AO2035" s="27" t="s">
        <v>57</v>
      </c>
      <c r="AT2035" s="25">
        <f>ROUND(AU2035+AV2035,2)</f>
        <v>0</v>
      </c>
      <c r="AU2035" s="25">
        <f>ROUND(G2035*AM2035,2)</f>
        <v>0</v>
      </c>
      <c r="AV2035" s="25">
        <f>ROUND(G2035*AN2035,2)</f>
        <v>0</v>
      </c>
      <c r="AW2035" s="27" t="s">
        <v>2444</v>
      </c>
      <c r="AX2035" s="27" t="s">
        <v>2445</v>
      </c>
      <c r="AY2035" s="10" t="s">
        <v>2341</v>
      </c>
      <c r="BA2035" s="25">
        <f>AU2035+AV2035</f>
        <v>0</v>
      </c>
      <c r="BB2035" s="25">
        <f>H2035/(100-BC2035)*100</f>
        <v>0</v>
      </c>
      <c r="BC2035" s="25">
        <v>0</v>
      </c>
      <c r="BD2035" s="25">
        <f>M2035</f>
        <v>4.7879999999999999E-2</v>
      </c>
      <c r="BF2035" s="25">
        <f>G2035*AM2035</f>
        <v>0</v>
      </c>
      <c r="BG2035" s="25">
        <f>G2035*AN2035</f>
        <v>0</v>
      </c>
      <c r="BH2035" s="25">
        <f>G2035*H2035</f>
        <v>0</v>
      </c>
      <c r="BI2035" s="27" t="s">
        <v>65</v>
      </c>
      <c r="BJ2035" s="25">
        <v>37</v>
      </c>
      <c r="BU2035" s="25" t="e">
        <f>#REF!</f>
        <v>#REF!</v>
      </c>
      <c r="BV2035" s="4" t="s">
        <v>2450</v>
      </c>
    </row>
    <row r="2036" spans="1:74" ht="14.4" x14ac:dyDescent="0.3">
      <c r="A2036" s="28"/>
      <c r="D2036" s="29" t="s">
        <v>159</v>
      </c>
      <c r="E2036" s="29" t="s">
        <v>52</v>
      </c>
      <c r="G2036" s="30">
        <v>14</v>
      </c>
      <c r="H2036" s="63"/>
      <c r="N2036" s="31"/>
    </row>
    <row r="2037" spans="1:74" ht="14.4" x14ac:dyDescent="0.3">
      <c r="A2037" s="2" t="s">
        <v>2451</v>
      </c>
      <c r="B2037" s="3" t="s">
        <v>2333</v>
      </c>
      <c r="C2037" s="3" t="s">
        <v>1809</v>
      </c>
      <c r="D2037" s="112" t="s">
        <v>2452</v>
      </c>
      <c r="E2037" s="109"/>
      <c r="F2037" s="3" t="s">
        <v>2448</v>
      </c>
      <c r="G2037" s="25">
        <v>10</v>
      </c>
      <c r="H2037" s="62"/>
      <c r="I2037" s="25">
        <f>ROUND(G2037*AM2037,2)</f>
        <v>0</v>
      </c>
      <c r="J2037" s="25">
        <f>ROUND(G2037*AN2037,2)</f>
        <v>0</v>
      </c>
      <c r="K2037" s="25">
        <f>ROUND(G2037*H2037,2)</f>
        <v>0</v>
      </c>
      <c r="L2037" s="25">
        <v>3.4199999999999999E-3</v>
      </c>
      <c r="M2037" s="25">
        <f>G2037*L2037</f>
        <v>3.4200000000000001E-2</v>
      </c>
      <c r="N2037" s="102"/>
      <c r="X2037" s="25">
        <f>ROUND(IF(AO2037="5",BH2037,0),2)</f>
        <v>0</v>
      </c>
      <c r="Z2037" s="25">
        <f>ROUND(IF(AO2037="1",BF2037,0),2)</f>
        <v>0</v>
      </c>
      <c r="AA2037" s="25">
        <f>ROUND(IF(AO2037="1",BG2037,0),2)</f>
        <v>0</v>
      </c>
      <c r="AB2037" s="25">
        <f>ROUND(IF(AO2037="7",BF2037,0),2)</f>
        <v>0</v>
      </c>
      <c r="AC2037" s="25">
        <f>ROUND(IF(AO2037="7",BG2037,0),2)</f>
        <v>0</v>
      </c>
      <c r="AD2037" s="25">
        <f>ROUND(IF(AO2037="2",BF2037,0),2)</f>
        <v>0</v>
      </c>
      <c r="AE2037" s="25">
        <f>ROUND(IF(AO2037="2",BG2037,0),2)</f>
        <v>0</v>
      </c>
      <c r="AF2037" s="25">
        <f>ROUND(IF(AO2037="0",BH2037,0),2)</f>
        <v>0</v>
      </c>
      <c r="AG2037" s="10" t="s">
        <v>2333</v>
      </c>
      <c r="AH2037" s="25">
        <f>IF(AL2037=0,K2037,0)</f>
        <v>0</v>
      </c>
      <c r="AI2037" s="25">
        <f>IF(AL2037=12,K2037,0)</f>
        <v>0</v>
      </c>
      <c r="AJ2037" s="25">
        <f>IF(AL2037=21,K2037,0)</f>
        <v>0</v>
      </c>
      <c r="AL2037" s="25">
        <v>21</v>
      </c>
      <c r="AM2037" s="25">
        <f>H2037*0.328281623</f>
        <v>0</v>
      </c>
      <c r="AN2037" s="25">
        <f>H2037*(1-0.328281623)</f>
        <v>0</v>
      </c>
      <c r="AO2037" s="27" t="s">
        <v>57</v>
      </c>
      <c r="AT2037" s="25">
        <f>ROUND(AU2037+AV2037,2)</f>
        <v>0</v>
      </c>
      <c r="AU2037" s="25">
        <f>ROUND(G2037*AM2037,2)</f>
        <v>0</v>
      </c>
      <c r="AV2037" s="25">
        <f>ROUND(G2037*AN2037,2)</f>
        <v>0</v>
      </c>
      <c r="AW2037" s="27" t="s">
        <v>2444</v>
      </c>
      <c r="AX2037" s="27" t="s">
        <v>2445</v>
      </c>
      <c r="AY2037" s="10" t="s">
        <v>2341</v>
      </c>
      <c r="BA2037" s="25">
        <f>AU2037+AV2037</f>
        <v>0</v>
      </c>
      <c r="BB2037" s="25">
        <f>H2037/(100-BC2037)*100</f>
        <v>0</v>
      </c>
      <c r="BC2037" s="25">
        <v>0</v>
      </c>
      <c r="BD2037" s="25">
        <f>M2037</f>
        <v>3.4200000000000001E-2</v>
      </c>
      <c r="BF2037" s="25">
        <f>G2037*AM2037</f>
        <v>0</v>
      </c>
      <c r="BG2037" s="25">
        <f>G2037*AN2037</f>
        <v>0</v>
      </c>
      <c r="BH2037" s="25">
        <f>G2037*H2037</f>
        <v>0</v>
      </c>
      <c r="BI2037" s="27" t="s">
        <v>65</v>
      </c>
      <c r="BJ2037" s="25">
        <v>37</v>
      </c>
      <c r="BU2037" s="25" t="e">
        <f>#REF!</f>
        <v>#REF!</v>
      </c>
      <c r="BV2037" s="4" t="s">
        <v>2452</v>
      </c>
    </row>
    <row r="2038" spans="1:74" ht="14.4" x14ac:dyDescent="0.3">
      <c r="A2038" s="28"/>
      <c r="D2038" s="29" t="s">
        <v>129</v>
      </c>
      <c r="E2038" s="29" t="s">
        <v>52</v>
      </c>
      <c r="G2038" s="30">
        <v>10</v>
      </c>
      <c r="H2038" s="63"/>
      <c r="N2038" s="31"/>
    </row>
    <row r="2039" spans="1:74" ht="14.4" x14ac:dyDescent="0.3">
      <c r="A2039" s="2" t="s">
        <v>2453</v>
      </c>
      <c r="B2039" s="3" t="s">
        <v>2333</v>
      </c>
      <c r="C2039" s="3" t="s">
        <v>1812</v>
      </c>
      <c r="D2039" s="112" t="s">
        <v>2454</v>
      </c>
      <c r="E2039" s="109"/>
      <c r="F2039" s="3" t="s">
        <v>2448</v>
      </c>
      <c r="G2039" s="25">
        <v>10</v>
      </c>
      <c r="H2039" s="62"/>
      <c r="I2039" s="25">
        <f>ROUND(G2039*AM2039,2)</f>
        <v>0</v>
      </c>
      <c r="J2039" s="25">
        <f>ROUND(G2039*AN2039,2)</f>
        <v>0</v>
      </c>
      <c r="K2039" s="25">
        <f>ROUND(G2039*H2039,2)</f>
        <v>0</v>
      </c>
      <c r="L2039" s="25">
        <v>3.4199999999999999E-3</v>
      </c>
      <c r="M2039" s="25">
        <f>G2039*L2039</f>
        <v>3.4200000000000001E-2</v>
      </c>
      <c r="N2039" s="102"/>
      <c r="X2039" s="25">
        <f>ROUND(IF(AO2039="5",BH2039,0),2)</f>
        <v>0</v>
      </c>
      <c r="Z2039" s="25">
        <f>ROUND(IF(AO2039="1",BF2039,0),2)</f>
        <v>0</v>
      </c>
      <c r="AA2039" s="25">
        <f>ROUND(IF(AO2039="1",BG2039,0),2)</f>
        <v>0</v>
      </c>
      <c r="AB2039" s="25">
        <f>ROUND(IF(AO2039="7",BF2039,0),2)</f>
        <v>0</v>
      </c>
      <c r="AC2039" s="25">
        <f>ROUND(IF(AO2039="7",BG2039,0),2)</f>
        <v>0</v>
      </c>
      <c r="AD2039" s="25">
        <f>ROUND(IF(AO2039="2",BF2039,0),2)</f>
        <v>0</v>
      </c>
      <c r="AE2039" s="25">
        <f>ROUND(IF(AO2039="2",BG2039,0),2)</f>
        <v>0</v>
      </c>
      <c r="AF2039" s="25">
        <f>ROUND(IF(AO2039="0",BH2039,0),2)</f>
        <v>0</v>
      </c>
      <c r="AG2039" s="10" t="s">
        <v>2333</v>
      </c>
      <c r="AH2039" s="25">
        <f>IF(AL2039=0,K2039,0)</f>
        <v>0</v>
      </c>
      <c r="AI2039" s="25">
        <f>IF(AL2039=12,K2039,0)</f>
        <v>0</v>
      </c>
      <c r="AJ2039" s="25">
        <f>IF(AL2039=21,K2039,0)</f>
        <v>0</v>
      </c>
      <c r="AL2039" s="25">
        <v>21</v>
      </c>
      <c r="AM2039" s="25">
        <f>H2039*0.328221344</f>
        <v>0</v>
      </c>
      <c r="AN2039" s="25">
        <f>H2039*(1-0.328221344)</f>
        <v>0</v>
      </c>
      <c r="AO2039" s="27" t="s">
        <v>57</v>
      </c>
      <c r="AT2039" s="25">
        <f>ROUND(AU2039+AV2039,2)</f>
        <v>0</v>
      </c>
      <c r="AU2039" s="25">
        <f>ROUND(G2039*AM2039,2)</f>
        <v>0</v>
      </c>
      <c r="AV2039" s="25">
        <f>ROUND(G2039*AN2039,2)</f>
        <v>0</v>
      </c>
      <c r="AW2039" s="27" t="s">
        <v>2444</v>
      </c>
      <c r="AX2039" s="27" t="s">
        <v>2445</v>
      </c>
      <c r="AY2039" s="10" t="s">
        <v>2341</v>
      </c>
      <c r="BA2039" s="25">
        <f>AU2039+AV2039</f>
        <v>0</v>
      </c>
      <c r="BB2039" s="25">
        <f>H2039/(100-BC2039)*100</f>
        <v>0</v>
      </c>
      <c r="BC2039" s="25">
        <v>0</v>
      </c>
      <c r="BD2039" s="25">
        <f>M2039</f>
        <v>3.4200000000000001E-2</v>
      </c>
      <c r="BF2039" s="25">
        <f>G2039*AM2039</f>
        <v>0</v>
      </c>
      <c r="BG2039" s="25">
        <f>G2039*AN2039</f>
        <v>0</v>
      </c>
      <c r="BH2039" s="25">
        <f>G2039*H2039</f>
        <v>0</v>
      </c>
      <c r="BI2039" s="27" t="s">
        <v>65</v>
      </c>
      <c r="BJ2039" s="25">
        <v>37</v>
      </c>
      <c r="BU2039" s="25" t="e">
        <f>#REF!</f>
        <v>#REF!</v>
      </c>
      <c r="BV2039" s="4" t="s">
        <v>2454</v>
      </c>
    </row>
    <row r="2040" spans="1:74" ht="14.4" x14ac:dyDescent="0.3">
      <c r="A2040" s="28"/>
      <c r="D2040" s="29" t="s">
        <v>129</v>
      </c>
      <c r="E2040" s="29" t="s">
        <v>52</v>
      </c>
      <c r="G2040" s="30">
        <v>10</v>
      </c>
      <c r="H2040" s="63"/>
      <c r="N2040" s="31"/>
    </row>
    <row r="2041" spans="1:74" ht="14.4" x14ac:dyDescent="0.3">
      <c r="A2041" s="21" t="s">
        <v>52</v>
      </c>
      <c r="B2041" s="22" t="s">
        <v>2333</v>
      </c>
      <c r="C2041" s="22" t="s">
        <v>438</v>
      </c>
      <c r="D2041" s="170" t="s">
        <v>2455</v>
      </c>
      <c r="E2041" s="171"/>
      <c r="F2041" s="23" t="s">
        <v>32</v>
      </c>
      <c r="G2041" s="23" t="s">
        <v>32</v>
      </c>
      <c r="H2041" s="64"/>
      <c r="I2041" s="1">
        <f>SUM(I2042:I2048)</f>
        <v>0</v>
      </c>
      <c r="J2041" s="1">
        <f>SUM(J2042:J2048)</f>
        <v>0</v>
      </c>
      <c r="K2041" s="1">
        <f>SUM(K2042:K2048)</f>
        <v>0</v>
      </c>
      <c r="L2041" s="10" t="s">
        <v>52</v>
      </c>
      <c r="M2041" s="1">
        <f>SUM(M2042:M2048)</f>
        <v>1.7100000000000001E-2</v>
      </c>
      <c r="N2041" s="24"/>
      <c r="AG2041" s="10" t="s">
        <v>2333</v>
      </c>
      <c r="AQ2041" s="1">
        <f>SUM(AH2042:AH2048)</f>
        <v>0</v>
      </c>
      <c r="AR2041" s="1">
        <f>SUM(AI2042:AI2048)</f>
        <v>0</v>
      </c>
      <c r="AS2041" s="1">
        <f>SUM(AJ2042:AJ2048)</f>
        <v>0</v>
      </c>
    </row>
    <row r="2042" spans="1:74" ht="26.4" x14ac:dyDescent="0.3">
      <c r="A2042" s="2" t="s">
        <v>2456</v>
      </c>
      <c r="B2042" s="3" t="s">
        <v>2333</v>
      </c>
      <c r="C2042" s="3" t="s">
        <v>1815</v>
      </c>
      <c r="D2042" s="112" t="s">
        <v>2457</v>
      </c>
      <c r="E2042" s="109"/>
      <c r="F2042" s="3" t="s">
        <v>2183</v>
      </c>
      <c r="G2042" s="25">
        <v>1</v>
      </c>
      <c r="H2042" s="62"/>
      <c r="I2042" s="25">
        <f>ROUND(G2042*AM2042,2)</f>
        <v>0</v>
      </c>
      <c r="J2042" s="25">
        <f>ROUND(G2042*AN2042,2)</f>
        <v>0</v>
      </c>
      <c r="K2042" s="25">
        <f>ROUND(G2042*H2042,2)</f>
        <v>0</v>
      </c>
      <c r="L2042" s="25">
        <v>3.4199999999999999E-3</v>
      </c>
      <c r="M2042" s="25">
        <f>G2042*L2042</f>
        <v>3.4199999999999999E-3</v>
      </c>
      <c r="N2042" s="102"/>
      <c r="X2042" s="25">
        <f>ROUND(IF(AO2042="5",BH2042,0),2)</f>
        <v>0</v>
      </c>
      <c r="Z2042" s="25">
        <f>ROUND(IF(AO2042="1",BF2042,0),2)</f>
        <v>0</v>
      </c>
      <c r="AA2042" s="25">
        <f>ROUND(IF(AO2042="1",BG2042,0),2)</f>
        <v>0</v>
      </c>
      <c r="AB2042" s="25">
        <f>ROUND(IF(AO2042="7",BF2042,0),2)</f>
        <v>0</v>
      </c>
      <c r="AC2042" s="25">
        <f>ROUND(IF(AO2042="7",BG2042,0),2)</f>
        <v>0</v>
      </c>
      <c r="AD2042" s="25">
        <f>ROUND(IF(AO2042="2",BF2042,0),2)</f>
        <v>0</v>
      </c>
      <c r="AE2042" s="25">
        <f>ROUND(IF(AO2042="2",BG2042,0),2)</f>
        <v>0</v>
      </c>
      <c r="AF2042" s="25">
        <f>ROUND(IF(AO2042="0",BH2042,0),2)</f>
        <v>0</v>
      </c>
      <c r="AG2042" s="10" t="s">
        <v>2333</v>
      </c>
      <c r="AH2042" s="25">
        <f>IF(AL2042=0,K2042,0)</f>
        <v>0</v>
      </c>
      <c r="AI2042" s="25">
        <f>IF(AL2042=12,K2042,0)</f>
        <v>0</v>
      </c>
      <c r="AJ2042" s="25">
        <f>IF(AL2042=21,K2042,0)</f>
        <v>0</v>
      </c>
      <c r="AL2042" s="25">
        <v>21</v>
      </c>
      <c r="AM2042" s="25">
        <f>H2042*1</f>
        <v>0</v>
      </c>
      <c r="AN2042" s="25">
        <f>H2042*(1-1)</f>
        <v>0</v>
      </c>
      <c r="AO2042" s="27" t="s">
        <v>57</v>
      </c>
      <c r="AT2042" s="25">
        <f>ROUND(AU2042+AV2042,2)</f>
        <v>0</v>
      </c>
      <c r="AU2042" s="25">
        <f>ROUND(G2042*AM2042,2)</f>
        <v>0</v>
      </c>
      <c r="AV2042" s="25">
        <f>ROUND(G2042*AN2042,2)</f>
        <v>0</v>
      </c>
      <c r="AW2042" s="27" t="s">
        <v>2458</v>
      </c>
      <c r="AX2042" s="27" t="s">
        <v>2459</v>
      </c>
      <c r="AY2042" s="10" t="s">
        <v>2341</v>
      </c>
      <c r="BA2042" s="25">
        <f>AU2042+AV2042</f>
        <v>0</v>
      </c>
      <c r="BB2042" s="25">
        <f>H2042/(100-BC2042)*100</f>
        <v>0</v>
      </c>
      <c r="BC2042" s="25">
        <v>0</v>
      </c>
      <c r="BD2042" s="25">
        <f>M2042</f>
        <v>3.4199999999999999E-3</v>
      </c>
      <c r="BF2042" s="25">
        <f>G2042*AM2042</f>
        <v>0</v>
      </c>
      <c r="BG2042" s="25">
        <f>G2042*AN2042</f>
        <v>0</v>
      </c>
      <c r="BH2042" s="25">
        <f>G2042*H2042</f>
        <v>0</v>
      </c>
      <c r="BI2042" s="27" t="s">
        <v>65</v>
      </c>
      <c r="BJ2042" s="25">
        <v>62</v>
      </c>
      <c r="BU2042" s="25" t="e">
        <f>#REF!</f>
        <v>#REF!</v>
      </c>
      <c r="BV2042" s="4" t="s">
        <v>2457</v>
      </c>
    </row>
    <row r="2043" spans="1:74" ht="14.4" x14ac:dyDescent="0.3">
      <c r="A2043" s="28"/>
      <c r="D2043" s="29" t="s">
        <v>57</v>
      </c>
      <c r="E2043" s="29" t="s">
        <v>52</v>
      </c>
      <c r="G2043" s="30">
        <v>1</v>
      </c>
      <c r="H2043" s="63"/>
      <c r="N2043" s="31"/>
    </row>
    <row r="2044" spans="1:74" ht="14.4" x14ac:dyDescent="0.3">
      <c r="A2044" s="2" t="s">
        <v>2460</v>
      </c>
      <c r="B2044" s="3" t="s">
        <v>2333</v>
      </c>
      <c r="C2044" s="3" t="s">
        <v>1818</v>
      </c>
      <c r="D2044" s="112" t="s">
        <v>2461</v>
      </c>
      <c r="E2044" s="109"/>
      <c r="F2044" s="3" t="s">
        <v>2183</v>
      </c>
      <c r="G2044" s="25">
        <v>1</v>
      </c>
      <c r="H2044" s="62"/>
      <c r="I2044" s="25">
        <f>ROUND(G2044*AM2044,2)</f>
        <v>0</v>
      </c>
      <c r="J2044" s="25">
        <f>ROUND(G2044*AN2044,2)</f>
        <v>0</v>
      </c>
      <c r="K2044" s="25">
        <f>ROUND(G2044*H2044,2)</f>
        <v>0</v>
      </c>
      <c r="L2044" s="25">
        <v>3.4199999999999999E-3</v>
      </c>
      <c r="M2044" s="25">
        <f>G2044*L2044</f>
        <v>3.4199999999999999E-3</v>
      </c>
      <c r="N2044" s="102"/>
      <c r="X2044" s="25">
        <f>ROUND(IF(AO2044="5",BH2044,0),2)</f>
        <v>0</v>
      </c>
      <c r="Z2044" s="25">
        <f>ROUND(IF(AO2044="1",BF2044,0),2)</f>
        <v>0</v>
      </c>
      <c r="AA2044" s="25">
        <f>ROUND(IF(AO2044="1",BG2044,0),2)</f>
        <v>0</v>
      </c>
      <c r="AB2044" s="25">
        <f>ROUND(IF(AO2044="7",BF2044,0),2)</f>
        <v>0</v>
      </c>
      <c r="AC2044" s="25">
        <f>ROUND(IF(AO2044="7",BG2044,0),2)</f>
        <v>0</v>
      </c>
      <c r="AD2044" s="25">
        <f>ROUND(IF(AO2044="2",BF2044,0),2)</f>
        <v>0</v>
      </c>
      <c r="AE2044" s="25">
        <f>ROUND(IF(AO2044="2",BG2044,0),2)</f>
        <v>0</v>
      </c>
      <c r="AF2044" s="25">
        <f>ROUND(IF(AO2044="0",BH2044,0),2)</f>
        <v>0</v>
      </c>
      <c r="AG2044" s="10" t="s">
        <v>2333</v>
      </c>
      <c r="AH2044" s="25">
        <f>IF(AL2044=0,K2044,0)</f>
        <v>0</v>
      </c>
      <c r="AI2044" s="25">
        <f>IF(AL2044=12,K2044,0)</f>
        <v>0</v>
      </c>
      <c r="AJ2044" s="25">
        <f>IF(AL2044=21,K2044,0)</f>
        <v>0</v>
      </c>
      <c r="AL2044" s="25">
        <v>21</v>
      </c>
      <c r="AM2044" s="25">
        <f>H2044*0.328239019</f>
        <v>0</v>
      </c>
      <c r="AN2044" s="25">
        <f>H2044*(1-0.328239019)</f>
        <v>0</v>
      </c>
      <c r="AO2044" s="27" t="s">
        <v>57</v>
      </c>
      <c r="AT2044" s="25">
        <f>ROUND(AU2044+AV2044,2)</f>
        <v>0</v>
      </c>
      <c r="AU2044" s="25">
        <f>ROUND(G2044*AM2044,2)</f>
        <v>0</v>
      </c>
      <c r="AV2044" s="25">
        <f>ROUND(G2044*AN2044,2)</f>
        <v>0</v>
      </c>
      <c r="AW2044" s="27" t="s">
        <v>2458</v>
      </c>
      <c r="AX2044" s="27" t="s">
        <v>2459</v>
      </c>
      <c r="AY2044" s="10" t="s">
        <v>2341</v>
      </c>
      <c r="BA2044" s="25">
        <f>AU2044+AV2044</f>
        <v>0</v>
      </c>
      <c r="BB2044" s="25">
        <f>H2044/(100-BC2044)*100</f>
        <v>0</v>
      </c>
      <c r="BC2044" s="25">
        <v>0</v>
      </c>
      <c r="BD2044" s="25">
        <f>M2044</f>
        <v>3.4199999999999999E-3</v>
      </c>
      <c r="BF2044" s="25">
        <f>G2044*AM2044</f>
        <v>0</v>
      </c>
      <c r="BG2044" s="25">
        <f>G2044*AN2044</f>
        <v>0</v>
      </c>
      <c r="BH2044" s="25">
        <f>G2044*H2044</f>
        <v>0</v>
      </c>
      <c r="BI2044" s="27" t="s">
        <v>65</v>
      </c>
      <c r="BJ2044" s="25">
        <v>62</v>
      </c>
      <c r="BU2044" s="25" t="e">
        <f>#REF!</f>
        <v>#REF!</v>
      </c>
      <c r="BV2044" s="4" t="s">
        <v>2461</v>
      </c>
    </row>
    <row r="2045" spans="1:74" ht="14.4" x14ac:dyDescent="0.3">
      <c r="A2045" s="28"/>
      <c r="D2045" s="29" t="s">
        <v>57</v>
      </c>
      <c r="E2045" s="29" t="s">
        <v>52</v>
      </c>
      <c r="G2045" s="30">
        <v>1</v>
      </c>
      <c r="H2045" s="63"/>
      <c r="N2045" s="31"/>
    </row>
    <row r="2046" spans="1:74" ht="14.4" x14ac:dyDescent="0.3">
      <c r="A2046" s="2" t="s">
        <v>2462</v>
      </c>
      <c r="B2046" s="3" t="s">
        <v>2333</v>
      </c>
      <c r="C2046" s="3" t="s">
        <v>2463</v>
      </c>
      <c r="D2046" s="112" t="s">
        <v>2464</v>
      </c>
      <c r="E2046" s="109"/>
      <c r="F2046" s="3" t="s">
        <v>2183</v>
      </c>
      <c r="G2046" s="25">
        <v>2</v>
      </c>
      <c r="H2046" s="62"/>
      <c r="I2046" s="25">
        <f>ROUND(G2046*AM2046,2)</f>
        <v>0</v>
      </c>
      <c r="J2046" s="25">
        <f>ROUND(G2046*AN2046,2)</f>
        <v>0</v>
      </c>
      <c r="K2046" s="25">
        <f>ROUND(G2046*H2046,2)</f>
        <v>0</v>
      </c>
      <c r="L2046" s="25">
        <v>3.4199999999999999E-3</v>
      </c>
      <c r="M2046" s="25">
        <f>G2046*L2046</f>
        <v>6.8399999999999997E-3</v>
      </c>
      <c r="N2046" s="102"/>
      <c r="X2046" s="25">
        <f>ROUND(IF(AO2046="5",BH2046,0),2)</f>
        <v>0</v>
      </c>
      <c r="Z2046" s="25">
        <f>ROUND(IF(AO2046="1",BF2046,0),2)</f>
        <v>0</v>
      </c>
      <c r="AA2046" s="25">
        <f>ROUND(IF(AO2046="1",BG2046,0),2)</f>
        <v>0</v>
      </c>
      <c r="AB2046" s="25">
        <f>ROUND(IF(AO2046="7",BF2046,0),2)</f>
        <v>0</v>
      </c>
      <c r="AC2046" s="25">
        <f>ROUND(IF(AO2046="7",BG2046,0),2)</f>
        <v>0</v>
      </c>
      <c r="AD2046" s="25">
        <f>ROUND(IF(AO2046="2",BF2046,0),2)</f>
        <v>0</v>
      </c>
      <c r="AE2046" s="25">
        <f>ROUND(IF(AO2046="2",BG2046,0),2)</f>
        <v>0</v>
      </c>
      <c r="AF2046" s="25">
        <f>ROUND(IF(AO2046="0",BH2046,0),2)</f>
        <v>0</v>
      </c>
      <c r="AG2046" s="10" t="s">
        <v>2333</v>
      </c>
      <c r="AH2046" s="25">
        <f>IF(AL2046=0,K2046,0)</f>
        <v>0</v>
      </c>
      <c r="AI2046" s="25">
        <f>IF(AL2046=12,K2046,0)</f>
        <v>0</v>
      </c>
      <c r="AJ2046" s="25">
        <f>IF(AL2046=21,K2046,0)</f>
        <v>0</v>
      </c>
      <c r="AL2046" s="25">
        <v>21</v>
      </c>
      <c r="AM2046" s="25">
        <f>H2046*0.910914634</f>
        <v>0</v>
      </c>
      <c r="AN2046" s="25">
        <f>H2046*(1-0.910914634)</f>
        <v>0</v>
      </c>
      <c r="AO2046" s="27" t="s">
        <v>57</v>
      </c>
      <c r="AT2046" s="25">
        <f>ROUND(AU2046+AV2046,2)</f>
        <v>0</v>
      </c>
      <c r="AU2046" s="25">
        <f>ROUND(G2046*AM2046,2)</f>
        <v>0</v>
      </c>
      <c r="AV2046" s="25">
        <f>ROUND(G2046*AN2046,2)</f>
        <v>0</v>
      </c>
      <c r="AW2046" s="27" t="s">
        <v>2458</v>
      </c>
      <c r="AX2046" s="27" t="s">
        <v>2459</v>
      </c>
      <c r="AY2046" s="10" t="s">
        <v>2341</v>
      </c>
      <c r="BA2046" s="25">
        <f>AU2046+AV2046</f>
        <v>0</v>
      </c>
      <c r="BB2046" s="25">
        <f>H2046/(100-BC2046)*100</f>
        <v>0</v>
      </c>
      <c r="BC2046" s="25">
        <v>0</v>
      </c>
      <c r="BD2046" s="25">
        <f>M2046</f>
        <v>6.8399999999999997E-3</v>
      </c>
      <c r="BF2046" s="25">
        <f>G2046*AM2046</f>
        <v>0</v>
      </c>
      <c r="BG2046" s="25">
        <f>G2046*AN2046</f>
        <v>0</v>
      </c>
      <c r="BH2046" s="25">
        <f>G2046*H2046</f>
        <v>0</v>
      </c>
      <c r="BI2046" s="27" t="s">
        <v>65</v>
      </c>
      <c r="BJ2046" s="25">
        <v>62</v>
      </c>
      <c r="BU2046" s="25" t="e">
        <f>#REF!</f>
        <v>#REF!</v>
      </c>
      <c r="BV2046" s="4" t="s">
        <v>2464</v>
      </c>
    </row>
    <row r="2047" spans="1:74" ht="14.4" x14ac:dyDescent="0.3">
      <c r="A2047" s="28"/>
      <c r="D2047" s="29" t="s">
        <v>81</v>
      </c>
      <c r="E2047" s="29" t="s">
        <v>52</v>
      </c>
      <c r="G2047" s="30">
        <v>2</v>
      </c>
      <c r="H2047" s="63"/>
      <c r="N2047" s="31"/>
    </row>
    <row r="2048" spans="1:74" ht="26.4" x14ac:dyDescent="0.3">
      <c r="A2048" s="2" t="s">
        <v>2465</v>
      </c>
      <c r="B2048" s="3" t="s">
        <v>2333</v>
      </c>
      <c r="C2048" s="3" t="s">
        <v>1821</v>
      </c>
      <c r="D2048" s="112" t="s">
        <v>2466</v>
      </c>
      <c r="E2048" s="109"/>
      <c r="F2048" s="3" t="s">
        <v>2183</v>
      </c>
      <c r="G2048" s="25">
        <v>1</v>
      </c>
      <c r="H2048" s="62"/>
      <c r="I2048" s="25">
        <f>ROUND(G2048*AM2048,2)</f>
        <v>0</v>
      </c>
      <c r="J2048" s="25">
        <f>ROUND(G2048*AN2048,2)</f>
        <v>0</v>
      </c>
      <c r="K2048" s="25">
        <f>ROUND(G2048*H2048,2)</f>
        <v>0</v>
      </c>
      <c r="L2048" s="25">
        <v>3.4199999999999999E-3</v>
      </c>
      <c r="M2048" s="25">
        <f>G2048*L2048</f>
        <v>3.4199999999999999E-3</v>
      </c>
      <c r="N2048" s="102"/>
      <c r="X2048" s="25">
        <f>ROUND(IF(AO2048="5",BH2048,0),2)</f>
        <v>0</v>
      </c>
      <c r="Z2048" s="25">
        <f>ROUND(IF(AO2048="1",BF2048,0),2)</f>
        <v>0</v>
      </c>
      <c r="AA2048" s="25">
        <f>ROUND(IF(AO2048="1",BG2048,0),2)</f>
        <v>0</v>
      </c>
      <c r="AB2048" s="25">
        <f>ROUND(IF(AO2048="7",BF2048,0),2)</f>
        <v>0</v>
      </c>
      <c r="AC2048" s="25">
        <f>ROUND(IF(AO2048="7",BG2048,0),2)</f>
        <v>0</v>
      </c>
      <c r="AD2048" s="25">
        <f>ROUND(IF(AO2048="2",BF2048,0),2)</f>
        <v>0</v>
      </c>
      <c r="AE2048" s="25">
        <f>ROUND(IF(AO2048="2",BG2048,0),2)</f>
        <v>0</v>
      </c>
      <c r="AF2048" s="25">
        <f>ROUND(IF(AO2048="0",BH2048,0),2)</f>
        <v>0</v>
      </c>
      <c r="AG2048" s="10" t="s">
        <v>2333</v>
      </c>
      <c r="AH2048" s="25">
        <f>IF(AL2048=0,K2048,0)</f>
        <v>0</v>
      </c>
      <c r="AI2048" s="25">
        <f>IF(AL2048=12,K2048,0)</f>
        <v>0</v>
      </c>
      <c r="AJ2048" s="25">
        <f>IF(AL2048=21,K2048,0)</f>
        <v>0</v>
      </c>
      <c r="AL2048" s="25">
        <v>21</v>
      </c>
      <c r="AM2048" s="25">
        <f>H2048*0.910915332</f>
        <v>0</v>
      </c>
      <c r="AN2048" s="25">
        <f>H2048*(1-0.910915332)</f>
        <v>0</v>
      </c>
      <c r="AO2048" s="27" t="s">
        <v>57</v>
      </c>
      <c r="AT2048" s="25">
        <f>ROUND(AU2048+AV2048,2)</f>
        <v>0</v>
      </c>
      <c r="AU2048" s="25">
        <f>ROUND(G2048*AM2048,2)</f>
        <v>0</v>
      </c>
      <c r="AV2048" s="25">
        <f>ROUND(G2048*AN2048,2)</f>
        <v>0</v>
      </c>
      <c r="AW2048" s="27" t="s">
        <v>2458</v>
      </c>
      <c r="AX2048" s="27" t="s">
        <v>2459</v>
      </c>
      <c r="AY2048" s="10" t="s">
        <v>2341</v>
      </c>
      <c r="BA2048" s="25">
        <f>AU2048+AV2048</f>
        <v>0</v>
      </c>
      <c r="BB2048" s="25">
        <f>H2048/(100-BC2048)*100</f>
        <v>0</v>
      </c>
      <c r="BC2048" s="25">
        <v>0</v>
      </c>
      <c r="BD2048" s="25">
        <f>M2048</f>
        <v>3.4199999999999999E-3</v>
      </c>
      <c r="BF2048" s="25">
        <f>G2048*AM2048</f>
        <v>0</v>
      </c>
      <c r="BG2048" s="25">
        <f>G2048*AN2048</f>
        <v>0</v>
      </c>
      <c r="BH2048" s="25">
        <f>G2048*H2048</f>
        <v>0</v>
      </c>
      <c r="BI2048" s="27" t="s">
        <v>65</v>
      </c>
      <c r="BJ2048" s="25">
        <v>62</v>
      </c>
      <c r="BU2048" s="25" t="e">
        <f>#REF!</f>
        <v>#REF!</v>
      </c>
      <c r="BV2048" s="4" t="s">
        <v>2466</v>
      </c>
    </row>
    <row r="2049" spans="1:74" ht="14.4" x14ac:dyDescent="0.3">
      <c r="A2049" s="28"/>
      <c r="D2049" s="29" t="s">
        <v>57</v>
      </c>
      <c r="E2049" s="29" t="s">
        <v>52</v>
      </c>
      <c r="G2049" s="30">
        <v>1</v>
      </c>
      <c r="H2049" s="63"/>
      <c r="N2049" s="31"/>
    </row>
    <row r="2050" spans="1:74" ht="14.4" x14ac:dyDescent="0.3">
      <c r="A2050" s="21" t="s">
        <v>52</v>
      </c>
      <c r="B2050" s="22" t="s">
        <v>2333</v>
      </c>
      <c r="C2050" s="22" t="s">
        <v>2467</v>
      </c>
      <c r="D2050" s="170" t="s">
        <v>2468</v>
      </c>
      <c r="E2050" s="171"/>
      <c r="F2050" s="23" t="s">
        <v>32</v>
      </c>
      <c r="G2050" s="23" t="s">
        <v>32</v>
      </c>
      <c r="H2050" s="64"/>
      <c r="I2050" s="1">
        <f>SUM(I2051:I2143)</f>
        <v>0</v>
      </c>
      <c r="J2050" s="1">
        <f>SUM(J2051:J2143)</f>
        <v>0</v>
      </c>
      <c r="K2050" s="1">
        <f>SUM(K2051:K2143)</f>
        <v>0</v>
      </c>
      <c r="L2050" s="10" t="s">
        <v>52</v>
      </c>
      <c r="M2050" s="1">
        <f>SUM(M2051:M2143)</f>
        <v>0.61709500000000006</v>
      </c>
      <c r="N2050" s="24"/>
      <c r="AG2050" s="10" t="s">
        <v>2333</v>
      </c>
      <c r="AQ2050" s="1">
        <f>SUM(AH2051:AH2143)</f>
        <v>0</v>
      </c>
      <c r="AR2050" s="1">
        <f>SUM(AI2051:AI2143)</f>
        <v>0</v>
      </c>
      <c r="AS2050" s="1">
        <f>SUM(AJ2051:AJ2143)</f>
        <v>0</v>
      </c>
    </row>
    <row r="2051" spans="1:74" ht="26.4" x14ac:dyDescent="0.3">
      <c r="A2051" s="2" t="s">
        <v>2469</v>
      </c>
      <c r="B2051" s="3" t="s">
        <v>2333</v>
      </c>
      <c r="C2051" s="3" t="s">
        <v>2470</v>
      </c>
      <c r="D2051" s="112" t="s">
        <v>2471</v>
      </c>
      <c r="E2051" s="109"/>
      <c r="F2051" s="3" t="s">
        <v>115</v>
      </c>
      <c r="G2051" s="25">
        <v>7</v>
      </c>
      <c r="H2051" s="62"/>
      <c r="I2051" s="25">
        <f>ROUND(G2051*AM2051,2)</f>
        <v>0</v>
      </c>
      <c r="J2051" s="25">
        <f>ROUND(G2051*AN2051,2)</f>
        <v>0</v>
      </c>
      <c r="K2051" s="25">
        <f>ROUND(G2051*H2051,2)</f>
        <v>0</v>
      </c>
      <c r="L2051" s="25">
        <v>0</v>
      </c>
      <c r="M2051" s="25">
        <f>G2051*L2051</f>
        <v>0</v>
      </c>
      <c r="N2051" s="102"/>
      <c r="X2051" s="25">
        <f>ROUND(IF(AO2051="5",BH2051,0),2)</f>
        <v>0</v>
      </c>
      <c r="Z2051" s="25">
        <f>ROUND(IF(AO2051="1",BF2051,0),2)</f>
        <v>0</v>
      </c>
      <c r="AA2051" s="25">
        <f>ROUND(IF(AO2051="1",BG2051,0),2)</f>
        <v>0</v>
      </c>
      <c r="AB2051" s="25">
        <f>ROUND(IF(AO2051="7",BF2051,0),2)</f>
        <v>0</v>
      </c>
      <c r="AC2051" s="25">
        <f>ROUND(IF(AO2051="7",BG2051,0),2)</f>
        <v>0</v>
      </c>
      <c r="AD2051" s="25">
        <f>ROUND(IF(AO2051="2",BF2051,0),2)</f>
        <v>0</v>
      </c>
      <c r="AE2051" s="25">
        <f>ROUND(IF(AO2051="2",BG2051,0),2)</f>
        <v>0</v>
      </c>
      <c r="AF2051" s="25">
        <f>ROUND(IF(AO2051="0",BH2051,0),2)</f>
        <v>0</v>
      </c>
      <c r="AG2051" s="10" t="s">
        <v>2333</v>
      </c>
      <c r="AH2051" s="25">
        <f>IF(AL2051=0,K2051,0)</f>
        <v>0</v>
      </c>
      <c r="AI2051" s="25">
        <f>IF(AL2051=12,K2051,0)</f>
        <v>0</v>
      </c>
      <c r="AJ2051" s="25">
        <f>IF(AL2051=21,K2051,0)</f>
        <v>0</v>
      </c>
      <c r="AL2051" s="25">
        <v>21</v>
      </c>
      <c r="AM2051" s="25">
        <f>H2051*0.775318041</f>
        <v>0</v>
      </c>
      <c r="AN2051" s="25">
        <f>H2051*(1-0.775318041)</f>
        <v>0</v>
      </c>
      <c r="AO2051" s="27" t="s">
        <v>61</v>
      </c>
      <c r="AT2051" s="25">
        <f>ROUND(AU2051+AV2051,2)</f>
        <v>0</v>
      </c>
      <c r="AU2051" s="25">
        <f>ROUND(G2051*AM2051,2)</f>
        <v>0</v>
      </c>
      <c r="AV2051" s="25">
        <f>ROUND(G2051*AN2051,2)</f>
        <v>0</v>
      </c>
      <c r="AW2051" s="27" t="s">
        <v>2472</v>
      </c>
      <c r="AX2051" s="27" t="s">
        <v>2473</v>
      </c>
      <c r="AY2051" s="10" t="s">
        <v>2341</v>
      </c>
      <c r="BA2051" s="25">
        <f>AU2051+AV2051</f>
        <v>0</v>
      </c>
      <c r="BB2051" s="25">
        <f>H2051/(100-BC2051)*100</f>
        <v>0</v>
      </c>
      <c r="BC2051" s="25">
        <v>0</v>
      </c>
      <c r="BD2051" s="25">
        <f>M2051</f>
        <v>0</v>
      </c>
      <c r="BF2051" s="25">
        <f>G2051*AM2051</f>
        <v>0</v>
      </c>
      <c r="BG2051" s="25">
        <f>G2051*AN2051</f>
        <v>0</v>
      </c>
      <c r="BH2051" s="25">
        <f>G2051*H2051</f>
        <v>0</v>
      </c>
      <c r="BI2051" s="27" t="s">
        <v>65</v>
      </c>
      <c r="BJ2051" s="25">
        <v>728</v>
      </c>
      <c r="BU2051" s="25" t="e">
        <f>#REF!</f>
        <v>#REF!</v>
      </c>
      <c r="BV2051" s="4" t="s">
        <v>2471</v>
      </c>
    </row>
    <row r="2052" spans="1:74" ht="14.4" x14ac:dyDescent="0.3">
      <c r="A2052" s="28"/>
      <c r="D2052" s="29" t="s">
        <v>61</v>
      </c>
      <c r="E2052" s="29" t="s">
        <v>52</v>
      </c>
      <c r="G2052" s="30">
        <v>7</v>
      </c>
      <c r="H2052" s="63"/>
      <c r="N2052" s="31"/>
    </row>
    <row r="2053" spans="1:74" ht="26.4" x14ac:dyDescent="0.3">
      <c r="A2053" s="2" t="s">
        <v>2474</v>
      </c>
      <c r="B2053" s="3" t="s">
        <v>2333</v>
      </c>
      <c r="C2053" s="3" t="s">
        <v>2475</v>
      </c>
      <c r="D2053" s="112" t="s">
        <v>2476</v>
      </c>
      <c r="E2053" s="109"/>
      <c r="F2053" s="3" t="s">
        <v>115</v>
      </c>
      <c r="G2053" s="25">
        <v>59</v>
      </c>
      <c r="H2053" s="62"/>
      <c r="I2053" s="25">
        <f>ROUND(G2053*AM2053,2)</f>
        <v>0</v>
      </c>
      <c r="J2053" s="25">
        <f>ROUND(G2053*AN2053,2)</f>
        <v>0</v>
      </c>
      <c r="K2053" s="25">
        <f>ROUND(G2053*H2053,2)</f>
        <v>0</v>
      </c>
      <c r="L2053" s="25">
        <v>0</v>
      </c>
      <c r="M2053" s="25">
        <f>G2053*L2053</f>
        <v>0</v>
      </c>
      <c r="N2053" s="102"/>
      <c r="X2053" s="25">
        <f>ROUND(IF(AO2053="5",BH2053,0),2)</f>
        <v>0</v>
      </c>
      <c r="Z2053" s="25">
        <f>ROUND(IF(AO2053="1",BF2053,0),2)</f>
        <v>0</v>
      </c>
      <c r="AA2053" s="25">
        <f>ROUND(IF(AO2053="1",BG2053,0),2)</f>
        <v>0</v>
      </c>
      <c r="AB2053" s="25">
        <f>ROUND(IF(AO2053="7",BF2053,0),2)</f>
        <v>0</v>
      </c>
      <c r="AC2053" s="25">
        <f>ROUND(IF(AO2053="7",BG2053,0),2)</f>
        <v>0</v>
      </c>
      <c r="AD2053" s="25">
        <f>ROUND(IF(AO2053="2",BF2053,0),2)</f>
        <v>0</v>
      </c>
      <c r="AE2053" s="25">
        <f>ROUND(IF(AO2053="2",BG2053,0),2)</f>
        <v>0</v>
      </c>
      <c r="AF2053" s="25">
        <f>ROUND(IF(AO2053="0",BH2053,0),2)</f>
        <v>0</v>
      </c>
      <c r="AG2053" s="10" t="s">
        <v>2333</v>
      </c>
      <c r="AH2053" s="25">
        <f>IF(AL2053=0,K2053,0)</f>
        <v>0</v>
      </c>
      <c r="AI2053" s="25">
        <f>IF(AL2053=12,K2053,0)</f>
        <v>0</v>
      </c>
      <c r="AJ2053" s="25">
        <f>IF(AL2053=21,K2053,0)</f>
        <v>0</v>
      </c>
      <c r="AL2053" s="25">
        <v>21</v>
      </c>
      <c r="AM2053" s="25">
        <f>H2053*0.703046583</f>
        <v>0</v>
      </c>
      <c r="AN2053" s="25">
        <f>H2053*(1-0.703046583)</f>
        <v>0</v>
      </c>
      <c r="AO2053" s="27" t="s">
        <v>61</v>
      </c>
      <c r="AT2053" s="25">
        <f>ROUND(AU2053+AV2053,2)</f>
        <v>0</v>
      </c>
      <c r="AU2053" s="25">
        <f>ROUND(G2053*AM2053,2)</f>
        <v>0</v>
      </c>
      <c r="AV2053" s="25">
        <f>ROUND(G2053*AN2053,2)</f>
        <v>0</v>
      </c>
      <c r="AW2053" s="27" t="s">
        <v>2472</v>
      </c>
      <c r="AX2053" s="27" t="s">
        <v>2473</v>
      </c>
      <c r="AY2053" s="10" t="s">
        <v>2341</v>
      </c>
      <c r="BA2053" s="25">
        <f>AU2053+AV2053</f>
        <v>0</v>
      </c>
      <c r="BB2053" s="25">
        <f>H2053/(100-BC2053)*100</f>
        <v>0</v>
      </c>
      <c r="BC2053" s="25">
        <v>0</v>
      </c>
      <c r="BD2053" s="25">
        <f>M2053</f>
        <v>0</v>
      </c>
      <c r="BF2053" s="25">
        <f>G2053*AM2053</f>
        <v>0</v>
      </c>
      <c r="BG2053" s="25">
        <f>G2053*AN2053</f>
        <v>0</v>
      </c>
      <c r="BH2053" s="25">
        <f>G2053*H2053</f>
        <v>0</v>
      </c>
      <c r="BI2053" s="27" t="s">
        <v>65</v>
      </c>
      <c r="BJ2053" s="25">
        <v>728</v>
      </c>
      <c r="BU2053" s="25" t="e">
        <f>#REF!</f>
        <v>#REF!</v>
      </c>
      <c r="BV2053" s="4" t="s">
        <v>2476</v>
      </c>
    </row>
    <row r="2054" spans="1:74" ht="14.4" x14ac:dyDescent="0.3">
      <c r="A2054" s="28"/>
      <c r="D2054" s="29" t="s">
        <v>425</v>
      </c>
      <c r="E2054" s="29" t="s">
        <v>52</v>
      </c>
      <c r="G2054" s="30">
        <v>59</v>
      </c>
      <c r="H2054" s="63"/>
      <c r="N2054" s="31"/>
    </row>
    <row r="2055" spans="1:74" ht="26.4" x14ac:dyDescent="0.3">
      <c r="A2055" s="2" t="s">
        <v>2477</v>
      </c>
      <c r="B2055" s="3" t="s">
        <v>2333</v>
      </c>
      <c r="C2055" s="3" t="s">
        <v>2478</v>
      </c>
      <c r="D2055" s="112" t="s">
        <v>2479</v>
      </c>
      <c r="E2055" s="109"/>
      <c r="F2055" s="3" t="s">
        <v>115</v>
      </c>
      <c r="G2055" s="25">
        <v>12</v>
      </c>
      <c r="H2055" s="62"/>
      <c r="I2055" s="25">
        <f>ROUND(G2055*AM2055,2)</f>
        <v>0</v>
      </c>
      <c r="J2055" s="25">
        <f>ROUND(G2055*AN2055,2)</f>
        <v>0</v>
      </c>
      <c r="K2055" s="25">
        <f>ROUND(G2055*H2055,2)</f>
        <v>0</v>
      </c>
      <c r="L2055" s="25">
        <v>0</v>
      </c>
      <c r="M2055" s="25">
        <f>G2055*L2055</f>
        <v>0</v>
      </c>
      <c r="N2055" s="102"/>
      <c r="X2055" s="25">
        <f>ROUND(IF(AO2055="5",BH2055,0),2)</f>
        <v>0</v>
      </c>
      <c r="Z2055" s="25">
        <f>ROUND(IF(AO2055="1",BF2055,0),2)</f>
        <v>0</v>
      </c>
      <c r="AA2055" s="25">
        <f>ROUND(IF(AO2055="1",BG2055,0),2)</f>
        <v>0</v>
      </c>
      <c r="AB2055" s="25">
        <f>ROUND(IF(AO2055="7",BF2055,0),2)</f>
        <v>0</v>
      </c>
      <c r="AC2055" s="25">
        <f>ROUND(IF(AO2055="7",BG2055,0),2)</f>
        <v>0</v>
      </c>
      <c r="AD2055" s="25">
        <f>ROUND(IF(AO2055="2",BF2055,0),2)</f>
        <v>0</v>
      </c>
      <c r="AE2055" s="25">
        <f>ROUND(IF(AO2055="2",BG2055,0),2)</f>
        <v>0</v>
      </c>
      <c r="AF2055" s="25">
        <f>ROUND(IF(AO2055="0",BH2055,0),2)</f>
        <v>0</v>
      </c>
      <c r="AG2055" s="10" t="s">
        <v>2333</v>
      </c>
      <c r="AH2055" s="25">
        <f>IF(AL2055=0,K2055,0)</f>
        <v>0</v>
      </c>
      <c r="AI2055" s="25">
        <f>IF(AL2055=12,K2055,0)</f>
        <v>0</v>
      </c>
      <c r="AJ2055" s="25">
        <f>IF(AL2055=21,K2055,0)</f>
        <v>0</v>
      </c>
      <c r="AL2055" s="25">
        <v>21</v>
      </c>
      <c r="AM2055" s="25">
        <f>H2055*0.732464433</f>
        <v>0</v>
      </c>
      <c r="AN2055" s="25">
        <f>H2055*(1-0.732464433)</f>
        <v>0</v>
      </c>
      <c r="AO2055" s="27" t="s">
        <v>61</v>
      </c>
      <c r="AT2055" s="25">
        <f>ROUND(AU2055+AV2055,2)</f>
        <v>0</v>
      </c>
      <c r="AU2055" s="25">
        <f>ROUND(G2055*AM2055,2)</f>
        <v>0</v>
      </c>
      <c r="AV2055" s="25">
        <f>ROUND(G2055*AN2055,2)</f>
        <v>0</v>
      </c>
      <c r="AW2055" s="27" t="s">
        <v>2472</v>
      </c>
      <c r="AX2055" s="27" t="s">
        <v>2473</v>
      </c>
      <c r="AY2055" s="10" t="s">
        <v>2341</v>
      </c>
      <c r="BA2055" s="25">
        <f>AU2055+AV2055</f>
        <v>0</v>
      </c>
      <c r="BB2055" s="25">
        <f>H2055/(100-BC2055)*100</f>
        <v>0</v>
      </c>
      <c r="BC2055" s="25">
        <v>0</v>
      </c>
      <c r="BD2055" s="25">
        <f>M2055</f>
        <v>0</v>
      </c>
      <c r="BF2055" s="25">
        <f>G2055*AM2055</f>
        <v>0</v>
      </c>
      <c r="BG2055" s="25">
        <f>G2055*AN2055</f>
        <v>0</v>
      </c>
      <c r="BH2055" s="25">
        <f>G2055*H2055</f>
        <v>0</v>
      </c>
      <c r="BI2055" s="27" t="s">
        <v>65</v>
      </c>
      <c r="BJ2055" s="25">
        <v>728</v>
      </c>
      <c r="BU2055" s="25" t="e">
        <f>#REF!</f>
        <v>#REF!</v>
      </c>
      <c r="BV2055" s="4" t="s">
        <v>2479</v>
      </c>
    </row>
    <row r="2056" spans="1:74" ht="14.4" x14ac:dyDescent="0.3">
      <c r="A2056" s="28"/>
      <c r="D2056" s="29" t="s">
        <v>145</v>
      </c>
      <c r="E2056" s="29" t="s">
        <v>52</v>
      </c>
      <c r="G2056" s="30">
        <v>12</v>
      </c>
      <c r="H2056" s="63"/>
      <c r="N2056" s="31"/>
    </row>
    <row r="2057" spans="1:74" ht="26.4" x14ac:dyDescent="0.3">
      <c r="A2057" s="2" t="s">
        <v>2480</v>
      </c>
      <c r="B2057" s="3" t="s">
        <v>2333</v>
      </c>
      <c r="C2057" s="3" t="s">
        <v>2481</v>
      </c>
      <c r="D2057" s="112" t="s">
        <v>2482</v>
      </c>
      <c r="E2057" s="109"/>
      <c r="F2057" s="3" t="s">
        <v>115</v>
      </c>
      <c r="G2057" s="25">
        <v>5</v>
      </c>
      <c r="H2057" s="62"/>
      <c r="I2057" s="25">
        <f>ROUND(G2057*AM2057,2)</f>
        <v>0</v>
      </c>
      <c r="J2057" s="25">
        <f>ROUND(G2057*AN2057,2)</f>
        <v>0</v>
      </c>
      <c r="K2057" s="25">
        <f>ROUND(G2057*H2057,2)</f>
        <v>0</v>
      </c>
      <c r="L2057" s="25">
        <v>0</v>
      </c>
      <c r="M2057" s="25">
        <f>G2057*L2057</f>
        <v>0</v>
      </c>
      <c r="N2057" s="102"/>
      <c r="X2057" s="25">
        <f>ROUND(IF(AO2057="5",BH2057,0),2)</f>
        <v>0</v>
      </c>
      <c r="Z2057" s="25">
        <f>ROUND(IF(AO2057="1",BF2057,0),2)</f>
        <v>0</v>
      </c>
      <c r="AA2057" s="25">
        <f>ROUND(IF(AO2057="1",BG2057,0),2)</f>
        <v>0</v>
      </c>
      <c r="AB2057" s="25">
        <f>ROUND(IF(AO2057="7",BF2057,0),2)</f>
        <v>0</v>
      </c>
      <c r="AC2057" s="25">
        <f>ROUND(IF(AO2057="7",BG2057,0),2)</f>
        <v>0</v>
      </c>
      <c r="AD2057" s="25">
        <f>ROUND(IF(AO2057="2",BF2057,0),2)</f>
        <v>0</v>
      </c>
      <c r="AE2057" s="25">
        <f>ROUND(IF(AO2057="2",BG2057,0),2)</f>
        <v>0</v>
      </c>
      <c r="AF2057" s="25">
        <f>ROUND(IF(AO2057="0",BH2057,0),2)</f>
        <v>0</v>
      </c>
      <c r="AG2057" s="10" t="s">
        <v>2333</v>
      </c>
      <c r="AH2057" s="25">
        <f>IF(AL2057=0,K2057,0)</f>
        <v>0</v>
      </c>
      <c r="AI2057" s="25">
        <f>IF(AL2057=12,K2057,0)</f>
        <v>0</v>
      </c>
      <c r="AJ2057" s="25">
        <f>IF(AL2057=21,K2057,0)</f>
        <v>0</v>
      </c>
      <c r="AL2057" s="25">
        <v>21</v>
      </c>
      <c r="AM2057" s="25">
        <f>H2057*0.729225148</f>
        <v>0</v>
      </c>
      <c r="AN2057" s="25">
        <f>H2057*(1-0.729225148)</f>
        <v>0</v>
      </c>
      <c r="AO2057" s="27" t="s">
        <v>61</v>
      </c>
      <c r="AT2057" s="25">
        <f>ROUND(AU2057+AV2057,2)</f>
        <v>0</v>
      </c>
      <c r="AU2057" s="25">
        <f>ROUND(G2057*AM2057,2)</f>
        <v>0</v>
      </c>
      <c r="AV2057" s="25">
        <f>ROUND(G2057*AN2057,2)</f>
        <v>0</v>
      </c>
      <c r="AW2057" s="27" t="s">
        <v>2472</v>
      </c>
      <c r="AX2057" s="27" t="s">
        <v>2473</v>
      </c>
      <c r="AY2057" s="10" t="s">
        <v>2341</v>
      </c>
      <c r="BA2057" s="25">
        <f>AU2057+AV2057</f>
        <v>0</v>
      </c>
      <c r="BB2057" s="25">
        <f>H2057/(100-BC2057)*100</f>
        <v>0</v>
      </c>
      <c r="BC2057" s="25">
        <v>0</v>
      </c>
      <c r="BD2057" s="25">
        <f>M2057</f>
        <v>0</v>
      </c>
      <c r="BF2057" s="25">
        <f>G2057*AM2057</f>
        <v>0</v>
      </c>
      <c r="BG2057" s="25">
        <f>G2057*AN2057</f>
        <v>0</v>
      </c>
      <c r="BH2057" s="25">
        <f>G2057*H2057</f>
        <v>0</v>
      </c>
      <c r="BI2057" s="27" t="s">
        <v>65</v>
      </c>
      <c r="BJ2057" s="25">
        <v>728</v>
      </c>
      <c r="BU2057" s="25" t="e">
        <f>#REF!</f>
        <v>#REF!</v>
      </c>
      <c r="BV2057" s="4" t="s">
        <v>2482</v>
      </c>
    </row>
    <row r="2058" spans="1:74" ht="14.4" x14ac:dyDescent="0.3">
      <c r="A2058" s="28"/>
      <c r="D2058" s="29" t="s">
        <v>97</v>
      </c>
      <c r="E2058" s="29" t="s">
        <v>52</v>
      </c>
      <c r="G2058" s="30">
        <v>5</v>
      </c>
      <c r="H2058" s="63"/>
      <c r="N2058" s="31"/>
    </row>
    <row r="2059" spans="1:74" ht="26.4" x14ac:dyDescent="0.3">
      <c r="A2059" s="2" t="s">
        <v>2483</v>
      </c>
      <c r="B2059" s="3" t="s">
        <v>2333</v>
      </c>
      <c r="C2059" s="3" t="s">
        <v>2484</v>
      </c>
      <c r="D2059" s="112" t="s">
        <v>2485</v>
      </c>
      <c r="E2059" s="109"/>
      <c r="F2059" s="3" t="s">
        <v>115</v>
      </c>
      <c r="G2059" s="25">
        <v>27</v>
      </c>
      <c r="H2059" s="62"/>
      <c r="I2059" s="25">
        <f>ROUND(G2059*AM2059,2)</f>
        <v>0</v>
      </c>
      <c r="J2059" s="25">
        <f>ROUND(G2059*AN2059,2)</f>
        <v>0</v>
      </c>
      <c r="K2059" s="25">
        <f>ROUND(G2059*H2059,2)</f>
        <v>0</v>
      </c>
      <c r="L2059" s="25">
        <v>0</v>
      </c>
      <c r="M2059" s="25">
        <f>G2059*L2059</f>
        <v>0</v>
      </c>
      <c r="N2059" s="102"/>
      <c r="X2059" s="25">
        <f>ROUND(IF(AO2059="5",BH2059,0),2)</f>
        <v>0</v>
      </c>
      <c r="Z2059" s="25">
        <f>ROUND(IF(AO2059="1",BF2059,0),2)</f>
        <v>0</v>
      </c>
      <c r="AA2059" s="25">
        <f>ROUND(IF(AO2059="1",BG2059,0),2)</f>
        <v>0</v>
      </c>
      <c r="AB2059" s="25">
        <f>ROUND(IF(AO2059="7",BF2059,0),2)</f>
        <v>0</v>
      </c>
      <c r="AC2059" s="25">
        <f>ROUND(IF(AO2059="7",BG2059,0),2)</f>
        <v>0</v>
      </c>
      <c r="AD2059" s="25">
        <f>ROUND(IF(AO2059="2",BF2059,0),2)</f>
        <v>0</v>
      </c>
      <c r="AE2059" s="25">
        <f>ROUND(IF(AO2059="2",BG2059,0),2)</f>
        <v>0</v>
      </c>
      <c r="AF2059" s="25">
        <f>ROUND(IF(AO2059="0",BH2059,0),2)</f>
        <v>0</v>
      </c>
      <c r="AG2059" s="10" t="s">
        <v>2333</v>
      </c>
      <c r="AH2059" s="25">
        <f>IF(AL2059=0,K2059,0)</f>
        <v>0</v>
      </c>
      <c r="AI2059" s="25">
        <f>IF(AL2059=12,K2059,0)</f>
        <v>0</v>
      </c>
      <c r="AJ2059" s="25">
        <f>IF(AL2059=21,K2059,0)</f>
        <v>0</v>
      </c>
      <c r="AL2059" s="25">
        <v>21</v>
      </c>
      <c r="AM2059" s="25">
        <f>H2059*0.731015173</f>
        <v>0</v>
      </c>
      <c r="AN2059" s="25">
        <f>H2059*(1-0.731015173)</f>
        <v>0</v>
      </c>
      <c r="AO2059" s="27" t="s">
        <v>61</v>
      </c>
      <c r="AT2059" s="25">
        <f>ROUND(AU2059+AV2059,2)</f>
        <v>0</v>
      </c>
      <c r="AU2059" s="25">
        <f>ROUND(G2059*AM2059,2)</f>
        <v>0</v>
      </c>
      <c r="AV2059" s="25">
        <f>ROUND(G2059*AN2059,2)</f>
        <v>0</v>
      </c>
      <c r="AW2059" s="27" t="s">
        <v>2472</v>
      </c>
      <c r="AX2059" s="27" t="s">
        <v>2473</v>
      </c>
      <c r="AY2059" s="10" t="s">
        <v>2341</v>
      </c>
      <c r="BA2059" s="25">
        <f>AU2059+AV2059</f>
        <v>0</v>
      </c>
      <c r="BB2059" s="25">
        <f>H2059/(100-BC2059)*100</f>
        <v>0</v>
      </c>
      <c r="BC2059" s="25">
        <v>0</v>
      </c>
      <c r="BD2059" s="25">
        <f>M2059</f>
        <v>0</v>
      </c>
      <c r="BF2059" s="25">
        <f>G2059*AM2059</f>
        <v>0</v>
      </c>
      <c r="BG2059" s="25">
        <f>G2059*AN2059</f>
        <v>0</v>
      </c>
      <c r="BH2059" s="25">
        <f>G2059*H2059</f>
        <v>0</v>
      </c>
      <c r="BI2059" s="27" t="s">
        <v>65</v>
      </c>
      <c r="BJ2059" s="25">
        <v>728</v>
      </c>
      <c r="BU2059" s="25" t="e">
        <f>#REF!</f>
        <v>#REF!</v>
      </c>
      <c r="BV2059" s="4" t="s">
        <v>2485</v>
      </c>
    </row>
    <row r="2060" spans="1:74" ht="14.4" x14ac:dyDescent="0.3">
      <c r="A2060" s="28"/>
      <c r="D2060" s="29" t="s">
        <v>258</v>
      </c>
      <c r="E2060" s="29" t="s">
        <v>52</v>
      </c>
      <c r="G2060" s="30">
        <v>27</v>
      </c>
      <c r="H2060" s="63"/>
      <c r="N2060" s="31"/>
    </row>
    <row r="2061" spans="1:74" ht="14.4" x14ac:dyDescent="0.3">
      <c r="A2061" s="2" t="s">
        <v>2486</v>
      </c>
      <c r="B2061" s="3" t="s">
        <v>2333</v>
      </c>
      <c r="C2061" s="3" t="s">
        <v>2487</v>
      </c>
      <c r="D2061" s="112" t="s">
        <v>2488</v>
      </c>
      <c r="E2061" s="109"/>
      <c r="F2061" s="3" t="s">
        <v>115</v>
      </c>
      <c r="G2061" s="25">
        <v>111</v>
      </c>
      <c r="H2061" s="62"/>
      <c r="I2061" s="25">
        <f>ROUND(G2061*AM2061,2)</f>
        <v>0</v>
      </c>
      <c r="J2061" s="25">
        <f>ROUND(G2061*AN2061,2)</f>
        <v>0</v>
      </c>
      <c r="K2061" s="25">
        <f>ROUND(G2061*H2061,2)</f>
        <v>0</v>
      </c>
      <c r="L2061" s="25">
        <v>0</v>
      </c>
      <c r="M2061" s="25">
        <f>G2061*L2061</f>
        <v>0</v>
      </c>
      <c r="N2061" s="26"/>
      <c r="X2061" s="25">
        <f>ROUND(IF(AO2061="5",BH2061,0),2)</f>
        <v>0</v>
      </c>
      <c r="Z2061" s="25">
        <f>ROUND(IF(AO2061="1",BF2061,0),2)</f>
        <v>0</v>
      </c>
      <c r="AA2061" s="25">
        <f>ROUND(IF(AO2061="1",BG2061,0),2)</f>
        <v>0</v>
      </c>
      <c r="AB2061" s="25">
        <f>ROUND(IF(AO2061="7",BF2061,0),2)</f>
        <v>0</v>
      </c>
      <c r="AC2061" s="25">
        <f>ROUND(IF(AO2061="7",BG2061,0),2)</f>
        <v>0</v>
      </c>
      <c r="AD2061" s="25">
        <f>ROUND(IF(AO2061="2",BF2061,0),2)</f>
        <v>0</v>
      </c>
      <c r="AE2061" s="25">
        <f>ROUND(IF(AO2061="2",BG2061,0),2)</f>
        <v>0</v>
      </c>
      <c r="AF2061" s="25">
        <f>ROUND(IF(AO2061="0",BH2061,0),2)</f>
        <v>0</v>
      </c>
      <c r="AG2061" s="10" t="s">
        <v>2333</v>
      </c>
      <c r="AH2061" s="25">
        <f>IF(AL2061=0,K2061,0)</f>
        <v>0</v>
      </c>
      <c r="AI2061" s="25">
        <f>IF(AL2061=12,K2061,0)</f>
        <v>0</v>
      </c>
      <c r="AJ2061" s="25">
        <f>IF(AL2061=21,K2061,0)</f>
        <v>0</v>
      </c>
      <c r="AL2061" s="25">
        <v>21</v>
      </c>
      <c r="AM2061" s="25">
        <f>H2061*0</f>
        <v>0</v>
      </c>
      <c r="AN2061" s="25">
        <f>H2061*(1-0)</f>
        <v>0</v>
      </c>
      <c r="AO2061" s="27" t="s">
        <v>61</v>
      </c>
      <c r="AT2061" s="25">
        <f>ROUND(AU2061+AV2061,2)</f>
        <v>0</v>
      </c>
      <c r="AU2061" s="25">
        <f>ROUND(G2061*AM2061,2)</f>
        <v>0</v>
      </c>
      <c r="AV2061" s="25">
        <f>ROUND(G2061*AN2061,2)</f>
        <v>0</v>
      </c>
      <c r="AW2061" s="27" t="s">
        <v>2472</v>
      </c>
      <c r="AX2061" s="27" t="s">
        <v>2473</v>
      </c>
      <c r="AY2061" s="10" t="s">
        <v>2341</v>
      </c>
      <c r="BA2061" s="25">
        <f>AU2061+AV2061</f>
        <v>0</v>
      </c>
      <c r="BB2061" s="25">
        <f>H2061/(100-BC2061)*100</f>
        <v>0</v>
      </c>
      <c r="BC2061" s="25">
        <v>0</v>
      </c>
      <c r="BD2061" s="25">
        <f>M2061</f>
        <v>0</v>
      </c>
      <c r="BF2061" s="25">
        <f>G2061*AM2061</f>
        <v>0</v>
      </c>
      <c r="BG2061" s="25">
        <f>G2061*AN2061</f>
        <v>0</v>
      </c>
      <c r="BH2061" s="25">
        <f>G2061*H2061</f>
        <v>0</v>
      </c>
      <c r="BI2061" s="27" t="s">
        <v>65</v>
      </c>
      <c r="BJ2061" s="25">
        <v>728</v>
      </c>
      <c r="BU2061" s="25" t="e">
        <f>#REF!</f>
        <v>#REF!</v>
      </c>
      <c r="BV2061" s="4" t="s">
        <v>2488</v>
      </c>
    </row>
    <row r="2062" spans="1:74" ht="14.4" x14ac:dyDescent="0.3">
      <c r="A2062" s="28"/>
      <c r="D2062" s="29" t="s">
        <v>658</v>
      </c>
      <c r="E2062" s="29" t="s">
        <v>52</v>
      </c>
      <c r="G2062" s="30">
        <v>111</v>
      </c>
      <c r="H2062" s="63"/>
      <c r="N2062" s="31"/>
    </row>
    <row r="2063" spans="1:74" ht="14.4" x14ac:dyDescent="0.3">
      <c r="A2063" s="2" t="s">
        <v>2489</v>
      </c>
      <c r="B2063" s="3" t="s">
        <v>2333</v>
      </c>
      <c r="C2063" s="3" t="s">
        <v>2490</v>
      </c>
      <c r="D2063" s="112" t="s">
        <v>2491</v>
      </c>
      <c r="E2063" s="109"/>
      <c r="F2063" s="3" t="s">
        <v>115</v>
      </c>
      <c r="G2063" s="25">
        <v>20</v>
      </c>
      <c r="H2063" s="62"/>
      <c r="I2063" s="25">
        <f>ROUND(G2063*AM2063,2)</f>
        <v>0</v>
      </c>
      <c r="J2063" s="25">
        <f>ROUND(G2063*AN2063,2)</f>
        <v>0</v>
      </c>
      <c r="K2063" s="25">
        <f>ROUND(G2063*H2063,2)</f>
        <v>0</v>
      </c>
      <c r="L2063" s="25">
        <v>0</v>
      </c>
      <c r="M2063" s="25">
        <f>G2063*L2063</f>
        <v>0</v>
      </c>
      <c r="N2063" s="26"/>
      <c r="X2063" s="25">
        <f>ROUND(IF(AO2063="5",BH2063,0),2)</f>
        <v>0</v>
      </c>
      <c r="Z2063" s="25">
        <f>ROUND(IF(AO2063="1",BF2063,0),2)</f>
        <v>0</v>
      </c>
      <c r="AA2063" s="25">
        <f>ROUND(IF(AO2063="1",BG2063,0),2)</f>
        <v>0</v>
      </c>
      <c r="AB2063" s="25">
        <f>ROUND(IF(AO2063="7",BF2063,0),2)</f>
        <v>0</v>
      </c>
      <c r="AC2063" s="25">
        <f>ROUND(IF(AO2063="7",BG2063,0),2)</f>
        <v>0</v>
      </c>
      <c r="AD2063" s="25">
        <f>ROUND(IF(AO2063="2",BF2063,0),2)</f>
        <v>0</v>
      </c>
      <c r="AE2063" s="25">
        <f>ROUND(IF(AO2063="2",BG2063,0),2)</f>
        <v>0</v>
      </c>
      <c r="AF2063" s="25">
        <f>ROUND(IF(AO2063="0",BH2063,0),2)</f>
        <v>0</v>
      </c>
      <c r="AG2063" s="10" t="s">
        <v>2333</v>
      </c>
      <c r="AH2063" s="25">
        <f>IF(AL2063=0,K2063,0)</f>
        <v>0</v>
      </c>
      <c r="AI2063" s="25">
        <f>IF(AL2063=12,K2063,0)</f>
        <v>0</v>
      </c>
      <c r="AJ2063" s="25">
        <f>IF(AL2063=21,K2063,0)</f>
        <v>0</v>
      </c>
      <c r="AL2063" s="25">
        <v>21</v>
      </c>
      <c r="AM2063" s="25">
        <f>H2063*0</f>
        <v>0</v>
      </c>
      <c r="AN2063" s="25">
        <f>H2063*(1-0)</f>
        <v>0</v>
      </c>
      <c r="AO2063" s="27" t="s">
        <v>61</v>
      </c>
      <c r="AT2063" s="25">
        <f>ROUND(AU2063+AV2063,2)</f>
        <v>0</v>
      </c>
      <c r="AU2063" s="25">
        <f>ROUND(G2063*AM2063,2)</f>
        <v>0</v>
      </c>
      <c r="AV2063" s="25">
        <f>ROUND(G2063*AN2063,2)</f>
        <v>0</v>
      </c>
      <c r="AW2063" s="27" t="s">
        <v>2472</v>
      </c>
      <c r="AX2063" s="27" t="s">
        <v>2473</v>
      </c>
      <c r="AY2063" s="10" t="s">
        <v>2341</v>
      </c>
      <c r="BA2063" s="25">
        <f>AU2063+AV2063</f>
        <v>0</v>
      </c>
      <c r="BB2063" s="25">
        <f>H2063/(100-BC2063)*100</f>
        <v>0</v>
      </c>
      <c r="BC2063" s="25">
        <v>0</v>
      </c>
      <c r="BD2063" s="25">
        <f>M2063</f>
        <v>0</v>
      </c>
      <c r="BF2063" s="25">
        <f>G2063*AM2063</f>
        <v>0</v>
      </c>
      <c r="BG2063" s="25">
        <f>G2063*AN2063</f>
        <v>0</v>
      </c>
      <c r="BH2063" s="25">
        <f>G2063*H2063</f>
        <v>0</v>
      </c>
      <c r="BI2063" s="27" t="s">
        <v>65</v>
      </c>
      <c r="BJ2063" s="25">
        <v>728</v>
      </c>
      <c r="BU2063" s="25" t="e">
        <f>#REF!</f>
        <v>#REF!</v>
      </c>
      <c r="BV2063" s="4" t="s">
        <v>2491</v>
      </c>
    </row>
    <row r="2064" spans="1:74" ht="14.4" x14ac:dyDescent="0.3">
      <c r="A2064" s="2" t="s">
        <v>2492</v>
      </c>
      <c r="B2064" s="3" t="s">
        <v>2333</v>
      </c>
      <c r="C2064" s="3" t="s">
        <v>2493</v>
      </c>
      <c r="D2064" s="112" t="s">
        <v>2494</v>
      </c>
      <c r="E2064" s="109"/>
      <c r="F2064" s="3" t="s">
        <v>115</v>
      </c>
      <c r="G2064" s="25">
        <v>28</v>
      </c>
      <c r="H2064" s="62"/>
      <c r="I2064" s="25">
        <f>ROUND(G2064*AM2064,2)</f>
        <v>0</v>
      </c>
      <c r="J2064" s="25">
        <f>ROUND(G2064*AN2064,2)</f>
        <v>0</v>
      </c>
      <c r="K2064" s="25">
        <f>ROUND(G2064*H2064,2)</f>
        <v>0</v>
      </c>
      <c r="L2064" s="25">
        <v>0</v>
      </c>
      <c r="M2064" s="25">
        <f>G2064*L2064</f>
        <v>0</v>
      </c>
      <c r="N2064" s="26"/>
      <c r="X2064" s="25">
        <f>ROUND(IF(AO2064="5",BH2064,0),2)</f>
        <v>0</v>
      </c>
      <c r="Z2064" s="25">
        <f>ROUND(IF(AO2064="1",BF2064,0),2)</f>
        <v>0</v>
      </c>
      <c r="AA2064" s="25">
        <f>ROUND(IF(AO2064="1",BG2064,0),2)</f>
        <v>0</v>
      </c>
      <c r="AB2064" s="25">
        <f>ROUND(IF(AO2064="7",BF2064,0),2)</f>
        <v>0</v>
      </c>
      <c r="AC2064" s="25">
        <f>ROUND(IF(AO2064="7",BG2064,0),2)</f>
        <v>0</v>
      </c>
      <c r="AD2064" s="25">
        <f>ROUND(IF(AO2064="2",BF2064,0),2)</f>
        <v>0</v>
      </c>
      <c r="AE2064" s="25">
        <f>ROUND(IF(AO2064="2",BG2064,0),2)</f>
        <v>0</v>
      </c>
      <c r="AF2064" s="25">
        <f>ROUND(IF(AO2064="0",BH2064,0),2)</f>
        <v>0</v>
      </c>
      <c r="AG2064" s="10" t="s">
        <v>2333</v>
      </c>
      <c r="AH2064" s="25">
        <f>IF(AL2064=0,K2064,0)</f>
        <v>0</v>
      </c>
      <c r="AI2064" s="25">
        <f>IF(AL2064=12,K2064,0)</f>
        <v>0</v>
      </c>
      <c r="AJ2064" s="25">
        <f>IF(AL2064=21,K2064,0)</f>
        <v>0</v>
      </c>
      <c r="AL2064" s="25">
        <v>21</v>
      </c>
      <c r="AM2064" s="25">
        <f>H2064*0</f>
        <v>0</v>
      </c>
      <c r="AN2064" s="25">
        <f>H2064*(1-0)</f>
        <v>0</v>
      </c>
      <c r="AO2064" s="27" t="s">
        <v>61</v>
      </c>
      <c r="AT2064" s="25">
        <f>ROUND(AU2064+AV2064,2)</f>
        <v>0</v>
      </c>
      <c r="AU2064" s="25">
        <f>ROUND(G2064*AM2064,2)</f>
        <v>0</v>
      </c>
      <c r="AV2064" s="25">
        <f>ROUND(G2064*AN2064,2)</f>
        <v>0</v>
      </c>
      <c r="AW2064" s="27" t="s">
        <v>2472</v>
      </c>
      <c r="AX2064" s="27" t="s">
        <v>2473</v>
      </c>
      <c r="AY2064" s="10" t="s">
        <v>2341</v>
      </c>
      <c r="BA2064" s="25">
        <f>AU2064+AV2064</f>
        <v>0</v>
      </c>
      <c r="BB2064" s="25">
        <f>H2064/(100-BC2064)*100</f>
        <v>0</v>
      </c>
      <c r="BC2064" s="25">
        <v>0</v>
      </c>
      <c r="BD2064" s="25">
        <f>M2064</f>
        <v>0</v>
      </c>
      <c r="BF2064" s="25">
        <f>G2064*AM2064</f>
        <v>0</v>
      </c>
      <c r="BG2064" s="25">
        <f>G2064*AN2064</f>
        <v>0</v>
      </c>
      <c r="BH2064" s="25">
        <f>G2064*H2064</f>
        <v>0</v>
      </c>
      <c r="BI2064" s="27" t="s">
        <v>65</v>
      </c>
      <c r="BJ2064" s="25">
        <v>728</v>
      </c>
      <c r="BU2064" s="25" t="e">
        <f>#REF!</f>
        <v>#REF!</v>
      </c>
      <c r="BV2064" s="4" t="s">
        <v>2494</v>
      </c>
    </row>
    <row r="2065" spans="1:74" ht="14.4" x14ac:dyDescent="0.3">
      <c r="A2065" s="28"/>
      <c r="D2065" s="29" t="s">
        <v>261</v>
      </c>
      <c r="E2065" s="29" t="s">
        <v>52</v>
      </c>
      <c r="G2065" s="30">
        <v>28</v>
      </c>
      <c r="H2065" s="63"/>
      <c r="N2065" s="31"/>
    </row>
    <row r="2066" spans="1:74" ht="14.4" x14ac:dyDescent="0.3">
      <c r="A2066" s="2" t="s">
        <v>2495</v>
      </c>
      <c r="B2066" s="3" t="s">
        <v>2333</v>
      </c>
      <c r="C2066" s="3" t="s">
        <v>2496</v>
      </c>
      <c r="D2066" s="112" t="s">
        <v>2497</v>
      </c>
      <c r="E2066" s="109"/>
      <c r="F2066" s="3" t="s">
        <v>115</v>
      </c>
      <c r="G2066" s="25">
        <v>3</v>
      </c>
      <c r="H2066" s="62"/>
      <c r="I2066" s="25">
        <f>ROUND(G2066*AM2066,2)</f>
        <v>0</v>
      </c>
      <c r="J2066" s="25">
        <f>ROUND(G2066*AN2066,2)</f>
        <v>0</v>
      </c>
      <c r="K2066" s="25">
        <f>ROUND(G2066*H2066,2)</f>
        <v>0</v>
      </c>
      <c r="L2066" s="25">
        <v>0</v>
      </c>
      <c r="M2066" s="25">
        <f>G2066*L2066</f>
        <v>0</v>
      </c>
      <c r="N2066" s="26"/>
      <c r="X2066" s="25">
        <f>ROUND(IF(AO2066="5",BH2066,0),2)</f>
        <v>0</v>
      </c>
      <c r="Z2066" s="25">
        <f>ROUND(IF(AO2066="1",BF2066,0),2)</f>
        <v>0</v>
      </c>
      <c r="AA2066" s="25">
        <f>ROUND(IF(AO2066="1",BG2066,0),2)</f>
        <v>0</v>
      </c>
      <c r="AB2066" s="25">
        <f>ROUND(IF(AO2066="7",BF2066,0),2)</f>
        <v>0</v>
      </c>
      <c r="AC2066" s="25">
        <f>ROUND(IF(AO2066="7",BG2066,0),2)</f>
        <v>0</v>
      </c>
      <c r="AD2066" s="25">
        <f>ROUND(IF(AO2066="2",BF2066,0),2)</f>
        <v>0</v>
      </c>
      <c r="AE2066" s="25">
        <f>ROUND(IF(AO2066="2",BG2066,0),2)</f>
        <v>0</v>
      </c>
      <c r="AF2066" s="25">
        <f>ROUND(IF(AO2066="0",BH2066,0),2)</f>
        <v>0</v>
      </c>
      <c r="AG2066" s="10" t="s">
        <v>2333</v>
      </c>
      <c r="AH2066" s="25">
        <f>IF(AL2066=0,K2066,0)</f>
        <v>0</v>
      </c>
      <c r="AI2066" s="25">
        <f>IF(AL2066=12,K2066,0)</f>
        <v>0</v>
      </c>
      <c r="AJ2066" s="25">
        <f>IF(AL2066=21,K2066,0)</f>
        <v>0</v>
      </c>
      <c r="AL2066" s="25">
        <v>21</v>
      </c>
      <c r="AM2066" s="25">
        <f>H2066*0</f>
        <v>0</v>
      </c>
      <c r="AN2066" s="25">
        <f>H2066*(1-0)</f>
        <v>0</v>
      </c>
      <c r="AO2066" s="27" t="s">
        <v>61</v>
      </c>
      <c r="AT2066" s="25">
        <f>ROUND(AU2066+AV2066,2)</f>
        <v>0</v>
      </c>
      <c r="AU2066" s="25">
        <f>ROUND(G2066*AM2066,2)</f>
        <v>0</v>
      </c>
      <c r="AV2066" s="25">
        <f>ROUND(G2066*AN2066,2)</f>
        <v>0</v>
      </c>
      <c r="AW2066" s="27" t="s">
        <v>2472</v>
      </c>
      <c r="AX2066" s="27" t="s">
        <v>2473</v>
      </c>
      <c r="AY2066" s="10" t="s">
        <v>2341</v>
      </c>
      <c r="BA2066" s="25">
        <f>AU2066+AV2066</f>
        <v>0</v>
      </c>
      <c r="BB2066" s="25">
        <f>H2066/(100-BC2066)*100</f>
        <v>0</v>
      </c>
      <c r="BC2066" s="25">
        <v>0</v>
      </c>
      <c r="BD2066" s="25">
        <f>M2066</f>
        <v>0</v>
      </c>
      <c r="BF2066" s="25">
        <f>G2066*AM2066</f>
        <v>0</v>
      </c>
      <c r="BG2066" s="25">
        <f>G2066*AN2066</f>
        <v>0</v>
      </c>
      <c r="BH2066" s="25">
        <f>G2066*H2066</f>
        <v>0</v>
      </c>
      <c r="BI2066" s="27" t="s">
        <v>65</v>
      </c>
      <c r="BJ2066" s="25">
        <v>728</v>
      </c>
      <c r="BU2066" s="25" t="e">
        <f>#REF!</f>
        <v>#REF!</v>
      </c>
      <c r="BV2066" s="4" t="s">
        <v>2497</v>
      </c>
    </row>
    <row r="2067" spans="1:74" ht="14.4" x14ac:dyDescent="0.3">
      <c r="A2067" s="28"/>
      <c r="D2067" s="29" t="s">
        <v>87</v>
      </c>
      <c r="E2067" s="29" t="s">
        <v>52</v>
      </c>
      <c r="G2067" s="30">
        <v>3</v>
      </c>
      <c r="H2067" s="63"/>
      <c r="N2067" s="31"/>
    </row>
    <row r="2068" spans="1:74" ht="14.4" x14ac:dyDescent="0.3">
      <c r="A2068" s="2" t="s">
        <v>2498</v>
      </c>
      <c r="B2068" s="3" t="s">
        <v>2333</v>
      </c>
      <c r="C2068" s="3" t="s">
        <v>2499</v>
      </c>
      <c r="D2068" s="112" t="s">
        <v>2500</v>
      </c>
      <c r="E2068" s="109"/>
      <c r="F2068" s="3" t="s">
        <v>115</v>
      </c>
      <c r="G2068" s="25">
        <v>8</v>
      </c>
      <c r="H2068" s="62"/>
      <c r="I2068" s="25">
        <f>ROUND(G2068*AM2068,2)</f>
        <v>0</v>
      </c>
      <c r="J2068" s="25">
        <f>ROUND(G2068*AN2068,2)</f>
        <v>0</v>
      </c>
      <c r="K2068" s="25">
        <f>ROUND(G2068*H2068,2)</f>
        <v>0</v>
      </c>
      <c r="L2068" s="25">
        <v>3.8000000000000002E-4</v>
      </c>
      <c r="M2068" s="25">
        <f>G2068*L2068</f>
        <v>3.0400000000000002E-3</v>
      </c>
      <c r="N2068" s="26"/>
      <c r="X2068" s="25">
        <f>ROUND(IF(AO2068="5",BH2068,0),2)</f>
        <v>0</v>
      </c>
      <c r="Z2068" s="25">
        <f>ROUND(IF(AO2068="1",BF2068,0),2)</f>
        <v>0</v>
      </c>
      <c r="AA2068" s="25">
        <f>ROUND(IF(AO2068="1",BG2068,0),2)</f>
        <v>0</v>
      </c>
      <c r="AB2068" s="25">
        <f>ROUND(IF(AO2068="7",BF2068,0),2)</f>
        <v>0</v>
      </c>
      <c r="AC2068" s="25">
        <f>ROUND(IF(AO2068="7",BG2068,0),2)</f>
        <v>0</v>
      </c>
      <c r="AD2068" s="25">
        <f>ROUND(IF(AO2068="2",BF2068,0),2)</f>
        <v>0</v>
      </c>
      <c r="AE2068" s="25">
        <f>ROUND(IF(AO2068="2",BG2068,0),2)</f>
        <v>0</v>
      </c>
      <c r="AF2068" s="25">
        <f>ROUND(IF(AO2068="0",BH2068,0),2)</f>
        <v>0</v>
      </c>
      <c r="AG2068" s="10" t="s">
        <v>2333</v>
      </c>
      <c r="AH2068" s="25">
        <f>IF(AL2068=0,K2068,0)</f>
        <v>0</v>
      </c>
      <c r="AI2068" s="25">
        <f>IF(AL2068=12,K2068,0)</f>
        <v>0</v>
      </c>
      <c r="AJ2068" s="25">
        <f>IF(AL2068=21,K2068,0)</f>
        <v>0</v>
      </c>
      <c r="AL2068" s="25">
        <v>21</v>
      </c>
      <c r="AM2068" s="25">
        <f>H2068*0.185665833</f>
        <v>0</v>
      </c>
      <c r="AN2068" s="25">
        <f>H2068*(1-0.185665833)</f>
        <v>0</v>
      </c>
      <c r="AO2068" s="27" t="s">
        <v>61</v>
      </c>
      <c r="AT2068" s="25">
        <f>ROUND(AU2068+AV2068,2)</f>
        <v>0</v>
      </c>
      <c r="AU2068" s="25">
        <f>ROUND(G2068*AM2068,2)</f>
        <v>0</v>
      </c>
      <c r="AV2068" s="25">
        <f>ROUND(G2068*AN2068,2)</f>
        <v>0</v>
      </c>
      <c r="AW2068" s="27" t="s">
        <v>2472</v>
      </c>
      <c r="AX2068" s="27" t="s">
        <v>2473</v>
      </c>
      <c r="AY2068" s="10" t="s">
        <v>2341</v>
      </c>
      <c r="BA2068" s="25">
        <f>AU2068+AV2068</f>
        <v>0</v>
      </c>
      <c r="BB2068" s="25">
        <f>H2068/(100-BC2068)*100</f>
        <v>0</v>
      </c>
      <c r="BC2068" s="25">
        <v>0</v>
      </c>
      <c r="BD2068" s="25">
        <f>M2068</f>
        <v>3.0400000000000002E-3</v>
      </c>
      <c r="BF2068" s="25">
        <f>G2068*AM2068</f>
        <v>0</v>
      </c>
      <c r="BG2068" s="25">
        <f>G2068*AN2068</f>
        <v>0</v>
      </c>
      <c r="BH2068" s="25">
        <f>G2068*H2068</f>
        <v>0</v>
      </c>
      <c r="BI2068" s="27" t="s">
        <v>65</v>
      </c>
      <c r="BJ2068" s="25">
        <v>728</v>
      </c>
      <c r="BU2068" s="25" t="e">
        <f>#REF!</f>
        <v>#REF!</v>
      </c>
      <c r="BV2068" s="4" t="s">
        <v>2500</v>
      </c>
    </row>
    <row r="2069" spans="1:74" ht="14.4" x14ac:dyDescent="0.3">
      <c r="A2069" s="28"/>
      <c r="D2069" s="29" t="s">
        <v>2501</v>
      </c>
      <c r="E2069" s="29" t="s">
        <v>52</v>
      </c>
      <c r="G2069" s="30">
        <v>8</v>
      </c>
      <c r="H2069" s="63"/>
      <c r="N2069" s="31"/>
    </row>
    <row r="2070" spans="1:74" ht="14.4" x14ac:dyDescent="0.3">
      <c r="A2070" s="2" t="s">
        <v>2502</v>
      </c>
      <c r="B2070" s="3" t="s">
        <v>2333</v>
      </c>
      <c r="C2070" s="3" t="s">
        <v>2503</v>
      </c>
      <c r="D2070" s="112" t="s">
        <v>2504</v>
      </c>
      <c r="E2070" s="109"/>
      <c r="F2070" s="3" t="s">
        <v>115</v>
      </c>
      <c r="G2070" s="25">
        <v>5.5</v>
      </c>
      <c r="H2070" s="62"/>
      <c r="I2070" s="25">
        <f>ROUND(G2070*AM2070,2)</f>
        <v>0</v>
      </c>
      <c r="J2070" s="25">
        <f>ROUND(G2070*AN2070,2)</f>
        <v>0</v>
      </c>
      <c r="K2070" s="25">
        <f>ROUND(G2070*H2070,2)</f>
        <v>0</v>
      </c>
      <c r="L2070" s="25">
        <v>3.8999999999999999E-4</v>
      </c>
      <c r="M2070" s="25">
        <f>G2070*L2070</f>
        <v>2.1449999999999998E-3</v>
      </c>
      <c r="N2070" s="26"/>
      <c r="X2070" s="25">
        <f>ROUND(IF(AO2070="5",BH2070,0),2)</f>
        <v>0</v>
      </c>
      <c r="Z2070" s="25">
        <f>ROUND(IF(AO2070="1",BF2070,0),2)</f>
        <v>0</v>
      </c>
      <c r="AA2070" s="25">
        <f>ROUND(IF(AO2070="1",BG2070,0),2)</f>
        <v>0</v>
      </c>
      <c r="AB2070" s="25">
        <f>ROUND(IF(AO2070="7",BF2070,0),2)</f>
        <v>0</v>
      </c>
      <c r="AC2070" s="25">
        <f>ROUND(IF(AO2070="7",BG2070,0),2)</f>
        <v>0</v>
      </c>
      <c r="AD2070" s="25">
        <f>ROUND(IF(AO2070="2",BF2070,0),2)</f>
        <v>0</v>
      </c>
      <c r="AE2070" s="25">
        <f>ROUND(IF(AO2070="2",BG2070,0),2)</f>
        <v>0</v>
      </c>
      <c r="AF2070" s="25">
        <f>ROUND(IF(AO2070="0",BH2070,0),2)</f>
        <v>0</v>
      </c>
      <c r="AG2070" s="10" t="s">
        <v>2333</v>
      </c>
      <c r="AH2070" s="25">
        <f>IF(AL2070=0,K2070,0)</f>
        <v>0</v>
      </c>
      <c r="AI2070" s="25">
        <f>IF(AL2070=12,K2070,0)</f>
        <v>0</v>
      </c>
      <c r="AJ2070" s="25">
        <f>IF(AL2070=21,K2070,0)</f>
        <v>0</v>
      </c>
      <c r="AL2070" s="25">
        <v>21</v>
      </c>
      <c r="AM2070" s="25">
        <f>H2070*0.322357455</f>
        <v>0</v>
      </c>
      <c r="AN2070" s="25">
        <f>H2070*(1-0.322357455)</f>
        <v>0</v>
      </c>
      <c r="AO2070" s="27" t="s">
        <v>61</v>
      </c>
      <c r="AT2070" s="25">
        <f>ROUND(AU2070+AV2070,2)</f>
        <v>0</v>
      </c>
      <c r="AU2070" s="25">
        <f>ROUND(G2070*AM2070,2)</f>
        <v>0</v>
      </c>
      <c r="AV2070" s="25">
        <f>ROUND(G2070*AN2070,2)</f>
        <v>0</v>
      </c>
      <c r="AW2070" s="27" t="s">
        <v>2472</v>
      </c>
      <c r="AX2070" s="27" t="s">
        <v>2473</v>
      </c>
      <c r="AY2070" s="10" t="s">
        <v>2341</v>
      </c>
      <c r="BA2070" s="25">
        <f>AU2070+AV2070</f>
        <v>0</v>
      </c>
      <c r="BB2070" s="25">
        <f>H2070/(100-BC2070)*100</f>
        <v>0</v>
      </c>
      <c r="BC2070" s="25">
        <v>0</v>
      </c>
      <c r="BD2070" s="25">
        <f>M2070</f>
        <v>2.1449999999999998E-3</v>
      </c>
      <c r="BF2070" s="25">
        <f>G2070*AM2070</f>
        <v>0</v>
      </c>
      <c r="BG2070" s="25">
        <f>G2070*AN2070</f>
        <v>0</v>
      </c>
      <c r="BH2070" s="25">
        <f>G2070*H2070</f>
        <v>0</v>
      </c>
      <c r="BI2070" s="27" t="s">
        <v>65</v>
      </c>
      <c r="BJ2070" s="25">
        <v>728</v>
      </c>
      <c r="BU2070" s="25" t="e">
        <f>#REF!</f>
        <v>#REF!</v>
      </c>
      <c r="BV2070" s="4" t="s">
        <v>2504</v>
      </c>
    </row>
    <row r="2071" spans="1:74" ht="14.4" x14ac:dyDescent="0.3">
      <c r="A2071" s="28"/>
      <c r="D2071" s="29" t="s">
        <v>73</v>
      </c>
      <c r="E2071" s="29" t="s">
        <v>52</v>
      </c>
      <c r="G2071" s="30">
        <v>5.5</v>
      </c>
      <c r="H2071" s="63"/>
      <c r="N2071" s="31"/>
    </row>
    <row r="2072" spans="1:74" ht="14.4" x14ac:dyDescent="0.3">
      <c r="A2072" s="2" t="s">
        <v>2505</v>
      </c>
      <c r="B2072" s="3" t="s">
        <v>2333</v>
      </c>
      <c r="C2072" s="3" t="s">
        <v>2506</v>
      </c>
      <c r="D2072" s="112" t="s">
        <v>2507</v>
      </c>
      <c r="E2072" s="109"/>
      <c r="F2072" s="3" t="s">
        <v>122</v>
      </c>
      <c r="G2072" s="25">
        <v>10</v>
      </c>
      <c r="H2072" s="62"/>
      <c r="I2072" s="25">
        <f>ROUND(G2072*AM2072,2)</f>
        <v>0</v>
      </c>
      <c r="J2072" s="25">
        <f>ROUND(G2072*AN2072,2)</f>
        <v>0</v>
      </c>
      <c r="K2072" s="25">
        <f>ROUND(G2072*H2072,2)</f>
        <v>0</v>
      </c>
      <c r="L2072" s="25">
        <v>0</v>
      </c>
      <c r="M2072" s="25">
        <f>G2072*L2072</f>
        <v>0</v>
      </c>
      <c r="N2072" s="26"/>
      <c r="X2072" s="25">
        <f>ROUND(IF(AO2072="5",BH2072,0),2)</f>
        <v>0</v>
      </c>
      <c r="Z2072" s="25">
        <f>ROUND(IF(AO2072="1",BF2072,0),2)</f>
        <v>0</v>
      </c>
      <c r="AA2072" s="25">
        <f>ROUND(IF(AO2072="1",BG2072,0),2)</f>
        <v>0</v>
      </c>
      <c r="AB2072" s="25">
        <f>ROUND(IF(AO2072="7",BF2072,0),2)</f>
        <v>0</v>
      </c>
      <c r="AC2072" s="25">
        <f>ROUND(IF(AO2072="7",BG2072,0),2)</f>
        <v>0</v>
      </c>
      <c r="AD2072" s="25">
        <f>ROUND(IF(AO2072="2",BF2072,0),2)</f>
        <v>0</v>
      </c>
      <c r="AE2072" s="25">
        <f>ROUND(IF(AO2072="2",BG2072,0),2)</f>
        <v>0</v>
      </c>
      <c r="AF2072" s="25">
        <f>ROUND(IF(AO2072="0",BH2072,0),2)</f>
        <v>0</v>
      </c>
      <c r="AG2072" s="10" t="s">
        <v>2333</v>
      </c>
      <c r="AH2072" s="25">
        <f>IF(AL2072=0,K2072,0)</f>
        <v>0</v>
      </c>
      <c r="AI2072" s="25">
        <f>IF(AL2072=12,K2072,0)</f>
        <v>0</v>
      </c>
      <c r="AJ2072" s="25">
        <f>IF(AL2072=21,K2072,0)</f>
        <v>0</v>
      </c>
      <c r="AL2072" s="25">
        <v>21</v>
      </c>
      <c r="AM2072" s="25">
        <f>H2072*0</f>
        <v>0</v>
      </c>
      <c r="AN2072" s="25">
        <f>H2072*(1-0)</f>
        <v>0</v>
      </c>
      <c r="AO2072" s="27" t="s">
        <v>61</v>
      </c>
      <c r="AT2072" s="25">
        <f>ROUND(AU2072+AV2072,2)</f>
        <v>0</v>
      </c>
      <c r="AU2072" s="25">
        <f>ROUND(G2072*AM2072,2)</f>
        <v>0</v>
      </c>
      <c r="AV2072" s="25">
        <f>ROUND(G2072*AN2072,2)</f>
        <v>0</v>
      </c>
      <c r="AW2072" s="27" t="s">
        <v>2472</v>
      </c>
      <c r="AX2072" s="27" t="s">
        <v>2473</v>
      </c>
      <c r="AY2072" s="10" t="s">
        <v>2341</v>
      </c>
      <c r="BA2072" s="25">
        <f>AU2072+AV2072</f>
        <v>0</v>
      </c>
      <c r="BB2072" s="25">
        <f>H2072/(100-BC2072)*100</f>
        <v>0</v>
      </c>
      <c r="BC2072" s="25">
        <v>0</v>
      </c>
      <c r="BD2072" s="25">
        <f>M2072</f>
        <v>0</v>
      </c>
      <c r="BF2072" s="25">
        <f>G2072*AM2072</f>
        <v>0</v>
      </c>
      <c r="BG2072" s="25">
        <f>G2072*AN2072</f>
        <v>0</v>
      </c>
      <c r="BH2072" s="25">
        <f>G2072*H2072</f>
        <v>0</v>
      </c>
      <c r="BI2072" s="27" t="s">
        <v>65</v>
      </c>
      <c r="BJ2072" s="25">
        <v>728</v>
      </c>
      <c r="BU2072" s="25" t="e">
        <f>#REF!</f>
        <v>#REF!</v>
      </c>
      <c r="BV2072" s="4" t="s">
        <v>2507</v>
      </c>
    </row>
    <row r="2073" spans="1:74" ht="14.4" x14ac:dyDescent="0.3">
      <c r="A2073" s="2" t="s">
        <v>2508</v>
      </c>
      <c r="B2073" s="3" t="s">
        <v>2333</v>
      </c>
      <c r="C2073" s="3" t="s">
        <v>2509</v>
      </c>
      <c r="D2073" s="112" t="s">
        <v>2510</v>
      </c>
      <c r="E2073" s="109"/>
      <c r="F2073" s="3" t="s">
        <v>115</v>
      </c>
      <c r="G2073" s="25">
        <v>5.5</v>
      </c>
      <c r="H2073" s="62"/>
      <c r="I2073" s="25">
        <f>ROUND(G2073*AM2073,2)</f>
        <v>0</v>
      </c>
      <c r="J2073" s="25">
        <f>ROUND(G2073*AN2073,2)</f>
        <v>0</v>
      </c>
      <c r="K2073" s="25">
        <f>ROUND(G2073*H2073,2)</f>
        <v>0</v>
      </c>
      <c r="L2073" s="25">
        <v>3.1800000000000001E-3</v>
      </c>
      <c r="M2073" s="25">
        <f>G2073*L2073</f>
        <v>1.7490000000000002E-2</v>
      </c>
      <c r="N2073" s="102"/>
      <c r="X2073" s="25">
        <f>ROUND(IF(AO2073="5",BH2073,0),2)</f>
        <v>0</v>
      </c>
      <c r="Z2073" s="25">
        <f>ROUND(IF(AO2073="1",BF2073,0),2)</f>
        <v>0</v>
      </c>
      <c r="AA2073" s="25">
        <f>ROUND(IF(AO2073="1",BG2073,0),2)</f>
        <v>0</v>
      </c>
      <c r="AB2073" s="25">
        <f>ROUND(IF(AO2073="7",BF2073,0),2)</f>
        <v>0</v>
      </c>
      <c r="AC2073" s="25">
        <f>ROUND(IF(AO2073="7",BG2073,0),2)</f>
        <v>0</v>
      </c>
      <c r="AD2073" s="25">
        <f>ROUND(IF(AO2073="2",BF2073,0),2)</f>
        <v>0</v>
      </c>
      <c r="AE2073" s="25">
        <f>ROUND(IF(AO2073="2",BG2073,0),2)</f>
        <v>0</v>
      </c>
      <c r="AF2073" s="25">
        <f>ROUND(IF(AO2073="0",BH2073,0),2)</f>
        <v>0</v>
      </c>
      <c r="AG2073" s="10" t="s">
        <v>2333</v>
      </c>
      <c r="AH2073" s="25">
        <f>IF(AL2073=0,K2073,0)</f>
        <v>0</v>
      </c>
      <c r="AI2073" s="25">
        <f>IF(AL2073=12,K2073,0)</f>
        <v>0</v>
      </c>
      <c r="AJ2073" s="25">
        <f>IF(AL2073=21,K2073,0)</f>
        <v>0</v>
      </c>
      <c r="AL2073" s="25">
        <v>21</v>
      </c>
      <c r="AM2073" s="25">
        <f>H2073*1</f>
        <v>0</v>
      </c>
      <c r="AN2073" s="25">
        <f>H2073*(1-1)</f>
        <v>0</v>
      </c>
      <c r="AO2073" s="27" t="s">
        <v>61</v>
      </c>
      <c r="AT2073" s="25">
        <f>ROUND(AU2073+AV2073,2)</f>
        <v>0</v>
      </c>
      <c r="AU2073" s="25">
        <f>ROUND(G2073*AM2073,2)</f>
        <v>0</v>
      </c>
      <c r="AV2073" s="25">
        <f>ROUND(G2073*AN2073,2)</f>
        <v>0</v>
      </c>
      <c r="AW2073" s="27" t="s">
        <v>2472</v>
      </c>
      <c r="AX2073" s="27" t="s">
        <v>2473</v>
      </c>
      <c r="AY2073" s="10" t="s">
        <v>2341</v>
      </c>
      <c r="BA2073" s="25">
        <f>AU2073+AV2073</f>
        <v>0</v>
      </c>
      <c r="BB2073" s="25">
        <f>H2073/(100-BC2073)*100</f>
        <v>0</v>
      </c>
      <c r="BC2073" s="25">
        <v>0</v>
      </c>
      <c r="BD2073" s="25">
        <f>M2073</f>
        <v>1.7490000000000002E-2</v>
      </c>
      <c r="BF2073" s="25">
        <f>G2073*AM2073</f>
        <v>0</v>
      </c>
      <c r="BG2073" s="25">
        <f>G2073*AN2073</f>
        <v>0</v>
      </c>
      <c r="BH2073" s="25">
        <f>G2073*H2073</f>
        <v>0</v>
      </c>
      <c r="BI2073" s="27" t="s">
        <v>576</v>
      </c>
      <c r="BJ2073" s="25">
        <v>728</v>
      </c>
      <c r="BU2073" s="25" t="e">
        <f>#REF!</f>
        <v>#REF!</v>
      </c>
      <c r="BV2073" s="4" t="s">
        <v>2510</v>
      </c>
    </row>
    <row r="2074" spans="1:74" ht="14.4" x14ac:dyDescent="0.3">
      <c r="A2074" s="28"/>
      <c r="D2074" s="29" t="s">
        <v>73</v>
      </c>
      <c r="E2074" s="29" t="s">
        <v>52</v>
      </c>
      <c r="G2074" s="30">
        <v>5.5</v>
      </c>
      <c r="H2074" s="63"/>
      <c r="N2074" s="31"/>
    </row>
    <row r="2075" spans="1:74" ht="14.4" x14ac:dyDescent="0.3">
      <c r="A2075" s="2" t="s">
        <v>2511</v>
      </c>
      <c r="B2075" s="3" t="s">
        <v>2333</v>
      </c>
      <c r="C2075" s="3" t="s">
        <v>2512</v>
      </c>
      <c r="D2075" s="112" t="s">
        <v>2513</v>
      </c>
      <c r="E2075" s="109"/>
      <c r="F2075" s="3" t="s">
        <v>115</v>
      </c>
      <c r="G2075" s="25">
        <v>2</v>
      </c>
      <c r="H2075" s="62"/>
      <c r="I2075" s="25">
        <f>ROUND(G2075*AM2075,2)</f>
        <v>0</v>
      </c>
      <c r="J2075" s="25">
        <f>ROUND(G2075*AN2075,2)</f>
        <v>0</v>
      </c>
      <c r="K2075" s="25">
        <f>ROUND(G2075*H2075,2)</f>
        <v>0</v>
      </c>
      <c r="L2075" s="25">
        <v>3.1800000000000001E-3</v>
      </c>
      <c r="M2075" s="25">
        <f>G2075*L2075</f>
        <v>6.3600000000000002E-3</v>
      </c>
      <c r="N2075" s="102"/>
      <c r="X2075" s="25">
        <f>ROUND(IF(AO2075="5",BH2075,0),2)</f>
        <v>0</v>
      </c>
      <c r="Z2075" s="25">
        <f>ROUND(IF(AO2075="1",BF2075,0),2)</f>
        <v>0</v>
      </c>
      <c r="AA2075" s="25">
        <f>ROUND(IF(AO2075="1",BG2075,0),2)</f>
        <v>0</v>
      </c>
      <c r="AB2075" s="25">
        <f>ROUND(IF(AO2075="7",BF2075,0),2)</f>
        <v>0</v>
      </c>
      <c r="AC2075" s="25">
        <f>ROUND(IF(AO2075="7",BG2075,0),2)</f>
        <v>0</v>
      </c>
      <c r="AD2075" s="25">
        <f>ROUND(IF(AO2075="2",BF2075,0),2)</f>
        <v>0</v>
      </c>
      <c r="AE2075" s="25">
        <f>ROUND(IF(AO2075="2",BG2075,0),2)</f>
        <v>0</v>
      </c>
      <c r="AF2075" s="25">
        <f>ROUND(IF(AO2075="0",BH2075,0),2)</f>
        <v>0</v>
      </c>
      <c r="AG2075" s="10" t="s">
        <v>2333</v>
      </c>
      <c r="AH2075" s="25">
        <f>IF(AL2075=0,K2075,0)</f>
        <v>0</v>
      </c>
      <c r="AI2075" s="25">
        <f>IF(AL2075=12,K2075,0)</f>
        <v>0</v>
      </c>
      <c r="AJ2075" s="25">
        <f>IF(AL2075=21,K2075,0)</f>
        <v>0</v>
      </c>
      <c r="AL2075" s="25">
        <v>21</v>
      </c>
      <c r="AM2075" s="25">
        <f>H2075*1</f>
        <v>0</v>
      </c>
      <c r="AN2075" s="25">
        <f>H2075*(1-1)</f>
        <v>0</v>
      </c>
      <c r="AO2075" s="27" t="s">
        <v>61</v>
      </c>
      <c r="AT2075" s="25">
        <f>ROUND(AU2075+AV2075,2)</f>
        <v>0</v>
      </c>
      <c r="AU2075" s="25">
        <f>ROUND(G2075*AM2075,2)</f>
        <v>0</v>
      </c>
      <c r="AV2075" s="25">
        <f>ROUND(G2075*AN2075,2)</f>
        <v>0</v>
      </c>
      <c r="AW2075" s="27" t="s">
        <v>2472</v>
      </c>
      <c r="AX2075" s="27" t="s">
        <v>2473</v>
      </c>
      <c r="AY2075" s="10" t="s">
        <v>2341</v>
      </c>
      <c r="BA2075" s="25">
        <f>AU2075+AV2075</f>
        <v>0</v>
      </c>
      <c r="BB2075" s="25">
        <f>H2075/(100-BC2075)*100</f>
        <v>0</v>
      </c>
      <c r="BC2075" s="25">
        <v>0</v>
      </c>
      <c r="BD2075" s="25">
        <f>M2075</f>
        <v>6.3600000000000002E-3</v>
      </c>
      <c r="BF2075" s="25">
        <f>G2075*AM2075</f>
        <v>0</v>
      </c>
      <c r="BG2075" s="25">
        <f>G2075*AN2075</f>
        <v>0</v>
      </c>
      <c r="BH2075" s="25">
        <f>G2075*H2075</f>
        <v>0</v>
      </c>
      <c r="BI2075" s="27" t="s">
        <v>576</v>
      </c>
      <c r="BJ2075" s="25">
        <v>728</v>
      </c>
      <c r="BU2075" s="25" t="e">
        <f>#REF!</f>
        <v>#REF!</v>
      </c>
      <c r="BV2075" s="4" t="s">
        <v>2513</v>
      </c>
    </row>
    <row r="2076" spans="1:74" ht="14.4" x14ac:dyDescent="0.3">
      <c r="A2076" s="28"/>
      <c r="D2076" s="29" t="s">
        <v>81</v>
      </c>
      <c r="E2076" s="29" t="s">
        <v>52</v>
      </c>
      <c r="G2076" s="30">
        <v>2</v>
      </c>
      <c r="H2076" s="63"/>
      <c r="N2076" s="31"/>
    </row>
    <row r="2077" spans="1:74" ht="14.4" x14ac:dyDescent="0.3">
      <c r="A2077" s="2" t="s">
        <v>2514</v>
      </c>
      <c r="B2077" s="3" t="s">
        <v>2333</v>
      </c>
      <c r="C2077" s="3" t="s">
        <v>2079</v>
      </c>
      <c r="D2077" s="112" t="s">
        <v>2515</v>
      </c>
      <c r="E2077" s="109"/>
      <c r="F2077" s="3" t="s">
        <v>115</v>
      </c>
      <c r="G2077" s="25">
        <v>6</v>
      </c>
      <c r="H2077" s="62"/>
      <c r="I2077" s="25">
        <f>ROUND(G2077*AM2077,2)</f>
        <v>0</v>
      </c>
      <c r="J2077" s="25">
        <f>ROUND(G2077*AN2077,2)</f>
        <v>0</v>
      </c>
      <c r="K2077" s="25">
        <f>ROUND(G2077*H2077,2)</f>
        <v>0</v>
      </c>
      <c r="L2077" s="25">
        <v>3.1800000000000001E-3</v>
      </c>
      <c r="M2077" s="25">
        <f>G2077*L2077</f>
        <v>1.908E-2</v>
      </c>
      <c r="N2077" s="102"/>
      <c r="X2077" s="25">
        <f>ROUND(IF(AO2077="5",BH2077,0),2)</f>
        <v>0</v>
      </c>
      <c r="Z2077" s="25">
        <f>ROUND(IF(AO2077="1",BF2077,0),2)</f>
        <v>0</v>
      </c>
      <c r="AA2077" s="25">
        <f>ROUND(IF(AO2077="1",BG2077,0),2)</f>
        <v>0</v>
      </c>
      <c r="AB2077" s="25">
        <f>ROUND(IF(AO2077="7",BF2077,0),2)</f>
        <v>0</v>
      </c>
      <c r="AC2077" s="25">
        <f>ROUND(IF(AO2077="7",BG2077,0),2)</f>
        <v>0</v>
      </c>
      <c r="AD2077" s="25">
        <f>ROUND(IF(AO2077="2",BF2077,0),2)</f>
        <v>0</v>
      </c>
      <c r="AE2077" s="25">
        <f>ROUND(IF(AO2077="2",BG2077,0),2)</f>
        <v>0</v>
      </c>
      <c r="AF2077" s="25">
        <f>ROUND(IF(AO2077="0",BH2077,0),2)</f>
        <v>0</v>
      </c>
      <c r="AG2077" s="10" t="s">
        <v>2333</v>
      </c>
      <c r="AH2077" s="25">
        <f>IF(AL2077=0,K2077,0)</f>
        <v>0</v>
      </c>
      <c r="AI2077" s="25">
        <f>IF(AL2077=12,K2077,0)</f>
        <v>0</v>
      </c>
      <c r="AJ2077" s="25">
        <f>IF(AL2077=21,K2077,0)</f>
        <v>0</v>
      </c>
      <c r="AL2077" s="25">
        <v>21</v>
      </c>
      <c r="AM2077" s="25">
        <f>H2077*1</f>
        <v>0</v>
      </c>
      <c r="AN2077" s="25">
        <f>H2077*(1-1)</f>
        <v>0</v>
      </c>
      <c r="AO2077" s="27" t="s">
        <v>61</v>
      </c>
      <c r="AT2077" s="25">
        <f>ROUND(AU2077+AV2077,2)</f>
        <v>0</v>
      </c>
      <c r="AU2077" s="25">
        <f>ROUND(G2077*AM2077,2)</f>
        <v>0</v>
      </c>
      <c r="AV2077" s="25">
        <f>ROUND(G2077*AN2077,2)</f>
        <v>0</v>
      </c>
      <c r="AW2077" s="27" t="s">
        <v>2472</v>
      </c>
      <c r="AX2077" s="27" t="s">
        <v>2473</v>
      </c>
      <c r="AY2077" s="10" t="s">
        <v>2341</v>
      </c>
      <c r="BA2077" s="25">
        <f>AU2077+AV2077</f>
        <v>0</v>
      </c>
      <c r="BB2077" s="25">
        <f>H2077/(100-BC2077)*100</f>
        <v>0</v>
      </c>
      <c r="BC2077" s="25">
        <v>0</v>
      </c>
      <c r="BD2077" s="25">
        <f>M2077</f>
        <v>1.908E-2</v>
      </c>
      <c r="BF2077" s="25">
        <f>G2077*AM2077</f>
        <v>0</v>
      </c>
      <c r="BG2077" s="25">
        <f>G2077*AN2077</f>
        <v>0</v>
      </c>
      <c r="BH2077" s="25">
        <f>G2077*H2077</f>
        <v>0</v>
      </c>
      <c r="BI2077" s="27" t="s">
        <v>576</v>
      </c>
      <c r="BJ2077" s="25">
        <v>728</v>
      </c>
      <c r="BU2077" s="25" t="e">
        <f>#REF!</f>
        <v>#REF!</v>
      </c>
      <c r="BV2077" s="4" t="s">
        <v>2515</v>
      </c>
    </row>
    <row r="2078" spans="1:74" ht="14.4" x14ac:dyDescent="0.3">
      <c r="A2078" s="28"/>
      <c r="D2078" s="29" t="s">
        <v>106</v>
      </c>
      <c r="E2078" s="29" t="s">
        <v>52</v>
      </c>
      <c r="G2078" s="30">
        <v>6</v>
      </c>
      <c r="H2078" s="63"/>
      <c r="N2078" s="31"/>
    </row>
    <row r="2079" spans="1:74" ht="26.4" x14ac:dyDescent="0.3">
      <c r="A2079" s="2" t="s">
        <v>2516</v>
      </c>
      <c r="B2079" s="3" t="s">
        <v>2333</v>
      </c>
      <c r="C2079" s="3" t="s">
        <v>2517</v>
      </c>
      <c r="D2079" s="112" t="s">
        <v>2518</v>
      </c>
      <c r="E2079" s="109"/>
      <c r="F2079" s="3" t="s">
        <v>115</v>
      </c>
      <c r="G2079" s="25">
        <v>3</v>
      </c>
      <c r="H2079" s="62"/>
      <c r="I2079" s="25">
        <f>ROUND(G2079*AM2079,2)</f>
        <v>0</v>
      </c>
      <c r="J2079" s="25">
        <f>ROUND(G2079*AN2079,2)</f>
        <v>0</v>
      </c>
      <c r="K2079" s="25">
        <f>ROUND(G2079*H2079,2)</f>
        <v>0</v>
      </c>
      <c r="L2079" s="25">
        <v>1.1299999999999999E-2</v>
      </c>
      <c r="M2079" s="25">
        <f>G2079*L2079</f>
        <v>3.39E-2</v>
      </c>
      <c r="N2079" s="26"/>
      <c r="X2079" s="25">
        <f>ROUND(IF(AO2079="5",BH2079,0),2)</f>
        <v>0</v>
      </c>
      <c r="Z2079" s="25">
        <f>ROUND(IF(AO2079="1",BF2079,0),2)</f>
        <v>0</v>
      </c>
      <c r="AA2079" s="25">
        <f>ROUND(IF(AO2079="1",BG2079,0),2)</f>
        <v>0</v>
      </c>
      <c r="AB2079" s="25">
        <f>ROUND(IF(AO2079="7",BF2079,0),2)</f>
        <v>0</v>
      </c>
      <c r="AC2079" s="25">
        <f>ROUND(IF(AO2079="7",BG2079,0),2)</f>
        <v>0</v>
      </c>
      <c r="AD2079" s="25">
        <f>ROUND(IF(AO2079="2",BF2079,0),2)</f>
        <v>0</v>
      </c>
      <c r="AE2079" s="25">
        <f>ROUND(IF(AO2079="2",BG2079,0),2)</f>
        <v>0</v>
      </c>
      <c r="AF2079" s="25">
        <f>ROUND(IF(AO2079="0",BH2079,0),2)</f>
        <v>0</v>
      </c>
      <c r="AG2079" s="10" t="s">
        <v>2333</v>
      </c>
      <c r="AH2079" s="25">
        <f>IF(AL2079=0,K2079,0)</f>
        <v>0</v>
      </c>
      <c r="AI2079" s="25">
        <f>IF(AL2079=12,K2079,0)</f>
        <v>0</v>
      </c>
      <c r="AJ2079" s="25">
        <f>IF(AL2079=21,K2079,0)</f>
        <v>0</v>
      </c>
      <c r="AL2079" s="25">
        <v>21</v>
      </c>
      <c r="AM2079" s="25">
        <f>H2079*1</f>
        <v>0</v>
      </c>
      <c r="AN2079" s="25">
        <f>H2079*(1-1)</f>
        <v>0</v>
      </c>
      <c r="AO2079" s="27" t="s">
        <v>61</v>
      </c>
      <c r="AT2079" s="25">
        <f>ROUND(AU2079+AV2079,2)</f>
        <v>0</v>
      </c>
      <c r="AU2079" s="25">
        <f>ROUND(G2079*AM2079,2)</f>
        <v>0</v>
      </c>
      <c r="AV2079" s="25">
        <f>ROUND(G2079*AN2079,2)</f>
        <v>0</v>
      </c>
      <c r="AW2079" s="27" t="s">
        <v>2472</v>
      </c>
      <c r="AX2079" s="27" t="s">
        <v>2473</v>
      </c>
      <c r="AY2079" s="10" t="s">
        <v>2341</v>
      </c>
      <c r="BA2079" s="25">
        <f>AU2079+AV2079</f>
        <v>0</v>
      </c>
      <c r="BB2079" s="25">
        <f>H2079/(100-BC2079)*100</f>
        <v>0</v>
      </c>
      <c r="BC2079" s="25">
        <v>0</v>
      </c>
      <c r="BD2079" s="25">
        <f>M2079</f>
        <v>3.39E-2</v>
      </c>
      <c r="BF2079" s="25">
        <f>G2079*AM2079</f>
        <v>0</v>
      </c>
      <c r="BG2079" s="25">
        <f>G2079*AN2079</f>
        <v>0</v>
      </c>
      <c r="BH2079" s="25">
        <f>G2079*H2079</f>
        <v>0</v>
      </c>
      <c r="BI2079" s="27" t="s">
        <v>576</v>
      </c>
      <c r="BJ2079" s="25">
        <v>728</v>
      </c>
      <c r="BU2079" s="25" t="e">
        <f>#REF!</f>
        <v>#REF!</v>
      </c>
      <c r="BV2079" s="4" t="s">
        <v>2518</v>
      </c>
    </row>
    <row r="2080" spans="1:74" ht="14.4" x14ac:dyDescent="0.3">
      <c r="A2080" s="28"/>
      <c r="D2080" s="29" t="s">
        <v>87</v>
      </c>
      <c r="E2080" s="29" t="s">
        <v>52</v>
      </c>
      <c r="G2080" s="30">
        <v>3</v>
      </c>
      <c r="H2080" s="63"/>
      <c r="N2080" s="31"/>
    </row>
    <row r="2081" spans="1:74" ht="26.4" x14ac:dyDescent="0.3">
      <c r="A2081" s="2" t="s">
        <v>2519</v>
      </c>
      <c r="B2081" s="3" t="s">
        <v>2333</v>
      </c>
      <c r="C2081" s="3" t="s">
        <v>2520</v>
      </c>
      <c r="D2081" s="112" t="s">
        <v>2521</v>
      </c>
      <c r="E2081" s="109"/>
      <c r="F2081" s="3" t="s">
        <v>115</v>
      </c>
      <c r="G2081" s="25">
        <v>22</v>
      </c>
      <c r="H2081" s="62"/>
      <c r="I2081" s="25">
        <f>ROUND(G2081*AM2081,2)</f>
        <v>0</v>
      </c>
      <c r="J2081" s="25">
        <f>ROUND(G2081*AN2081,2)</f>
        <v>0</v>
      </c>
      <c r="K2081" s="25">
        <f>ROUND(G2081*H2081,2)</f>
        <v>0</v>
      </c>
      <c r="L2081" s="25">
        <v>6.7000000000000002E-3</v>
      </c>
      <c r="M2081" s="25">
        <f>G2081*L2081</f>
        <v>0.1474</v>
      </c>
      <c r="N2081" s="26"/>
      <c r="X2081" s="25">
        <f>ROUND(IF(AO2081="5",BH2081,0),2)</f>
        <v>0</v>
      </c>
      <c r="Z2081" s="25">
        <f>ROUND(IF(AO2081="1",BF2081,0),2)</f>
        <v>0</v>
      </c>
      <c r="AA2081" s="25">
        <f>ROUND(IF(AO2081="1",BG2081,0),2)</f>
        <v>0</v>
      </c>
      <c r="AB2081" s="25">
        <f>ROUND(IF(AO2081="7",BF2081,0),2)</f>
        <v>0</v>
      </c>
      <c r="AC2081" s="25">
        <f>ROUND(IF(AO2081="7",BG2081,0),2)</f>
        <v>0</v>
      </c>
      <c r="AD2081" s="25">
        <f>ROUND(IF(AO2081="2",BF2081,0),2)</f>
        <v>0</v>
      </c>
      <c r="AE2081" s="25">
        <f>ROUND(IF(AO2081="2",BG2081,0),2)</f>
        <v>0</v>
      </c>
      <c r="AF2081" s="25">
        <f>ROUND(IF(AO2081="0",BH2081,0),2)</f>
        <v>0</v>
      </c>
      <c r="AG2081" s="10" t="s">
        <v>2333</v>
      </c>
      <c r="AH2081" s="25">
        <f>IF(AL2081=0,K2081,0)</f>
        <v>0</v>
      </c>
      <c r="AI2081" s="25">
        <f>IF(AL2081=12,K2081,0)</f>
        <v>0</v>
      </c>
      <c r="AJ2081" s="25">
        <f>IF(AL2081=21,K2081,0)</f>
        <v>0</v>
      </c>
      <c r="AL2081" s="25">
        <v>21</v>
      </c>
      <c r="AM2081" s="25">
        <f>H2081*1</f>
        <v>0</v>
      </c>
      <c r="AN2081" s="25">
        <f>H2081*(1-1)</f>
        <v>0</v>
      </c>
      <c r="AO2081" s="27" t="s">
        <v>61</v>
      </c>
      <c r="AT2081" s="25">
        <f>ROUND(AU2081+AV2081,2)</f>
        <v>0</v>
      </c>
      <c r="AU2081" s="25">
        <f>ROUND(G2081*AM2081,2)</f>
        <v>0</v>
      </c>
      <c r="AV2081" s="25">
        <f>ROUND(G2081*AN2081,2)</f>
        <v>0</v>
      </c>
      <c r="AW2081" s="27" t="s">
        <v>2472</v>
      </c>
      <c r="AX2081" s="27" t="s">
        <v>2473</v>
      </c>
      <c r="AY2081" s="10" t="s">
        <v>2341</v>
      </c>
      <c r="BA2081" s="25">
        <f>AU2081+AV2081</f>
        <v>0</v>
      </c>
      <c r="BB2081" s="25">
        <f>H2081/(100-BC2081)*100</f>
        <v>0</v>
      </c>
      <c r="BC2081" s="25">
        <v>0</v>
      </c>
      <c r="BD2081" s="25">
        <f>M2081</f>
        <v>0.1474</v>
      </c>
      <c r="BF2081" s="25">
        <f>G2081*AM2081</f>
        <v>0</v>
      </c>
      <c r="BG2081" s="25">
        <f>G2081*AN2081</f>
        <v>0</v>
      </c>
      <c r="BH2081" s="25">
        <f>G2081*H2081</f>
        <v>0</v>
      </c>
      <c r="BI2081" s="27" t="s">
        <v>576</v>
      </c>
      <c r="BJ2081" s="25">
        <v>728</v>
      </c>
      <c r="BU2081" s="25" t="e">
        <f>#REF!</f>
        <v>#REF!</v>
      </c>
      <c r="BV2081" s="4" t="s">
        <v>2521</v>
      </c>
    </row>
    <row r="2082" spans="1:74" ht="14.4" x14ac:dyDescent="0.3">
      <c r="A2082" s="28"/>
      <c r="D2082" s="29" t="s">
        <v>219</v>
      </c>
      <c r="E2082" s="29" t="s">
        <v>52</v>
      </c>
      <c r="G2082" s="30">
        <v>22</v>
      </c>
      <c r="H2082" s="63"/>
      <c r="N2082" s="31"/>
    </row>
    <row r="2083" spans="1:74" ht="26.4" x14ac:dyDescent="0.3">
      <c r="A2083" s="2" t="s">
        <v>2522</v>
      </c>
      <c r="B2083" s="3" t="s">
        <v>2333</v>
      </c>
      <c r="C2083" s="3" t="s">
        <v>2523</v>
      </c>
      <c r="D2083" s="112" t="s">
        <v>2524</v>
      </c>
      <c r="E2083" s="109"/>
      <c r="F2083" s="3" t="s">
        <v>115</v>
      </c>
      <c r="G2083" s="25">
        <v>6</v>
      </c>
      <c r="H2083" s="62"/>
      <c r="I2083" s="25">
        <f>ROUND(G2083*AM2083,2)</f>
        <v>0</v>
      </c>
      <c r="J2083" s="25">
        <f>ROUND(G2083*AN2083,2)</f>
        <v>0</v>
      </c>
      <c r="K2083" s="25">
        <f>ROUND(G2083*H2083,2)</f>
        <v>0</v>
      </c>
      <c r="L2083" s="25">
        <v>5.3E-3</v>
      </c>
      <c r="M2083" s="25">
        <f>G2083*L2083</f>
        <v>3.1800000000000002E-2</v>
      </c>
      <c r="N2083" s="26"/>
      <c r="X2083" s="25">
        <f>ROUND(IF(AO2083="5",BH2083,0),2)</f>
        <v>0</v>
      </c>
      <c r="Z2083" s="25">
        <f>ROUND(IF(AO2083="1",BF2083,0),2)</f>
        <v>0</v>
      </c>
      <c r="AA2083" s="25">
        <f>ROUND(IF(AO2083="1",BG2083,0),2)</f>
        <v>0</v>
      </c>
      <c r="AB2083" s="25">
        <f>ROUND(IF(AO2083="7",BF2083,0),2)</f>
        <v>0</v>
      </c>
      <c r="AC2083" s="25">
        <f>ROUND(IF(AO2083="7",BG2083,0),2)</f>
        <v>0</v>
      </c>
      <c r="AD2083" s="25">
        <f>ROUND(IF(AO2083="2",BF2083,0),2)</f>
        <v>0</v>
      </c>
      <c r="AE2083" s="25">
        <f>ROUND(IF(AO2083="2",BG2083,0),2)</f>
        <v>0</v>
      </c>
      <c r="AF2083" s="25">
        <f>ROUND(IF(AO2083="0",BH2083,0),2)</f>
        <v>0</v>
      </c>
      <c r="AG2083" s="10" t="s">
        <v>2333</v>
      </c>
      <c r="AH2083" s="25">
        <f>IF(AL2083=0,K2083,0)</f>
        <v>0</v>
      </c>
      <c r="AI2083" s="25">
        <f>IF(AL2083=12,K2083,0)</f>
        <v>0</v>
      </c>
      <c r="AJ2083" s="25">
        <f>IF(AL2083=21,K2083,0)</f>
        <v>0</v>
      </c>
      <c r="AL2083" s="25">
        <v>21</v>
      </c>
      <c r="AM2083" s="25">
        <f>H2083*1</f>
        <v>0</v>
      </c>
      <c r="AN2083" s="25">
        <f>H2083*(1-1)</f>
        <v>0</v>
      </c>
      <c r="AO2083" s="27" t="s">
        <v>61</v>
      </c>
      <c r="AT2083" s="25">
        <f>ROUND(AU2083+AV2083,2)</f>
        <v>0</v>
      </c>
      <c r="AU2083" s="25">
        <f>ROUND(G2083*AM2083,2)</f>
        <v>0</v>
      </c>
      <c r="AV2083" s="25">
        <f>ROUND(G2083*AN2083,2)</f>
        <v>0</v>
      </c>
      <c r="AW2083" s="27" t="s">
        <v>2472</v>
      </c>
      <c r="AX2083" s="27" t="s">
        <v>2473</v>
      </c>
      <c r="AY2083" s="10" t="s">
        <v>2341</v>
      </c>
      <c r="BA2083" s="25">
        <f>AU2083+AV2083</f>
        <v>0</v>
      </c>
      <c r="BB2083" s="25">
        <f>H2083/(100-BC2083)*100</f>
        <v>0</v>
      </c>
      <c r="BC2083" s="25">
        <v>0</v>
      </c>
      <c r="BD2083" s="25">
        <f>M2083</f>
        <v>3.1800000000000002E-2</v>
      </c>
      <c r="BF2083" s="25">
        <f>G2083*AM2083</f>
        <v>0</v>
      </c>
      <c r="BG2083" s="25">
        <f>G2083*AN2083</f>
        <v>0</v>
      </c>
      <c r="BH2083" s="25">
        <f>G2083*H2083</f>
        <v>0</v>
      </c>
      <c r="BI2083" s="27" t="s">
        <v>576</v>
      </c>
      <c r="BJ2083" s="25">
        <v>728</v>
      </c>
      <c r="BU2083" s="25" t="e">
        <f>#REF!</f>
        <v>#REF!</v>
      </c>
      <c r="BV2083" s="4" t="s">
        <v>2524</v>
      </c>
    </row>
    <row r="2084" spans="1:74" ht="14.4" x14ac:dyDescent="0.3">
      <c r="A2084" s="28"/>
      <c r="D2084" s="29" t="s">
        <v>106</v>
      </c>
      <c r="E2084" s="29" t="s">
        <v>52</v>
      </c>
      <c r="G2084" s="30">
        <v>6</v>
      </c>
      <c r="H2084" s="63"/>
      <c r="N2084" s="31"/>
    </row>
    <row r="2085" spans="1:74" ht="26.4" x14ac:dyDescent="0.3">
      <c r="A2085" s="2" t="s">
        <v>2525</v>
      </c>
      <c r="B2085" s="3" t="s">
        <v>2333</v>
      </c>
      <c r="C2085" s="3" t="s">
        <v>2526</v>
      </c>
      <c r="D2085" s="112" t="s">
        <v>2527</v>
      </c>
      <c r="E2085" s="109"/>
      <c r="F2085" s="3" t="s">
        <v>115</v>
      </c>
      <c r="G2085" s="25">
        <v>4</v>
      </c>
      <c r="H2085" s="62"/>
      <c r="I2085" s="25">
        <f>ROUND(G2085*AM2085,2)</f>
        <v>0</v>
      </c>
      <c r="J2085" s="25">
        <f>ROUND(G2085*AN2085,2)</f>
        <v>0</v>
      </c>
      <c r="K2085" s="25">
        <f>ROUND(G2085*H2085,2)</f>
        <v>0</v>
      </c>
      <c r="L2085" s="25">
        <v>4.0000000000000001E-3</v>
      </c>
      <c r="M2085" s="25">
        <f>G2085*L2085</f>
        <v>1.6E-2</v>
      </c>
      <c r="N2085" s="26"/>
      <c r="X2085" s="25">
        <f>ROUND(IF(AO2085="5",BH2085,0),2)</f>
        <v>0</v>
      </c>
      <c r="Z2085" s="25">
        <f>ROUND(IF(AO2085="1",BF2085,0),2)</f>
        <v>0</v>
      </c>
      <c r="AA2085" s="25">
        <f>ROUND(IF(AO2085="1",BG2085,0),2)</f>
        <v>0</v>
      </c>
      <c r="AB2085" s="25">
        <f>ROUND(IF(AO2085="7",BF2085,0),2)</f>
        <v>0</v>
      </c>
      <c r="AC2085" s="25">
        <f>ROUND(IF(AO2085="7",BG2085,0),2)</f>
        <v>0</v>
      </c>
      <c r="AD2085" s="25">
        <f>ROUND(IF(AO2085="2",BF2085,0),2)</f>
        <v>0</v>
      </c>
      <c r="AE2085" s="25">
        <f>ROUND(IF(AO2085="2",BG2085,0),2)</f>
        <v>0</v>
      </c>
      <c r="AF2085" s="25">
        <f>ROUND(IF(AO2085="0",BH2085,0),2)</f>
        <v>0</v>
      </c>
      <c r="AG2085" s="10" t="s">
        <v>2333</v>
      </c>
      <c r="AH2085" s="25">
        <f>IF(AL2085=0,K2085,0)</f>
        <v>0</v>
      </c>
      <c r="AI2085" s="25">
        <f>IF(AL2085=12,K2085,0)</f>
        <v>0</v>
      </c>
      <c r="AJ2085" s="25">
        <f>IF(AL2085=21,K2085,0)</f>
        <v>0</v>
      </c>
      <c r="AL2085" s="25">
        <v>21</v>
      </c>
      <c r="AM2085" s="25">
        <f>H2085*1</f>
        <v>0</v>
      </c>
      <c r="AN2085" s="25">
        <f>H2085*(1-1)</f>
        <v>0</v>
      </c>
      <c r="AO2085" s="27" t="s">
        <v>61</v>
      </c>
      <c r="AT2085" s="25">
        <f>ROUND(AU2085+AV2085,2)</f>
        <v>0</v>
      </c>
      <c r="AU2085" s="25">
        <f>ROUND(G2085*AM2085,2)</f>
        <v>0</v>
      </c>
      <c r="AV2085" s="25">
        <f>ROUND(G2085*AN2085,2)</f>
        <v>0</v>
      </c>
      <c r="AW2085" s="27" t="s">
        <v>2472</v>
      </c>
      <c r="AX2085" s="27" t="s">
        <v>2473</v>
      </c>
      <c r="AY2085" s="10" t="s">
        <v>2341</v>
      </c>
      <c r="BA2085" s="25">
        <f>AU2085+AV2085</f>
        <v>0</v>
      </c>
      <c r="BB2085" s="25">
        <f>H2085/(100-BC2085)*100</f>
        <v>0</v>
      </c>
      <c r="BC2085" s="25">
        <v>0</v>
      </c>
      <c r="BD2085" s="25">
        <f>M2085</f>
        <v>1.6E-2</v>
      </c>
      <c r="BF2085" s="25">
        <f>G2085*AM2085</f>
        <v>0</v>
      </c>
      <c r="BG2085" s="25">
        <f>G2085*AN2085</f>
        <v>0</v>
      </c>
      <c r="BH2085" s="25">
        <f>G2085*H2085</f>
        <v>0</v>
      </c>
      <c r="BI2085" s="27" t="s">
        <v>576</v>
      </c>
      <c r="BJ2085" s="25">
        <v>728</v>
      </c>
      <c r="BU2085" s="25" t="e">
        <f>#REF!</f>
        <v>#REF!</v>
      </c>
      <c r="BV2085" s="4" t="s">
        <v>2527</v>
      </c>
    </row>
    <row r="2086" spans="1:74" ht="14.4" x14ac:dyDescent="0.3">
      <c r="A2086" s="28"/>
      <c r="D2086" s="29" t="s">
        <v>90</v>
      </c>
      <c r="E2086" s="29" t="s">
        <v>52</v>
      </c>
      <c r="G2086" s="30">
        <v>4</v>
      </c>
      <c r="H2086" s="63"/>
      <c r="N2086" s="31"/>
    </row>
    <row r="2087" spans="1:74" ht="26.4" x14ac:dyDescent="0.3">
      <c r="A2087" s="2" t="s">
        <v>2528</v>
      </c>
      <c r="B2087" s="3" t="s">
        <v>2333</v>
      </c>
      <c r="C2087" s="3" t="s">
        <v>2529</v>
      </c>
      <c r="D2087" s="112" t="s">
        <v>2530</v>
      </c>
      <c r="E2087" s="109"/>
      <c r="F2087" s="3" t="s">
        <v>115</v>
      </c>
      <c r="G2087" s="25">
        <v>10</v>
      </c>
      <c r="H2087" s="62"/>
      <c r="I2087" s="25">
        <f>ROUND(G2087*AM2087,2)</f>
        <v>0</v>
      </c>
      <c r="J2087" s="25">
        <f>ROUND(G2087*AN2087,2)</f>
        <v>0</v>
      </c>
      <c r="K2087" s="25">
        <f>ROUND(G2087*H2087,2)</f>
        <v>0</v>
      </c>
      <c r="L2087" s="25">
        <v>3.3E-3</v>
      </c>
      <c r="M2087" s="25">
        <f>G2087*L2087</f>
        <v>3.3000000000000002E-2</v>
      </c>
      <c r="N2087" s="26"/>
      <c r="X2087" s="25">
        <f>ROUND(IF(AO2087="5",BH2087,0),2)</f>
        <v>0</v>
      </c>
      <c r="Z2087" s="25">
        <f>ROUND(IF(AO2087="1",BF2087,0),2)</f>
        <v>0</v>
      </c>
      <c r="AA2087" s="25">
        <f>ROUND(IF(AO2087="1",BG2087,0),2)</f>
        <v>0</v>
      </c>
      <c r="AB2087" s="25">
        <f>ROUND(IF(AO2087="7",BF2087,0),2)</f>
        <v>0</v>
      </c>
      <c r="AC2087" s="25">
        <f>ROUND(IF(AO2087="7",BG2087,0),2)</f>
        <v>0</v>
      </c>
      <c r="AD2087" s="25">
        <f>ROUND(IF(AO2087="2",BF2087,0),2)</f>
        <v>0</v>
      </c>
      <c r="AE2087" s="25">
        <f>ROUND(IF(AO2087="2",BG2087,0),2)</f>
        <v>0</v>
      </c>
      <c r="AF2087" s="25">
        <f>ROUND(IF(AO2087="0",BH2087,0),2)</f>
        <v>0</v>
      </c>
      <c r="AG2087" s="10" t="s">
        <v>2333</v>
      </c>
      <c r="AH2087" s="25">
        <f>IF(AL2087=0,K2087,0)</f>
        <v>0</v>
      </c>
      <c r="AI2087" s="25">
        <f>IF(AL2087=12,K2087,0)</f>
        <v>0</v>
      </c>
      <c r="AJ2087" s="25">
        <f>IF(AL2087=21,K2087,0)</f>
        <v>0</v>
      </c>
      <c r="AL2087" s="25">
        <v>21</v>
      </c>
      <c r="AM2087" s="25">
        <f>H2087*1</f>
        <v>0</v>
      </c>
      <c r="AN2087" s="25">
        <f>H2087*(1-1)</f>
        <v>0</v>
      </c>
      <c r="AO2087" s="27" t="s">
        <v>61</v>
      </c>
      <c r="AT2087" s="25">
        <f>ROUND(AU2087+AV2087,2)</f>
        <v>0</v>
      </c>
      <c r="AU2087" s="25">
        <f>ROUND(G2087*AM2087,2)</f>
        <v>0</v>
      </c>
      <c r="AV2087" s="25">
        <f>ROUND(G2087*AN2087,2)</f>
        <v>0</v>
      </c>
      <c r="AW2087" s="27" t="s">
        <v>2472</v>
      </c>
      <c r="AX2087" s="27" t="s">
        <v>2473</v>
      </c>
      <c r="AY2087" s="10" t="s">
        <v>2341</v>
      </c>
      <c r="BA2087" s="25">
        <f>AU2087+AV2087</f>
        <v>0</v>
      </c>
      <c r="BB2087" s="25">
        <f>H2087/(100-BC2087)*100</f>
        <v>0</v>
      </c>
      <c r="BC2087" s="25">
        <v>0</v>
      </c>
      <c r="BD2087" s="25">
        <f>M2087</f>
        <v>3.3000000000000002E-2</v>
      </c>
      <c r="BF2087" s="25">
        <f>G2087*AM2087</f>
        <v>0</v>
      </c>
      <c r="BG2087" s="25">
        <f>G2087*AN2087</f>
        <v>0</v>
      </c>
      <c r="BH2087" s="25">
        <f>G2087*H2087</f>
        <v>0</v>
      </c>
      <c r="BI2087" s="27" t="s">
        <v>576</v>
      </c>
      <c r="BJ2087" s="25">
        <v>728</v>
      </c>
      <c r="BU2087" s="25" t="e">
        <f>#REF!</f>
        <v>#REF!</v>
      </c>
      <c r="BV2087" s="4" t="s">
        <v>2530</v>
      </c>
    </row>
    <row r="2088" spans="1:74" ht="14.4" x14ac:dyDescent="0.3">
      <c r="A2088" s="28"/>
      <c r="D2088" s="29" t="s">
        <v>129</v>
      </c>
      <c r="E2088" s="29" t="s">
        <v>52</v>
      </c>
      <c r="G2088" s="30">
        <v>10</v>
      </c>
      <c r="H2088" s="63"/>
      <c r="N2088" s="31"/>
    </row>
    <row r="2089" spans="1:74" ht="26.4" x14ac:dyDescent="0.3">
      <c r="A2089" s="2" t="s">
        <v>2531</v>
      </c>
      <c r="B2089" s="3" t="s">
        <v>2333</v>
      </c>
      <c r="C2089" s="3" t="s">
        <v>1997</v>
      </c>
      <c r="D2089" s="112" t="s">
        <v>2532</v>
      </c>
      <c r="E2089" s="109"/>
      <c r="F2089" s="3" t="s">
        <v>115</v>
      </c>
      <c r="G2089" s="25">
        <v>6</v>
      </c>
      <c r="H2089" s="62"/>
      <c r="I2089" s="25">
        <f>ROUND(G2089*AM2089,2)</f>
        <v>0</v>
      </c>
      <c r="J2089" s="25">
        <f>ROUND(G2089*AN2089,2)</f>
        <v>0</v>
      </c>
      <c r="K2089" s="25">
        <f>ROUND(G2089*H2089,2)</f>
        <v>0</v>
      </c>
      <c r="L2089" s="25">
        <v>3.0000000000000001E-3</v>
      </c>
      <c r="M2089" s="25">
        <f>G2089*L2089</f>
        <v>1.8000000000000002E-2</v>
      </c>
      <c r="N2089" s="102"/>
      <c r="X2089" s="25">
        <f>ROUND(IF(AO2089="5",BH2089,0),2)</f>
        <v>0</v>
      </c>
      <c r="Z2089" s="25">
        <f>ROUND(IF(AO2089="1",BF2089,0),2)</f>
        <v>0</v>
      </c>
      <c r="AA2089" s="25">
        <f>ROUND(IF(AO2089="1",BG2089,0),2)</f>
        <v>0</v>
      </c>
      <c r="AB2089" s="25">
        <f>ROUND(IF(AO2089="7",BF2089,0),2)</f>
        <v>0</v>
      </c>
      <c r="AC2089" s="25">
        <f>ROUND(IF(AO2089="7",BG2089,0),2)</f>
        <v>0</v>
      </c>
      <c r="AD2089" s="25">
        <f>ROUND(IF(AO2089="2",BF2089,0),2)</f>
        <v>0</v>
      </c>
      <c r="AE2089" s="25">
        <f>ROUND(IF(AO2089="2",BG2089,0),2)</f>
        <v>0</v>
      </c>
      <c r="AF2089" s="25">
        <f>ROUND(IF(AO2089="0",BH2089,0),2)</f>
        <v>0</v>
      </c>
      <c r="AG2089" s="10" t="s">
        <v>2333</v>
      </c>
      <c r="AH2089" s="25">
        <f>IF(AL2089=0,K2089,0)</f>
        <v>0</v>
      </c>
      <c r="AI2089" s="25">
        <f>IF(AL2089=12,K2089,0)</f>
        <v>0</v>
      </c>
      <c r="AJ2089" s="25">
        <f>IF(AL2089=21,K2089,0)</f>
        <v>0</v>
      </c>
      <c r="AL2089" s="25">
        <v>21</v>
      </c>
      <c r="AM2089" s="25">
        <f>H2089*1</f>
        <v>0</v>
      </c>
      <c r="AN2089" s="25">
        <f>H2089*(1-1)</f>
        <v>0</v>
      </c>
      <c r="AO2089" s="27" t="s">
        <v>61</v>
      </c>
      <c r="AT2089" s="25">
        <f>ROUND(AU2089+AV2089,2)</f>
        <v>0</v>
      </c>
      <c r="AU2089" s="25">
        <f>ROUND(G2089*AM2089,2)</f>
        <v>0</v>
      </c>
      <c r="AV2089" s="25">
        <f>ROUND(G2089*AN2089,2)</f>
        <v>0</v>
      </c>
      <c r="AW2089" s="27" t="s">
        <v>2472</v>
      </c>
      <c r="AX2089" s="27" t="s">
        <v>2473</v>
      </c>
      <c r="AY2089" s="10" t="s">
        <v>2341</v>
      </c>
      <c r="BA2089" s="25">
        <f>AU2089+AV2089</f>
        <v>0</v>
      </c>
      <c r="BB2089" s="25">
        <f>H2089/(100-BC2089)*100</f>
        <v>0</v>
      </c>
      <c r="BC2089" s="25">
        <v>0</v>
      </c>
      <c r="BD2089" s="25">
        <f>M2089</f>
        <v>1.8000000000000002E-2</v>
      </c>
      <c r="BF2089" s="25">
        <f>G2089*AM2089</f>
        <v>0</v>
      </c>
      <c r="BG2089" s="25">
        <f>G2089*AN2089</f>
        <v>0</v>
      </c>
      <c r="BH2089" s="25">
        <f>G2089*H2089</f>
        <v>0</v>
      </c>
      <c r="BI2089" s="27" t="s">
        <v>576</v>
      </c>
      <c r="BJ2089" s="25">
        <v>728</v>
      </c>
      <c r="BU2089" s="25" t="e">
        <f>#REF!</f>
        <v>#REF!</v>
      </c>
      <c r="BV2089" s="4" t="s">
        <v>2532</v>
      </c>
    </row>
    <row r="2090" spans="1:74" ht="14.4" x14ac:dyDescent="0.3">
      <c r="A2090" s="28"/>
      <c r="D2090" s="29" t="s">
        <v>106</v>
      </c>
      <c r="E2090" s="29" t="s">
        <v>52</v>
      </c>
      <c r="G2090" s="30">
        <v>6</v>
      </c>
      <c r="H2090" s="63"/>
      <c r="N2090" s="31"/>
    </row>
    <row r="2091" spans="1:74" ht="26.4" x14ac:dyDescent="0.3">
      <c r="A2091" s="2" t="s">
        <v>2533</v>
      </c>
      <c r="B2091" s="3" t="s">
        <v>2333</v>
      </c>
      <c r="C2091" s="3" t="s">
        <v>1994</v>
      </c>
      <c r="D2091" s="112" t="s">
        <v>2534</v>
      </c>
      <c r="E2091" s="109"/>
      <c r="F2091" s="3" t="s">
        <v>115</v>
      </c>
      <c r="G2091" s="25">
        <v>8</v>
      </c>
      <c r="H2091" s="62"/>
      <c r="I2091" s="25">
        <f>ROUND(G2091*AM2091,2)</f>
        <v>0</v>
      </c>
      <c r="J2091" s="25">
        <f>ROUND(G2091*AN2091,2)</f>
        <v>0</v>
      </c>
      <c r="K2091" s="25">
        <f>ROUND(G2091*H2091,2)</f>
        <v>0</v>
      </c>
      <c r="L2091" s="25">
        <v>2.7000000000000001E-3</v>
      </c>
      <c r="M2091" s="25">
        <f>G2091*L2091</f>
        <v>2.1600000000000001E-2</v>
      </c>
      <c r="N2091" s="102"/>
      <c r="X2091" s="25">
        <f>ROUND(IF(AO2091="5",BH2091,0),2)</f>
        <v>0</v>
      </c>
      <c r="Z2091" s="25">
        <f>ROUND(IF(AO2091="1",BF2091,0),2)</f>
        <v>0</v>
      </c>
      <c r="AA2091" s="25">
        <f>ROUND(IF(AO2091="1",BG2091,0),2)</f>
        <v>0</v>
      </c>
      <c r="AB2091" s="25">
        <f>ROUND(IF(AO2091="7",BF2091,0),2)</f>
        <v>0</v>
      </c>
      <c r="AC2091" s="25">
        <f>ROUND(IF(AO2091="7",BG2091,0),2)</f>
        <v>0</v>
      </c>
      <c r="AD2091" s="25">
        <f>ROUND(IF(AO2091="2",BF2091,0),2)</f>
        <v>0</v>
      </c>
      <c r="AE2091" s="25">
        <f>ROUND(IF(AO2091="2",BG2091,0),2)</f>
        <v>0</v>
      </c>
      <c r="AF2091" s="25">
        <f>ROUND(IF(AO2091="0",BH2091,0),2)</f>
        <v>0</v>
      </c>
      <c r="AG2091" s="10" t="s">
        <v>2333</v>
      </c>
      <c r="AH2091" s="25">
        <f>IF(AL2091=0,K2091,0)</f>
        <v>0</v>
      </c>
      <c r="AI2091" s="25">
        <f>IF(AL2091=12,K2091,0)</f>
        <v>0</v>
      </c>
      <c r="AJ2091" s="25">
        <f>IF(AL2091=21,K2091,0)</f>
        <v>0</v>
      </c>
      <c r="AL2091" s="25">
        <v>21</v>
      </c>
      <c r="AM2091" s="25">
        <f>H2091*1</f>
        <v>0</v>
      </c>
      <c r="AN2091" s="25">
        <f>H2091*(1-1)</f>
        <v>0</v>
      </c>
      <c r="AO2091" s="27" t="s">
        <v>61</v>
      </c>
      <c r="AT2091" s="25">
        <f>ROUND(AU2091+AV2091,2)</f>
        <v>0</v>
      </c>
      <c r="AU2091" s="25">
        <f>ROUND(G2091*AM2091,2)</f>
        <v>0</v>
      </c>
      <c r="AV2091" s="25">
        <f>ROUND(G2091*AN2091,2)</f>
        <v>0</v>
      </c>
      <c r="AW2091" s="27" t="s">
        <v>2472</v>
      </c>
      <c r="AX2091" s="27" t="s">
        <v>2473</v>
      </c>
      <c r="AY2091" s="10" t="s">
        <v>2341</v>
      </c>
      <c r="BA2091" s="25">
        <f>AU2091+AV2091</f>
        <v>0</v>
      </c>
      <c r="BB2091" s="25">
        <f>H2091/(100-BC2091)*100</f>
        <v>0</v>
      </c>
      <c r="BC2091" s="25">
        <v>0</v>
      </c>
      <c r="BD2091" s="25">
        <f>M2091</f>
        <v>2.1600000000000001E-2</v>
      </c>
      <c r="BF2091" s="25">
        <f>G2091*AM2091</f>
        <v>0</v>
      </c>
      <c r="BG2091" s="25">
        <f>G2091*AN2091</f>
        <v>0</v>
      </c>
      <c r="BH2091" s="25">
        <f>G2091*H2091</f>
        <v>0</v>
      </c>
      <c r="BI2091" s="27" t="s">
        <v>576</v>
      </c>
      <c r="BJ2091" s="25">
        <v>728</v>
      </c>
      <c r="BU2091" s="25" t="e">
        <f>#REF!</f>
        <v>#REF!</v>
      </c>
      <c r="BV2091" s="4" t="s">
        <v>2534</v>
      </c>
    </row>
    <row r="2092" spans="1:74" ht="14.4" x14ac:dyDescent="0.3">
      <c r="A2092" s="28"/>
      <c r="D2092" s="29" t="s">
        <v>119</v>
      </c>
      <c r="E2092" s="29" t="s">
        <v>52</v>
      </c>
      <c r="G2092" s="30">
        <v>8</v>
      </c>
      <c r="H2092" s="63"/>
      <c r="N2092" s="31"/>
    </row>
    <row r="2093" spans="1:74" ht="26.4" x14ac:dyDescent="0.3">
      <c r="A2093" s="2" t="s">
        <v>2535</v>
      </c>
      <c r="B2093" s="3" t="s">
        <v>2333</v>
      </c>
      <c r="C2093" s="3" t="s">
        <v>2536</v>
      </c>
      <c r="D2093" s="112" t="s">
        <v>2537</v>
      </c>
      <c r="E2093" s="109"/>
      <c r="F2093" s="3" t="s">
        <v>115</v>
      </c>
      <c r="G2093" s="25">
        <v>24</v>
      </c>
      <c r="H2093" s="62"/>
      <c r="I2093" s="25">
        <f>ROUND(G2093*AM2093,2)</f>
        <v>0</v>
      </c>
      <c r="J2093" s="25">
        <f>ROUND(G2093*AN2093,2)</f>
        <v>0</v>
      </c>
      <c r="K2093" s="25">
        <f>ROUND(G2093*H2093,2)</f>
        <v>0</v>
      </c>
      <c r="L2093" s="25">
        <v>1.6999999999999999E-3</v>
      </c>
      <c r="M2093" s="25">
        <f>G2093*L2093</f>
        <v>4.0799999999999996E-2</v>
      </c>
      <c r="N2093" s="102"/>
      <c r="X2093" s="25">
        <f>ROUND(IF(AO2093="5",BH2093,0),2)</f>
        <v>0</v>
      </c>
      <c r="Z2093" s="25">
        <f>ROUND(IF(AO2093="1",BF2093,0),2)</f>
        <v>0</v>
      </c>
      <c r="AA2093" s="25">
        <f>ROUND(IF(AO2093="1",BG2093,0),2)</f>
        <v>0</v>
      </c>
      <c r="AB2093" s="25">
        <f>ROUND(IF(AO2093="7",BF2093,0),2)</f>
        <v>0</v>
      </c>
      <c r="AC2093" s="25">
        <f>ROUND(IF(AO2093="7",BG2093,0),2)</f>
        <v>0</v>
      </c>
      <c r="AD2093" s="25">
        <f>ROUND(IF(AO2093="2",BF2093,0),2)</f>
        <v>0</v>
      </c>
      <c r="AE2093" s="25">
        <f>ROUND(IF(AO2093="2",BG2093,0),2)</f>
        <v>0</v>
      </c>
      <c r="AF2093" s="25">
        <f>ROUND(IF(AO2093="0",BH2093,0),2)</f>
        <v>0</v>
      </c>
      <c r="AG2093" s="10" t="s">
        <v>2333</v>
      </c>
      <c r="AH2093" s="25">
        <f>IF(AL2093=0,K2093,0)</f>
        <v>0</v>
      </c>
      <c r="AI2093" s="25">
        <f>IF(AL2093=12,K2093,0)</f>
        <v>0</v>
      </c>
      <c r="AJ2093" s="25">
        <f>IF(AL2093=21,K2093,0)</f>
        <v>0</v>
      </c>
      <c r="AL2093" s="25">
        <v>21</v>
      </c>
      <c r="AM2093" s="25">
        <f>H2093*1</f>
        <v>0</v>
      </c>
      <c r="AN2093" s="25">
        <f>H2093*(1-1)</f>
        <v>0</v>
      </c>
      <c r="AO2093" s="27" t="s">
        <v>61</v>
      </c>
      <c r="AT2093" s="25">
        <f>ROUND(AU2093+AV2093,2)</f>
        <v>0</v>
      </c>
      <c r="AU2093" s="25">
        <f>ROUND(G2093*AM2093,2)</f>
        <v>0</v>
      </c>
      <c r="AV2093" s="25">
        <f>ROUND(G2093*AN2093,2)</f>
        <v>0</v>
      </c>
      <c r="AW2093" s="27" t="s">
        <v>2472</v>
      </c>
      <c r="AX2093" s="27" t="s">
        <v>2473</v>
      </c>
      <c r="AY2093" s="10" t="s">
        <v>2341</v>
      </c>
      <c r="BA2093" s="25">
        <f>AU2093+AV2093</f>
        <v>0</v>
      </c>
      <c r="BB2093" s="25">
        <f>H2093/(100-BC2093)*100</f>
        <v>0</v>
      </c>
      <c r="BC2093" s="25">
        <v>0</v>
      </c>
      <c r="BD2093" s="25">
        <f>M2093</f>
        <v>4.0799999999999996E-2</v>
      </c>
      <c r="BF2093" s="25">
        <f>G2093*AM2093</f>
        <v>0</v>
      </c>
      <c r="BG2093" s="25">
        <f>G2093*AN2093</f>
        <v>0</v>
      </c>
      <c r="BH2093" s="25">
        <f>G2093*H2093</f>
        <v>0</v>
      </c>
      <c r="BI2093" s="27" t="s">
        <v>576</v>
      </c>
      <c r="BJ2093" s="25">
        <v>728</v>
      </c>
      <c r="BU2093" s="25" t="e">
        <f>#REF!</f>
        <v>#REF!</v>
      </c>
      <c r="BV2093" s="4" t="s">
        <v>2537</v>
      </c>
    </row>
    <row r="2094" spans="1:74" ht="14.4" x14ac:dyDescent="0.3">
      <c r="A2094" s="28"/>
      <c r="D2094" s="29" t="s">
        <v>232</v>
      </c>
      <c r="E2094" s="29" t="s">
        <v>52</v>
      </c>
      <c r="G2094" s="30">
        <v>24</v>
      </c>
      <c r="H2094" s="63"/>
      <c r="N2094" s="31"/>
    </row>
    <row r="2095" spans="1:74" ht="26.4" x14ac:dyDescent="0.3">
      <c r="A2095" s="2" t="s">
        <v>2538</v>
      </c>
      <c r="B2095" s="3" t="s">
        <v>2333</v>
      </c>
      <c r="C2095" s="3" t="s">
        <v>2539</v>
      </c>
      <c r="D2095" s="112" t="s">
        <v>2540</v>
      </c>
      <c r="E2095" s="109"/>
      <c r="F2095" s="3" t="s">
        <v>115</v>
      </c>
      <c r="G2095" s="25">
        <v>44</v>
      </c>
      <c r="H2095" s="62"/>
      <c r="I2095" s="25">
        <f>ROUND(G2095*AM2095,2)</f>
        <v>0</v>
      </c>
      <c r="J2095" s="25">
        <f>ROUND(G2095*AN2095,2)</f>
        <v>0</v>
      </c>
      <c r="K2095" s="25">
        <f>ROUND(G2095*H2095,2)</f>
        <v>0</v>
      </c>
      <c r="L2095" s="25">
        <v>2.0999999999999999E-3</v>
      </c>
      <c r="M2095" s="25">
        <f>G2095*L2095</f>
        <v>9.2399999999999996E-2</v>
      </c>
      <c r="N2095" s="26"/>
      <c r="X2095" s="25">
        <f>ROUND(IF(AO2095="5",BH2095,0),2)</f>
        <v>0</v>
      </c>
      <c r="Z2095" s="25">
        <f>ROUND(IF(AO2095="1",BF2095,0),2)</f>
        <v>0</v>
      </c>
      <c r="AA2095" s="25">
        <f>ROUND(IF(AO2095="1",BG2095,0),2)</f>
        <v>0</v>
      </c>
      <c r="AB2095" s="25">
        <f>ROUND(IF(AO2095="7",BF2095,0),2)</f>
        <v>0</v>
      </c>
      <c r="AC2095" s="25">
        <f>ROUND(IF(AO2095="7",BG2095,0),2)</f>
        <v>0</v>
      </c>
      <c r="AD2095" s="25">
        <f>ROUND(IF(AO2095="2",BF2095,0),2)</f>
        <v>0</v>
      </c>
      <c r="AE2095" s="25">
        <f>ROUND(IF(AO2095="2",BG2095,0),2)</f>
        <v>0</v>
      </c>
      <c r="AF2095" s="25">
        <f>ROUND(IF(AO2095="0",BH2095,0),2)</f>
        <v>0</v>
      </c>
      <c r="AG2095" s="10" t="s">
        <v>2333</v>
      </c>
      <c r="AH2095" s="25">
        <f>IF(AL2095=0,K2095,0)</f>
        <v>0</v>
      </c>
      <c r="AI2095" s="25">
        <f>IF(AL2095=12,K2095,0)</f>
        <v>0</v>
      </c>
      <c r="AJ2095" s="25">
        <f>IF(AL2095=21,K2095,0)</f>
        <v>0</v>
      </c>
      <c r="AL2095" s="25">
        <v>21</v>
      </c>
      <c r="AM2095" s="25">
        <f>H2095*1</f>
        <v>0</v>
      </c>
      <c r="AN2095" s="25">
        <f>H2095*(1-1)</f>
        <v>0</v>
      </c>
      <c r="AO2095" s="27" t="s">
        <v>61</v>
      </c>
      <c r="AT2095" s="25">
        <f>ROUND(AU2095+AV2095,2)</f>
        <v>0</v>
      </c>
      <c r="AU2095" s="25">
        <f>ROUND(G2095*AM2095,2)</f>
        <v>0</v>
      </c>
      <c r="AV2095" s="25">
        <f>ROUND(G2095*AN2095,2)</f>
        <v>0</v>
      </c>
      <c r="AW2095" s="27" t="s">
        <v>2472</v>
      </c>
      <c r="AX2095" s="27" t="s">
        <v>2473</v>
      </c>
      <c r="AY2095" s="10" t="s">
        <v>2341</v>
      </c>
      <c r="BA2095" s="25">
        <f>AU2095+AV2095</f>
        <v>0</v>
      </c>
      <c r="BB2095" s="25">
        <f>H2095/(100-BC2095)*100</f>
        <v>0</v>
      </c>
      <c r="BC2095" s="25">
        <v>0</v>
      </c>
      <c r="BD2095" s="25">
        <f>M2095</f>
        <v>9.2399999999999996E-2</v>
      </c>
      <c r="BF2095" s="25">
        <f>G2095*AM2095</f>
        <v>0</v>
      </c>
      <c r="BG2095" s="25">
        <f>G2095*AN2095</f>
        <v>0</v>
      </c>
      <c r="BH2095" s="25">
        <f>G2095*H2095</f>
        <v>0</v>
      </c>
      <c r="BI2095" s="27" t="s">
        <v>576</v>
      </c>
      <c r="BJ2095" s="25">
        <v>728</v>
      </c>
      <c r="BU2095" s="25" t="e">
        <f>#REF!</f>
        <v>#REF!</v>
      </c>
      <c r="BV2095" s="4" t="s">
        <v>2540</v>
      </c>
    </row>
    <row r="2096" spans="1:74" ht="14.4" x14ac:dyDescent="0.3">
      <c r="A2096" s="28"/>
      <c r="D2096" s="29" t="s">
        <v>338</v>
      </c>
      <c r="E2096" s="29" t="s">
        <v>52</v>
      </c>
      <c r="G2096" s="30">
        <v>44</v>
      </c>
      <c r="H2096" s="63"/>
      <c r="N2096" s="31"/>
    </row>
    <row r="2097" spans="1:74" ht="26.4" x14ac:dyDescent="0.3">
      <c r="A2097" s="2" t="s">
        <v>2541</v>
      </c>
      <c r="B2097" s="3" t="s">
        <v>2333</v>
      </c>
      <c r="C2097" s="3" t="s">
        <v>2536</v>
      </c>
      <c r="D2097" s="112" t="s">
        <v>2542</v>
      </c>
      <c r="E2097" s="109"/>
      <c r="F2097" s="3" t="s">
        <v>115</v>
      </c>
      <c r="G2097" s="25">
        <v>23</v>
      </c>
      <c r="H2097" s="62"/>
      <c r="I2097" s="25">
        <f>ROUND(G2097*AM2097,2)</f>
        <v>0</v>
      </c>
      <c r="J2097" s="25">
        <f>ROUND(G2097*AN2097,2)</f>
        <v>0</v>
      </c>
      <c r="K2097" s="25">
        <f>ROUND(G2097*H2097,2)</f>
        <v>0</v>
      </c>
      <c r="L2097" s="25">
        <v>1.6999999999999999E-3</v>
      </c>
      <c r="M2097" s="25">
        <f>G2097*L2097</f>
        <v>3.9099999999999996E-2</v>
      </c>
      <c r="N2097" s="102"/>
      <c r="X2097" s="25">
        <f>ROUND(IF(AO2097="5",BH2097,0),2)</f>
        <v>0</v>
      </c>
      <c r="Z2097" s="25">
        <f>ROUND(IF(AO2097="1",BF2097,0),2)</f>
        <v>0</v>
      </c>
      <c r="AA2097" s="25">
        <f>ROUND(IF(AO2097="1",BG2097,0),2)</f>
        <v>0</v>
      </c>
      <c r="AB2097" s="25">
        <f>ROUND(IF(AO2097="7",BF2097,0),2)</f>
        <v>0</v>
      </c>
      <c r="AC2097" s="25">
        <f>ROUND(IF(AO2097="7",BG2097,0),2)</f>
        <v>0</v>
      </c>
      <c r="AD2097" s="25">
        <f>ROUND(IF(AO2097="2",BF2097,0),2)</f>
        <v>0</v>
      </c>
      <c r="AE2097" s="25">
        <f>ROUND(IF(AO2097="2",BG2097,0),2)</f>
        <v>0</v>
      </c>
      <c r="AF2097" s="25">
        <f>ROUND(IF(AO2097="0",BH2097,0),2)</f>
        <v>0</v>
      </c>
      <c r="AG2097" s="10" t="s">
        <v>2333</v>
      </c>
      <c r="AH2097" s="25">
        <f>IF(AL2097=0,K2097,0)</f>
        <v>0</v>
      </c>
      <c r="AI2097" s="25">
        <f>IF(AL2097=12,K2097,0)</f>
        <v>0</v>
      </c>
      <c r="AJ2097" s="25">
        <f>IF(AL2097=21,K2097,0)</f>
        <v>0</v>
      </c>
      <c r="AL2097" s="25">
        <v>21</v>
      </c>
      <c r="AM2097" s="25">
        <f>H2097*1</f>
        <v>0</v>
      </c>
      <c r="AN2097" s="25">
        <f>H2097*(1-1)</f>
        <v>0</v>
      </c>
      <c r="AO2097" s="27" t="s">
        <v>61</v>
      </c>
      <c r="AT2097" s="25">
        <f>ROUND(AU2097+AV2097,2)</f>
        <v>0</v>
      </c>
      <c r="AU2097" s="25">
        <f>ROUND(G2097*AM2097,2)</f>
        <v>0</v>
      </c>
      <c r="AV2097" s="25">
        <f>ROUND(G2097*AN2097,2)</f>
        <v>0</v>
      </c>
      <c r="AW2097" s="27" t="s">
        <v>2472</v>
      </c>
      <c r="AX2097" s="27" t="s">
        <v>2473</v>
      </c>
      <c r="AY2097" s="10" t="s">
        <v>2341</v>
      </c>
      <c r="BA2097" s="25">
        <f>AU2097+AV2097</f>
        <v>0</v>
      </c>
      <c r="BB2097" s="25">
        <f>H2097/(100-BC2097)*100</f>
        <v>0</v>
      </c>
      <c r="BC2097" s="25">
        <v>0</v>
      </c>
      <c r="BD2097" s="25">
        <f>M2097</f>
        <v>3.9099999999999996E-2</v>
      </c>
      <c r="BF2097" s="25">
        <f>G2097*AM2097</f>
        <v>0</v>
      </c>
      <c r="BG2097" s="25">
        <f>G2097*AN2097</f>
        <v>0</v>
      </c>
      <c r="BH2097" s="25">
        <f>G2097*H2097</f>
        <v>0</v>
      </c>
      <c r="BI2097" s="27" t="s">
        <v>576</v>
      </c>
      <c r="BJ2097" s="25">
        <v>728</v>
      </c>
      <c r="BU2097" s="25" t="e">
        <f>#REF!</f>
        <v>#REF!</v>
      </c>
      <c r="BV2097" s="4" t="s">
        <v>2542</v>
      </c>
    </row>
    <row r="2098" spans="1:74" ht="14.4" x14ac:dyDescent="0.3">
      <c r="A2098" s="28"/>
      <c r="D2098" s="29" t="s">
        <v>222</v>
      </c>
      <c r="E2098" s="29" t="s">
        <v>52</v>
      </c>
      <c r="G2098" s="30">
        <v>23</v>
      </c>
      <c r="H2098" s="63"/>
      <c r="N2098" s="31"/>
    </row>
    <row r="2099" spans="1:74" ht="26.4" x14ac:dyDescent="0.3">
      <c r="A2099" s="2" t="s">
        <v>2543</v>
      </c>
      <c r="B2099" s="3" t="s">
        <v>2333</v>
      </c>
      <c r="C2099" s="3" t="s">
        <v>2544</v>
      </c>
      <c r="D2099" s="112" t="s">
        <v>2545</v>
      </c>
      <c r="E2099" s="109"/>
      <c r="F2099" s="3" t="s">
        <v>115</v>
      </c>
      <c r="G2099" s="25">
        <v>12</v>
      </c>
      <c r="H2099" s="62"/>
      <c r="I2099" s="25">
        <f>ROUND(G2099*AM2099,2)</f>
        <v>0</v>
      </c>
      <c r="J2099" s="25">
        <f>ROUND(G2099*AN2099,2)</f>
        <v>0</v>
      </c>
      <c r="K2099" s="25">
        <f>ROUND(G2099*H2099,2)</f>
        <v>0</v>
      </c>
      <c r="L2099" s="25">
        <v>1.6999999999999999E-3</v>
      </c>
      <c r="M2099" s="25">
        <f>G2099*L2099</f>
        <v>2.0399999999999998E-2</v>
      </c>
      <c r="N2099" s="26"/>
      <c r="X2099" s="25">
        <f>ROUND(IF(AO2099="5",BH2099,0),2)</f>
        <v>0</v>
      </c>
      <c r="Z2099" s="25">
        <f>ROUND(IF(AO2099="1",BF2099,0),2)</f>
        <v>0</v>
      </c>
      <c r="AA2099" s="25">
        <f>ROUND(IF(AO2099="1",BG2099,0),2)</f>
        <v>0</v>
      </c>
      <c r="AB2099" s="25">
        <f>ROUND(IF(AO2099="7",BF2099,0),2)</f>
        <v>0</v>
      </c>
      <c r="AC2099" s="25">
        <f>ROUND(IF(AO2099="7",BG2099,0),2)</f>
        <v>0</v>
      </c>
      <c r="AD2099" s="25">
        <f>ROUND(IF(AO2099="2",BF2099,0),2)</f>
        <v>0</v>
      </c>
      <c r="AE2099" s="25">
        <f>ROUND(IF(AO2099="2",BG2099,0),2)</f>
        <v>0</v>
      </c>
      <c r="AF2099" s="25">
        <f>ROUND(IF(AO2099="0",BH2099,0),2)</f>
        <v>0</v>
      </c>
      <c r="AG2099" s="10" t="s">
        <v>2333</v>
      </c>
      <c r="AH2099" s="25">
        <f>IF(AL2099=0,K2099,0)</f>
        <v>0</v>
      </c>
      <c r="AI2099" s="25">
        <f>IF(AL2099=12,K2099,0)</f>
        <v>0</v>
      </c>
      <c r="AJ2099" s="25">
        <f>IF(AL2099=21,K2099,0)</f>
        <v>0</v>
      </c>
      <c r="AL2099" s="25">
        <v>21</v>
      </c>
      <c r="AM2099" s="25">
        <f>H2099*1</f>
        <v>0</v>
      </c>
      <c r="AN2099" s="25">
        <f>H2099*(1-1)</f>
        <v>0</v>
      </c>
      <c r="AO2099" s="27" t="s">
        <v>61</v>
      </c>
      <c r="AT2099" s="25">
        <f>ROUND(AU2099+AV2099,2)</f>
        <v>0</v>
      </c>
      <c r="AU2099" s="25">
        <f>ROUND(G2099*AM2099,2)</f>
        <v>0</v>
      </c>
      <c r="AV2099" s="25">
        <f>ROUND(G2099*AN2099,2)</f>
        <v>0</v>
      </c>
      <c r="AW2099" s="27" t="s">
        <v>2472</v>
      </c>
      <c r="AX2099" s="27" t="s">
        <v>2473</v>
      </c>
      <c r="AY2099" s="10" t="s">
        <v>2341</v>
      </c>
      <c r="BA2099" s="25">
        <f>AU2099+AV2099</f>
        <v>0</v>
      </c>
      <c r="BB2099" s="25">
        <f>H2099/(100-BC2099)*100</f>
        <v>0</v>
      </c>
      <c r="BC2099" s="25">
        <v>0</v>
      </c>
      <c r="BD2099" s="25">
        <f>M2099</f>
        <v>2.0399999999999998E-2</v>
      </c>
      <c r="BF2099" s="25">
        <f>G2099*AM2099</f>
        <v>0</v>
      </c>
      <c r="BG2099" s="25">
        <f>G2099*AN2099</f>
        <v>0</v>
      </c>
      <c r="BH2099" s="25">
        <f>G2099*H2099</f>
        <v>0</v>
      </c>
      <c r="BI2099" s="27" t="s">
        <v>576</v>
      </c>
      <c r="BJ2099" s="25">
        <v>728</v>
      </c>
      <c r="BU2099" s="25" t="e">
        <f>#REF!</f>
        <v>#REF!</v>
      </c>
      <c r="BV2099" s="4" t="s">
        <v>2545</v>
      </c>
    </row>
    <row r="2100" spans="1:74" ht="14.4" x14ac:dyDescent="0.3">
      <c r="A2100" s="28"/>
      <c r="D2100" s="29" t="s">
        <v>145</v>
      </c>
      <c r="E2100" s="29" t="s">
        <v>52</v>
      </c>
      <c r="G2100" s="30">
        <v>12</v>
      </c>
      <c r="H2100" s="63"/>
      <c r="N2100" s="31"/>
    </row>
    <row r="2101" spans="1:74" ht="26.4" x14ac:dyDescent="0.3">
      <c r="A2101" s="2" t="s">
        <v>2546</v>
      </c>
      <c r="B2101" s="3" t="s">
        <v>2333</v>
      </c>
      <c r="C2101" s="3" t="s">
        <v>2547</v>
      </c>
      <c r="D2101" s="112" t="s">
        <v>2548</v>
      </c>
      <c r="E2101" s="109"/>
      <c r="F2101" s="3" t="s">
        <v>1520</v>
      </c>
      <c r="G2101" s="25">
        <v>38.5</v>
      </c>
      <c r="H2101" s="62"/>
      <c r="I2101" s="25">
        <f>ROUND(G2101*AM2101,2)</f>
        <v>0</v>
      </c>
      <c r="J2101" s="25">
        <f>ROUND(G2101*AN2101,2)</f>
        <v>0</v>
      </c>
      <c r="K2101" s="25">
        <f>ROUND(G2101*H2101,2)</f>
        <v>0</v>
      </c>
      <c r="L2101" s="25">
        <v>1.06E-3</v>
      </c>
      <c r="M2101" s="25">
        <f>G2101*L2101</f>
        <v>4.0809999999999999E-2</v>
      </c>
      <c r="N2101" s="26"/>
      <c r="X2101" s="25">
        <f>ROUND(IF(AO2101="5",BH2101,0),2)</f>
        <v>0</v>
      </c>
      <c r="Z2101" s="25">
        <f>ROUND(IF(AO2101="1",BF2101,0),2)</f>
        <v>0</v>
      </c>
      <c r="AA2101" s="25">
        <f>ROUND(IF(AO2101="1",BG2101,0),2)</f>
        <v>0</v>
      </c>
      <c r="AB2101" s="25">
        <f>ROUND(IF(AO2101="7",BF2101,0),2)</f>
        <v>0</v>
      </c>
      <c r="AC2101" s="25">
        <f>ROUND(IF(AO2101="7",BG2101,0),2)</f>
        <v>0</v>
      </c>
      <c r="AD2101" s="25">
        <f>ROUND(IF(AO2101="2",BF2101,0),2)</f>
        <v>0</v>
      </c>
      <c r="AE2101" s="25">
        <f>ROUND(IF(AO2101="2",BG2101,0),2)</f>
        <v>0</v>
      </c>
      <c r="AF2101" s="25">
        <f>ROUND(IF(AO2101="0",BH2101,0),2)</f>
        <v>0</v>
      </c>
      <c r="AG2101" s="10" t="s">
        <v>2333</v>
      </c>
      <c r="AH2101" s="25">
        <f>IF(AL2101=0,K2101,0)</f>
        <v>0</v>
      </c>
      <c r="AI2101" s="25">
        <f>IF(AL2101=12,K2101,0)</f>
        <v>0</v>
      </c>
      <c r="AJ2101" s="25">
        <f>IF(AL2101=21,K2101,0)</f>
        <v>0</v>
      </c>
      <c r="AL2101" s="25">
        <v>21</v>
      </c>
      <c r="AM2101" s="25">
        <f>H2101*0.329041363</f>
        <v>0</v>
      </c>
      <c r="AN2101" s="25">
        <f>H2101*(1-0.329041363)</f>
        <v>0</v>
      </c>
      <c r="AO2101" s="27" t="s">
        <v>61</v>
      </c>
      <c r="AT2101" s="25">
        <f>ROUND(AU2101+AV2101,2)</f>
        <v>0</v>
      </c>
      <c r="AU2101" s="25">
        <f>ROUND(G2101*AM2101,2)</f>
        <v>0</v>
      </c>
      <c r="AV2101" s="25">
        <f>ROUND(G2101*AN2101,2)</f>
        <v>0</v>
      </c>
      <c r="AW2101" s="27" t="s">
        <v>2472</v>
      </c>
      <c r="AX2101" s="27" t="s">
        <v>2473</v>
      </c>
      <c r="AY2101" s="10" t="s">
        <v>2341</v>
      </c>
      <c r="BA2101" s="25">
        <f>AU2101+AV2101</f>
        <v>0</v>
      </c>
      <c r="BB2101" s="25">
        <f>H2101/(100-BC2101)*100</f>
        <v>0</v>
      </c>
      <c r="BC2101" s="25">
        <v>0</v>
      </c>
      <c r="BD2101" s="25">
        <f>M2101</f>
        <v>4.0809999999999999E-2</v>
      </c>
      <c r="BF2101" s="25">
        <f>G2101*AM2101</f>
        <v>0</v>
      </c>
      <c r="BG2101" s="25">
        <f>G2101*AN2101</f>
        <v>0</v>
      </c>
      <c r="BH2101" s="25">
        <f>G2101*H2101</f>
        <v>0</v>
      </c>
      <c r="BI2101" s="27" t="s">
        <v>65</v>
      </c>
      <c r="BJ2101" s="25">
        <v>728</v>
      </c>
      <c r="BU2101" s="25" t="e">
        <f>#REF!</f>
        <v>#REF!</v>
      </c>
      <c r="BV2101" s="4" t="s">
        <v>2548</v>
      </c>
    </row>
    <row r="2102" spans="1:74" ht="14.4" x14ac:dyDescent="0.3">
      <c r="A2102" s="28"/>
      <c r="D2102" s="29" t="s">
        <v>1368</v>
      </c>
      <c r="E2102" s="29" t="s">
        <v>52</v>
      </c>
      <c r="G2102" s="30">
        <v>38.5</v>
      </c>
      <c r="H2102" s="63"/>
      <c r="N2102" s="31"/>
    </row>
    <row r="2103" spans="1:74" ht="14.4" x14ac:dyDescent="0.3">
      <c r="A2103" s="2" t="s">
        <v>2549</v>
      </c>
      <c r="B2103" s="3" t="s">
        <v>2333</v>
      </c>
      <c r="C2103" s="3" t="s">
        <v>2550</v>
      </c>
      <c r="D2103" s="112" t="s">
        <v>2551</v>
      </c>
      <c r="E2103" s="109"/>
      <c r="F2103" s="3" t="s">
        <v>122</v>
      </c>
      <c r="G2103" s="25">
        <v>1</v>
      </c>
      <c r="H2103" s="62"/>
      <c r="I2103" s="25">
        <f>ROUND(G2103*AM2103,2)</f>
        <v>0</v>
      </c>
      <c r="J2103" s="25">
        <f>ROUND(G2103*AN2103,2)</f>
        <v>0</v>
      </c>
      <c r="K2103" s="25">
        <f>ROUND(G2103*H2103,2)</f>
        <v>0</v>
      </c>
      <c r="L2103" s="25">
        <v>0</v>
      </c>
      <c r="M2103" s="25">
        <f>G2103*L2103</f>
        <v>0</v>
      </c>
      <c r="N2103" s="102"/>
      <c r="X2103" s="25">
        <f>ROUND(IF(AO2103="5",BH2103,0),2)</f>
        <v>0</v>
      </c>
      <c r="Z2103" s="25">
        <f>ROUND(IF(AO2103="1",BF2103,0),2)</f>
        <v>0</v>
      </c>
      <c r="AA2103" s="25">
        <f>ROUND(IF(AO2103="1",BG2103,0),2)</f>
        <v>0</v>
      </c>
      <c r="AB2103" s="25">
        <f>ROUND(IF(AO2103="7",BF2103,0),2)</f>
        <v>0</v>
      </c>
      <c r="AC2103" s="25">
        <f>ROUND(IF(AO2103="7",BG2103,0),2)</f>
        <v>0</v>
      </c>
      <c r="AD2103" s="25">
        <f>ROUND(IF(AO2103="2",BF2103,0),2)</f>
        <v>0</v>
      </c>
      <c r="AE2103" s="25">
        <f>ROUND(IF(AO2103="2",BG2103,0),2)</f>
        <v>0</v>
      </c>
      <c r="AF2103" s="25">
        <f>ROUND(IF(AO2103="0",BH2103,0),2)</f>
        <v>0</v>
      </c>
      <c r="AG2103" s="10" t="s">
        <v>2333</v>
      </c>
      <c r="AH2103" s="25">
        <f>IF(AL2103=0,K2103,0)</f>
        <v>0</v>
      </c>
      <c r="AI2103" s="25">
        <f>IF(AL2103=12,K2103,0)</f>
        <v>0</v>
      </c>
      <c r="AJ2103" s="25">
        <f>IF(AL2103=21,K2103,0)</f>
        <v>0</v>
      </c>
      <c r="AL2103" s="25">
        <v>21</v>
      </c>
      <c r="AM2103" s="25">
        <f>H2103*0.978559921</f>
        <v>0</v>
      </c>
      <c r="AN2103" s="25">
        <f>H2103*(1-0.978559921)</f>
        <v>0</v>
      </c>
      <c r="AO2103" s="27" t="s">
        <v>61</v>
      </c>
      <c r="AT2103" s="25">
        <f>ROUND(AU2103+AV2103,2)</f>
        <v>0</v>
      </c>
      <c r="AU2103" s="25">
        <f>ROUND(G2103*AM2103,2)</f>
        <v>0</v>
      </c>
      <c r="AV2103" s="25">
        <f>ROUND(G2103*AN2103,2)</f>
        <v>0</v>
      </c>
      <c r="AW2103" s="27" t="s">
        <v>2472</v>
      </c>
      <c r="AX2103" s="27" t="s">
        <v>2473</v>
      </c>
      <c r="AY2103" s="10" t="s">
        <v>2341</v>
      </c>
      <c r="BA2103" s="25">
        <f>AU2103+AV2103</f>
        <v>0</v>
      </c>
      <c r="BB2103" s="25">
        <f>H2103/(100-BC2103)*100</f>
        <v>0</v>
      </c>
      <c r="BC2103" s="25">
        <v>0</v>
      </c>
      <c r="BD2103" s="25">
        <f>M2103</f>
        <v>0</v>
      </c>
      <c r="BF2103" s="25">
        <f>G2103*AM2103</f>
        <v>0</v>
      </c>
      <c r="BG2103" s="25">
        <f>G2103*AN2103</f>
        <v>0</v>
      </c>
      <c r="BH2103" s="25">
        <f>G2103*H2103</f>
        <v>0</v>
      </c>
      <c r="BI2103" s="27" t="s">
        <v>65</v>
      </c>
      <c r="BJ2103" s="25">
        <v>728</v>
      </c>
      <c r="BU2103" s="25" t="e">
        <f>#REF!</f>
        <v>#REF!</v>
      </c>
      <c r="BV2103" s="4" t="s">
        <v>2551</v>
      </c>
    </row>
    <row r="2104" spans="1:74" ht="14.4" x14ac:dyDescent="0.3">
      <c r="A2104" s="28"/>
      <c r="D2104" s="29" t="s">
        <v>57</v>
      </c>
      <c r="E2104" s="29" t="s">
        <v>52</v>
      </c>
      <c r="G2104" s="30">
        <v>1</v>
      </c>
      <c r="H2104" s="63"/>
      <c r="N2104" s="31"/>
    </row>
    <row r="2105" spans="1:74" ht="14.4" x14ac:dyDescent="0.3">
      <c r="A2105" s="2" t="s">
        <v>2552</v>
      </c>
      <c r="B2105" s="3" t="s">
        <v>2333</v>
      </c>
      <c r="C2105" s="3" t="s">
        <v>2550</v>
      </c>
      <c r="D2105" s="112" t="s">
        <v>2553</v>
      </c>
      <c r="E2105" s="109"/>
      <c r="F2105" s="3" t="s">
        <v>122</v>
      </c>
      <c r="G2105" s="25">
        <v>1</v>
      </c>
      <c r="H2105" s="62"/>
      <c r="I2105" s="25">
        <f>ROUND(G2105*AM2105,2)</f>
        <v>0</v>
      </c>
      <c r="J2105" s="25">
        <f>ROUND(G2105*AN2105,2)</f>
        <v>0</v>
      </c>
      <c r="K2105" s="25">
        <f>ROUND(G2105*H2105,2)</f>
        <v>0</v>
      </c>
      <c r="L2105" s="25">
        <v>0</v>
      </c>
      <c r="M2105" s="25">
        <f>G2105*L2105</f>
        <v>0</v>
      </c>
      <c r="N2105" s="102"/>
      <c r="X2105" s="25">
        <f>ROUND(IF(AO2105="5",BH2105,0),2)</f>
        <v>0</v>
      </c>
      <c r="Z2105" s="25">
        <f>ROUND(IF(AO2105="1",BF2105,0),2)</f>
        <v>0</v>
      </c>
      <c r="AA2105" s="25">
        <f>ROUND(IF(AO2105="1",BG2105,0),2)</f>
        <v>0</v>
      </c>
      <c r="AB2105" s="25">
        <f>ROUND(IF(AO2105="7",BF2105,0),2)</f>
        <v>0</v>
      </c>
      <c r="AC2105" s="25">
        <f>ROUND(IF(AO2105="7",BG2105,0),2)</f>
        <v>0</v>
      </c>
      <c r="AD2105" s="25">
        <f>ROUND(IF(AO2105="2",BF2105,0),2)</f>
        <v>0</v>
      </c>
      <c r="AE2105" s="25">
        <f>ROUND(IF(AO2105="2",BG2105,0),2)</f>
        <v>0</v>
      </c>
      <c r="AF2105" s="25">
        <f>ROUND(IF(AO2105="0",BH2105,0),2)</f>
        <v>0</v>
      </c>
      <c r="AG2105" s="10" t="s">
        <v>2333</v>
      </c>
      <c r="AH2105" s="25">
        <f>IF(AL2105=0,K2105,0)</f>
        <v>0</v>
      </c>
      <c r="AI2105" s="25">
        <f>IF(AL2105=12,K2105,0)</f>
        <v>0</v>
      </c>
      <c r="AJ2105" s="25">
        <f>IF(AL2105=21,K2105,0)</f>
        <v>0</v>
      </c>
      <c r="AL2105" s="25">
        <v>21</v>
      </c>
      <c r="AM2105" s="25">
        <f>H2105*0.979219219</f>
        <v>0</v>
      </c>
      <c r="AN2105" s="25">
        <f>H2105*(1-0.979219219)</f>
        <v>0</v>
      </c>
      <c r="AO2105" s="27" t="s">
        <v>61</v>
      </c>
      <c r="AT2105" s="25">
        <f>ROUND(AU2105+AV2105,2)</f>
        <v>0</v>
      </c>
      <c r="AU2105" s="25">
        <f>ROUND(G2105*AM2105,2)</f>
        <v>0</v>
      </c>
      <c r="AV2105" s="25">
        <f>ROUND(G2105*AN2105,2)</f>
        <v>0</v>
      </c>
      <c r="AW2105" s="27" t="s">
        <v>2472</v>
      </c>
      <c r="AX2105" s="27" t="s">
        <v>2473</v>
      </c>
      <c r="AY2105" s="10" t="s">
        <v>2341</v>
      </c>
      <c r="BA2105" s="25">
        <f>AU2105+AV2105</f>
        <v>0</v>
      </c>
      <c r="BB2105" s="25">
        <f>H2105/(100-BC2105)*100</f>
        <v>0</v>
      </c>
      <c r="BC2105" s="25">
        <v>0</v>
      </c>
      <c r="BD2105" s="25">
        <f>M2105</f>
        <v>0</v>
      </c>
      <c r="BF2105" s="25">
        <f>G2105*AM2105</f>
        <v>0</v>
      </c>
      <c r="BG2105" s="25">
        <f>G2105*AN2105</f>
        <v>0</v>
      </c>
      <c r="BH2105" s="25">
        <f>G2105*H2105</f>
        <v>0</v>
      </c>
      <c r="BI2105" s="27" t="s">
        <v>65</v>
      </c>
      <c r="BJ2105" s="25">
        <v>728</v>
      </c>
      <c r="BU2105" s="25" t="e">
        <f>#REF!</f>
        <v>#REF!</v>
      </c>
      <c r="BV2105" s="4" t="s">
        <v>2553</v>
      </c>
    </row>
    <row r="2106" spans="1:74" ht="14.4" x14ac:dyDescent="0.3">
      <c r="A2106" s="28"/>
      <c r="D2106" s="29" t="s">
        <v>57</v>
      </c>
      <c r="E2106" s="29" t="s">
        <v>52</v>
      </c>
      <c r="G2106" s="30">
        <v>1</v>
      </c>
      <c r="H2106" s="63"/>
      <c r="N2106" s="31"/>
    </row>
    <row r="2107" spans="1:74" ht="26.4" x14ac:dyDescent="0.3">
      <c r="A2107" s="2" t="s">
        <v>2554</v>
      </c>
      <c r="B2107" s="3" t="s">
        <v>2333</v>
      </c>
      <c r="C2107" s="3" t="s">
        <v>2555</v>
      </c>
      <c r="D2107" s="112" t="s">
        <v>2556</v>
      </c>
      <c r="E2107" s="109"/>
      <c r="F2107" s="3" t="s">
        <v>122</v>
      </c>
      <c r="G2107" s="25">
        <v>1</v>
      </c>
      <c r="H2107" s="62"/>
      <c r="I2107" s="25">
        <f>ROUND(G2107*AM2107,2)</f>
        <v>0</v>
      </c>
      <c r="J2107" s="25">
        <f>ROUND(G2107*AN2107,2)</f>
        <v>0</v>
      </c>
      <c r="K2107" s="25">
        <f>ROUND(G2107*H2107,2)</f>
        <v>0</v>
      </c>
      <c r="L2107" s="25">
        <v>0</v>
      </c>
      <c r="M2107" s="25">
        <f>G2107*L2107</f>
        <v>0</v>
      </c>
      <c r="N2107" s="102"/>
      <c r="X2107" s="25">
        <f>ROUND(IF(AO2107="5",BH2107,0),2)</f>
        <v>0</v>
      </c>
      <c r="Z2107" s="25">
        <f>ROUND(IF(AO2107="1",BF2107,0),2)</f>
        <v>0</v>
      </c>
      <c r="AA2107" s="25">
        <f>ROUND(IF(AO2107="1",BG2107,0),2)</f>
        <v>0</v>
      </c>
      <c r="AB2107" s="25">
        <f>ROUND(IF(AO2107="7",BF2107,0),2)</f>
        <v>0</v>
      </c>
      <c r="AC2107" s="25">
        <f>ROUND(IF(AO2107="7",BG2107,0),2)</f>
        <v>0</v>
      </c>
      <c r="AD2107" s="25">
        <f>ROUND(IF(AO2107="2",BF2107,0),2)</f>
        <v>0</v>
      </c>
      <c r="AE2107" s="25">
        <f>ROUND(IF(AO2107="2",BG2107,0),2)</f>
        <v>0</v>
      </c>
      <c r="AF2107" s="25">
        <f>ROUND(IF(AO2107="0",BH2107,0),2)</f>
        <v>0</v>
      </c>
      <c r="AG2107" s="10" t="s">
        <v>2333</v>
      </c>
      <c r="AH2107" s="25">
        <f>IF(AL2107=0,K2107,0)</f>
        <v>0</v>
      </c>
      <c r="AI2107" s="25">
        <f>IF(AL2107=12,K2107,0)</f>
        <v>0</v>
      </c>
      <c r="AJ2107" s="25">
        <f>IF(AL2107=21,K2107,0)</f>
        <v>0</v>
      </c>
      <c r="AL2107" s="25">
        <v>21</v>
      </c>
      <c r="AM2107" s="25">
        <f>H2107*0.92591914</f>
        <v>0</v>
      </c>
      <c r="AN2107" s="25">
        <f>H2107*(1-0.92591914)</f>
        <v>0</v>
      </c>
      <c r="AO2107" s="27" t="s">
        <v>61</v>
      </c>
      <c r="AT2107" s="25">
        <f>ROUND(AU2107+AV2107,2)</f>
        <v>0</v>
      </c>
      <c r="AU2107" s="25">
        <f>ROUND(G2107*AM2107,2)</f>
        <v>0</v>
      </c>
      <c r="AV2107" s="25">
        <f>ROUND(G2107*AN2107,2)</f>
        <v>0</v>
      </c>
      <c r="AW2107" s="27" t="s">
        <v>2472</v>
      </c>
      <c r="AX2107" s="27" t="s">
        <v>2473</v>
      </c>
      <c r="AY2107" s="10" t="s">
        <v>2341</v>
      </c>
      <c r="BA2107" s="25">
        <f>AU2107+AV2107</f>
        <v>0</v>
      </c>
      <c r="BB2107" s="25">
        <f>H2107/(100-BC2107)*100</f>
        <v>0</v>
      </c>
      <c r="BC2107" s="25">
        <v>0</v>
      </c>
      <c r="BD2107" s="25">
        <f>M2107</f>
        <v>0</v>
      </c>
      <c r="BF2107" s="25">
        <f>G2107*AM2107</f>
        <v>0</v>
      </c>
      <c r="BG2107" s="25">
        <f>G2107*AN2107</f>
        <v>0</v>
      </c>
      <c r="BH2107" s="25">
        <f>G2107*H2107</f>
        <v>0</v>
      </c>
      <c r="BI2107" s="27" t="s">
        <v>65</v>
      </c>
      <c r="BJ2107" s="25">
        <v>728</v>
      </c>
      <c r="BU2107" s="25" t="e">
        <f>#REF!</f>
        <v>#REF!</v>
      </c>
      <c r="BV2107" s="4" t="s">
        <v>2556</v>
      </c>
    </row>
    <row r="2108" spans="1:74" ht="14.4" x14ac:dyDescent="0.3">
      <c r="A2108" s="28"/>
      <c r="D2108" s="29" t="s">
        <v>57</v>
      </c>
      <c r="E2108" s="29" t="s">
        <v>52</v>
      </c>
      <c r="G2108" s="30">
        <v>1</v>
      </c>
      <c r="H2108" s="63"/>
      <c r="N2108" s="31"/>
    </row>
    <row r="2109" spans="1:74" ht="26.4" x14ac:dyDescent="0.3">
      <c r="A2109" s="2" t="s">
        <v>2557</v>
      </c>
      <c r="B2109" s="3" t="s">
        <v>2333</v>
      </c>
      <c r="C2109" s="3" t="s">
        <v>1794</v>
      </c>
      <c r="D2109" s="112" t="s">
        <v>2558</v>
      </c>
      <c r="E2109" s="109"/>
      <c r="F2109" s="3" t="s">
        <v>122</v>
      </c>
      <c r="G2109" s="25">
        <v>1</v>
      </c>
      <c r="H2109" s="62"/>
      <c r="I2109" s="25">
        <f>ROUND(G2109*AM2109,2)</f>
        <v>0</v>
      </c>
      <c r="J2109" s="25">
        <f>ROUND(G2109*AN2109,2)</f>
        <v>0</v>
      </c>
      <c r="K2109" s="25">
        <f>ROUND(G2109*H2109,2)</f>
        <v>0</v>
      </c>
      <c r="L2109" s="25">
        <v>0</v>
      </c>
      <c r="M2109" s="25">
        <f>G2109*L2109</f>
        <v>0</v>
      </c>
      <c r="N2109" s="102"/>
      <c r="X2109" s="25">
        <f>ROUND(IF(AO2109="5",BH2109,0),2)</f>
        <v>0</v>
      </c>
      <c r="Z2109" s="25">
        <f>ROUND(IF(AO2109="1",BF2109,0),2)</f>
        <v>0</v>
      </c>
      <c r="AA2109" s="25">
        <f>ROUND(IF(AO2109="1",BG2109,0),2)</f>
        <v>0</v>
      </c>
      <c r="AB2109" s="25">
        <f>ROUND(IF(AO2109="7",BF2109,0),2)</f>
        <v>0</v>
      </c>
      <c r="AC2109" s="25">
        <f>ROUND(IF(AO2109="7",BG2109,0),2)</f>
        <v>0</v>
      </c>
      <c r="AD2109" s="25">
        <f>ROUND(IF(AO2109="2",BF2109,0),2)</f>
        <v>0</v>
      </c>
      <c r="AE2109" s="25">
        <f>ROUND(IF(AO2109="2",BG2109,0),2)</f>
        <v>0</v>
      </c>
      <c r="AF2109" s="25">
        <f>ROUND(IF(AO2109="0",BH2109,0),2)</f>
        <v>0</v>
      </c>
      <c r="AG2109" s="10" t="s">
        <v>2333</v>
      </c>
      <c r="AH2109" s="25">
        <f>IF(AL2109=0,K2109,0)</f>
        <v>0</v>
      </c>
      <c r="AI2109" s="25">
        <f>IF(AL2109=12,K2109,0)</f>
        <v>0</v>
      </c>
      <c r="AJ2109" s="25">
        <f>IF(AL2109=21,K2109,0)</f>
        <v>0</v>
      </c>
      <c r="AL2109" s="25">
        <v>21</v>
      </c>
      <c r="AM2109" s="25">
        <f>H2109*1</f>
        <v>0</v>
      </c>
      <c r="AN2109" s="25">
        <f>H2109*(1-1)</f>
        <v>0</v>
      </c>
      <c r="AO2109" s="27" t="s">
        <v>61</v>
      </c>
      <c r="AT2109" s="25">
        <f>ROUND(AU2109+AV2109,2)</f>
        <v>0</v>
      </c>
      <c r="AU2109" s="25">
        <f>ROUND(G2109*AM2109,2)</f>
        <v>0</v>
      </c>
      <c r="AV2109" s="25">
        <f>ROUND(G2109*AN2109,2)</f>
        <v>0</v>
      </c>
      <c r="AW2109" s="27" t="s">
        <v>2472</v>
      </c>
      <c r="AX2109" s="27" t="s">
        <v>2473</v>
      </c>
      <c r="AY2109" s="10" t="s">
        <v>2341</v>
      </c>
      <c r="BA2109" s="25">
        <f>AU2109+AV2109</f>
        <v>0</v>
      </c>
      <c r="BB2109" s="25">
        <f>H2109/(100-BC2109)*100</f>
        <v>0</v>
      </c>
      <c r="BC2109" s="25">
        <v>0</v>
      </c>
      <c r="BD2109" s="25">
        <f>M2109</f>
        <v>0</v>
      </c>
      <c r="BF2109" s="25">
        <f>G2109*AM2109</f>
        <v>0</v>
      </c>
      <c r="BG2109" s="25">
        <f>G2109*AN2109</f>
        <v>0</v>
      </c>
      <c r="BH2109" s="25">
        <f>G2109*H2109</f>
        <v>0</v>
      </c>
      <c r="BI2109" s="27" t="s">
        <v>65</v>
      </c>
      <c r="BJ2109" s="25">
        <v>728</v>
      </c>
      <c r="BU2109" s="25" t="e">
        <f>#REF!</f>
        <v>#REF!</v>
      </c>
      <c r="BV2109" s="4" t="s">
        <v>2558</v>
      </c>
    </row>
    <row r="2110" spans="1:74" ht="14.4" x14ac:dyDescent="0.3">
      <c r="A2110" s="28"/>
      <c r="D2110" s="29" t="s">
        <v>57</v>
      </c>
      <c r="E2110" s="29" t="s">
        <v>52</v>
      </c>
      <c r="G2110" s="30">
        <v>1</v>
      </c>
      <c r="H2110" s="63"/>
      <c r="N2110" s="31"/>
    </row>
    <row r="2111" spans="1:74" ht="14.4" x14ac:dyDescent="0.3">
      <c r="A2111" s="2" t="s">
        <v>2559</v>
      </c>
      <c r="B2111" s="3" t="s">
        <v>2333</v>
      </c>
      <c r="C2111" s="3" t="s">
        <v>2421</v>
      </c>
      <c r="D2111" s="112" t="s">
        <v>2422</v>
      </c>
      <c r="E2111" s="109"/>
      <c r="F2111" s="3" t="s">
        <v>122</v>
      </c>
      <c r="G2111" s="25">
        <v>2</v>
      </c>
      <c r="H2111" s="62"/>
      <c r="I2111" s="25">
        <f>ROUND(G2111*AM2111,2)</f>
        <v>0</v>
      </c>
      <c r="J2111" s="25">
        <f>ROUND(G2111*AN2111,2)</f>
        <v>0</v>
      </c>
      <c r="K2111" s="25">
        <f>ROUND(G2111*H2111,2)</f>
        <v>0</v>
      </c>
      <c r="L2111" s="25">
        <v>0</v>
      </c>
      <c r="M2111" s="25">
        <f>G2111*L2111</f>
        <v>0</v>
      </c>
      <c r="N2111" s="26"/>
      <c r="X2111" s="25">
        <f>ROUND(IF(AO2111="5",BH2111,0),2)</f>
        <v>0</v>
      </c>
      <c r="Z2111" s="25">
        <f>ROUND(IF(AO2111="1",BF2111,0),2)</f>
        <v>0</v>
      </c>
      <c r="AA2111" s="25">
        <f>ROUND(IF(AO2111="1",BG2111,0),2)</f>
        <v>0</v>
      </c>
      <c r="AB2111" s="25">
        <f>ROUND(IF(AO2111="7",BF2111,0),2)</f>
        <v>0</v>
      </c>
      <c r="AC2111" s="25">
        <f>ROUND(IF(AO2111="7",BG2111,0),2)</f>
        <v>0</v>
      </c>
      <c r="AD2111" s="25">
        <f>ROUND(IF(AO2111="2",BF2111,0),2)</f>
        <v>0</v>
      </c>
      <c r="AE2111" s="25">
        <f>ROUND(IF(AO2111="2",BG2111,0),2)</f>
        <v>0</v>
      </c>
      <c r="AF2111" s="25">
        <f>ROUND(IF(AO2111="0",BH2111,0),2)</f>
        <v>0</v>
      </c>
      <c r="AG2111" s="10" t="s">
        <v>2333</v>
      </c>
      <c r="AH2111" s="25">
        <f>IF(AL2111=0,K2111,0)</f>
        <v>0</v>
      </c>
      <c r="AI2111" s="25">
        <f>IF(AL2111=12,K2111,0)</f>
        <v>0</v>
      </c>
      <c r="AJ2111" s="25">
        <f>IF(AL2111=21,K2111,0)</f>
        <v>0</v>
      </c>
      <c r="AL2111" s="25">
        <v>21</v>
      </c>
      <c r="AM2111" s="25">
        <f>H2111*0</f>
        <v>0</v>
      </c>
      <c r="AN2111" s="25">
        <f>H2111*(1-0)</f>
        <v>0</v>
      </c>
      <c r="AO2111" s="27" t="s">
        <v>61</v>
      </c>
      <c r="AT2111" s="25">
        <f>ROUND(AU2111+AV2111,2)</f>
        <v>0</v>
      </c>
      <c r="AU2111" s="25">
        <f>ROUND(G2111*AM2111,2)</f>
        <v>0</v>
      </c>
      <c r="AV2111" s="25">
        <f>ROUND(G2111*AN2111,2)</f>
        <v>0</v>
      </c>
      <c r="AW2111" s="27" t="s">
        <v>2472</v>
      </c>
      <c r="AX2111" s="27" t="s">
        <v>2473</v>
      </c>
      <c r="AY2111" s="10" t="s">
        <v>2341</v>
      </c>
      <c r="BA2111" s="25">
        <f>AU2111+AV2111</f>
        <v>0</v>
      </c>
      <c r="BB2111" s="25">
        <f>H2111/(100-BC2111)*100</f>
        <v>0</v>
      </c>
      <c r="BC2111" s="25">
        <v>0</v>
      </c>
      <c r="BD2111" s="25">
        <f>M2111</f>
        <v>0</v>
      </c>
      <c r="BF2111" s="25">
        <f>G2111*AM2111</f>
        <v>0</v>
      </c>
      <c r="BG2111" s="25">
        <f>G2111*AN2111</f>
        <v>0</v>
      </c>
      <c r="BH2111" s="25">
        <f>G2111*H2111</f>
        <v>0</v>
      </c>
      <c r="BI2111" s="27" t="s">
        <v>65</v>
      </c>
      <c r="BJ2111" s="25">
        <v>728</v>
      </c>
      <c r="BU2111" s="25" t="e">
        <f>#REF!</f>
        <v>#REF!</v>
      </c>
      <c r="BV2111" s="4" t="s">
        <v>2422</v>
      </c>
    </row>
    <row r="2112" spans="1:74" ht="14.4" x14ac:dyDescent="0.3">
      <c r="A2112" s="28"/>
      <c r="D2112" s="29" t="s">
        <v>81</v>
      </c>
      <c r="E2112" s="29" t="s">
        <v>52</v>
      </c>
      <c r="G2112" s="30">
        <v>2</v>
      </c>
      <c r="H2112" s="63"/>
      <c r="N2112" s="31"/>
    </row>
    <row r="2113" spans="1:74" ht="14.4" x14ac:dyDescent="0.3">
      <c r="A2113" s="2" t="s">
        <v>2560</v>
      </c>
      <c r="B2113" s="3" t="s">
        <v>2333</v>
      </c>
      <c r="C2113" s="3" t="s">
        <v>2561</v>
      </c>
      <c r="D2113" s="112" t="s">
        <v>2562</v>
      </c>
      <c r="E2113" s="109"/>
      <c r="F2113" s="3" t="s">
        <v>122</v>
      </c>
      <c r="G2113" s="25">
        <v>8</v>
      </c>
      <c r="H2113" s="62"/>
      <c r="I2113" s="25">
        <f>ROUND(G2113*AM2113,2)</f>
        <v>0</v>
      </c>
      <c r="J2113" s="25">
        <f>ROUND(G2113*AN2113,2)</f>
        <v>0</v>
      </c>
      <c r="K2113" s="25">
        <f>ROUND(G2113*H2113,2)</f>
        <v>0</v>
      </c>
      <c r="L2113" s="25">
        <v>0</v>
      </c>
      <c r="M2113" s="25">
        <f>G2113*L2113</f>
        <v>0</v>
      </c>
      <c r="N2113" s="26"/>
      <c r="X2113" s="25">
        <f>ROUND(IF(AO2113="5",BH2113,0),2)</f>
        <v>0</v>
      </c>
      <c r="Z2113" s="25">
        <f>ROUND(IF(AO2113="1",BF2113,0),2)</f>
        <v>0</v>
      </c>
      <c r="AA2113" s="25">
        <f>ROUND(IF(AO2113="1",BG2113,0),2)</f>
        <v>0</v>
      </c>
      <c r="AB2113" s="25">
        <f>ROUND(IF(AO2113="7",BF2113,0),2)</f>
        <v>0</v>
      </c>
      <c r="AC2113" s="25">
        <f>ROUND(IF(AO2113="7",BG2113,0),2)</f>
        <v>0</v>
      </c>
      <c r="AD2113" s="25">
        <f>ROUND(IF(AO2113="2",BF2113,0),2)</f>
        <v>0</v>
      </c>
      <c r="AE2113" s="25">
        <f>ROUND(IF(AO2113="2",BG2113,0),2)</f>
        <v>0</v>
      </c>
      <c r="AF2113" s="25">
        <f>ROUND(IF(AO2113="0",BH2113,0),2)</f>
        <v>0</v>
      </c>
      <c r="AG2113" s="10" t="s">
        <v>2333</v>
      </c>
      <c r="AH2113" s="25">
        <f>IF(AL2113=0,K2113,0)</f>
        <v>0</v>
      </c>
      <c r="AI2113" s="25">
        <f>IF(AL2113=12,K2113,0)</f>
        <v>0</v>
      </c>
      <c r="AJ2113" s="25">
        <f>IF(AL2113=21,K2113,0)</f>
        <v>0</v>
      </c>
      <c r="AL2113" s="25">
        <v>21</v>
      </c>
      <c r="AM2113" s="25">
        <f>H2113*0</f>
        <v>0</v>
      </c>
      <c r="AN2113" s="25">
        <f>H2113*(1-0)</f>
        <v>0</v>
      </c>
      <c r="AO2113" s="27" t="s">
        <v>61</v>
      </c>
      <c r="AT2113" s="25">
        <f>ROUND(AU2113+AV2113,2)</f>
        <v>0</v>
      </c>
      <c r="AU2113" s="25">
        <f>ROUND(G2113*AM2113,2)</f>
        <v>0</v>
      </c>
      <c r="AV2113" s="25">
        <f>ROUND(G2113*AN2113,2)</f>
        <v>0</v>
      </c>
      <c r="AW2113" s="27" t="s">
        <v>2472</v>
      </c>
      <c r="AX2113" s="27" t="s">
        <v>2473</v>
      </c>
      <c r="AY2113" s="10" t="s">
        <v>2341</v>
      </c>
      <c r="BA2113" s="25">
        <f>AU2113+AV2113</f>
        <v>0</v>
      </c>
      <c r="BB2113" s="25">
        <f>H2113/(100-BC2113)*100</f>
        <v>0</v>
      </c>
      <c r="BC2113" s="25">
        <v>0</v>
      </c>
      <c r="BD2113" s="25">
        <f>M2113</f>
        <v>0</v>
      </c>
      <c r="BF2113" s="25">
        <f>G2113*AM2113</f>
        <v>0</v>
      </c>
      <c r="BG2113" s="25">
        <f>G2113*AN2113</f>
        <v>0</v>
      </c>
      <c r="BH2113" s="25">
        <f>G2113*H2113</f>
        <v>0</v>
      </c>
      <c r="BI2113" s="27" t="s">
        <v>65</v>
      </c>
      <c r="BJ2113" s="25">
        <v>728</v>
      </c>
      <c r="BU2113" s="25" t="e">
        <f>#REF!</f>
        <v>#REF!</v>
      </c>
      <c r="BV2113" s="4" t="s">
        <v>2562</v>
      </c>
    </row>
    <row r="2114" spans="1:74" ht="14.4" x14ac:dyDescent="0.3">
      <c r="A2114" s="2" t="s">
        <v>2563</v>
      </c>
      <c r="B2114" s="3" t="s">
        <v>2333</v>
      </c>
      <c r="C2114" s="3" t="s">
        <v>2564</v>
      </c>
      <c r="D2114" s="112" t="s">
        <v>2565</v>
      </c>
      <c r="E2114" s="109"/>
      <c r="F2114" s="3" t="s">
        <v>122</v>
      </c>
      <c r="G2114" s="25">
        <v>1</v>
      </c>
      <c r="H2114" s="62"/>
      <c r="I2114" s="25">
        <f>ROUND(G2114*AM2114,2)</f>
        <v>0</v>
      </c>
      <c r="J2114" s="25">
        <f>ROUND(G2114*AN2114,2)</f>
        <v>0</v>
      </c>
      <c r="K2114" s="25">
        <f>ROUND(G2114*H2114,2)</f>
        <v>0</v>
      </c>
      <c r="L2114" s="25">
        <v>0</v>
      </c>
      <c r="M2114" s="25">
        <f>G2114*L2114</f>
        <v>0</v>
      </c>
      <c r="N2114" s="26"/>
      <c r="X2114" s="25">
        <f>ROUND(IF(AO2114="5",BH2114,0),2)</f>
        <v>0</v>
      </c>
      <c r="Z2114" s="25">
        <f>ROUND(IF(AO2114="1",BF2114,0),2)</f>
        <v>0</v>
      </c>
      <c r="AA2114" s="25">
        <f>ROUND(IF(AO2114="1",BG2114,0),2)</f>
        <v>0</v>
      </c>
      <c r="AB2114" s="25">
        <f>ROUND(IF(AO2114="7",BF2114,0),2)</f>
        <v>0</v>
      </c>
      <c r="AC2114" s="25">
        <f>ROUND(IF(AO2114="7",BG2114,0),2)</f>
        <v>0</v>
      </c>
      <c r="AD2114" s="25">
        <f>ROUND(IF(AO2114="2",BF2114,0),2)</f>
        <v>0</v>
      </c>
      <c r="AE2114" s="25">
        <f>ROUND(IF(AO2114="2",BG2114,0),2)</f>
        <v>0</v>
      </c>
      <c r="AF2114" s="25">
        <f>ROUND(IF(AO2114="0",BH2114,0),2)</f>
        <v>0</v>
      </c>
      <c r="AG2114" s="10" t="s">
        <v>2333</v>
      </c>
      <c r="AH2114" s="25">
        <f>IF(AL2114=0,K2114,0)</f>
        <v>0</v>
      </c>
      <c r="AI2114" s="25">
        <f>IF(AL2114=12,K2114,0)</f>
        <v>0</v>
      </c>
      <c r="AJ2114" s="25">
        <f>IF(AL2114=21,K2114,0)</f>
        <v>0</v>
      </c>
      <c r="AL2114" s="25">
        <v>21</v>
      </c>
      <c r="AM2114" s="25">
        <f>H2114*0</f>
        <v>0</v>
      </c>
      <c r="AN2114" s="25">
        <f>H2114*(1-0)</f>
        <v>0</v>
      </c>
      <c r="AO2114" s="27" t="s">
        <v>61</v>
      </c>
      <c r="AT2114" s="25">
        <f>ROUND(AU2114+AV2114,2)</f>
        <v>0</v>
      </c>
      <c r="AU2114" s="25">
        <f>ROUND(G2114*AM2114,2)</f>
        <v>0</v>
      </c>
      <c r="AV2114" s="25">
        <f>ROUND(G2114*AN2114,2)</f>
        <v>0</v>
      </c>
      <c r="AW2114" s="27" t="s">
        <v>2472</v>
      </c>
      <c r="AX2114" s="27" t="s">
        <v>2473</v>
      </c>
      <c r="AY2114" s="10" t="s">
        <v>2341</v>
      </c>
      <c r="BA2114" s="25">
        <f>AU2114+AV2114</f>
        <v>0</v>
      </c>
      <c r="BB2114" s="25">
        <f>H2114/(100-BC2114)*100</f>
        <v>0</v>
      </c>
      <c r="BC2114" s="25">
        <v>0</v>
      </c>
      <c r="BD2114" s="25">
        <f>M2114</f>
        <v>0</v>
      </c>
      <c r="BF2114" s="25">
        <f>G2114*AM2114</f>
        <v>0</v>
      </c>
      <c r="BG2114" s="25">
        <f>G2114*AN2114</f>
        <v>0</v>
      </c>
      <c r="BH2114" s="25">
        <f>G2114*H2114</f>
        <v>0</v>
      </c>
      <c r="BI2114" s="27" t="s">
        <v>65</v>
      </c>
      <c r="BJ2114" s="25">
        <v>728</v>
      </c>
      <c r="BU2114" s="25" t="e">
        <f>#REF!</f>
        <v>#REF!</v>
      </c>
      <c r="BV2114" s="4" t="s">
        <v>2565</v>
      </c>
    </row>
    <row r="2115" spans="1:74" ht="14.4" x14ac:dyDescent="0.3">
      <c r="A2115" s="2" t="s">
        <v>2566</v>
      </c>
      <c r="B2115" s="3" t="s">
        <v>2333</v>
      </c>
      <c r="C2115" s="3" t="s">
        <v>2567</v>
      </c>
      <c r="D2115" s="112" t="s">
        <v>2568</v>
      </c>
      <c r="E2115" s="109"/>
      <c r="F2115" s="3" t="s">
        <v>122</v>
      </c>
      <c r="G2115" s="25">
        <v>3</v>
      </c>
      <c r="H2115" s="62"/>
      <c r="I2115" s="25">
        <f>ROUND(G2115*AM2115,2)</f>
        <v>0</v>
      </c>
      <c r="J2115" s="25">
        <f>ROUND(G2115*AN2115,2)</f>
        <v>0</v>
      </c>
      <c r="K2115" s="25">
        <f>ROUND(G2115*H2115,2)</f>
        <v>0</v>
      </c>
      <c r="L2115" s="25">
        <v>0</v>
      </c>
      <c r="M2115" s="25">
        <f>G2115*L2115</f>
        <v>0</v>
      </c>
      <c r="N2115" s="26"/>
      <c r="X2115" s="25">
        <f>ROUND(IF(AO2115="5",BH2115,0),2)</f>
        <v>0</v>
      </c>
      <c r="Z2115" s="25">
        <f>ROUND(IF(AO2115="1",BF2115,0),2)</f>
        <v>0</v>
      </c>
      <c r="AA2115" s="25">
        <f>ROUND(IF(AO2115="1",BG2115,0),2)</f>
        <v>0</v>
      </c>
      <c r="AB2115" s="25">
        <f>ROUND(IF(AO2115="7",BF2115,0),2)</f>
        <v>0</v>
      </c>
      <c r="AC2115" s="25">
        <f>ROUND(IF(AO2115="7",BG2115,0),2)</f>
        <v>0</v>
      </c>
      <c r="AD2115" s="25">
        <f>ROUND(IF(AO2115="2",BF2115,0),2)</f>
        <v>0</v>
      </c>
      <c r="AE2115" s="25">
        <f>ROUND(IF(AO2115="2",BG2115,0),2)</f>
        <v>0</v>
      </c>
      <c r="AF2115" s="25">
        <f>ROUND(IF(AO2115="0",BH2115,0),2)</f>
        <v>0</v>
      </c>
      <c r="AG2115" s="10" t="s">
        <v>2333</v>
      </c>
      <c r="AH2115" s="25">
        <f>IF(AL2115=0,K2115,0)</f>
        <v>0</v>
      </c>
      <c r="AI2115" s="25">
        <f>IF(AL2115=12,K2115,0)</f>
        <v>0</v>
      </c>
      <c r="AJ2115" s="25">
        <f>IF(AL2115=21,K2115,0)</f>
        <v>0</v>
      </c>
      <c r="AL2115" s="25">
        <v>21</v>
      </c>
      <c r="AM2115" s="25">
        <f>H2115*0</f>
        <v>0</v>
      </c>
      <c r="AN2115" s="25">
        <f>H2115*(1-0)</f>
        <v>0</v>
      </c>
      <c r="AO2115" s="27" t="s">
        <v>61</v>
      </c>
      <c r="AT2115" s="25">
        <f>ROUND(AU2115+AV2115,2)</f>
        <v>0</v>
      </c>
      <c r="AU2115" s="25">
        <f>ROUND(G2115*AM2115,2)</f>
        <v>0</v>
      </c>
      <c r="AV2115" s="25">
        <f>ROUND(G2115*AN2115,2)</f>
        <v>0</v>
      </c>
      <c r="AW2115" s="27" t="s">
        <v>2472</v>
      </c>
      <c r="AX2115" s="27" t="s">
        <v>2473</v>
      </c>
      <c r="AY2115" s="10" t="s">
        <v>2341</v>
      </c>
      <c r="BA2115" s="25">
        <f>AU2115+AV2115</f>
        <v>0</v>
      </c>
      <c r="BB2115" s="25">
        <f>H2115/(100-BC2115)*100</f>
        <v>0</v>
      </c>
      <c r="BC2115" s="25">
        <v>0</v>
      </c>
      <c r="BD2115" s="25">
        <f>M2115</f>
        <v>0</v>
      </c>
      <c r="BF2115" s="25">
        <f>G2115*AM2115</f>
        <v>0</v>
      </c>
      <c r="BG2115" s="25">
        <f>G2115*AN2115</f>
        <v>0</v>
      </c>
      <c r="BH2115" s="25">
        <f>G2115*H2115</f>
        <v>0</v>
      </c>
      <c r="BI2115" s="27" t="s">
        <v>65</v>
      </c>
      <c r="BJ2115" s="25">
        <v>728</v>
      </c>
      <c r="BU2115" s="25" t="e">
        <f>#REF!</f>
        <v>#REF!</v>
      </c>
      <c r="BV2115" s="4" t="s">
        <v>2568</v>
      </c>
    </row>
    <row r="2116" spans="1:74" ht="14.4" x14ac:dyDescent="0.3">
      <c r="A2116" s="2" t="s">
        <v>2569</v>
      </c>
      <c r="B2116" s="3" t="s">
        <v>2333</v>
      </c>
      <c r="C2116" s="3" t="s">
        <v>2570</v>
      </c>
      <c r="D2116" s="112" t="s">
        <v>2571</v>
      </c>
      <c r="E2116" s="109"/>
      <c r="F2116" s="3" t="s">
        <v>122</v>
      </c>
      <c r="G2116" s="25">
        <v>2</v>
      </c>
      <c r="H2116" s="62"/>
      <c r="I2116" s="25">
        <f>ROUND(G2116*AM2116,2)</f>
        <v>0</v>
      </c>
      <c r="J2116" s="25">
        <f>ROUND(G2116*AN2116,2)</f>
        <v>0</v>
      </c>
      <c r="K2116" s="25">
        <f>ROUND(G2116*H2116,2)</f>
        <v>0</v>
      </c>
      <c r="L2116" s="25">
        <v>0</v>
      </c>
      <c r="M2116" s="25">
        <f>G2116*L2116</f>
        <v>0</v>
      </c>
      <c r="N2116" s="26"/>
      <c r="X2116" s="25">
        <f>ROUND(IF(AO2116="5",BH2116,0),2)</f>
        <v>0</v>
      </c>
      <c r="Z2116" s="25">
        <f>ROUND(IF(AO2116="1",BF2116,0),2)</f>
        <v>0</v>
      </c>
      <c r="AA2116" s="25">
        <f>ROUND(IF(AO2116="1",BG2116,0),2)</f>
        <v>0</v>
      </c>
      <c r="AB2116" s="25">
        <f>ROUND(IF(AO2116="7",BF2116,0),2)</f>
        <v>0</v>
      </c>
      <c r="AC2116" s="25">
        <f>ROUND(IF(AO2116="7",BG2116,0),2)</f>
        <v>0</v>
      </c>
      <c r="AD2116" s="25">
        <f>ROUND(IF(AO2116="2",BF2116,0),2)</f>
        <v>0</v>
      </c>
      <c r="AE2116" s="25">
        <f>ROUND(IF(AO2116="2",BG2116,0),2)</f>
        <v>0</v>
      </c>
      <c r="AF2116" s="25">
        <f>ROUND(IF(AO2116="0",BH2116,0),2)</f>
        <v>0</v>
      </c>
      <c r="AG2116" s="10" t="s">
        <v>2333</v>
      </c>
      <c r="AH2116" s="25">
        <f>IF(AL2116=0,K2116,0)</f>
        <v>0</v>
      </c>
      <c r="AI2116" s="25">
        <f>IF(AL2116=12,K2116,0)</f>
        <v>0</v>
      </c>
      <c r="AJ2116" s="25">
        <f>IF(AL2116=21,K2116,0)</f>
        <v>0</v>
      </c>
      <c r="AL2116" s="25">
        <v>21</v>
      </c>
      <c r="AM2116" s="25">
        <f>H2116*0</f>
        <v>0</v>
      </c>
      <c r="AN2116" s="25">
        <f>H2116*(1-0)</f>
        <v>0</v>
      </c>
      <c r="AO2116" s="27" t="s">
        <v>61</v>
      </c>
      <c r="AT2116" s="25">
        <f>ROUND(AU2116+AV2116,2)</f>
        <v>0</v>
      </c>
      <c r="AU2116" s="25">
        <f>ROUND(G2116*AM2116,2)</f>
        <v>0</v>
      </c>
      <c r="AV2116" s="25">
        <f>ROUND(G2116*AN2116,2)</f>
        <v>0</v>
      </c>
      <c r="AW2116" s="27" t="s">
        <v>2472</v>
      </c>
      <c r="AX2116" s="27" t="s">
        <v>2473</v>
      </c>
      <c r="AY2116" s="10" t="s">
        <v>2341</v>
      </c>
      <c r="BA2116" s="25">
        <f>AU2116+AV2116</f>
        <v>0</v>
      </c>
      <c r="BB2116" s="25">
        <f>H2116/(100-BC2116)*100</f>
        <v>0</v>
      </c>
      <c r="BC2116" s="25">
        <v>0</v>
      </c>
      <c r="BD2116" s="25">
        <f>M2116</f>
        <v>0</v>
      </c>
      <c r="BF2116" s="25">
        <f>G2116*AM2116</f>
        <v>0</v>
      </c>
      <c r="BG2116" s="25">
        <f>G2116*AN2116</f>
        <v>0</v>
      </c>
      <c r="BH2116" s="25">
        <f>G2116*H2116</f>
        <v>0</v>
      </c>
      <c r="BI2116" s="27" t="s">
        <v>65</v>
      </c>
      <c r="BJ2116" s="25">
        <v>728</v>
      </c>
      <c r="BU2116" s="25" t="e">
        <f>#REF!</f>
        <v>#REF!</v>
      </c>
      <c r="BV2116" s="4" t="s">
        <v>2571</v>
      </c>
    </row>
    <row r="2117" spans="1:74" ht="26.4" x14ac:dyDescent="0.3">
      <c r="A2117" s="2" t="s">
        <v>2572</v>
      </c>
      <c r="B2117" s="3" t="s">
        <v>2333</v>
      </c>
      <c r="C2117" s="3" t="s">
        <v>1782</v>
      </c>
      <c r="D2117" s="112" t="s">
        <v>2573</v>
      </c>
      <c r="E2117" s="109"/>
      <c r="F2117" s="3" t="s">
        <v>860</v>
      </c>
      <c r="G2117" s="25">
        <v>1</v>
      </c>
      <c r="H2117" s="62"/>
      <c r="I2117" s="25">
        <f>ROUND(G2117*AM2117,2)</f>
        <v>0</v>
      </c>
      <c r="J2117" s="25">
        <f>ROUND(G2117*AN2117,2)</f>
        <v>0</v>
      </c>
      <c r="K2117" s="25">
        <f>ROUND(G2117*H2117,2)</f>
        <v>0</v>
      </c>
      <c r="L2117" s="25">
        <v>0</v>
      </c>
      <c r="M2117" s="25">
        <f>G2117*L2117</f>
        <v>0</v>
      </c>
      <c r="N2117" s="102"/>
      <c r="X2117" s="25">
        <f>ROUND(IF(AO2117="5",BH2117,0),2)</f>
        <v>0</v>
      </c>
      <c r="Z2117" s="25">
        <f>ROUND(IF(AO2117="1",BF2117,0),2)</f>
        <v>0</v>
      </c>
      <c r="AA2117" s="25">
        <f>ROUND(IF(AO2117="1",BG2117,0),2)</f>
        <v>0</v>
      </c>
      <c r="AB2117" s="25">
        <f>ROUND(IF(AO2117="7",BF2117,0),2)</f>
        <v>0</v>
      </c>
      <c r="AC2117" s="25">
        <f>ROUND(IF(AO2117="7",BG2117,0),2)</f>
        <v>0</v>
      </c>
      <c r="AD2117" s="25">
        <f>ROUND(IF(AO2117="2",BF2117,0),2)</f>
        <v>0</v>
      </c>
      <c r="AE2117" s="25">
        <f>ROUND(IF(AO2117="2",BG2117,0),2)</f>
        <v>0</v>
      </c>
      <c r="AF2117" s="25">
        <f>ROUND(IF(AO2117="0",BH2117,0),2)</f>
        <v>0</v>
      </c>
      <c r="AG2117" s="10" t="s">
        <v>2333</v>
      </c>
      <c r="AH2117" s="25">
        <f>IF(AL2117=0,K2117,0)</f>
        <v>0</v>
      </c>
      <c r="AI2117" s="25">
        <f>IF(AL2117=12,K2117,0)</f>
        <v>0</v>
      </c>
      <c r="AJ2117" s="25">
        <f>IF(AL2117=21,K2117,0)</f>
        <v>0</v>
      </c>
      <c r="AL2117" s="25">
        <v>21</v>
      </c>
      <c r="AM2117" s="25">
        <f>H2117*1</f>
        <v>0</v>
      </c>
      <c r="AN2117" s="25">
        <f>H2117*(1-1)</f>
        <v>0</v>
      </c>
      <c r="AO2117" s="27" t="s">
        <v>61</v>
      </c>
      <c r="AT2117" s="25">
        <f>ROUND(AU2117+AV2117,2)</f>
        <v>0</v>
      </c>
      <c r="AU2117" s="25">
        <f>ROUND(G2117*AM2117,2)</f>
        <v>0</v>
      </c>
      <c r="AV2117" s="25">
        <f>ROUND(G2117*AN2117,2)</f>
        <v>0</v>
      </c>
      <c r="AW2117" s="27" t="s">
        <v>2472</v>
      </c>
      <c r="AX2117" s="27" t="s">
        <v>2473</v>
      </c>
      <c r="AY2117" s="10" t="s">
        <v>2341</v>
      </c>
      <c r="BA2117" s="25">
        <f>AU2117+AV2117</f>
        <v>0</v>
      </c>
      <c r="BB2117" s="25">
        <f>H2117/(100-BC2117)*100</f>
        <v>0</v>
      </c>
      <c r="BC2117" s="25">
        <v>0</v>
      </c>
      <c r="BD2117" s="25">
        <f>M2117</f>
        <v>0</v>
      </c>
      <c r="BF2117" s="25">
        <f>G2117*AM2117</f>
        <v>0</v>
      </c>
      <c r="BG2117" s="25">
        <f>G2117*AN2117</f>
        <v>0</v>
      </c>
      <c r="BH2117" s="25">
        <f>G2117*H2117</f>
        <v>0</v>
      </c>
      <c r="BI2117" s="27" t="s">
        <v>65</v>
      </c>
      <c r="BJ2117" s="25">
        <v>728</v>
      </c>
      <c r="BU2117" s="25" t="e">
        <f>#REF!</f>
        <v>#REF!</v>
      </c>
      <c r="BV2117" s="4" t="s">
        <v>2573</v>
      </c>
    </row>
    <row r="2118" spans="1:74" ht="14.4" x14ac:dyDescent="0.3">
      <c r="A2118" s="28"/>
      <c r="D2118" s="29" t="s">
        <v>57</v>
      </c>
      <c r="E2118" s="29" t="s">
        <v>52</v>
      </c>
      <c r="G2118" s="30">
        <v>1</v>
      </c>
      <c r="H2118" s="63"/>
      <c r="N2118" s="31"/>
    </row>
    <row r="2119" spans="1:74" ht="26.4" x14ac:dyDescent="0.3">
      <c r="A2119" s="2" t="s">
        <v>2574</v>
      </c>
      <c r="B2119" s="3" t="s">
        <v>2333</v>
      </c>
      <c r="C2119" s="3" t="s">
        <v>1779</v>
      </c>
      <c r="D2119" s="112" t="s">
        <v>2575</v>
      </c>
      <c r="E2119" s="109"/>
      <c r="F2119" s="3" t="s">
        <v>860</v>
      </c>
      <c r="G2119" s="25">
        <v>1</v>
      </c>
      <c r="H2119" s="62"/>
      <c r="I2119" s="25">
        <f>ROUND(G2119*AM2119,2)</f>
        <v>0</v>
      </c>
      <c r="J2119" s="25">
        <f>ROUND(G2119*AN2119,2)</f>
        <v>0</v>
      </c>
      <c r="K2119" s="25">
        <f>ROUND(G2119*H2119,2)</f>
        <v>0</v>
      </c>
      <c r="L2119" s="25">
        <v>0</v>
      </c>
      <c r="M2119" s="25">
        <f>G2119*L2119</f>
        <v>0</v>
      </c>
      <c r="N2119" s="102"/>
      <c r="X2119" s="25">
        <f>ROUND(IF(AO2119="5",BH2119,0),2)</f>
        <v>0</v>
      </c>
      <c r="Z2119" s="25">
        <f>ROUND(IF(AO2119="1",BF2119,0),2)</f>
        <v>0</v>
      </c>
      <c r="AA2119" s="25">
        <f>ROUND(IF(AO2119="1",BG2119,0),2)</f>
        <v>0</v>
      </c>
      <c r="AB2119" s="25">
        <f>ROUND(IF(AO2119="7",BF2119,0),2)</f>
        <v>0</v>
      </c>
      <c r="AC2119" s="25">
        <f>ROUND(IF(AO2119="7",BG2119,0),2)</f>
        <v>0</v>
      </c>
      <c r="AD2119" s="25">
        <f>ROUND(IF(AO2119="2",BF2119,0),2)</f>
        <v>0</v>
      </c>
      <c r="AE2119" s="25">
        <f>ROUND(IF(AO2119="2",BG2119,0),2)</f>
        <v>0</v>
      </c>
      <c r="AF2119" s="25">
        <f>ROUND(IF(AO2119="0",BH2119,0),2)</f>
        <v>0</v>
      </c>
      <c r="AG2119" s="10" t="s">
        <v>2333</v>
      </c>
      <c r="AH2119" s="25">
        <f>IF(AL2119=0,K2119,0)</f>
        <v>0</v>
      </c>
      <c r="AI2119" s="25">
        <f>IF(AL2119=12,K2119,0)</f>
        <v>0</v>
      </c>
      <c r="AJ2119" s="25">
        <f>IF(AL2119=21,K2119,0)</f>
        <v>0</v>
      </c>
      <c r="AL2119" s="25">
        <v>21</v>
      </c>
      <c r="AM2119" s="25">
        <f>H2119*1</f>
        <v>0</v>
      </c>
      <c r="AN2119" s="25">
        <f>H2119*(1-1)</f>
        <v>0</v>
      </c>
      <c r="AO2119" s="27" t="s">
        <v>61</v>
      </c>
      <c r="AT2119" s="25">
        <f>ROUND(AU2119+AV2119,2)</f>
        <v>0</v>
      </c>
      <c r="AU2119" s="25">
        <f>ROUND(G2119*AM2119,2)</f>
        <v>0</v>
      </c>
      <c r="AV2119" s="25">
        <f>ROUND(G2119*AN2119,2)</f>
        <v>0</v>
      </c>
      <c r="AW2119" s="27" t="s">
        <v>2472</v>
      </c>
      <c r="AX2119" s="27" t="s">
        <v>2473</v>
      </c>
      <c r="AY2119" s="10" t="s">
        <v>2341</v>
      </c>
      <c r="BA2119" s="25">
        <f>AU2119+AV2119</f>
        <v>0</v>
      </c>
      <c r="BB2119" s="25">
        <f>H2119/(100-BC2119)*100</f>
        <v>0</v>
      </c>
      <c r="BC2119" s="25">
        <v>0</v>
      </c>
      <c r="BD2119" s="25">
        <f>M2119</f>
        <v>0</v>
      </c>
      <c r="BF2119" s="25">
        <f>G2119*AM2119</f>
        <v>0</v>
      </c>
      <c r="BG2119" s="25">
        <f>G2119*AN2119</f>
        <v>0</v>
      </c>
      <c r="BH2119" s="25">
        <f>G2119*H2119</f>
        <v>0</v>
      </c>
      <c r="BI2119" s="27" t="s">
        <v>65</v>
      </c>
      <c r="BJ2119" s="25">
        <v>728</v>
      </c>
      <c r="BU2119" s="25" t="e">
        <f>#REF!</f>
        <v>#REF!</v>
      </c>
      <c r="BV2119" s="4" t="s">
        <v>2575</v>
      </c>
    </row>
    <row r="2120" spans="1:74" ht="14.4" x14ac:dyDescent="0.3">
      <c r="A2120" s="28"/>
      <c r="D2120" s="29" t="s">
        <v>57</v>
      </c>
      <c r="E2120" s="29" t="s">
        <v>52</v>
      </c>
      <c r="G2120" s="30">
        <v>1</v>
      </c>
      <c r="H2120" s="63"/>
      <c r="N2120" s="31"/>
    </row>
    <row r="2121" spans="1:74" ht="26.4" x14ac:dyDescent="0.3">
      <c r="A2121" s="2" t="s">
        <v>2576</v>
      </c>
      <c r="B2121" s="3" t="s">
        <v>2333</v>
      </c>
      <c r="C2121" s="3" t="s">
        <v>1776</v>
      </c>
      <c r="D2121" s="112" t="s">
        <v>2577</v>
      </c>
      <c r="E2121" s="109"/>
      <c r="F2121" s="3" t="s">
        <v>860</v>
      </c>
      <c r="G2121" s="25">
        <v>1</v>
      </c>
      <c r="H2121" s="62"/>
      <c r="I2121" s="25">
        <f>ROUND(G2121*AM2121,2)</f>
        <v>0</v>
      </c>
      <c r="J2121" s="25">
        <f>ROUND(G2121*AN2121,2)</f>
        <v>0</v>
      </c>
      <c r="K2121" s="25">
        <f>ROUND(G2121*H2121,2)</f>
        <v>0</v>
      </c>
      <c r="L2121" s="25">
        <v>0</v>
      </c>
      <c r="M2121" s="25">
        <f>G2121*L2121</f>
        <v>0</v>
      </c>
      <c r="N2121" s="102"/>
      <c r="X2121" s="25">
        <f>ROUND(IF(AO2121="5",BH2121,0),2)</f>
        <v>0</v>
      </c>
      <c r="Z2121" s="25">
        <f>ROUND(IF(AO2121="1",BF2121,0),2)</f>
        <v>0</v>
      </c>
      <c r="AA2121" s="25">
        <f>ROUND(IF(AO2121="1",BG2121,0),2)</f>
        <v>0</v>
      </c>
      <c r="AB2121" s="25">
        <f>ROUND(IF(AO2121="7",BF2121,0),2)</f>
        <v>0</v>
      </c>
      <c r="AC2121" s="25">
        <f>ROUND(IF(AO2121="7",BG2121,0),2)</f>
        <v>0</v>
      </c>
      <c r="AD2121" s="25">
        <f>ROUND(IF(AO2121="2",BF2121,0),2)</f>
        <v>0</v>
      </c>
      <c r="AE2121" s="25">
        <f>ROUND(IF(AO2121="2",BG2121,0),2)</f>
        <v>0</v>
      </c>
      <c r="AF2121" s="25">
        <f>ROUND(IF(AO2121="0",BH2121,0),2)</f>
        <v>0</v>
      </c>
      <c r="AG2121" s="10" t="s">
        <v>2333</v>
      </c>
      <c r="AH2121" s="25">
        <f>IF(AL2121=0,K2121,0)</f>
        <v>0</v>
      </c>
      <c r="AI2121" s="25">
        <f>IF(AL2121=12,K2121,0)</f>
        <v>0</v>
      </c>
      <c r="AJ2121" s="25">
        <f>IF(AL2121=21,K2121,0)</f>
        <v>0</v>
      </c>
      <c r="AL2121" s="25">
        <v>21</v>
      </c>
      <c r="AM2121" s="25">
        <f>H2121*1</f>
        <v>0</v>
      </c>
      <c r="AN2121" s="25">
        <f>H2121*(1-1)</f>
        <v>0</v>
      </c>
      <c r="AO2121" s="27" t="s">
        <v>61</v>
      </c>
      <c r="AT2121" s="25">
        <f>ROUND(AU2121+AV2121,2)</f>
        <v>0</v>
      </c>
      <c r="AU2121" s="25">
        <f>ROUND(G2121*AM2121,2)</f>
        <v>0</v>
      </c>
      <c r="AV2121" s="25">
        <f>ROUND(G2121*AN2121,2)</f>
        <v>0</v>
      </c>
      <c r="AW2121" s="27" t="s">
        <v>2472</v>
      </c>
      <c r="AX2121" s="27" t="s">
        <v>2473</v>
      </c>
      <c r="AY2121" s="10" t="s">
        <v>2341</v>
      </c>
      <c r="BA2121" s="25">
        <f>AU2121+AV2121</f>
        <v>0</v>
      </c>
      <c r="BB2121" s="25">
        <f>H2121/(100-BC2121)*100</f>
        <v>0</v>
      </c>
      <c r="BC2121" s="25">
        <v>0</v>
      </c>
      <c r="BD2121" s="25">
        <f>M2121</f>
        <v>0</v>
      </c>
      <c r="BF2121" s="25">
        <f>G2121*AM2121</f>
        <v>0</v>
      </c>
      <c r="BG2121" s="25">
        <f>G2121*AN2121</f>
        <v>0</v>
      </c>
      <c r="BH2121" s="25">
        <f>G2121*H2121</f>
        <v>0</v>
      </c>
      <c r="BI2121" s="27" t="s">
        <v>65</v>
      </c>
      <c r="BJ2121" s="25">
        <v>728</v>
      </c>
      <c r="BU2121" s="25" t="e">
        <f>#REF!</f>
        <v>#REF!</v>
      </c>
      <c r="BV2121" s="4" t="s">
        <v>2577</v>
      </c>
    </row>
    <row r="2122" spans="1:74" ht="14.4" x14ac:dyDescent="0.3">
      <c r="A2122" s="28"/>
      <c r="D2122" s="29" t="s">
        <v>57</v>
      </c>
      <c r="E2122" s="29" t="s">
        <v>52</v>
      </c>
      <c r="G2122" s="30">
        <v>1</v>
      </c>
      <c r="H2122" s="63"/>
      <c r="N2122" s="31"/>
    </row>
    <row r="2123" spans="1:74" ht="26.4" x14ac:dyDescent="0.3">
      <c r="A2123" s="2" t="s">
        <v>2578</v>
      </c>
      <c r="B2123" s="3" t="s">
        <v>2333</v>
      </c>
      <c r="C2123" s="3" t="s">
        <v>1773</v>
      </c>
      <c r="D2123" s="112" t="s">
        <v>2579</v>
      </c>
      <c r="E2123" s="109"/>
      <c r="F2123" s="3" t="s">
        <v>860</v>
      </c>
      <c r="G2123" s="25">
        <v>1</v>
      </c>
      <c r="H2123" s="62"/>
      <c r="I2123" s="25">
        <f>ROUND(G2123*AM2123,2)</f>
        <v>0</v>
      </c>
      <c r="J2123" s="25">
        <f>ROUND(G2123*AN2123,2)</f>
        <v>0</v>
      </c>
      <c r="K2123" s="25">
        <f>ROUND(G2123*H2123,2)</f>
        <v>0</v>
      </c>
      <c r="L2123" s="25">
        <v>0</v>
      </c>
      <c r="M2123" s="25">
        <f>G2123*L2123</f>
        <v>0</v>
      </c>
      <c r="N2123" s="102"/>
      <c r="X2123" s="25">
        <f>ROUND(IF(AO2123="5",BH2123,0),2)</f>
        <v>0</v>
      </c>
      <c r="Z2123" s="25">
        <f>ROUND(IF(AO2123="1",BF2123,0),2)</f>
        <v>0</v>
      </c>
      <c r="AA2123" s="25">
        <f>ROUND(IF(AO2123="1",BG2123,0),2)</f>
        <v>0</v>
      </c>
      <c r="AB2123" s="25">
        <f>ROUND(IF(AO2123="7",BF2123,0),2)</f>
        <v>0</v>
      </c>
      <c r="AC2123" s="25">
        <f>ROUND(IF(AO2123="7",BG2123,0),2)</f>
        <v>0</v>
      </c>
      <c r="AD2123" s="25">
        <f>ROUND(IF(AO2123="2",BF2123,0),2)</f>
        <v>0</v>
      </c>
      <c r="AE2123" s="25">
        <f>ROUND(IF(AO2123="2",BG2123,0),2)</f>
        <v>0</v>
      </c>
      <c r="AF2123" s="25">
        <f>ROUND(IF(AO2123="0",BH2123,0),2)</f>
        <v>0</v>
      </c>
      <c r="AG2123" s="10" t="s">
        <v>2333</v>
      </c>
      <c r="AH2123" s="25">
        <f>IF(AL2123=0,K2123,0)</f>
        <v>0</v>
      </c>
      <c r="AI2123" s="25">
        <f>IF(AL2123=12,K2123,0)</f>
        <v>0</v>
      </c>
      <c r="AJ2123" s="25">
        <f>IF(AL2123=21,K2123,0)</f>
        <v>0</v>
      </c>
      <c r="AL2123" s="25">
        <v>21</v>
      </c>
      <c r="AM2123" s="25">
        <f>H2123*1</f>
        <v>0</v>
      </c>
      <c r="AN2123" s="25">
        <f>H2123*(1-1)</f>
        <v>0</v>
      </c>
      <c r="AO2123" s="27" t="s">
        <v>61</v>
      </c>
      <c r="AT2123" s="25">
        <f>ROUND(AU2123+AV2123,2)</f>
        <v>0</v>
      </c>
      <c r="AU2123" s="25">
        <f>ROUND(G2123*AM2123,2)</f>
        <v>0</v>
      </c>
      <c r="AV2123" s="25">
        <f>ROUND(G2123*AN2123,2)</f>
        <v>0</v>
      </c>
      <c r="AW2123" s="27" t="s">
        <v>2472</v>
      </c>
      <c r="AX2123" s="27" t="s">
        <v>2473</v>
      </c>
      <c r="AY2123" s="10" t="s">
        <v>2341</v>
      </c>
      <c r="BA2123" s="25">
        <f>AU2123+AV2123</f>
        <v>0</v>
      </c>
      <c r="BB2123" s="25">
        <f>H2123/(100-BC2123)*100</f>
        <v>0</v>
      </c>
      <c r="BC2123" s="25">
        <v>0</v>
      </c>
      <c r="BD2123" s="25">
        <f>M2123</f>
        <v>0</v>
      </c>
      <c r="BF2123" s="25">
        <f>G2123*AM2123</f>
        <v>0</v>
      </c>
      <c r="BG2123" s="25">
        <f>G2123*AN2123</f>
        <v>0</v>
      </c>
      <c r="BH2123" s="25">
        <f>G2123*H2123</f>
        <v>0</v>
      </c>
      <c r="BI2123" s="27" t="s">
        <v>65</v>
      </c>
      <c r="BJ2123" s="25">
        <v>728</v>
      </c>
      <c r="BU2123" s="25" t="e">
        <f>#REF!</f>
        <v>#REF!</v>
      </c>
      <c r="BV2123" s="4" t="s">
        <v>2579</v>
      </c>
    </row>
    <row r="2124" spans="1:74" ht="14.4" x14ac:dyDescent="0.3">
      <c r="A2124" s="28"/>
      <c r="D2124" s="29" t="s">
        <v>57</v>
      </c>
      <c r="E2124" s="29" t="s">
        <v>52</v>
      </c>
      <c r="G2124" s="30">
        <v>1</v>
      </c>
      <c r="H2124" s="63"/>
      <c r="N2124" s="31"/>
    </row>
    <row r="2125" spans="1:74" ht="26.4" x14ac:dyDescent="0.3">
      <c r="A2125" s="2" t="s">
        <v>2580</v>
      </c>
      <c r="B2125" s="3" t="s">
        <v>2333</v>
      </c>
      <c r="C2125" s="3" t="s">
        <v>1770</v>
      </c>
      <c r="D2125" s="112" t="s">
        <v>2581</v>
      </c>
      <c r="E2125" s="109"/>
      <c r="F2125" s="3" t="s">
        <v>860</v>
      </c>
      <c r="G2125" s="25">
        <v>1</v>
      </c>
      <c r="H2125" s="62"/>
      <c r="I2125" s="25">
        <f>ROUND(G2125*AM2125,2)</f>
        <v>0</v>
      </c>
      <c r="J2125" s="25">
        <f>ROUND(G2125*AN2125,2)</f>
        <v>0</v>
      </c>
      <c r="K2125" s="25">
        <f>ROUND(G2125*H2125,2)</f>
        <v>0</v>
      </c>
      <c r="L2125" s="25">
        <v>0</v>
      </c>
      <c r="M2125" s="25">
        <f>G2125*L2125</f>
        <v>0</v>
      </c>
      <c r="N2125" s="102"/>
      <c r="X2125" s="25">
        <f>ROUND(IF(AO2125="5",BH2125,0),2)</f>
        <v>0</v>
      </c>
      <c r="Z2125" s="25">
        <f>ROUND(IF(AO2125="1",BF2125,0),2)</f>
        <v>0</v>
      </c>
      <c r="AA2125" s="25">
        <f>ROUND(IF(AO2125="1",BG2125,0),2)</f>
        <v>0</v>
      </c>
      <c r="AB2125" s="25">
        <f>ROUND(IF(AO2125="7",BF2125,0),2)</f>
        <v>0</v>
      </c>
      <c r="AC2125" s="25">
        <f>ROUND(IF(AO2125="7",BG2125,0),2)</f>
        <v>0</v>
      </c>
      <c r="AD2125" s="25">
        <f>ROUND(IF(AO2125="2",BF2125,0),2)</f>
        <v>0</v>
      </c>
      <c r="AE2125" s="25">
        <f>ROUND(IF(AO2125="2",BG2125,0),2)</f>
        <v>0</v>
      </c>
      <c r="AF2125" s="25">
        <f>ROUND(IF(AO2125="0",BH2125,0),2)</f>
        <v>0</v>
      </c>
      <c r="AG2125" s="10" t="s">
        <v>2333</v>
      </c>
      <c r="AH2125" s="25">
        <f>IF(AL2125=0,K2125,0)</f>
        <v>0</v>
      </c>
      <c r="AI2125" s="25">
        <f>IF(AL2125=12,K2125,0)</f>
        <v>0</v>
      </c>
      <c r="AJ2125" s="25">
        <f>IF(AL2125=21,K2125,0)</f>
        <v>0</v>
      </c>
      <c r="AL2125" s="25">
        <v>21</v>
      </c>
      <c r="AM2125" s="25">
        <f>H2125*1</f>
        <v>0</v>
      </c>
      <c r="AN2125" s="25">
        <f>H2125*(1-1)</f>
        <v>0</v>
      </c>
      <c r="AO2125" s="27" t="s">
        <v>61</v>
      </c>
      <c r="AT2125" s="25">
        <f>ROUND(AU2125+AV2125,2)</f>
        <v>0</v>
      </c>
      <c r="AU2125" s="25">
        <f>ROUND(G2125*AM2125,2)</f>
        <v>0</v>
      </c>
      <c r="AV2125" s="25">
        <f>ROUND(G2125*AN2125,2)</f>
        <v>0</v>
      </c>
      <c r="AW2125" s="27" t="s">
        <v>2472</v>
      </c>
      <c r="AX2125" s="27" t="s">
        <v>2473</v>
      </c>
      <c r="AY2125" s="10" t="s">
        <v>2341</v>
      </c>
      <c r="BA2125" s="25">
        <f>AU2125+AV2125</f>
        <v>0</v>
      </c>
      <c r="BB2125" s="25">
        <f>H2125/(100-BC2125)*100</f>
        <v>0</v>
      </c>
      <c r="BC2125" s="25">
        <v>0</v>
      </c>
      <c r="BD2125" s="25">
        <f>M2125</f>
        <v>0</v>
      </c>
      <c r="BF2125" s="25">
        <f>G2125*AM2125</f>
        <v>0</v>
      </c>
      <c r="BG2125" s="25">
        <f>G2125*AN2125</f>
        <v>0</v>
      </c>
      <c r="BH2125" s="25">
        <f>G2125*H2125</f>
        <v>0</v>
      </c>
      <c r="BI2125" s="27" t="s">
        <v>65</v>
      </c>
      <c r="BJ2125" s="25">
        <v>728</v>
      </c>
      <c r="BU2125" s="25" t="e">
        <f>#REF!</f>
        <v>#REF!</v>
      </c>
      <c r="BV2125" s="4" t="s">
        <v>2581</v>
      </c>
    </row>
    <row r="2126" spans="1:74" ht="14.4" x14ac:dyDescent="0.3">
      <c r="A2126" s="28"/>
      <c r="D2126" s="29" t="s">
        <v>57</v>
      </c>
      <c r="E2126" s="29" t="s">
        <v>52</v>
      </c>
      <c r="G2126" s="30">
        <v>1</v>
      </c>
      <c r="H2126" s="63"/>
      <c r="N2126" s="31"/>
    </row>
    <row r="2127" spans="1:74" ht="26.4" x14ac:dyDescent="0.3">
      <c r="A2127" s="2" t="s">
        <v>2582</v>
      </c>
      <c r="B2127" s="3" t="s">
        <v>2333</v>
      </c>
      <c r="C2127" s="3" t="s">
        <v>1767</v>
      </c>
      <c r="D2127" s="112" t="s">
        <v>2583</v>
      </c>
      <c r="E2127" s="109"/>
      <c r="F2127" s="3" t="s">
        <v>860</v>
      </c>
      <c r="G2127" s="25">
        <v>1</v>
      </c>
      <c r="H2127" s="62"/>
      <c r="I2127" s="25">
        <f>ROUND(G2127*AM2127,2)</f>
        <v>0</v>
      </c>
      <c r="J2127" s="25">
        <f>ROUND(G2127*AN2127,2)</f>
        <v>0</v>
      </c>
      <c r="K2127" s="25">
        <f>ROUND(G2127*H2127,2)</f>
        <v>0</v>
      </c>
      <c r="L2127" s="25">
        <v>0</v>
      </c>
      <c r="M2127" s="25">
        <f>G2127*L2127</f>
        <v>0</v>
      </c>
      <c r="N2127" s="102"/>
      <c r="X2127" s="25">
        <f>ROUND(IF(AO2127="5",BH2127,0),2)</f>
        <v>0</v>
      </c>
      <c r="Z2127" s="25">
        <f>ROUND(IF(AO2127="1",BF2127,0),2)</f>
        <v>0</v>
      </c>
      <c r="AA2127" s="25">
        <f>ROUND(IF(AO2127="1",BG2127,0),2)</f>
        <v>0</v>
      </c>
      <c r="AB2127" s="25">
        <f>ROUND(IF(AO2127="7",BF2127,0),2)</f>
        <v>0</v>
      </c>
      <c r="AC2127" s="25">
        <f>ROUND(IF(AO2127="7",BG2127,0),2)</f>
        <v>0</v>
      </c>
      <c r="AD2127" s="25">
        <f>ROUND(IF(AO2127="2",BF2127,0),2)</f>
        <v>0</v>
      </c>
      <c r="AE2127" s="25">
        <f>ROUND(IF(AO2127="2",BG2127,0),2)</f>
        <v>0</v>
      </c>
      <c r="AF2127" s="25">
        <f>ROUND(IF(AO2127="0",BH2127,0),2)</f>
        <v>0</v>
      </c>
      <c r="AG2127" s="10" t="s">
        <v>2333</v>
      </c>
      <c r="AH2127" s="25">
        <f>IF(AL2127=0,K2127,0)</f>
        <v>0</v>
      </c>
      <c r="AI2127" s="25">
        <f>IF(AL2127=12,K2127,0)</f>
        <v>0</v>
      </c>
      <c r="AJ2127" s="25">
        <f>IF(AL2127=21,K2127,0)</f>
        <v>0</v>
      </c>
      <c r="AL2127" s="25">
        <v>21</v>
      </c>
      <c r="AM2127" s="25">
        <f>H2127*1</f>
        <v>0</v>
      </c>
      <c r="AN2127" s="25">
        <f>H2127*(1-1)</f>
        <v>0</v>
      </c>
      <c r="AO2127" s="27" t="s">
        <v>61</v>
      </c>
      <c r="AT2127" s="25">
        <f>ROUND(AU2127+AV2127,2)</f>
        <v>0</v>
      </c>
      <c r="AU2127" s="25">
        <f>ROUND(G2127*AM2127,2)</f>
        <v>0</v>
      </c>
      <c r="AV2127" s="25">
        <f>ROUND(G2127*AN2127,2)</f>
        <v>0</v>
      </c>
      <c r="AW2127" s="27" t="s">
        <v>2472</v>
      </c>
      <c r="AX2127" s="27" t="s">
        <v>2473</v>
      </c>
      <c r="AY2127" s="10" t="s">
        <v>2341</v>
      </c>
      <c r="BA2127" s="25">
        <f>AU2127+AV2127</f>
        <v>0</v>
      </c>
      <c r="BB2127" s="25">
        <f>H2127/(100-BC2127)*100</f>
        <v>0</v>
      </c>
      <c r="BC2127" s="25">
        <v>0</v>
      </c>
      <c r="BD2127" s="25">
        <f>M2127</f>
        <v>0</v>
      </c>
      <c r="BF2127" s="25">
        <f>G2127*AM2127</f>
        <v>0</v>
      </c>
      <c r="BG2127" s="25">
        <f>G2127*AN2127</f>
        <v>0</v>
      </c>
      <c r="BH2127" s="25">
        <f>G2127*H2127</f>
        <v>0</v>
      </c>
      <c r="BI2127" s="27" t="s">
        <v>65</v>
      </c>
      <c r="BJ2127" s="25">
        <v>728</v>
      </c>
      <c r="BU2127" s="25" t="e">
        <f>#REF!</f>
        <v>#REF!</v>
      </c>
      <c r="BV2127" s="4" t="s">
        <v>2583</v>
      </c>
    </row>
    <row r="2128" spans="1:74" ht="14.4" x14ac:dyDescent="0.3">
      <c r="A2128" s="28"/>
      <c r="D2128" s="29" t="s">
        <v>57</v>
      </c>
      <c r="E2128" s="29" t="s">
        <v>52</v>
      </c>
      <c r="G2128" s="30">
        <v>1</v>
      </c>
      <c r="H2128" s="63"/>
      <c r="N2128" s="31"/>
    </row>
    <row r="2129" spans="1:74" ht="14.4" x14ac:dyDescent="0.3">
      <c r="A2129" s="2" t="s">
        <v>2584</v>
      </c>
      <c r="B2129" s="3" t="s">
        <v>2333</v>
      </c>
      <c r="C2129" s="3" t="s">
        <v>2585</v>
      </c>
      <c r="D2129" s="112" t="s">
        <v>2586</v>
      </c>
      <c r="E2129" s="109"/>
      <c r="F2129" s="3" t="s">
        <v>122</v>
      </c>
      <c r="G2129" s="25">
        <v>2</v>
      </c>
      <c r="H2129" s="62"/>
      <c r="I2129" s="25">
        <f>ROUND(G2129*AM2129,2)</f>
        <v>0</v>
      </c>
      <c r="J2129" s="25">
        <f>ROUND(G2129*AN2129,2)</f>
        <v>0</v>
      </c>
      <c r="K2129" s="25">
        <f>ROUND(G2129*H2129,2)</f>
        <v>0</v>
      </c>
      <c r="L2129" s="25">
        <v>0</v>
      </c>
      <c r="M2129" s="25">
        <f>G2129*L2129</f>
        <v>0</v>
      </c>
      <c r="N2129" s="26"/>
      <c r="X2129" s="25">
        <f>ROUND(IF(AO2129="5",BH2129,0),2)</f>
        <v>0</v>
      </c>
      <c r="Z2129" s="25">
        <f>ROUND(IF(AO2129="1",BF2129,0),2)</f>
        <v>0</v>
      </c>
      <c r="AA2129" s="25">
        <f>ROUND(IF(AO2129="1",BG2129,0),2)</f>
        <v>0</v>
      </c>
      <c r="AB2129" s="25">
        <f>ROUND(IF(AO2129="7",BF2129,0),2)</f>
        <v>0</v>
      </c>
      <c r="AC2129" s="25">
        <f>ROUND(IF(AO2129="7",BG2129,0),2)</f>
        <v>0</v>
      </c>
      <c r="AD2129" s="25">
        <f>ROUND(IF(AO2129="2",BF2129,0),2)</f>
        <v>0</v>
      </c>
      <c r="AE2129" s="25">
        <f>ROUND(IF(AO2129="2",BG2129,0),2)</f>
        <v>0</v>
      </c>
      <c r="AF2129" s="25">
        <f>ROUND(IF(AO2129="0",BH2129,0),2)</f>
        <v>0</v>
      </c>
      <c r="AG2129" s="10" t="s">
        <v>2333</v>
      </c>
      <c r="AH2129" s="25">
        <f>IF(AL2129=0,K2129,0)</f>
        <v>0</v>
      </c>
      <c r="AI2129" s="25">
        <f>IF(AL2129=12,K2129,0)</f>
        <v>0</v>
      </c>
      <c r="AJ2129" s="25">
        <f>IF(AL2129=21,K2129,0)</f>
        <v>0</v>
      </c>
      <c r="AL2129" s="25">
        <v>21</v>
      </c>
      <c r="AM2129" s="25">
        <f>H2129*0</f>
        <v>0</v>
      </c>
      <c r="AN2129" s="25">
        <f>H2129*(1-0)</f>
        <v>0</v>
      </c>
      <c r="AO2129" s="27" t="s">
        <v>61</v>
      </c>
      <c r="AT2129" s="25">
        <f>ROUND(AU2129+AV2129,2)</f>
        <v>0</v>
      </c>
      <c r="AU2129" s="25">
        <f>ROUND(G2129*AM2129,2)</f>
        <v>0</v>
      </c>
      <c r="AV2129" s="25">
        <f>ROUND(G2129*AN2129,2)</f>
        <v>0</v>
      </c>
      <c r="AW2129" s="27" t="s">
        <v>2472</v>
      </c>
      <c r="AX2129" s="27" t="s">
        <v>2473</v>
      </c>
      <c r="AY2129" s="10" t="s">
        <v>2341</v>
      </c>
      <c r="BA2129" s="25">
        <f>AU2129+AV2129</f>
        <v>0</v>
      </c>
      <c r="BB2129" s="25">
        <f>H2129/(100-BC2129)*100</f>
        <v>0</v>
      </c>
      <c r="BC2129" s="25">
        <v>0</v>
      </c>
      <c r="BD2129" s="25">
        <f>M2129</f>
        <v>0</v>
      </c>
      <c r="BF2129" s="25">
        <f>G2129*AM2129</f>
        <v>0</v>
      </c>
      <c r="BG2129" s="25">
        <f>G2129*AN2129</f>
        <v>0</v>
      </c>
      <c r="BH2129" s="25">
        <f>G2129*H2129</f>
        <v>0</v>
      </c>
      <c r="BI2129" s="27" t="s">
        <v>65</v>
      </c>
      <c r="BJ2129" s="25">
        <v>728</v>
      </c>
      <c r="BU2129" s="25" t="e">
        <f>#REF!</f>
        <v>#REF!</v>
      </c>
      <c r="BV2129" s="4" t="s">
        <v>2586</v>
      </c>
    </row>
    <row r="2130" spans="1:74" ht="14.4" x14ac:dyDescent="0.3">
      <c r="A2130" s="2" t="s">
        <v>2587</v>
      </c>
      <c r="B2130" s="3" t="s">
        <v>2333</v>
      </c>
      <c r="C2130" s="3" t="s">
        <v>2588</v>
      </c>
      <c r="D2130" s="112" t="s">
        <v>2589</v>
      </c>
      <c r="E2130" s="109"/>
      <c r="F2130" s="3" t="s">
        <v>115</v>
      </c>
      <c r="G2130" s="25">
        <v>10</v>
      </c>
      <c r="H2130" s="62"/>
      <c r="I2130" s="25">
        <f>ROUND(G2130*AM2130,2)</f>
        <v>0</v>
      </c>
      <c r="J2130" s="25">
        <f>ROUND(G2130*AN2130,2)</f>
        <v>0</v>
      </c>
      <c r="K2130" s="25">
        <f>ROUND(G2130*H2130,2)</f>
        <v>0</v>
      </c>
      <c r="L2130" s="25">
        <v>0</v>
      </c>
      <c r="M2130" s="25">
        <f>G2130*L2130</f>
        <v>0</v>
      </c>
      <c r="N2130" s="26"/>
      <c r="X2130" s="25">
        <f>ROUND(IF(AO2130="5",BH2130,0),2)</f>
        <v>0</v>
      </c>
      <c r="Z2130" s="25">
        <f>ROUND(IF(AO2130="1",BF2130,0),2)</f>
        <v>0</v>
      </c>
      <c r="AA2130" s="25">
        <f>ROUND(IF(AO2130="1",BG2130,0),2)</f>
        <v>0</v>
      </c>
      <c r="AB2130" s="25">
        <f>ROUND(IF(AO2130="7",BF2130,0),2)</f>
        <v>0</v>
      </c>
      <c r="AC2130" s="25">
        <f>ROUND(IF(AO2130="7",BG2130,0),2)</f>
        <v>0</v>
      </c>
      <c r="AD2130" s="25">
        <f>ROUND(IF(AO2130="2",BF2130,0),2)</f>
        <v>0</v>
      </c>
      <c r="AE2130" s="25">
        <f>ROUND(IF(AO2130="2",BG2130,0),2)</f>
        <v>0</v>
      </c>
      <c r="AF2130" s="25">
        <f>ROUND(IF(AO2130="0",BH2130,0),2)</f>
        <v>0</v>
      </c>
      <c r="AG2130" s="10" t="s">
        <v>2333</v>
      </c>
      <c r="AH2130" s="25">
        <f>IF(AL2130=0,K2130,0)</f>
        <v>0</v>
      </c>
      <c r="AI2130" s="25">
        <f>IF(AL2130=12,K2130,0)</f>
        <v>0</v>
      </c>
      <c r="AJ2130" s="25">
        <f>IF(AL2130=21,K2130,0)</f>
        <v>0</v>
      </c>
      <c r="AL2130" s="25">
        <v>21</v>
      </c>
      <c r="AM2130" s="25">
        <f>H2130*0</f>
        <v>0</v>
      </c>
      <c r="AN2130" s="25">
        <f>H2130*(1-0)</f>
        <v>0</v>
      </c>
      <c r="AO2130" s="27" t="s">
        <v>61</v>
      </c>
      <c r="AT2130" s="25">
        <f>ROUND(AU2130+AV2130,2)</f>
        <v>0</v>
      </c>
      <c r="AU2130" s="25">
        <f>ROUND(G2130*AM2130,2)</f>
        <v>0</v>
      </c>
      <c r="AV2130" s="25">
        <f>ROUND(G2130*AN2130,2)</f>
        <v>0</v>
      </c>
      <c r="AW2130" s="27" t="s">
        <v>2472</v>
      </c>
      <c r="AX2130" s="27" t="s">
        <v>2473</v>
      </c>
      <c r="AY2130" s="10" t="s">
        <v>2341</v>
      </c>
      <c r="BA2130" s="25">
        <f>AU2130+AV2130</f>
        <v>0</v>
      </c>
      <c r="BB2130" s="25">
        <f>H2130/(100-BC2130)*100</f>
        <v>0</v>
      </c>
      <c r="BC2130" s="25">
        <v>0</v>
      </c>
      <c r="BD2130" s="25">
        <f>M2130</f>
        <v>0</v>
      </c>
      <c r="BF2130" s="25">
        <f>G2130*AM2130</f>
        <v>0</v>
      </c>
      <c r="BG2130" s="25">
        <f>G2130*AN2130</f>
        <v>0</v>
      </c>
      <c r="BH2130" s="25">
        <f>G2130*H2130</f>
        <v>0</v>
      </c>
      <c r="BI2130" s="27" t="s">
        <v>65</v>
      </c>
      <c r="BJ2130" s="25">
        <v>728</v>
      </c>
      <c r="BU2130" s="25" t="e">
        <f>#REF!</f>
        <v>#REF!</v>
      </c>
      <c r="BV2130" s="4" t="s">
        <v>2589</v>
      </c>
    </row>
    <row r="2131" spans="1:74" ht="14.4" x14ac:dyDescent="0.3">
      <c r="A2131" s="2" t="s">
        <v>2590</v>
      </c>
      <c r="B2131" s="3" t="s">
        <v>2333</v>
      </c>
      <c r="C2131" s="3" t="s">
        <v>2591</v>
      </c>
      <c r="D2131" s="112" t="s">
        <v>2592</v>
      </c>
      <c r="E2131" s="109"/>
      <c r="F2131" s="3" t="s">
        <v>115</v>
      </c>
      <c r="G2131" s="25">
        <v>8</v>
      </c>
      <c r="H2131" s="62"/>
      <c r="I2131" s="25">
        <f>ROUND(G2131*AM2131,2)</f>
        <v>0</v>
      </c>
      <c r="J2131" s="25">
        <f>ROUND(G2131*AN2131,2)</f>
        <v>0</v>
      </c>
      <c r="K2131" s="25">
        <f>ROUND(G2131*H2131,2)</f>
        <v>0</v>
      </c>
      <c r="L2131" s="25">
        <v>0</v>
      </c>
      <c r="M2131" s="25">
        <f>G2131*L2131</f>
        <v>0</v>
      </c>
      <c r="N2131" s="26"/>
      <c r="X2131" s="25">
        <f>ROUND(IF(AO2131="5",BH2131,0),2)</f>
        <v>0</v>
      </c>
      <c r="Z2131" s="25">
        <f>ROUND(IF(AO2131="1",BF2131,0),2)</f>
        <v>0</v>
      </c>
      <c r="AA2131" s="25">
        <f>ROUND(IF(AO2131="1",BG2131,0),2)</f>
        <v>0</v>
      </c>
      <c r="AB2131" s="25">
        <f>ROUND(IF(AO2131="7",BF2131,0),2)</f>
        <v>0</v>
      </c>
      <c r="AC2131" s="25">
        <f>ROUND(IF(AO2131="7",BG2131,0),2)</f>
        <v>0</v>
      </c>
      <c r="AD2131" s="25">
        <f>ROUND(IF(AO2131="2",BF2131,0),2)</f>
        <v>0</v>
      </c>
      <c r="AE2131" s="25">
        <f>ROUND(IF(AO2131="2",BG2131,0),2)</f>
        <v>0</v>
      </c>
      <c r="AF2131" s="25">
        <f>ROUND(IF(AO2131="0",BH2131,0),2)</f>
        <v>0</v>
      </c>
      <c r="AG2131" s="10" t="s">
        <v>2333</v>
      </c>
      <c r="AH2131" s="25">
        <f>IF(AL2131=0,K2131,0)</f>
        <v>0</v>
      </c>
      <c r="AI2131" s="25">
        <f>IF(AL2131=12,K2131,0)</f>
        <v>0</v>
      </c>
      <c r="AJ2131" s="25">
        <f>IF(AL2131=21,K2131,0)</f>
        <v>0</v>
      </c>
      <c r="AL2131" s="25">
        <v>21</v>
      </c>
      <c r="AM2131" s="25">
        <f>H2131*0</f>
        <v>0</v>
      </c>
      <c r="AN2131" s="25">
        <f>H2131*(1-0)</f>
        <v>0</v>
      </c>
      <c r="AO2131" s="27" t="s">
        <v>61</v>
      </c>
      <c r="AT2131" s="25">
        <f>ROUND(AU2131+AV2131,2)</f>
        <v>0</v>
      </c>
      <c r="AU2131" s="25">
        <f>ROUND(G2131*AM2131,2)</f>
        <v>0</v>
      </c>
      <c r="AV2131" s="25">
        <f>ROUND(G2131*AN2131,2)</f>
        <v>0</v>
      </c>
      <c r="AW2131" s="27" t="s">
        <v>2472</v>
      </c>
      <c r="AX2131" s="27" t="s">
        <v>2473</v>
      </c>
      <c r="AY2131" s="10" t="s">
        <v>2341</v>
      </c>
      <c r="BA2131" s="25">
        <f>AU2131+AV2131</f>
        <v>0</v>
      </c>
      <c r="BB2131" s="25">
        <f>H2131/(100-BC2131)*100</f>
        <v>0</v>
      </c>
      <c r="BC2131" s="25">
        <v>0</v>
      </c>
      <c r="BD2131" s="25">
        <f>M2131</f>
        <v>0</v>
      </c>
      <c r="BF2131" s="25">
        <f>G2131*AM2131</f>
        <v>0</v>
      </c>
      <c r="BG2131" s="25">
        <f>G2131*AN2131</f>
        <v>0</v>
      </c>
      <c r="BH2131" s="25">
        <f>G2131*H2131</f>
        <v>0</v>
      </c>
      <c r="BI2131" s="27" t="s">
        <v>65</v>
      </c>
      <c r="BJ2131" s="25">
        <v>728</v>
      </c>
      <c r="BU2131" s="25" t="e">
        <f>#REF!</f>
        <v>#REF!</v>
      </c>
      <c r="BV2131" s="4" t="s">
        <v>2592</v>
      </c>
    </row>
    <row r="2132" spans="1:74" ht="26.4" x14ac:dyDescent="0.3">
      <c r="A2132" s="2" t="s">
        <v>2593</v>
      </c>
      <c r="B2132" s="3" t="s">
        <v>2333</v>
      </c>
      <c r="C2132" s="3" t="s">
        <v>2547</v>
      </c>
      <c r="D2132" s="112" t="s">
        <v>2594</v>
      </c>
      <c r="E2132" s="109"/>
      <c r="F2132" s="3" t="s">
        <v>1520</v>
      </c>
      <c r="G2132" s="25">
        <v>10</v>
      </c>
      <c r="H2132" s="62"/>
      <c r="I2132" s="25">
        <f>ROUND(G2132*AM2132,2)</f>
        <v>0</v>
      </c>
      <c r="J2132" s="25">
        <f>ROUND(G2132*AN2132,2)</f>
        <v>0</v>
      </c>
      <c r="K2132" s="25">
        <f>ROUND(G2132*H2132,2)</f>
        <v>0</v>
      </c>
      <c r="L2132" s="25">
        <v>1.06E-3</v>
      </c>
      <c r="M2132" s="25">
        <f>G2132*L2132</f>
        <v>1.06E-2</v>
      </c>
      <c r="N2132" s="26"/>
      <c r="X2132" s="25">
        <f>ROUND(IF(AO2132="5",BH2132,0),2)</f>
        <v>0</v>
      </c>
      <c r="Z2132" s="25">
        <f>ROUND(IF(AO2132="1",BF2132,0),2)</f>
        <v>0</v>
      </c>
      <c r="AA2132" s="25">
        <f>ROUND(IF(AO2132="1",BG2132,0),2)</f>
        <v>0</v>
      </c>
      <c r="AB2132" s="25">
        <f>ROUND(IF(AO2132="7",BF2132,0),2)</f>
        <v>0</v>
      </c>
      <c r="AC2132" s="25">
        <f>ROUND(IF(AO2132="7",BG2132,0),2)</f>
        <v>0</v>
      </c>
      <c r="AD2132" s="25">
        <f>ROUND(IF(AO2132="2",BF2132,0),2)</f>
        <v>0</v>
      </c>
      <c r="AE2132" s="25">
        <f>ROUND(IF(AO2132="2",BG2132,0),2)</f>
        <v>0</v>
      </c>
      <c r="AF2132" s="25">
        <f>ROUND(IF(AO2132="0",BH2132,0),2)</f>
        <v>0</v>
      </c>
      <c r="AG2132" s="10" t="s">
        <v>2333</v>
      </c>
      <c r="AH2132" s="25">
        <f>IF(AL2132=0,K2132,0)</f>
        <v>0</v>
      </c>
      <c r="AI2132" s="25">
        <f>IF(AL2132=12,K2132,0)</f>
        <v>0</v>
      </c>
      <c r="AJ2132" s="25">
        <f>IF(AL2132=21,K2132,0)</f>
        <v>0</v>
      </c>
      <c r="AL2132" s="25">
        <v>21</v>
      </c>
      <c r="AM2132" s="25">
        <f>H2132*0.329041488</f>
        <v>0</v>
      </c>
      <c r="AN2132" s="25">
        <f>H2132*(1-0.329041488)</f>
        <v>0</v>
      </c>
      <c r="AO2132" s="27" t="s">
        <v>61</v>
      </c>
      <c r="AT2132" s="25">
        <f>ROUND(AU2132+AV2132,2)</f>
        <v>0</v>
      </c>
      <c r="AU2132" s="25">
        <f>ROUND(G2132*AM2132,2)</f>
        <v>0</v>
      </c>
      <c r="AV2132" s="25">
        <f>ROUND(G2132*AN2132,2)</f>
        <v>0</v>
      </c>
      <c r="AW2132" s="27" t="s">
        <v>2472</v>
      </c>
      <c r="AX2132" s="27" t="s">
        <v>2473</v>
      </c>
      <c r="AY2132" s="10" t="s">
        <v>2341</v>
      </c>
      <c r="BA2132" s="25">
        <f>AU2132+AV2132</f>
        <v>0</v>
      </c>
      <c r="BB2132" s="25">
        <f>H2132/(100-BC2132)*100</f>
        <v>0</v>
      </c>
      <c r="BC2132" s="25">
        <v>0</v>
      </c>
      <c r="BD2132" s="25">
        <f>M2132</f>
        <v>1.06E-2</v>
      </c>
      <c r="BF2132" s="25">
        <f>G2132*AM2132</f>
        <v>0</v>
      </c>
      <c r="BG2132" s="25">
        <f>G2132*AN2132</f>
        <v>0</v>
      </c>
      <c r="BH2132" s="25">
        <f>G2132*H2132</f>
        <v>0</v>
      </c>
      <c r="BI2132" s="27" t="s">
        <v>65</v>
      </c>
      <c r="BJ2132" s="25">
        <v>728</v>
      </c>
      <c r="BU2132" s="25" t="e">
        <f>#REF!</f>
        <v>#REF!</v>
      </c>
      <c r="BV2132" s="4" t="s">
        <v>2594</v>
      </c>
    </row>
    <row r="2133" spans="1:74" ht="14.4" x14ac:dyDescent="0.3">
      <c r="A2133" s="28"/>
      <c r="D2133" s="29" t="s">
        <v>129</v>
      </c>
      <c r="E2133" s="29" t="s">
        <v>52</v>
      </c>
      <c r="G2133" s="30">
        <v>10</v>
      </c>
      <c r="H2133" s="63"/>
      <c r="N2133" s="31"/>
    </row>
    <row r="2134" spans="1:74" ht="14.4" x14ac:dyDescent="0.3">
      <c r="A2134" s="2" t="s">
        <v>2595</v>
      </c>
      <c r="B2134" s="3" t="s">
        <v>2333</v>
      </c>
      <c r="C2134" s="3" t="s">
        <v>2596</v>
      </c>
      <c r="D2134" s="112" t="s">
        <v>2597</v>
      </c>
      <c r="E2134" s="109"/>
      <c r="F2134" s="3" t="s">
        <v>122</v>
      </c>
      <c r="G2134" s="25">
        <v>4</v>
      </c>
      <c r="H2134" s="62"/>
      <c r="I2134" s="25">
        <f>ROUND(G2134*AM2134,2)</f>
        <v>0</v>
      </c>
      <c r="J2134" s="25">
        <f>ROUND(G2134*AN2134,2)</f>
        <v>0</v>
      </c>
      <c r="K2134" s="25">
        <f>ROUND(G2134*H2134,2)</f>
        <v>0</v>
      </c>
      <c r="L2134" s="25">
        <v>5.0000000000000001E-4</v>
      </c>
      <c r="M2134" s="25">
        <f>G2134*L2134</f>
        <v>2E-3</v>
      </c>
      <c r="N2134" s="26"/>
      <c r="X2134" s="25">
        <f>ROUND(IF(AO2134="5",BH2134,0),2)</f>
        <v>0</v>
      </c>
      <c r="Z2134" s="25">
        <f>ROUND(IF(AO2134="1",BF2134,0),2)</f>
        <v>0</v>
      </c>
      <c r="AA2134" s="25">
        <f>ROUND(IF(AO2134="1",BG2134,0),2)</f>
        <v>0</v>
      </c>
      <c r="AB2134" s="25">
        <f>ROUND(IF(AO2134="7",BF2134,0),2)</f>
        <v>0</v>
      </c>
      <c r="AC2134" s="25">
        <f>ROUND(IF(AO2134="7",BG2134,0),2)</f>
        <v>0</v>
      </c>
      <c r="AD2134" s="25">
        <f>ROUND(IF(AO2134="2",BF2134,0),2)</f>
        <v>0</v>
      </c>
      <c r="AE2134" s="25">
        <f>ROUND(IF(AO2134="2",BG2134,0),2)</f>
        <v>0</v>
      </c>
      <c r="AF2134" s="25">
        <f>ROUND(IF(AO2134="0",BH2134,0),2)</f>
        <v>0</v>
      </c>
      <c r="AG2134" s="10" t="s">
        <v>2333</v>
      </c>
      <c r="AH2134" s="25">
        <f>IF(AL2134=0,K2134,0)</f>
        <v>0</v>
      </c>
      <c r="AI2134" s="25">
        <f>IF(AL2134=12,K2134,0)</f>
        <v>0</v>
      </c>
      <c r="AJ2134" s="25">
        <f>IF(AL2134=21,K2134,0)</f>
        <v>0</v>
      </c>
      <c r="AL2134" s="25">
        <v>21</v>
      </c>
      <c r="AM2134" s="25">
        <f>H2134*1</f>
        <v>0</v>
      </c>
      <c r="AN2134" s="25">
        <f>H2134*(1-1)</f>
        <v>0</v>
      </c>
      <c r="AO2134" s="27" t="s">
        <v>61</v>
      </c>
      <c r="AT2134" s="25">
        <f>ROUND(AU2134+AV2134,2)</f>
        <v>0</v>
      </c>
      <c r="AU2134" s="25">
        <f>ROUND(G2134*AM2134,2)</f>
        <v>0</v>
      </c>
      <c r="AV2134" s="25">
        <f>ROUND(G2134*AN2134,2)</f>
        <v>0</v>
      </c>
      <c r="AW2134" s="27" t="s">
        <v>2472</v>
      </c>
      <c r="AX2134" s="27" t="s">
        <v>2473</v>
      </c>
      <c r="AY2134" s="10" t="s">
        <v>2341</v>
      </c>
      <c r="BA2134" s="25">
        <f>AU2134+AV2134</f>
        <v>0</v>
      </c>
      <c r="BB2134" s="25">
        <f>H2134/(100-BC2134)*100</f>
        <v>0</v>
      </c>
      <c r="BC2134" s="25">
        <v>0</v>
      </c>
      <c r="BD2134" s="25">
        <f>M2134</f>
        <v>2E-3</v>
      </c>
      <c r="BF2134" s="25">
        <f>G2134*AM2134</f>
        <v>0</v>
      </c>
      <c r="BG2134" s="25">
        <f>G2134*AN2134</f>
        <v>0</v>
      </c>
      <c r="BH2134" s="25">
        <f>G2134*H2134</f>
        <v>0</v>
      </c>
      <c r="BI2134" s="27" t="s">
        <v>576</v>
      </c>
      <c r="BJ2134" s="25">
        <v>728</v>
      </c>
      <c r="BU2134" s="25" t="e">
        <f>#REF!</f>
        <v>#REF!</v>
      </c>
      <c r="BV2134" s="4" t="s">
        <v>2597</v>
      </c>
    </row>
    <row r="2135" spans="1:74" ht="14.4" x14ac:dyDescent="0.3">
      <c r="A2135" s="2" t="s">
        <v>2598</v>
      </c>
      <c r="B2135" s="3" t="s">
        <v>2333</v>
      </c>
      <c r="C2135" s="3" t="s">
        <v>2599</v>
      </c>
      <c r="D2135" s="112" t="s">
        <v>2600</v>
      </c>
      <c r="E2135" s="109"/>
      <c r="F2135" s="3" t="s">
        <v>122</v>
      </c>
      <c r="G2135" s="25">
        <v>6</v>
      </c>
      <c r="H2135" s="62"/>
      <c r="I2135" s="25">
        <f>ROUND(G2135*AM2135,2)</f>
        <v>0</v>
      </c>
      <c r="J2135" s="25">
        <f>ROUND(G2135*AN2135,2)</f>
        <v>0</v>
      </c>
      <c r="K2135" s="25">
        <f>ROUND(G2135*H2135,2)</f>
        <v>0</v>
      </c>
      <c r="L2135" s="25">
        <v>3.1E-4</v>
      </c>
      <c r="M2135" s="25">
        <f>G2135*L2135</f>
        <v>1.8600000000000001E-3</v>
      </c>
      <c r="N2135" s="26"/>
      <c r="X2135" s="25">
        <f>ROUND(IF(AO2135="5",BH2135,0),2)</f>
        <v>0</v>
      </c>
      <c r="Z2135" s="25">
        <f>ROUND(IF(AO2135="1",BF2135,0),2)</f>
        <v>0</v>
      </c>
      <c r="AA2135" s="25">
        <f>ROUND(IF(AO2135="1",BG2135,0),2)</f>
        <v>0</v>
      </c>
      <c r="AB2135" s="25">
        <f>ROUND(IF(AO2135="7",BF2135,0),2)</f>
        <v>0</v>
      </c>
      <c r="AC2135" s="25">
        <f>ROUND(IF(AO2135="7",BG2135,0),2)</f>
        <v>0</v>
      </c>
      <c r="AD2135" s="25">
        <f>ROUND(IF(AO2135="2",BF2135,0),2)</f>
        <v>0</v>
      </c>
      <c r="AE2135" s="25">
        <f>ROUND(IF(AO2135="2",BG2135,0),2)</f>
        <v>0</v>
      </c>
      <c r="AF2135" s="25">
        <f>ROUND(IF(AO2135="0",BH2135,0),2)</f>
        <v>0</v>
      </c>
      <c r="AG2135" s="10" t="s">
        <v>2333</v>
      </c>
      <c r="AH2135" s="25">
        <f>IF(AL2135=0,K2135,0)</f>
        <v>0</v>
      </c>
      <c r="AI2135" s="25">
        <f>IF(AL2135=12,K2135,0)</f>
        <v>0</v>
      </c>
      <c r="AJ2135" s="25">
        <f>IF(AL2135=21,K2135,0)</f>
        <v>0</v>
      </c>
      <c r="AL2135" s="25">
        <v>21</v>
      </c>
      <c r="AM2135" s="25">
        <f>H2135*1</f>
        <v>0</v>
      </c>
      <c r="AN2135" s="25">
        <f>H2135*(1-1)</f>
        <v>0</v>
      </c>
      <c r="AO2135" s="27" t="s">
        <v>61</v>
      </c>
      <c r="AT2135" s="25">
        <f>ROUND(AU2135+AV2135,2)</f>
        <v>0</v>
      </c>
      <c r="AU2135" s="25">
        <f>ROUND(G2135*AM2135,2)</f>
        <v>0</v>
      </c>
      <c r="AV2135" s="25">
        <f>ROUND(G2135*AN2135,2)</f>
        <v>0</v>
      </c>
      <c r="AW2135" s="27" t="s">
        <v>2472</v>
      </c>
      <c r="AX2135" s="27" t="s">
        <v>2473</v>
      </c>
      <c r="AY2135" s="10" t="s">
        <v>2341</v>
      </c>
      <c r="BA2135" s="25">
        <f>AU2135+AV2135</f>
        <v>0</v>
      </c>
      <c r="BB2135" s="25">
        <f>H2135/(100-BC2135)*100</f>
        <v>0</v>
      </c>
      <c r="BC2135" s="25">
        <v>0</v>
      </c>
      <c r="BD2135" s="25">
        <f>M2135</f>
        <v>1.8600000000000001E-3</v>
      </c>
      <c r="BF2135" s="25">
        <f>G2135*AM2135</f>
        <v>0</v>
      </c>
      <c r="BG2135" s="25">
        <f>G2135*AN2135</f>
        <v>0</v>
      </c>
      <c r="BH2135" s="25">
        <f>G2135*H2135</f>
        <v>0</v>
      </c>
      <c r="BI2135" s="27" t="s">
        <v>576</v>
      </c>
      <c r="BJ2135" s="25">
        <v>728</v>
      </c>
      <c r="BU2135" s="25" t="e">
        <f>#REF!</f>
        <v>#REF!</v>
      </c>
      <c r="BV2135" s="4" t="s">
        <v>2600</v>
      </c>
    </row>
    <row r="2136" spans="1:74" ht="26.4" x14ac:dyDescent="0.3">
      <c r="A2136" s="2" t="s">
        <v>2601</v>
      </c>
      <c r="B2136" s="3" t="s">
        <v>2333</v>
      </c>
      <c r="C2136" s="3" t="s">
        <v>2602</v>
      </c>
      <c r="D2136" s="112" t="s">
        <v>2603</v>
      </c>
      <c r="E2136" s="109"/>
      <c r="F2136" s="3" t="s">
        <v>122</v>
      </c>
      <c r="G2136" s="25">
        <v>1</v>
      </c>
      <c r="H2136" s="62"/>
      <c r="I2136" s="25">
        <f>ROUND(G2136*AM2136,2)</f>
        <v>0</v>
      </c>
      <c r="J2136" s="25">
        <f>ROUND(G2136*AN2136,2)</f>
        <v>0</v>
      </c>
      <c r="K2136" s="25">
        <f>ROUND(G2136*H2136,2)</f>
        <v>0</v>
      </c>
      <c r="L2136" s="25">
        <v>1.41E-2</v>
      </c>
      <c r="M2136" s="25">
        <f>G2136*L2136</f>
        <v>1.41E-2</v>
      </c>
      <c r="N2136" s="26"/>
      <c r="X2136" s="25">
        <f>ROUND(IF(AO2136="5",BH2136,0),2)</f>
        <v>0</v>
      </c>
      <c r="Z2136" s="25">
        <f>ROUND(IF(AO2136="1",BF2136,0),2)</f>
        <v>0</v>
      </c>
      <c r="AA2136" s="25">
        <f>ROUND(IF(AO2136="1",BG2136,0),2)</f>
        <v>0</v>
      </c>
      <c r="AB2136" s="25">
        <f>ROUND(IF(AO2136="7",BF2136,0),2)</f>
        <v>0</v>
      </c>
      <c r="AC2136" s="25">
        <f>ROUND(IF(AO2136="7",BG2136,0),2)</f>
        <v>0</v>
      </c>
      <c r="AD2136" s="25">
        <f>ROUND(IF(AO2136="2",BF2136,0),2)</f>
        <v>0</v>
      </c>
      <c r="AE2136" s="25">
        <f>ROUND(IF(AO2136="2",BG2136,0),2)</f>
        <v>0</v>
      </c>
      <c r="AF2136" s="25">
        <f>ROUND(IF(AO2136="0",BH2136,0),2)</f>
        <v>0</v>
      </c>
      <c r="AG2136" s="10" t="s">
        <v>2333</v>
      </c>
      <c r="AH2136" s="25">
        <f>IF(AL2136=0,K2136,0)</f>
        <v>0</v>
      </c>
      <c r="AI2136" s="25">
        <f>IF(AL2136=12,K2136,0)</f>
        <v>0</v>
      </c>
      <c r="AJ2136" s="25">
        <f>IF(AL2136=21,K2136,0)</f>
        <v>0</v>
      </c>
      <c r="AL2136" s="25">
        <v>21</v>
      </c>
      <c r="AM2136" s="25">
        <f>H2136*1</f>
        <v>0</v>
      </c>
      <c r="AN2136" s="25">
        <f>H2136*(1-1)</f>
        <v>0</v>
      </c>
      <c r="AO2136" s="27" t="s">
        <v>61</v>
      </c>
      <c r="AT2136" s="25">
        <f>ROUND(AU2136+AV2136,2)</f>
        <v>0</v>
      </c>
      <c r="AU2136" s="25">
        <f>ROUND(G2136*AM2136,2)</f>
        <v>0</v>
      </c>
      <c r="AV2136" s="25">
        <f>ROUND(G2136*AN2136,2)</f>
        <v>0</v>
      </c>
      <c r="AW2136" s="27" t="s">
        <v>2472</v>
      </c>
      <c r="AX2136" s="27" t="s">
        <v>2473</v>
      </c>
      <c r="AY2136" s="10" t="s">
        <v>2341</v>
      </c>
      <c r="BA2136" s="25">
        <f>AU2136+AV2136</f>
        <v>0</v>
      </c>
      <c r="BB2136" s="25">
        <f>H2136/(100-BC2136)*100</f>
        <v>0</v>
      </c>
      <c r="BC2136" s="25">
        <v>0</v>
      </c>
      <c r="BD2136" s="25">
        <f>M2136</f>
        <v>1.41E-2</v>
      </c>
      <c r="BF2136" s="25">
        <f>G2136*AM2136</f>
        <v>0</v>
      </c>
      <c r="BG2136" s="25">
        <f>G2136*AN2136</f>
        <v>0</v>
      </c>
      <c r="BH2136" s="25">
        <f>G2136*H2136</f>
        <v>0</v>
      </c>
      <c r="BI2136" s="27" t="s">
        <v>576</v>
      </c>
      <c r="BJ2136" s="25">
        <v>728</v>
      </c>
      <c r="BU2136" s="25" t="e">
        <f>#REF!</f>
        <v>#REF!</v>
      </c>
      <c r="BV2136" s="4" t="s">
        <v>2603</v>
      </c>
    </row>
    <row r="2137" spans="1:74" ht="14.4" x14ac:dyDescent="0.3">
      <c r="A2137" s="28"/>
      <c r="D2137" s="29" t="s">
        <v>57</v>
      </c>
      <c r="E2137" s="29" t="s">
        <v>52</v>
      </c>
      <c r="G2137" s="30">
        <v>1</v>
      </c>
      <c r="H2137" s="63"/>
      <c r="N2137" s="31"/>
    </row>
    <row r="2138" spans="1:74" ht="14.4" x14ac:dyDescent="0.3">
      <c r="A2138" s="2" t="s">
        <v>2604</v>
      </c>
      <c r="B2138" s="3" t="s">
        <v>2333</v>
      </c>
      <c r="C2138" s="3" t="s">
        <v>1791</v>
      </c>
      <c r="D2138" s="112" t="s">
        <v>2605</v>
      </c>
      <c r="E2138" s="109"/>
      <c r="F2138" s="3" t="s">
        <v>122</v>
      </c>
      <c r="G2138" s="25">
        <v>2</v>
      </c>
      <c r="H2138" s="62"/>
      <c r="I2138" s="25">
        <f t="shared" ref="I2138:I2143" si="146">ROUND(G2138*AM2138,2)</f>
        <v>0</v>
      </c>
      <c r="J2138" s="25">
        <f t="shared" ref="J2138:J2143" si="147">ROUND(G2138*AN2138,2)</f>
        <v>0</v>
      </c>
      <c r="K2138" s="25">
        <f t="shared" ref="K2138:K2143" si="148">ROUND(G2138*H2138,2)</f>
        <v>0</v>
      </c>
      <c r="L2138" s="25">
        <v>8.3000000000000001E-4</v>
      </c>
      <c r="M2138" s="25">
        <f t="shared" ref="M2138:M2143" si="149">G2138*L2138</f>
        <v>1.66E-3</v>
      </c>
      <c r="N2138" s="102"/>
      <c r="X2138" s="25">
        <f t="shared" ref="X2138:X2143" si="150">ROUND(IF(AO2138="5",BH2138,0),2)</f>
        <v>0</v>
      </c>
      <c r="Z2138" s="25">
        <f t="shared" ref="Z2138:Z2143" si="151">ROUND(IF(AO2138="1",BF2138,0),2)</f>
        <v>0</v>
      </c>
      <c r="AA2138" s="25">
        <f t="shared" ref="AA2138:AA2143" si="152">ROUND(IF(AO2138="1",BG2138,0),2)</f>
        <v>0</v>
      </c>
      <c r="AB2138" s="25">
        <f t="shared" ref="AB2138:AB2143" si="153">ROUND(IF(AO2138="7",BF2138,0),2)</f>
        <v>0</v>
      </c>
      <c r="AC2138" s="25">
        <f t="shared" ref="AC2138:AC2143" si="154">ROUND(IF(AO2138="7",BG2138,0),2)</f>
        <v>0</v>
      </c>
      <c r="AD2138" s="25">
        <f t="shared" ref="AD2138:AD2143" si="155">ROUND(IF(AO2138="2",BF2138,0),2)</f>
        <v>0</v>
      </c>
      <c r="AE2138" s="25">
        <f t="shared" ref="AE2138:AE2143" si="156">ROUND(IF(AO2138="2",BG2138,0),2)</f>
        <v>0</v>
      </c>
      <c r="AF2138" s="25">
        <f t="shared" ref="AF2138:AF2143" si="157">ROUND(IF(AO2138="0",BH2138,0),2)</f>
        <v>0</v>
      </c>
      <c r="AG2138" s="10" t="s">
        <v>2333</v>
      </c>
      <c r="AH2138" s="25">
        <f t="shared" ref="AH2138:AH2143" si="158">IF(AL2138=0,K2138,0)</f>
        <v>0</v>
      </c>
      <c r="AI2138" s="25">
        <f t="shared" ref="AI2138:AI2143" si="159">IF(AL2138=12,K2138,0)</f>
        <v>0</v>
      </c>
      <c r="AJ2138" s="25">
        <f t="shared" ref="AJ2138:AJ2143" si="160">IF(AL2138=21,K2138,0)</f>
        <v>0</v>
      </c>
      <c r="AL2138" s="25">
        <v>21</v>
      </c>
      <c r="AM2138" s="25">
        <f t="shared" ref="AM2138:AM2143" si="161">H2138*1</f>
        <v>0</v>
      </c>
      <c r="AN2138" s="25">
        <f t="shared" ref="AN2138:AN2143" si="162">H2138*(1-1)</f>
        <v>0</v>
      </c>
      <c r="AO2138" s="27" t="s">
        <v>61</v>
      </c>
      <c r="AT2138" s="25">
        <f t="shared" ref="AT2138:AT2143" si="163">ROUND(AU2138+AV2138,2)</f>
        <v>0</v>
      </c>
      <c r="AU2138" s="25">
        <f t="shared" ref="AU2138:AU2143" si="164">ROUND(G2138*AM2138,2)</f>
        <v>0</v>
      </c>
      <c r="AV2138" s="25">
        <f t="shared" ref="AV2138:AV2143" si="165">ROUND(G2138*AN2138,2)</f>
        <v>0</v>
      </c>
      <c r="AW2138" s="27" t="s">
        <v>2472</v>
      </c>
      <c r="AX2138" s="27" t="s">
        <v>2473</v>
      </c>
      <c r="AY2138" s="10" t="s">
        <v>2341</v>
      </c>
      <c r="BA2138" s="25">
        <f t="shared" ref="BA2138:BA2143" si="166">AU2138+AV2138</f>
        <v>0</v>
      </c>
      <c r="BB2138" s="25">
        <f t="shared" ref="BB2138:BB2143" si="167">H2138/(100-BC2138)*100</f>
        <v>0</v>
      </c>
      <c r="BC2138" s="25">
        <v>0</v>
      </c>
      <c r="BD2138" s="25">
        <f t="shared" ref="BD2138:BD2143" si="168">M2138</f>
        <v>1.66E-3</v>
      </c>
      <c r="BF2138" s="25">
        <f t="shared" ref="BF2138:BF2143" si="169">G2138*AM2138</f>
        <v>0</v>
      </c>
      <c r="BG2138" s="25">
        <f t="shared" ref="BG2138:BG2143" si="170">G2138*AN2138</f>
        <v>0</v>
      </c>
      <c r="BH2138" s="25">
        <f t="shared" ref="BH2138:BH2143" si="171">G2138*H2138</f>
        <v>0</v>
      </c>
      <c r="BI2138" s="27" t="s">
        <v>576</v>
      </c>
      <c r="BJ2138" s="25">
        <v>728</v>
      </c>
      <c r="BU2138" s="25" t="e">
        <f>#REF!</f>
        <v>#REF!</v>
      </c>
      <c r="BV2138" s="4" t="s">
        <v>2605</v>
      </c>
    </row>
    <row r="2139" spans="1:74" ht="14.4" x14ac:dyDescent="0.3">
      <c r="A2139" s="2" t="s">
        <v>2606</v>
      </c>
      <c r="B2139" s="3" t="s">
        <v>2333</v>
      </c>
      <c r="C2139" s="3" t="s">
        <v>1788</v>
      </c>
      <c r="D2139" s="112" t="s">
        <v>2607</v>
      </c>
      <c r="E2139" s="109"/>
      <c r="F2139" s="3" t="s">
        <v>122</v>
      </c>
      <c r="G2139" s="25">
        <v>2</v>
      </c>
      <c r="H2139" s="62"/>
      <c r="I2139" s="25">
        <f t="shared" si="146"/>
        <v>0</v>
      </c>
      <c r="J2139" s="25">
        <f t="shared" si="147"/>
        <v>0</v>
      </c>
      <c r="K2139" s="25">
        <f t="shared" si="148"/>
        <v>0</v>
      </c>
      <c r="L2139" s="25">
        <v>2.5000000000000001E-4</v>
      </c>
      <c r="M2139" s="25">
        <f t="shared" si="149"/>
        <v>5.0000000000000001E-4</v>
      </c>
      <c r="N2139" s="102"/>
      <c r="X2139" s="25">
        <f t="shared" si="150"/>
        <v>0</v>
      </c>
      <c r="Z2139" s="25">
        <f t="shared" si="151"/>
        <v>0</v>
      </c>
      <c r="AA2139" s="25">
        <f t="shared" si="152"/>
        <v>0</v>
      </c>
      <c r="AB2139" s="25">
        <f t="shared" si="153"/>
        <v>0</v>
      </c>
      <c r="AC2139" s="25">
        <f t="shared" si="154"/>
        <v>0</v>
      </c>
      <c r="AD2139" s="25">
        <f t="shared" si="155"/>
        <v>0</v>
      </c>
      <c r="AE2139" s="25">
        <f t="shared" si="156"/>
        <v>0</v>
      </c>
      <c r="AF2139" s="25">
        <f t="shared" si="157"/>
        <v>0</v>
      </c>
      <c r="AG2139" s="10" t="s">
        <v>2333</v>
      </c>
      <c r="AH2139" s="25">
        <f t="shared" si="158"/>
        <v>0</v>
      </c>
      <c r="AI2139" s="25">
        <f t="shared" si="159"/>
        <v>0</v>
      </c>
      <c r="AJ2139" s="25">
        <f t="shared" si="160"/>
        <v>0</v>
      </c>
      <c r="AL2139" s="25">
        <v>21</v>
      </c>
      <c r="AM2139" s="25">
        <f t="shared" si="161"/>
        <v>0</v>
      </c>
      <c r="AN2139" s="25">
        <f t="shared" si="162"/>
        <v>0</v>
      </c>
      <c r="AO2139" s="27" t="s">
        <v>61</v>
      </c>
      <c r="AT2139" s="25">
        <f t="shared" si="163"/>
        <v>0</v>
      </c>
      <c r="AU2139" s="25">
        <f t="shared" si="164"/>
        <v>0</v>
      </c>
      <c r="AV2139" s="25">
        <f t="shared" si="165"/>
        <v>0</v>
      </c>
      <c r="AW2139" s="27" t="s">
        <v>2472</v>
      </c>
      <c r="AX2139" s="27" t="s">
        <v>2473</v>
      </c>
      <c r="AY2139" s="10" t="s">
        <v>2341</v>
      </c>
      <c r="BA2139" s="25">
        <f t="shared" si="166"/>
        <v>0</v>
      </c>
      <c r="BB2139" s="25">
        <f t="shared" si="167"/>
        <v>0</v>
      </c>
      <c r="BC2139" s="25">
        <v>0</v>
      </c>
      <c r="BD2139" s="25">
        <f t="shared" si="168"/>
        <v>5.0000000000000001E-4</v>
      </c>
      <c r="BF2139" s="25">
        <f t="shared" si="169"/>
        <v>0</v>
      </c>
      <c r="BG2139" s="25">
        <f t="shared" si="170"/>
        <v>0</v>
      </c>
      <c r="BH2139" s="25">
        <f t="shared" si="171"/>
        <v>0</v>
      </c>
      <c r="BI2139" s="27" t="s">
        <v>576</v>
      </c>
      <c r="BJ2139" s="25">
        <v>728</v>
      </c>
      <c r="BU2139" s="25" t="e">
        <f>#REF!</f>
        <v>#REF!</v>
      </c>
      <c r="BV2139" s="4" t="s">
        <v>2607</v>
      </c>
    </row>
    <row r="2140" spans="1:74" ht="14.4" x14ac:dyDescent="0.3">
      <c r="A2140" s="2" t="s">
        <v>2608</v>
      </c>
      <c r="B2140" s="3" t="s">
        <v>2333</v>
      </c>
      <c r="C2140" s="3" t="s">
        <v>1785</v>
      </c>
      <c r="D2140" s="112" t="s">
        <v>2609</v>
      </c>
      <c r="E2140" s="109"/>
      <c r="F2140" s="3" t="s">
        <v>122</v>
      </c>
      <c r="G2140" s="25">
        <v>4</v>
      </c>
      <c r="H2140" s="62"/>
      <c r="I2140" s="25">
        <f t="shared" si="146"/>
        <v>0</v>
      </c>
      <c r="J2140" s="25">
        <f t="shared" si="147"/>
        <v>0</v>
      </c>
      <c r="K2140" s="25">
        <f t="shared" si="148"/>
        <v>0</v>
      </c>
      <c r="L2140" s="25">
        <v>2.5000000000000001E-4</v>
      </c>
      <c r="M2140" s="25">
        <f t="shared" si="149"/>
        <v>1E-3</v>
      </c>
      <c r="N2140" s="102"/>
      <c r="X2140" s="25">
        <f t="shared" si="150"/>
        <v>0</v>
      </c>
      <c r="Z2140" s="25">
        <f t="shared" si="151"/>
        <v>0</v>
      </c>
      <c r="AA2140" s="25">
        <f t="shared" si="152"/>
        <v>0</v>
      </c>
      <c r="AB2140" s="25">
        <f t="shared" si="153"/>
        <v>0</v>
      </c>
      <c r="AC2140" s="25">
        <f t="shared" si="154"/>
        <v>0</v>
      </c>
      <c r="AD2140" s="25">
        <f t="shared" si="155"/>
        <v>0</v>
      </c>
      <c r="AE2140" s="25">
        <f t="shared" si="156"/>
        <v>0</v>
      </c>
      <c r="AF2140" s="25">
        <f t="shared" si="157"/>
        <v>0</v>
      </c>
      <c r="AG2140" s="10" t="s">
        <v>2333</v>
      </c>
      <c r="AH2140" s="25">
        <f t="shared" si="158"/>
        <v>0</v>
      </c>
      <c r="AI2140" s="25">
        <f t="shared" si="159"/>
        <v>0</v>
      </c>
      <c r="AJ2140" s="25">
        <f t="shared" si="160"/>
        <v>0</v>
      </c>
      <c r="AL2140" s="25">
        <v>21</v>
      </c>
      <c r="AM2140" s="25">
        <f t="shared" si="161"/>
        <v>0</v>
      </c>
      <c r="AN2140" s="25">
        <f t="shared" si="162"/>
        <v>0</v>
      </c>
      <c r="AO2140" s="27" t="s">
        <v>61</v>
      </c>
      <c r="AT2140" s="25">
        <f t="shared" si="163"/>
        <v>0</v>
      </c>
      <c r="AU2140" s="25">
        <f t="shared" si="164"/>
        <v>0</v>
      </c>
      <c r="AV2140" s="25">
        <f t="shared" si="165"/>
        <v>0</v>
      </c>
      <c r="AW2140" s="27" t="s">
        <v>2472</v>
      </c>
      <c r="AX2140" s="27" t="s">
        <v>2473</v>
      </c>
      <c r="AY2140" s="10" t="s">
        <v>2341</v>
      </c>
      <c r="BA2140" s="25">
        <f t="shared" si="166"/>
        <v>0</v>
      </c>
      <c r="BB2140" s="25">
        <f t="shared" si="167"/>
        <v>0</v>
      </c>
      <c r="BC2140" s="25">
        <v>0</v>
      </c>
      <c r="BD2140" s="25">
        <f t="shared" si="168"/>
        <v>1E-3</v>
      </c>
      <c r="BF2140" s="25">
        <f t="shared" si="169"/>
        <v>0</v>
      </c>
      <c r="BG2140" s="25">
        <f t="shared" si="170"/>
        <v>0</v>
      </c>
      <c r="BH2140" s="25">
        <f t="shared" si="171"/>
        <v>0</v>
      </c>
      <c r="BI2140" s="27" t="s">
        <v>576</v>
      </c>
      <c r="BJ2140" s="25">
        <v>728</v>
      </c>
      <c r="BU2140" s="25" t="e">
        <f>#REF!</f>
        <v>#REF!</v>
      </c>
      <c r="BV2140" s="4" t="s">
        <v>2609</v>
      </c>
    </row>
    <row r="2141" spans="1:74" ht="14.4" x14ac:dyDescent="0.3">
      <c r="A2141" s="2" t="s">
        <v>2610</v>
      </c>
      <c r="B2141" s="3" t="s">
        <v>2333</v>
      </c>
      <c r="C2141" s="3" t="s">
        <v>1764</v>
      </c>
      <c r="D2141" s="112" t="s">
        <v>2611</v>
      </c>
      <c r="E2141" s="109"/>
      <c r="F2141" s="3" t="s">
        <v>122</v>
      </c>
      <c r="G2141" s="25">
        <v>2</v>
      </c>
      <c r="H2141" s="62"/>
      <c r="I2141" s="25">
        <f t="shared" si="146"/>
        <v>0</v>
      </c>
      <c r="J2141" s="25">
        <f t="shared" si="147"/>
        <v>0</v>
      </c>
      <c r="K2141" s="25">
        <f t="shared" si="148"/>
        <v>0</v>
      </c>
      <c r="L2141" s="25">
        <v>4.0999999999999999E-4</v>
      </c>
      <c r="M2141" s="25">
        <f t="shared" si="149"/>
        <v>8.1999999999999998E-4</v>
      </c>
      <c r="N2141" s="102"/>
      <c r="X2141" s="25">
        <f t="shared" si="150"/>
        <v>0</v>
      </c>
      <c r="Z2141" s="25">
        <f t="shared" si="151"/>
        <v>0</v>
      </c>
      <c r="AA2141" s="25">
        <f t="shared" si="152"/>
        <v>0</v>
      </c>
      <c r="AB2141" s="25">
        <f t="shared" si="153"/>
        <v>0</v>
      </c>
      <c r="AC2141" s="25">
        <f t="shared" si="154"/>
        <v>0</v>
      </c>
      <c r="AD2141" s="25">
        <f t="shared" si="155"/>
        <v>0</v>
      </c>
      <c r="AE2141" s="25">
        <f t="shared" si="156"/>
        <v>0</v>
      </c>
      <c r="AF2141" s="25">
        <f t="shared" si="157"/>
        <v>0</v>
      </c>
      <c r="AG2141" s="10" t="s">
        <v>2333</v>
      </c>
      <c r="AH2141" s="25">
        <f t="shared" si="158"/>
        <v>0</v>
      </c>
      <c r="AI2141" s="25">
        <f t="shared" si="159"/>
        <v>0</v>
      </c>
      <c r="AJ2141" s="25">
        <f t="shared" si="160"/>
        <v>0</v>
      </c>
      <c r="AL2141" s="25">
        <v>21</v>
      </c>
      <c r="AM2141" s="25">
        <f t="shared" si="161"/>
        <v>0</v>
      </c>
      <c r="AN2141" s="25">
        <f t="shared" si="162"/>
        <v>0</v>
      </c>
      <c r="AO2141" s="27" t="s">
        <v>61</v>
      </c>
      <c r="AT2141" s="25">
        <f t="shared" si="163"/>
        <v>0</v>
      </c>
      <c r="AU2141" s="25">
        <f t="shared" si="164"/>
        <v>0</v>
      </c>
      <c r="AV2141" s="25">
        <f t="shared" si="165"/>
        <v>0</v>
      </c>
      <c r="AW2141" s="27" t="s">
        <v>2472</v>
      </c>
      <c r="AX2141" s="27" t="s">
        <v>2473</v>
      </c>
      <c r="AY2141" s="10" t="s">
        <v>2341</v>
      </c>
      <c r="BA2141" s="25">
        <f t="shared" si="166"/>
        <v>0</v>
      </c>
      <c r="BB2141" s="25">
        <f t="shared" si="167"/>
        <v>0</v>
      </c>
      <c r="BC2141" s="25">
        <v>0</v>
      </c>
      <c r="BD2141" s="25">
        <f t="shared" si="168"/>
        <v>8.1999999999999998E-4</v>
      </c>
      <c r="BF2141" s="25">
        <f t="shared" si="169"/>
        <v>0</v>
      </c>
      <c r="BG2141" s="25">
        <f t="shared" si="170"/>
        <v>0</v>
      </c>
      <c r="BH2141" s="25">
        <f t="shared" si="171"/>
        <v>0</v>
      </c>
      <c r="BI2141" s="27" t="s">
        <v>576</v>
      </c>
      <c r="BJ2141" s="25">
        <v>728</v>
      </c>
      <c r="BU2141" s="25" t="e">
        <f>#REF!</f>
        <v>#REF!</v>
      </c>
      <c r="BV2141" s="4" t="s">
        <v>2611</v>
      </c>
    </row>
    <row r="2142" spans="1:74" ht="26.4" x14ac:dyDescent="0.3">
      <c r="A2142" s="2" t="s">
        <v>2612</v>
      </c>
      <c r="B2142" s="3" t="s">
        <v>2333</v>
      </c>
      <c r="C2142" s="3" t="s">
        <v>1761</v>
      </c>
      <c r="D2142" s="112" t="s">
        <v>2613</v>
      </c>
      <c r="E2142" s="109"/>
      <c r="F2142" s="3" t="s">
        <v>122</v>
      </c>
      <c r="G2142" s="25">
        <v>1</v>
      </c>
      <c r="H2142" s="62"/>
      <c r="I2142" s="25">
        <f t="shared" si="146"/>
        <v>0</v>
      </c>
      <c r="J2142" s="25">
        <f t="shared" si="147"/>
        <v>0</v>
      </c>
      <c r="K2142" s="25">
        <f t="shared" si="148"/>
        <v>0</v>
      </c>
      <c r="L2142" s="25">
        <v>4.0999999999999999E-4</v>
      </c>
      <c r="M2142" s="25">
        <f t="shared" si="149"/>
        <v>4.0999999999999999E-4</v>
      </c>
      <c r="N2142" s="102"/>
      <c r="X2142" s="25">
        <f t="shared" si="150"/>
        <v>0</v>
      </c>
      <c r="Z2142" s="25">
        <f t="shared" si="151"/>
        <v>0</v>
      </c>
      <c r="AA2142" s="25">
        <f t="shared" si="152"/>
        <v>0</v>
      </c>
      <c r="AB2142" s="25">
        <f t="shared" si="153"/>
        <v>0</v>
      </c>
      <c r="AC2142" s="25">
        <f t="shared" si="154"/>
        <v>0</v>
      </c>
      <c r="AD2142" s="25">
        <f t="shared" si="155"/>
        <v>0</v>
      </c>
      <c r="AE2142" s="25">
        <f t="shared" si="156"/>
        <v>0</v>
      </c>
      <c r="AF2142" s="25">
        <f t="shared" si="157"/>
        <v>0</v>
      </c>
      <c r="AG2142" s="10" t="s">
        <v>2333</v>
      </c>
      <c r="AH2142" s="25">
        <f t="shared" si="158"/>
        <v>0</v>
      </c>
      <c r="AI2142" s="25">
        <f t="shared" si="159"/>
        <v>0</v>
      </c>
      <c r="AJ2142" s="25">
        <f t="shared" si="160"/>
        <v>0</v>
      </c>
      <c r="AL2142" s="25">
        <v>21</v>
      </c>
      <c r="AM2142" s="25">
        <f t="shared" si="161"/>
        <v>0</v>
      </c>
      <c r="AN2142" s="25">
        <f t="shared" si="162"/>
        <v>0</v>
      </c>
      <c r="AO2142" s="27" t="s">
        <v>61</v>
      </c>
      <c r="AT2142" s="25">
        <f t="shared" si="163"/>
        <v>0</v>
      </c>
      <c r="AU2142" s="25">
        <f t="shared" si="164"/>
        <v>0</v>
      </c>
      <c r="AV2142" s="25">
        <f t="shared" si="165"/>
        <v>0</v>
      </c>
      <c r="AW2142" s="27" t="s">
        <v>2472</v>
      </c>
      <c r="AX2142" s="27" t="s">
        <v>2473</v>
      </c>
      <c r="AY2142" s="10" t="s">
        <v>2341</v>
      </c>
      <c r="BA2142" s="25">
        <f t="shared" si="166"/>
        <v>0</v>
      </c>
      <c r="BB2142" s="25">
        <f t="shared" si="167"/>
        <v>0</v>
      </c>
      <c r="BC2142" s="25">
        <v>0</v>
      </c>
      <c r="BD2142" s="25">
        <f t="shared" si="168"/>
        <v>4.0999999999999999E-4</v>
      </c>
      <c r="BF2142" s="25">
        <f t="shared" si="169"/>
        <v>0</v>
      </c>
      <c r="BG2142" s="25">
        <f t="shared" si="170"/>
        <v>0</v>
      </c>
      <c r="BH2142" s="25">
        <f t="shared" si="171"/>
        <v>0</v>
      </c>
      <c r="BI2142" s="27" t="s">
        <v>576</v>
      </c>
      <c r="BJ2142" s="25">
        <v>728</v>
      </c>
      <c r="BU2142" s="25" t="e">
        <f>#REF!</f>
        <v>#REF!</v>
      </c>
      <c r="BV2142" s="4" t="s">
        <v>2613</v>
      </c>
    </row>
    <row r="2143" spans="1:74" ht="26.4" x14ac:dyDescent="0.3">
      <c r="A2143" s="2" t="s">
        <v>2614</v>
      </c>
      <c r="B2143" s="3" t="s">
        <v>2333</v>
      </c>
      <c r="C2143" s="3" t="s">
        <v>1758</v>
      </c>
      <c r="D2143" s="112" t="s">
        <v>2615</v>
      </c>
      <c r="E2143" s="109"/>
      <c r="F2143" s="3" t="s">
        <v>122</v>
      </c>
      <c r="G2143" s="25">
        <v>2</v>
      </c>
      <c r="H2143" s="62"/>
      <c r="I2143" s="25">
        <f t="shared" si="146"/>
        <v>0</v>
      </c>
      <c r="J2143" s="25">
        <f t="shared" si="147"/>
        <v>0</v>
      </c>
      <c r="K2143" s="25">
        <f t="shared" si="148"/>
        <v>0</v>
      </c>
      <c r="L2143" s="25">
        <v>4.0999999999999999E-4</v>
      </c>
      <c r="M2143" s="25">
        <f t="shared" si="149"/>
        <v>8.1999999999999998E-4</v>
      </c>
      <c r="N2143" s="102"/>
      <c r="X2143" s="25">
        <f t="shared" si="150"/>
        <v>0</v>
      </c>
      <c r="Z2143" s="25">
        <f t="shared" si="151"/>
        <v>0</v>
      </c>
      <c r="AA2143" s="25">
        <f t="shared" si="152"/>
        <v>0</v>
      </c>
      <c r="AB2143" s="25">
        <f t="shared" si="153"/>
        <v>0</v>
      </c>
      <c r="AC2143" s="25">
        <f t="shared" si="154"/>
        <v>0</v>
      </c>
      <c r="AD2143" s="25">
        <f t="shared" si="155"/>
        <v>0</v>
      </c>
      <c r="AE2143" s="25">
        <f t="shared" si="156"/>
        <v>0</v>
      </c>
      <c r="AF2143" s="25">
        <f t="shared" si="157"/>
        <v>0</v>
      </c>
      <c r="AG2143" s="10" t="s">
        <v>2333</v>
      </c>
      <c r="AH2143" s="25">
        <f t="shared" si="158"/>
        <v>0</v>
      </c>
      <c r="AI2143" s="25">
        <f t="shared" si="159"/>
        <v>0</v>
      </c>
      <c r="AJ2143" s="25">
        <f t="shared" si="160"/>
        <v>0</v>
      </c>
      <c r="AL2143" s="25">
        <v>21</v>
      </c>
      <c r="AM2143" s="25">
        <f t="shared" si="161"/>
        <v>0</v>
      </c>
      <c r="AN2143" s="25">
        <f t="shared" si="162"/>
        <v>0</v>
      </c>
      <c r="AO2143" s="27" t="s">
        <v>61</v>
      </c>
      <c r="AT2143" s="25">
        <f t="shared" si="163"/>
        <v>0</v>
      </c>
      <c r="AU2143" s="25">
        <f t="shared" si="164"/>
        <v>0</v>
      </c>
      <c r="AV2143" s="25">
        <f t="shared" si="165"/>
        <v>0</v>
      </c>
      <c r="AW2143" s="27" t="s">
        <v>2472</v>
      </c>
      <c r="AX2143" s="27" t="s">
        <v>2473</v>
      </c>
      <c r="AY2143" s="10" t="s">
        <v>2341</v>
      </c>
      <c r="BA2143" s="25">
        <f t="shared" si="166"/>
        <v>0</v>
      </c>
      <c r="BB2143" s="25">
        <f t="shared" si="167"/>
        <v>0</v>
      </c>
      <c r="BC2143" s="25">
        <v>0</v>
      </c>
      <c r="BD2143" s="25">
        <f t="shared" si="168"/>
        <v>8.1999999999999998E-4</v>
      </c>
      <c r="BF2143" s="25">
        <f t="shared" si="169"/>
        <v>0</v>
      </c>
      <c r="BG2143" s="25">
        <f t="shared" si="170"/>
        <v>0</v>
      </c>
      <c r="BH2143" s="25">
        <f t="shared" si="171"/>
        <v>0</v>
      </c>
      <c r="BI2143" s="27" t="s">
        <v>576</v>
      </c>
      <c r="BJ2143" s="25">
        <v>728</v>
      </c>
      <c r="BU2143" s="25" t="e">
        <f>#REF!</f>
        <v>#REF!</v>
      </c>
      <c r="BV2143" s="4" t="s">
        <v>2615</v>
      </c>
    </row>
    <row r="2144" spans="1:74" ht="14.4" x14ac:dyDescent="0.3">
      <c r="A2144" s="21" t="s">
        <v>52</v>
      </c>
      <c r="B2144" s="22" t="s">
        <v>2333</v>
      </c>
      <c r="C2144" s="22" t="s">
        <v>555</v>
      </c>
      <c r="D2144" s="170" t="s">
        <v>1675</v>
      </c>
      <c r="E2144" s="171"/>
      <c r="F2144" s="23" t="s">
        <v>32</v>
      </c>
      <c r="G2144" s="23" t="s">
        <v>32</v>
      </c>
      <c r="H2144" s="64"/>
      <c r="I2144" s="1">
        <f>SUM(I2145:I2153)</f>
        <v>0</v>
      </c>
      <c r="J2144" s="1">
        <f>SUM(J2145:J2153)</f>
        <v>0</v>
      </c>
      <c r="K2144" s="1">
        <f>SUM(K2145:K2153)</f>
        <v>0</v>
      </c>
      <c r="L2144" s="10" t="s">
        <v>52</v>
      </c>
      <c r="M2144" s="1">
        <f>SUM(M2145:M2153)</f>
        <v>0</v>
      </c>
      <c r="N2144" s="24"/>
      <c r="AG2144" s="10" t="s">
        <v>2333</v>
      </c>
      <c r="AQ2144" s="1">
        <f>SUM(AH2145:AH2153)</f>
        <v>0</v>
      </c>
      <c r="AR2144" s="1">
        <f>SUM(AI2145:AI2153)</f>
        <v>0</v>
      </c>
      <c r="AS2144" s="1">
        <f>SUM(AJ2145:AJ2153)</f>
        <v>0</v>
      </c>
    </row>
    <row r="2145" spans="1:74" ht="26.4" x14ac:dyDescent="0.3">
      <c r="A2145" s="2" t="s">
        <v>2616</v>
      </c>
      <c r="B2145" s="3" t="s">
        <v>2333</v>
      </c>
      <c r="C2145" s="3" t="s">
        <v>1677</v>
      </c>
      <c r="D2145" s="112" t="s">
        <v>2617</v>
      </c>
      <c r="E2145" s="109"/>
      <c r="F2145" s="3" t="s">
        <v>100</v>
      </c>
      <c r="G2145" s="25">
        <v>24</v>
      </c>
      <c r="H2145" s="62"/>
      <c r="I2145" s="25">
        <f>ROUND(G2145*AM2145,2)</f>
        <v>0</v>
      </c>
      <c r="J2145" s="25">
        <f>ROUND(G2145*AN2145,2)</f>
        <v>0</v>
      </c>
      <c r="K2145" s="25">
        <f>ROUND(G2145*H2145,2)</f>
        <v>0</v>
      </c>
      <c r="L2145" s="25">
        <v>0</v>
      </c>
      <c r="M2145" s="25">
        <f>G2145*L2145</f>
        <v>0</v>
      </c>
      <c r="N2145" s="26"/>
      <c r="X2145" s="25">
        <f>ROUND(IF(AO2145="5",BH2145,0),2)</f>
        <v>0</v>
      </c>
      <c r="Z2145" s="25">
        <f>ROUND(IF(AO2145="1",BF2145,0),2)</f>
        <v>0</v>
      </c>
      <c r="AA2145" s="25">
        <f>ROUND(IF(AO2145="1",BG2145,0),2)</f>
        <v>0</v>
      </c>
      <c r="AB2145" s="25">
        <f>ROUND(IF(AO2145="7",BF2145,0),2)</f>
        <v>0</v>
      </c>
      <c r="AC2145" s="25">
        <f>ROUND(IF(AO2145="7",BG2145,0),2)</f>
        <v>0</v>
      </c>
      <c r="AD2145" s="25">
        <f>ROUND(IF(AO2145="2",BF2145,0),2)</f>
        <v>0</v>
      </c>
      <c r="AE2145" s="25">
        <f>ROUND(IF(AO2145="2",BG2145,0),2)</f>
        <v>0</v>
      </c>
      <c r="AF2145" s="25">
        <f>ROUND(IF(AO2145="0",BH2145,0),2)</f>
        <v>0</v>
      </c>
      <c r="AG2145" s="10" t="s">
        <v>2333</v>
      </c>
      <c r="AH2145" s="25">
        <f>IF(AL2145=0,K2145,0)</f>
        <v>0</v>
      </c>
      <c r="AI2145" s="25">
        <f>IF(AL2145=12,K2145,0)</f>
        <v>0</v>
      </c>
      <c r="AJ2145" s="25">
        <f>IF(AL2145=21,K2145,0)</f>
        <v>0</v>
      </c>
      <c r="AL2145" s="25">
        <v>21</v>
      </c>
      <c r="AM2145" s="25">
        <f>H2145*0</f>
        <v>0</v>
      </c>
      <c r="AN2145" s="25">
        <f>H2145*(1-0)</f>
        <v>0</v>
      </c>
      <c r="AO2145" s="27" t="s">
        <v>57</v>
      </c>
      <c r="AT2145" s="25">
        <f>ROUND(AU2145+AV2145,2)</f>
        <v>0</v>
      </c>
      <c r="AU2145" s="25">
        <f>ROUND(G2145*AM2145,2)</f>
        <v>0</v>
      </c>
      <c r="AV2145" s="25">
        <f>ROUND(G2145*AN2145,2)</f>
        <v>0</v>
      </c>
      <c r="AW2145" s="27" t="s">
        <v>1679</v>
      </c>
      <c r="AX2145" s="27" t="s">
        <v>2392</v>
      </c>
      <c r="AY2145" s="10" t="s">
        <v>2341</v>
      </c>
      <c r="BA2145" s="25">
        <f>AU2145+AV2145</f>
        <v>0</v>
      </c>
      <c r="BB2145" s="25">
        <f>H2145/(100-BC2145)*100</f>
        <v>0</v>
      </c>
      <c r="BC2145" s="25">
        <v>0</v>
      </c>
      <c r="BD2145" s="25">
        <f>M2145</f>
        <v>0</v>
      </c>
      <c r="BF2145" s="25">
        <f>G2145*AM2145</f>
        <v>0</v>
      </c>
      <c r="BG2145" s="25">
        <f>G2145*AN2145</f>
        <v>0</v>
      </c>
      <c r="BH2145" s="25">
        <f>G2145*H2145</f>
        <v>0</v>
      </c>
      <c r="BI2145" s="27" t="s">
        <v>65</v>
      </c>
      <c r="BJ2145" s="25">
        <v>90</v>
      </c>
      <c r="BU2145" s="25" t="e">
        <f>#REF!</f>
        <v>#REF!</v>
      </c>
      <c r="BV2145" s="4" t="s">
        <v>2617</v>
      </c>
    </row>
    <row r="2146" spans="1:74" ht="14.4" x14ac:dyDescent="0.3">
      <c r="A2146" s="28"/>
      <c r="D2146" s="29" t="s">
        <v>103</v>
      </c>
      <c r="E2146" s="29" t="s">
        <v>52</v>
      </c>
      <c r="G2146" s="30">
        <v>24</v>
      </c>
      <c r="H2146" s="63"/>
      <c r="N2146" s="31"/>
    </row>
    <row r="2147" spans="1:74" ht="26.4" x14ac:dyDescent="0.3">
      <c r="A2147" s="2" t="s">
        <v>2618</v>
      </c>
      <c r="B2147" s="3" t="s">
        <v>2333</v>
      </c>
      <c r="C2147" s="3" t="s">
        <v>1682</v>
      </c>
      <c r="D2147" s="112" t="s">
        <v>2619</v>
      </c>
      <c r="E2147" s="109"/>
      <c r="F2147" s="3" t="s">
        <v>100</v>
      </c>
      <c r="G2147" s="25">
        <v>16</v>
      </c>
      <c r="H2147" s="62"/>
      <c r="I2147" s="25">
        <f>ROUND(G2147*AM2147,2)</f>
        <v>0</v>
      </c>
      <c r="J2147" s="25">
        <f>ROUND(G2147*AN2147,2)</f>
        <v>0</v>
      </c>
      <c r="K2147" s="25">
        <f>ROUND(G2147*H2147,2)</f>
        <v>0</v>
      </c>
      <c r="L2147" s="25">
        <v>0</v>
      </c>
      <c r="M2147" s="25">
        <f>G2147*L2147</f>
        <v>0</v>
      </c>
      <c r="N2147" s="26"/>
      <c r="X2147" s="25">
        <f>ROUND(IF(AO2147="5",BH2147,0),2)</f>
        <v>0</v>
      </c>
      <c r="Z2147" s="25">
        <f>ROUND(IF(AO2147="1",BF2147,0),2)</f>
        <v>0</v>
      </c>
      <c r="AA2147" s="25">
        <f>ROUND(IF(AO2147="1",BG2147,0),2)</f>
        <v>0</v>
      </c>
      <c r="AB2147" s="25">
        <f>ROUND(IF(AO2147="7",BF2147,0),2)</f>
        <v>0</v>
      </c>
      <c r="AC2147" s="25">
        <f>ROUND(IF(AO2147="7",BG2147,0),2)</f>
        <v>0</v>
      </c>
      <c r="AD2147" s="25">
        <f>ROUND(IF(AO2147="2",BF2147,0),2)</f>
        <v>0</v>
      </c>
      <c r="AE2147" s="25">
        <f>ROUND(IF(AO2147="2",BG2147,0),2)</f>
        <v>0</v>
      </c>
      <c r="AF2147" s="25">
        <f>ROUND(IF(AO2147="0",BH2147,0),2)</f>
        <v>0</v>
      </c>
      <c r="AG2147" s="10" t="s">
        <v>2333</v>
      </c>
      <c r="AH2147" s="25">
        <f>IF(AL2147=0,K2147,0)</f>
        <v>0</v>
      </c>
      <c r="AI2147" s="25">
        <f>IF(AL2147=12,K2147,0)</f>
        <v>0</v>
      </c>
      <c r="AJ2147" s="25">
        <f>IF(AL2147=21,K2147,0)</f>
        <v>0</v>
      </c>
      <c r="AL2147" s="25">
        <v>21</v>
      </c>
      <c r="AM2147" s="25">
        <f>H2147*0</f>
        <v>0</v>
      </c>
      <c r="AN2147" s="25">
        <f>H2147*(1-0)</f>
        <v>0</v>
      </c>
      <c r="AO2147" s="27" t="s">
        <v>57</v>
      </c>
      <c r="AT2147" s="25">
        <f>ROUND(AU2147+AV2147,2)</f>
        <v>0</v>
      </c>
      <c r="AU2147" s="25">
        <f>ROUND(G2147*AM2147,2)</f>
        <v>0</v>
      </c>
      <c r="AV2147" s="25">
        <f>ROUND(G2147*AN2147,2)</f>
        <v>0</v>
      </c>
      <c r="AW2147" s="27" t="s">
        <v>1679</v>
      </c>
      <c r="AX2147" s="27" t="s">
        <v>2392</v>
      </c>
      <c r="AY2147" s="10" t="s">
        <v>2341</v>
      </c>
      <c r="BA2147" s="25">
        <f>AU2147+AV2147</f>
        <v>0</v>
      </c>
      <c r="BB2147" s="25">
        <f>H2147/(100-BC2147)*100</f>
        <v>0</v>
      </c>
      <c r="BC2147" s="25">
        <v>0</v>
      </c>
      <c r="BD2147" s="25">
        <f>M2147</f>
        <v>0</v>
      </c>
      <c r="BF2147" s="25">
        <f>G2147*AM2147</f>
        <v>0</v>
      </c>
      <c r="BG2147" s="25">
        <f>G2147*AN2147</f>
        <v>0</v>
      </c>
      <c r="BH2147" s="25">
        <f>G2147*H2147</f>
        <v>0</v>
      </c>
      <c r="BI2147" s="27" t="s">
        <v>65</v>
      </c>
      <c r="BJ2147" s="25">
        <v>90</v>
      </c>
      <c r="BU2147" s="25" t="e">
        <f>#REF!</f>
        <v>#REF!</v>
      </c>
      <c r="BV2147" s="4" t="s">
        <v>2619</v>
      </c>
    </row>
    <row r="2148" spans="1:74" ht="14.4" x14ac:dyDescent="0.3">
      <c r="A2148" s="28"/>
      <c r="D2148" s="29" t="s">
        <v>1907</v>
      </c>
      <c r="E2148" s="29" t="s">
        <v>52</v>
      </c>
      <c r="G2148" s="30">
        <v>16</v>
      </c>
      <c r="H2148" s="63"/>
      <c r="N2148" s="31"/>
    </row>
    <row r="2149" spans="1:74" ht="26.4" x14ac:dyDescent="0.3">
      <c r="A2149" s="2" t="s">
        <v>2620</v>
      </c>
      <c r="B2149" s="3" t="s">
        <v>2333</v>
      </c>
      <c r="C2149" s="3" t="s">
        <v>1682</v>
      </c>
      <c r="D2149" s="112" t="s">
        <v>2621</v>
      </c>
      <c r="E2149" s="109"/>
      <c r="F2149" s="3" t="s">
        <v>100</v>
      </c>
      <c r="G2149" s="25">
        <v>16</v>
      </c>
      <c r="H2149" s="62"/>
      <c r="I2149" s="25">
        <f>ROUND(G2149*AM2149,2)</f>
        <v>0</v>
      </c>
      <c r="J2149" s="25">
        <f>ROUND(G2149*AN2149,2)</f>
        <v>0</v>
      </c>
      <c r="K2149" s="25">
        <f>ROUND(G2149*H2149,2)</f>
        <v>0</v>
      </c>
      <c r="L2149" s="25">
        <v>0</v>
      </c>
      <c r="M2149" s="25">
        <f>G2149*L2149</f>
        <v>0</v>
      </c>
      <c r="N2149" s="26"/>
      <c r="X2149" s="25">
        <f>ROUND(IF(AO2149="5",BH2149,0),2)</f>
        <v>0</v>
      </c>
      <c r="Z2149" s="25">
        <f>ROUND(IF(AO2149="1",BF2149,0),2)</f>
        <v>0</v>
      </c>
      <c r="AA2149" s="25">
        <f>ROUND(IF(AO2149="1",BG2149,0),2)</f>
        <v>0</v>
      </c>
      <c r="AB2149" s="25">
        <f>ROUND(IF(AO2149="7",BF2149,0),2)</f>
        <v>0</v>
      </c>
      <c r="AC2149" s="25">
        <f>ROUND(IF(AO2149="7",BG2149,0),2)</f>
        <v>0</v>
      </c>
      <c r="AD2149" s="25">
        <f>ROUND(IF(AO2149="2",BF2149,0),2)</f>
        <v>0</v>
      </c>
      <c r="AE2149" s="25">
        <f>ROUND(IF(AO2149="2",BG2149,0),2)</f>
        <v>0</v>
      </c>
      <c r="AF2149" s="25">
        <f>ROUND(IF(AO2149="0",BH2149,0),2)</f>
        <v>0</v>
      </c>
      <c r="AG2149" s="10" t="s">
        <v>2333</v>
      </c>
      <c r="AH2149" s="25">
        <f>IF(AL2149=0,K2149,0)</f>
        <v>0</v>
      </c>
      <c r="AI2149" s="25">
        <f>IF(AL2149=12,K2149,0)</f>
        <v>0</v>
      </c>
      <c r="AJ2149" s="25">
        <f>IF(AL2149=21,K2149,0)</f>
        <v>0</v>
      </c>
      <c r="AL2149" s="25">
        <v>21</v>
      </c>
      <c r="AM2149" s="25">
        <f>H2149*0</f>
        <v>0</v>
      </c>
      <c r="AN2149" s="25">
        <f>H2149*(1-0)</f>
        <v>0</v>
      </c>
      <c r="AO2149" s="27" t="s">
        <v>57</v>
      </c>
      <c r="AT2149" s="25">
        <f>ROUND(AU2149+AV2149,2)</f>
        <v>0</v>
      </c>
      <c r="AU2149" s="25">
        <f>ROUND(G2149*AM2149,2)</f>
        <v>0</v>
      </c>
      <c r="AV2149" s="25">
        <f>ROUND(G2149*AN2149,2)</f>
        <v>0</v>
      </c>
      <c r="AW2149" s="27" t="s">
        <v>1679</v>
      </c>
      <c r="AX2149" s="27" t="s">
        <v>2392</v>
      </c>
      <c r="AY2149" s="10" t="s">
        <v>2341</v>
      </c>
      <c r="BA2149" s="25">
        <f>AU2149+AV2149</f>
        <v>0</v>
      </c>
      <c r="BB2149" s="25">
        <f>H2149/(100-BC2149)*100</f>
        <v>0</v>
      </c>
      <c r="BC2149" s="25">
        <v>0</v>
      </c>
      <c r="BD2149" s="25">
        <f>M2149</f>
        <v>0</v>
      </c>
      <c r="BF2149" s="25">
        <f>G2149*AM2149</f>
        <v>0</v>
      </c>
      <c r="BG2149" s="25">
        <f>G2149*AN2149</f>
        <v>0</v>
      </c>
      <c r="BH2149" s="25">
        <f>G2149*H2149</f>
        <v>0</v>
      </c>
      <c r="BI2149" s="27" t="s">
        <v>65</v>
      </c>
      <c r="BJ2149" s="25">
        <v>90</v>
      </c>
      <c r="BU2149" s="25" t="e">
        <f>#REF!</f>
        <v>#REF!</v>
      </c>
      <c r="BV2149" s="4" t="s">
        <v>2621</v>
      </c>
    </row>
    <row r="2150" spans="1:74" ht="14.4" x14ac:dyDescent="0.3">
      <c r="A2150" s="28"/>
      <c r="D2150" s="29" t="s">
        <v>1907</v>
      </c>
      <c r="E2150" s="29" t="s">
        <v>52</v>
      </c>
      <c r="G2150" s="30">
        <v>16</v>
      </c>
      <c r="H2150" s="63"/>
      <c r="N2150" s="31"/>
    </row>
    <row r="2151" spans="1:74" ht="14.4" x14ac:dyDescent="0.3">
      <c r="A2151" s="2" t="s">
        <v>2622</v>
      </c>
      <c r="B2151" s="3" t="s">
        <v>2333</v>
      </c>
      <c r="C2151" s="3" t="s">
        <v>1677</v>
      </c>
      <c r="D2151" s="112" t="s">
        <v>2623</v>
      </c>
      <c r="E2151" s="109"/>
      <c r="F2151" s="3" t="s">
        <v>100</v>
      </c>
      <c r="G2151" s="25">
        <v>24</v>
      </c>
      <c r="H2151" s="62"/>
      <c r="I2151" s="25">
        <f>ROUND(G2151*AM2151,2)</f>
        <v>0</v>
      </c>
      <c r="J2151" s="25">
        <f>ROUND(G2151*AN2151,2)</f>
        <v>0</v>
      </c>
      <c r="K2151" s="25">
        <f>ROUND(G2151*H2151,2)</f>
        <v>0</v>
      </c>
      <c r="L2151" s="25">
        <v>0</v>
      </c>
      <c r="M2151" s="25">
        <f>G2151*L2151</f>
        <v>0</v>
      </c>
      <c r="N2151" s="26"/>
      <c r="X2151" s="25">
        <f>ROUND(IF(AO2151="5",BH2151,0),2)</f>
        <v>0</v>
      </c>
      <c r="Z2151" s="25">
        <f>ROUND(IF(AO2151="1",BF2151,0),2)</f>
        <v>0</v>
      </c>
      <c r="AA2151" s="25">
        <f>ROUND(IF(AO2151="1",BG2151,0),2)</f>
        <v>0</v>
      </c>
      <c r="AB2151" s="25">
        <f>ROUND(IF(AO2151="7",BF2151,0),2)</f>
        <v>0</v>
      </c>
      <c r="AC2151" s="25">
        <f>ROUND(IF(AO2151="7",BG2151,0),2)</f>
        <v>0</v>
      </c>
      <c r="AD2151" s="25">
        <f>ROUND(IF(AO2151="2",BF2151,0),2)</f>
        <v>0</v>
      </c>
      <c r="AE2151" s="25">
        <f>ROUND(IF(AO2151="2",BG2151,0),2)</f>
        <v>0</v>
      </c>
      <c r="AF2151" s="25">
        <f>ROUND(IF(AO2151="0",BH2151,0),2)</f>
        <v>0</v>
      </c>
      <c r="AG2151" s="10" t="s">
        <v>2333</v>
      </c>
      <c r="AH2151" s="25">
        <f>IF(AL2151=0,K2151,0)</f>
        <v>0</v>
      </c>
      <c r="AI2151" s="25">
        <f>IF(AL2151=12,K2151,0)</f>
        <v>0</v>
      </c>
      <c r="AJ2151" s="25">
        <f>IF(AL2151=21,K2151,0)</f>
        <v>0</v>
      </c>
      <c r="AL2151" s="25">
        <v>21</v>
      </c>
      <c r="AM2151" s="25">
        <f>H2151*0</f>
        <v>0</v>
      </c>
      <c r="AN2151" s="25">
        <f>H2151*(1-0)</f>
        <v>0</v>
      </c>
      <c r="AO2151" s="27" t="s">
        <v>57</v>
      </c>
      <c r="AT2151" s="25">
        <f>ROUND(AU2151+AV2151,2)</f>
        <v>0</v>
      </c>
      <c r="AU2151" s="25">
        <f>ROUND(G2151*AM2151,2)</f>
        <v>0</v>
      </c>
      <c r="AV2151" s="25">
        <f>ROUND(G2151*AN2151,2)</f>
        <v>0</v>
      </c>
      <c r="AW2151" s="27" t="s">
        <v>1679</v>
      </c>
      <c r="AX2151" s="27" t="s">
        <v>2392</v>
      </c>
      <c r="AY2151" s="10" t="s">
        <v>2341</v>
      </c>
      <c r="BA2151" s="25">
        <f>AU2151+AV2151</f>
        <v>0</v>
      </c>
      <c r="BB2151" s="25">
        <f>H2151/(100-BC2151)*100</f>
        <v>0</v>
      </c>
      <c r="BC2151" s="25">
        <v>0</v>
      </c>
      <c r="BD2151" s="25">
        <f>M2151</f>
        <v>0</v>
      </c>
      <c r="BF2151" s="25">
        <f>G2151*AM2151</f>
        <v>0</v>
      </c>
      <c r="BG2151" s="25">
        <f>G2151*AN2151</f>
        <v>0</v>
      </c>
      <c r="BH2151" s="25">
        <f>G2151*H2151</f>
        <v>0</v>
      </c>
      <c r="BI2151" s="27" t="s">
        <v>65</v>
      </c>
      <c r="BJ2151" s="25">
        <v>90</v>
      </c>
      <c r="BU2151" s="25" t="e">
        <f>#REF!</f>
        <v>#REF!</v>
      </c>
      <c r="BV2151" s="4" t="s">
        <v>2623</v>
      </c>
    </row>
    <row r="2152" spans="1:74" ht="14.4" x14ac:dyDescent="0.3">
      <c r="A2152" s="28"/>
      <c r="D2152" s="29" t="s">
        <v>103</v>
      </c>
      <c r="E2152" s="29" t="s">
        <v>52</v>
      </c>
      <c r="G2152" s="30">
        <v>24</v>
      </c>
      <c r="H2152" s="63"/>
      <c r="N2152" s="31"/>
    </row>
    <row r="2153" spans="1:74" ht="14.4" x14ac:dyDescent="0.3">
      <c r="A2153" s="2" t="s">
        <v>2624</v>
      </c>
      <c r="B2153" s="3" t="s">
        <v>2333</v>
      </c>
      <c r="C2153" s="3" t="s">
        <v>1682</v>
      </c>
      <c r="D2153" s="112" t="s">
        <v>1683</v>
      </c>
      <c r="E2153" s="109"/>
      <c r="F2153" s="3" t="s">
        <v>100</v>
      </c>
      <c r="G2153" s="25">
        <v>32</v>
      </c>
      <c r="H2153" s="62"/>
      <c r="I2153" s="25">
        <f>ROUND(G2153*AM2153,2)</f>
        <v>0</v>
      </c>
      <c r="J2153" s="25">
        <f>ROUND(G2153*AN2153,2)</f>
        <v>0</v>
      </c>
      <c r="K2153" s="25">
        <f>ROUND(G2153*H2153,2)</f>
        <v>0</v>
      </c>
      <c r="L2153" s="25">
        <v>0</v>
      </c>
      <c r="M2153" s="25">
        <f>G2153*L2153</f>
        <v>0</v>
      </c>
      <c r="N2153" s="26"/>
      <c r="X2153" s="25">
        <f>ROUND(IF(AO2153="5",BH2153,0),2)</f>
        <v>0</v>
      </c>
      <c r="Z2153" s="25">
        <f>ROUND(IF(AO2153="1",BF2153,0),2)</f>
        <v>0</v>
      </c>
      <c r="AA2153" s="25">
        <f>ROUND(IF(AO2153="1",BG2153,0),2)</f>
        <v>0</v>
      </c>
      <c r="AB2153" s="25">
        <f>ROUND(IF(AO2153="7",BF2153,0),2)</f>
        <v>0</v>
      </c>
      <c r="AC2153" s="25">
        <f>ROUND(IF(AO2153="7",BG2153,0),2)</f>
        <v>0</v>
      </c>
      <c r="AD2153" s="25">
        <f>ROUND(IF(AO2153="2",BF2153,0),2)</f>
        <v>0</v>
      </c>
      <c r="AE2153" s="25">
        <f>ROUND(IF(AO2153="2",BG2153,0),2)</f>
        <v>0</v>
      </c>
      <c r="AF2153" s="25">
        <f>ROUND(IF(AO2153="0",BH2153,0),2)</f>
        <v>0</v>
      </c>
      <c r="AG2153" s="10" t="s">
        <v>2333</v>
      </c>
      <c r="AH2153" s="25">
        <f>IF(AL2153=0,K2153,0)</f>
        <v>0</v>
      </c>
      <c r="AI2153" s="25">
        <f>IF(AL2153=12,K2153,0)</f>
        <v>0</v>
      </c>
      <c r="AJ2153" s="25">
        <f>IF(AL2153=21,K2153,0)</f>
        <v>0</v>
      </c>
      <c r="AL2153" s="25">
        <v>21</v>
      </c>
      <c r="AM2153" s="25">
        <f>H2153*0</f>
        <v>0</v>
      </c>
      <c r="AN2153" s="25">
        <f>H2153*(1-0)</f>
        <v>0</v>
      </c>
      <c r="AO2153" s="27" t="s">
        <v>57</v>
      </c>
      <c r="AT2153" s="25">
        <f>ROUND(AU2153+AV2153,2)</f>
        <v>0</v>
      </c>
      <c r="AU2153" s="25">
        <f>ROUND(G2153*AM2153,2)</f>
        <v>0</v>
      </c>
      <c r="AV2153" s="25">
        <f>ROUND(G2153*AN2153,2)</f>
        <v>0</v>
      </c>
      <c r="AW2153" s="27" t="s">
        <v>1679</v>
      </c>
      <c r="AX2153" s="27" t="s">
        <v>2392</v>
      </c>
      <c r="AY2153" s="10" t="s">
        <v>2341</v>
      </c>
      <c r="BA2153" s="25">
        <f>AU2153+AV2153</f>
        <v>0</v>
      </c>
      <c r="BB2153" s="25">
        <f>H2153/(100-BC2153)*100</f>
        <v>0</v>
      </c>
      <c r="BC2153" s="25">
        <v>0</v>
      </c>
      <c r="BD2153" s="25">
        <f>M2153</f>
        <v>0</v>
      </c>
      <c r="BF2153" s="25">
        <f>G2153*AM2153</f>
        <v>0</v>
      </c>
      <c r="BG2153" s="25">
        <f>G2153*AN2153</f>
        <v>0</v>
      </c>
      <c r="BH2153" s="25">
        <f>G2153*H2153</f>
        <v>0</v>
      </c>
      <c r="BI2153" s="27" t="s">
        <v>65</v>
      </c>
      <c r="BJ2153" s="25">
        <v>90</v>
      </c>
      <c r="BU2153" s="25" t="e">
        <f>#REF!</f>
        <v>#REF!</v>
      </c>
      <c r="BV2153" s="4" t="s">
        <v>1683</v>
      </c>
    </row>
    <row r="2154" spans="1:74" ht="14.4" x14ac:dyDescent="0.3">
      <c r="A2154" s="28"/>
      <c r="D2154" s="29" t="s">
        <v>2625</v>
      </c>
      <c r="E2154" s="29" t="s">
        <v>52</v>
      </c>
      <c r="G2154" s="30">
        <v>32</v>
      </c>
      <c r="H2154" s="63"/>
      <c r="N2154" s="31"/>
    </row>
    <row r="2155" spans="1:74" ht="14.4" x14ac:dyDescent="0.3">
      <c r="A2155" s="21" t="s">
        <v>52</v>
      </c>
      <c r="B2155" s="22" t="s">
        <v>2333</v>
      </c>
      <c r="C2155" s="22" t="s">
        <v>2626</v>
      </c>
      <c r="D2155" s="170" t="s">
        <v>2627</v>
      </c>
      <c r="E2155" s="171"/>
      <c r="F2155" s="23" t="s">
        <v>32</v>
      </c>
      <c r="G2155" s="23" t="s">
        <v>32</v>
      </c>
      <c r="H2155" s="64"/>
      <c r="I2155" s="1">
        <f>SUM(I2156:I2163)</f>
        <v>0</v>
      </c>
      <c r="J2155" s="1">
        <f>SUM(J2156:J2163)</f>
        <v>0</v>
      </c>
      <c r="K2155" s="1">
        <f>SUM(K2156:K2163)</f>
        <v>0</v>
      </c>
      <c r="L2155" s="10" t="s">
        <v>52</v>
      </c>
      <c r="M2155" s="1">
        <f>SUM(M2156:M2163)</f>
        <v>0.76359355260000006</v>
      </c>
      <c r="N2155" s="24"/>
      <c r="AG2155" s="10" t="s">
        <v>2333</v>
      </c>
      <c r="AQ2155" s="1">
        <f>SUM(AH2156:AH2163)</f>
        <v>0</v>
      </c>
      <c r="AR2155" s="1">
        <f>SUM(AI2156:AI2163)</f>
        <v>0</v>
      </c>
      <c r="AS2155" s="1">
        <f>SUM(AJ2156:AJ2163)</f>
        <v>0</v>
      </c>
    </row>
    <row r="2156" spans="1:74" ht="14.4" x14ac:dyDescent="0.3">
      <c r="A2156" s="2" t="s">
        <v>2628</v>
      </c>
      <c r="B2156" s="3" t="s">
        <v>2333</v>
      </c>
      <c r="C2156" s="3" t="s">
        <v>2629</v>
      </c>
      <c r="D2156" s="112" t="s">
        <v>2630</v>
      </c>
      <c r="E2156" s="109"/>
      <c r="F2156" s="3" t="s">
        <v>60</v>
      </c>
      <c r="G2156" s="25">
        <v>182.72200000000001</v>
      </c>
      <c r="H2156" s="62"/>
      <c r="I2156" s="25">
        <f>ROUND(G2156*AM2156,2)</f>
        <v>0</v>
      </c>
      <c r="J2156" s="25">
        <f>ROUND(G2156*AN2156,2)</f>
        <v>0</v>
      </c>
      <c r="K2156" s="25">
        <f>ROUND(G2156*H2156,2)</f>
        <v>0</v>
      </c>
      <c r="L2156" s="25">
        <v>8.4000000000000003E-4</v>
      </c>
      <c r="M2156" s="25">
        <f>G2156*L2156</f>
        <v>0.15348648000000001</v>
      </c>
      <c r="N2156" s="26"/>
      <c r="X2156" s="25">
        <f>ROUND(IF(AO2156="5",BH2156,0),2)</f>
        <v>0</v>
      </c>
      <c r="Z2156" s="25">
        <f>ROUND(IF(AO2156="1",BF2156,0),2)</f>
        <v>0</v>
      </c>
      <c r="AA2156" s="25">
        <f>ROUND(IF(AO2156="1",BG2156,0),2)</f>
        <v>0</v>
      </c>
      <c r="AB2156" s="25">
        <f>ROUND(IF(AO2156="7",BF2156,0),2)</f>
        <v>0</v>
      </c>
      <c r="AC2156" s="25">
        <f>ROUND(IF(AO2156="7",BG2156,0),2)</f>
        <v>0</v>
      </c>
      <c r="AD2156" s="25">
        <f>ROUND(IF(AO2156="2",BF2156,0),2)</f>
        <v>0</v>
      </c>
      <c r="AE2156" s="25">
        <f>ROUND(IF(AO2156="2",BG2156,0),2)</f>
        <v>0</v>
      </c>
      <c r="AF2156" s="25">
        <f>ROUND(IF(AO2156="0",BH2156,0),2)</f>
        <v>0</v>
      </c>
      <c r="AG2156" s="10" t="s">
        <v>2333</v>
      </c>
      <c r="AH2156" s="25">
        <f>IF(AL2156=0,K2156,0)</f>
        <v>0</v>
      </c>
      <c r="AI2156" s="25">
        <f>IF(AL2156=12,K2156,0)</f>
        <v>0</v>
      </c>
      <c r="AJ2156" s="25">
        <f>IF(AL2156=21,K2156,0)</f>
        <v>0</v>
      </c>
      <c r="AL2156" s="25">
        <v>21</v>
      </c>
      <c r="AM2156" s="25">
        <f>H2156*0</f>
        <v>0</v>
      </c>
      <c r="AN2156" s="25">
        <f>H2156*(1-0)</f>
        <v>0</v>
      </c>
      <c r="AO2156" s="27" t="s">
        <v>57</v>
      </c>
      <c r="AT2156" s="25">
        <f>ROUND(AU2156+AV2156,2)</f>
        <v>0</v>
      </c>
      <c r="AU2156" s="25">
        <f>ROUND(G2156*AM2156,2)</f>
        <v>0</v>
      </c>
      <c r="AV2156" s="25">
        <f>ROUND(G2156*AN2156,2)</f>
        <v>0</v>
      </c>
      <c r="AW2156" s="27" t="s">
        <v>2631</v>
      </c>
      <c r="AX2156" s="27" t="s">
        <v>2392</v>
      </c>
      <c r="AY2156" s="10" t="s">
        <v>2341</v>
      </c>
      <c r="BA2156" s="25">
        <f>AU2156+AV2156</f>
        <v>0</v>
      </c>
      <c r="BB2156" s="25">
        <f>H2156/(100-BC2156)*100</f>
        <v>0</v>
      </c>
      <c r="BC2156" s="25">
        <v>0</v>
      </c>
      <c r="BD2156" s="25">
        <f>M2156</f>
        <v>0.15348648000000001</v>
      </c>
      <c r="BF2156" s="25">
        <f>G2156*AM2156</f>
        <v>0</v>
      </c>
      <c r="BG2156" s="25">
        <f>G2156*AN2156</f>
        <v>0</v>
      </c>
      <c r="BH2156" s="25">
        <f>G2156*H2156</f>
        <v>0</v>
      </c>
      <c r="BI2156" s="27" t="s">
        <v>65</v>
      </c>
      <c r="BJ2156" s="25"/>
      <c r="BU2156" s="25" t="e">
        <f>#REF!</f>
        <v>#REF!</v>
      </c>
      <c r="BV2156" s="4" t="s">
        <v>2630</v>
      </c>
    </row>
    <row r="2157" spans="1:74" ht="14.4" x14ac:dyDescent="0.3">
      <c r="A2157" s="28"/>
      <c r="D2157" s="29" t="s">
        <v>2632</v>
      </c>
      <c r="E2157" s="29" t="s">
        <v>52</v>
      </c>
      <c r="G2157" s="30">
        <v>68.337999999999994</v>
      </c>
      <c r="H2157" s="63"/>
      <c r="N2157" s="31"/>
    </row>
    <row r="2158" spans="1:74" ht="14.4" x14ac:dyDescent="0.3">
      <c r="A2158" s="28"/>
      <c r="D2158" s="29" t="s">
        <v>2633</v>
      </c>
      <c r="E2158" s="29" t="s">
        <v>52</v>
      </c>
      <c r="G2158" s="30">
        <v>114.384</v>
      </c>
      <c r="H2158" s="63"/>
      <c r="N2158" s="31"/>
    </row>
    <row r="2159" spans="1:74" ht="26.4" x14ac:dyDescent="0.3">
      <c r="A2159" s="2" t="s">
        <v>2634</v>
      </c>
      <c r="B2159" s="3" t="s">
        <v>2333</v>
      </c>
      <c r="C2159" s="3" t="s">
        <v>2635</v>
      </c>
      <c r="D2159" s="112" t="s">
        <v>2636</v>
      </c>
      <c r="E2159" s="109"/>
      <c r="F2159" s="3" t="s">
        <v>60</v>
      </c>
      <c r="G2159" s="25">
        <v>191.85757000000001</v>
      </c>
      <c r="H2159" s="62"/>
      <c r="I2159" s="25">
        <f>ROUND(G2159*AM2159,2)</f>
        <v>0</v>
      </c>
      <c r="J2159" s="25">
        <f>ROUND(G2159*AN2159,2)</f>
        <v>0</v>
      </c>
      <c r="K2159" s="25">
        <f>ROUND(G2159*H2159,2)</f>
        <v>0</v>
      </c>
      <c r="L2159" s="25">
        <v>3.1800000000000001E-3</v>
      </c>
      <c r="M2159" s="25">
        <f>G2159*L2159</f>
        <v>0.61010707260000008</v>
      </c>
      <c r="N2159" s="102"/>
      <c r="X2159" s="25">
        <f>ROUND(IF(AO2159="5",BH2159,0),2)</f>
        <v>0</v>
      </c>
      <c r="Z2159" s="25">
        <f>ROUND(IF(AO2159="1",BF2159,0),2)</f>
        <v>0</v>
      </c>
      <c r="AA2159" s="25">
        <f>ROUND(IF(AO2159="1",BG2159,0),2)</f>
        <v>0</v>
      </c>
      <c r="AB2159" s="25">
        <f>ROUND(IF(AO2159="7",BF2159,0),2)</f>
        <v>0</v>
      </c>
      <c r="AC2159" s="25">
        <f>ROUND(IF(AO2159="7",BG2159,0),2)</f>
        <v>0</v>
      </c>
      <c r="AD2159" s="25">
        <f>ROUND(IF(AO2159="2",BF2159,0),2)</f>
        <v>0</v>
      </c>
      <c r="AE2159" s="25">
        <f>ROUND(IF(AO2159="2",BG2159,0),2)</f>
        <v>0</v>
      </c>
      <c r="AF2159" s="25">
        <f>ROUND(IF(AO2159="0",BH2159,0),2)</f>
        <v>0</v>
      </c>
      <c r="AG2159" s="10" t="s">
        <v>2333</v>
      </c>
      <c r="AH2159" s="25">
        <f>IF(AL2159=0,K2159,0)</f>
        <v>0</v>
      </c>
      <c r="AI2159" s="25">
        <f>IF(AL2159=12,K2159,0)</f>
        <v>0</v>
      </c>
      <c r="AJ2159" s="25">
        <f>IF(AL2159=21,K2159,0)</f>
        <v>0</v>
      </c>
      <c r="AL2159" s="25">
        <v>21</v>
      </c>
      <c r="AM2159" s="25">
        <f>H2159*1</f>
        <v>0</v>
      </c>
      <c r="AN2159" s="25">
        <f>H2159*(1-1)</f>
        <v>0</v>
      </c>
      <c r="AO2159" s="27" t="s">
        <v>57</v>
      </c>
      <c r="AT2159" s="25">
        <f>ROUND(AU2159+AV2159,2)</f>
        <v>0</v>
      </c>
      <c r="AU2159" s="25">
        <f>ROUND(G2159*AM2159,2)</f>
        <v>0</v>
      </c>
      <c r="AV2159" s="25">
        <f>ROUND(G2159*AN2159,2)</f>
        <v>0</v>
      </c>
      <c r="AW2159" s="27" t="s">
        <v>2631</v>
      </c>
      <c r="AX2159" s="27" t="s">
        <v>2392</v>
      </c>
      <c r="AY2159" s="10" t="s">
        <v>2341</v>
      </c>
      <c r="BA2159" s="25">
        <f>AU2159+AV2159</f>
        <v>0</v>
      </c>
      <c r="BB2159" s="25">
        <f>H2159/(100-BC2159)*100</f>
        <v>0</v>
      </c>
      <c r="BC2159" s="25">
        <v>0</v>
      </c>
      <c r="BD2159" s="25">
        <f>M2159</f>
        <v>0.61010707260000008</v>
      </c>
      <c r="BF2159" s="25">
        <f>G2159*AM2159</f>
        <v>0</v>
      </c>
      <c r="BG2159" s="25">
        <f>G2159*AN2159</f>
        <v>0</v>
      </c>
      <c r="BH2159" s="25">
        <f>G2159*H2159</f>
        <v>0</v>
      </c>
      <c r="BI2159" s="27" t="s">
        <v>576</v>
      </c>
      <c r="BJ2159" s="25"/>
      <c r="BU2159" s="25" t="e">
        <f>#REF!</f>
        <v>#REF!</v>
      </c>
      <c r="BV2159" s="4" t="s">
        <v>2636</v>
      </c>
    </row>
    <row r="2160" spans="1:74" ht="14.4" x14ac:dyDescent="0.3">
      <c r="A2160" s="28"/>
      <c r="D2160" s="29" t="s">
        <v>2632</v>
      </c>
      <c r="E2160" s="29" t="s">
        <v>52</v>
      </c>
      <c r="G2160" s="30">
        <v>68.337500000000006</v>
      </c>
      <c r="H2160" s="63"/>
      <c r="N2160" s="31"/>
    </row>
    <row r="2161" spans="1:74" ht="14.4" x14ac:dyDescent="0.3">
      <c r="A2161" s="28"/>
      <c r="D2161" s="29" t="s">
        <v>2633</v>
      </c>
      <c r="E2161" s="29" t="s">
        <v>52</v>
      </c>
      <c r="G2161" s="30">
        <v>114.384</v>
      </c>
      <c r="H2161" s="63"/>
      <c r="N2161" s="31"/>
    </row>
    <row r="2162" spans="1:74" ht="14.4" x14ac:dyDescent="0.3">
      <c r="A2162" s="28"/>
      <c r="D2162" s="29" t="s">
        <v>2637</v>
      </c>
      <c r="E2162" s="29" t="s">
        <v>52</v>
      </c>
      <c r="G2162" s="30">
        <v>9.1360700000000001</v>
      </c>
      <c r="H2162" s="63"/>
      <c r="N2162" s="31"/>
    </row>
    <row r="2163" spans="1:74" ht="14.4" x14ac:dyDescent="0.3">
      <c r="A2163" s="2" t="s">
        <v>2638</v>
      </c>
      <c r="B2163" s="3" t="s">
        <v>2333</v>
      </c>
      <c r="C2163" s="3" t="s">
        <v>855</v>
      </c>
      <c r="D2163" s="112" t="s">
        <v>856</v>
      </c>
      <c r="E2163" s="109"/>
      <c r="F2163" s="3" t="s">
        <v>278</v>
      </c>
      <c r="G2163" s="25">
        <v>0.76358999999999999</v>
      </c>
      <c r="H2163" s="62"/>
      <c r="I2163" s="25">
        <f>ROUND(G2163*AM2163,2)</f>
        <v>0</v>
      </c>
      <c r="J2163" s="25">
        <f>ROUND(G2163*AN2163,2)</f>
        <v>0</v>
      </c>
      <c r="K2163" s="25">
        <f>ROUND(G2163*H2163,2)</f>
        <v>0</v>
      </c>
      <c r="L2163" s="25">
        <v>0</v>
      </c>
      <c r="M2163" s="25">
        <f>G2163*L2163</f>
        <v>0</v>
      </c>
      <c r="N2163" s="26"/>
      <c r="X2163" s="25">
        <f>ROUND(IF(AO2163="5",BH2163,0),2)</f>
        <v>0</v>
      </c>
      <c r="Z2163" s="25">
        <f>ROUND(IF(AO2163="1",BF2163,0),2)</f>
        <v>0</v>
      </c>
      <c r="AA2163" s="25">
        <f>ROUND(IF(AO2163="1",BG2163,0),2)</f>
        <v>0</v>
      </c>
      <c r="AB2163" s="25">
        <f>ROUND(IF(AO2163="7",BF2163,0),2)</f>
        <v>0</v>
      </c>
      <c r="AC2163" s="25">
        <f>ROUND(IF(AO2163="7",BG2163,0),2)</f>
        <v>0</v>
      </c>
      <c r="AD2163" s="25">
        <f>ROUND(IF(AO2163="2",BF2163,0),2)</f>
        <v>0</v>
      </c>
      <c r="AE2163" s="25">
        <f>ROUND(IF(AO2163="2",BG2163,0),2)</f>
        <v>0</v>
      </c>
      <c r="AF2163" s="25">
        <f>ROUND(IF(AO2163="0",BH2163,0),2)</f>
        <v>0</v>
      </c>
      <c r="AG2163" s="10" t="s">
        <v>2333</v>
      </c>
      <c r="AH2163" s="25">
        <f>IF(AL2163=0,K2163,0)</f>
        <v>0</v>
      </c>
      <c r="AI2163" s="25">
        <f>IF(AL2163=12,K2163,0)</f>
        <v>0</v>
      </c>
      <c r="AJ2163" s="25">
        <f>IF(AL2163=21,K2163,0)</f>
        <v>0</v>
      </c>
      <c r="AL2163" s="25">
        <v>21</v>
      </c>
      <c r="AM2163" s="25">
        <f>H2163*0</f>
        <v>0</v>
      </c>
      <c r="AN2163" s="25">
        <f>H2163*(1-0)</f>
        <v>0</v>
      </c>
      <c r="AO2163" s="27" t="s">
        <v>97</v>
      </c>
      <c r="AT2163" s="25">
        <f>ROUND(AU2163+AV2163,2)</f>
        <v>0</v>
      </c>
      <c r="AU2163" s="25">
        <f>ROUND(G2163*AM2163,2)</f>
        <v>0</v>
      </c>
      <c r="AV2163" s="25">
        <f>ROUND(G2163*AN2163,2)</f>
        <v>0</v>
      </c>
      <c r="AW2163" s="27" t="s">
        <v>2631</v>
      </c>
      <c r="AX2163" s="27" t="s">
        <v>2392</v>
      </c>
      <c r="AY2163" s="10" t="s">
        <v>2341</v>
      </c>
      <c r="BA2163" s="25">
        <f>AU2163+AV2163</f>
        <v>0</v>
      </c>
      <c r="BB2163" s="25">
        <f>H2163/(100-BC2163)*100</f>
        <v>0</v>
      </c>
      <c r="BC2163" s="25">
        <v>0</v>
      </c>
      <c r="BD2163" s="25">
        <f>M2163</f>
        <v>0</v>
      </c>
      <c r="BF2163" s="25">
        <f>G2163*AM2163</f>
        <v>0</v>
      </c>
      <c r="BG2163" s="25">
        <f>G2163*AN2163</f>
        <v>0</v>
      </c>
      <c r="BH2163" s="25">
        <f>G2163*H2163</f>
        <v>0</v>
      </c>
      <c r="BI2163" s="27" t="s">
        <v>65</v>
      </c>
      <c r="BJ2163" s="25"/>
      <c r="BU2163" s="25" t="e">
        <f>#REF!</f>
        <v>#REF!</v>
      </c>
      <c r="BV2163" s="4" t="s">
        <v>856</v>
      </c>
    </row>
    <row r="2164" spans="1:74" ht="14.4" x14ac:dyDescent="0.3">
      <c r="A2164" s="28"/>
      <c r="D2164" s="29" t="s">
        <v>57</v>
      </c>
      <c r="E2164" s="29" t="s">
        <v>52</v>
      </c>
      <c r="G2164" s="30">
        <v>1</v>
      </c>
      <c r="H2164" s="63"/>
      <c r="N2164" s="31"/>
    </row>
    <row r="2165" spans="1:74" ht="14.4" x14ac:dyDescent="0.3">
      <c r="A2165" s="21" t="s">
        <v>52</v>
      </c>
      <c r="B2165" s="22" t="s">
        <v>2333</v>
      </c>
      <c r="C2165" s="22" t="s">
        <v>2639</v>
      </c>
      <c r="D2165" s="170" t="s">
        <v>1700</v>
      </c>
      <c r="E2165" s="171"/>
      <c r="F2165" s="23" t="s">
        <v>32</v>
      </c>
      <c r="G2165" s="23" t="s">
        <v>32</v>
      </c>
      <c r="H2165" s="64"/>
      <c r="I2165" s="1">
        <f>SUM(I2166:I2166)</f>
        <v>0</v>
      </c>
      <c r="J2165" s="1">
        <f>SUM(J2166:J2166)</f>
        <v>0</v>
      </c>
      <c r="K2165" s="1">
        <f>SUM(K2166:K2166)</f>
        <v>0</v>
      </c>
      <c r="L2165" s="10" t="s">
        <v>52</v>
      </c>
      <c r="M2165" s="1">
        <f>SUM(M2166:M2166)</f>
        <v>0</v>
      </c>
      <c r="N2165" s="24"/>
      <c r="AG2165" s="10" t="s">
        <v>2333</v>
      </c>
      <c r="AQ2165" s="1">
        <f>SUM(AH2166:AH2166)</f>
        <v>0</v>
      </c>
      <c r="AR2165" s="1">
        <f>SUM(AI2166:AI2166)</f>
        <v>0</v>
      </c>
      <c r="AS2165" s="1">
        <f>SUM(AJ2166:AJ2166)</f>
        <v>0</v>
      </c>
    </row>
    <row r="2166" spans="1:74" ht="14.4" x14ac:dyDescent="0.3">
      <c r="A2166" s="2" t="s">
        <v>2640</v>
      </c>
      <c r="B2166" s="3" t="s">
        <v>2333</v>
      </c>
      <c r="C2166" s="3" t="s">
        <v>2641</v>
      </c>
      <c r="D2166" s="112" t="s">
        <v>2642</v>
      </c>
      <c r="E2166" s="109"/>
      <c r="F2166" s="3" t="s">
        <v>278</v>
      </c>
      <c r="G2166" s="25">
        <v>7.2679999999999998</v>
      </c>
      <c r="H2166" s="62"/>
      <c r="I2166" s="25">
        <f>ROUND(G2166*AM2166,2)</f>
        <v>0</v>
      </c>
      <c r="J2166" s="25">
        <f>ROUND(G2166*AN2166,2)</f>
        <v>0</v>
      </c>
      <c r="K2166" s="25">
        <f>ROUND(G2166*H2166,2)</f>
        <v>0</v>
      </c>
      <c r="L2166" s="25">
        <v>0</v>
      </c>
      <c r="M2166" s="25">
        <f>G2166*L2166</f>
        <v>0</v>
      </c>
      <c r="N2166" s="26"/>
      <c r="X2166" s="25">
        <f>ROUND(IF(AO2166="5",BH2166,0),2)</f>
        <v>0</v>
      </c>
      <c r="Z2166" s="25">
        <f>ROUND(IF(AO2166="1",BF2166,0),2)</f>
        <v>0</v>
      </c>
      <c r="AA2166" s="25">
        <f>ROUND(IF(AO2166="1",BG2166,0),2)</f>
        <v>0</v>
      </c>
      <c r="AB2166" s="25">
        <f>ROUND(IF(AO2166="7",BF2166,0),2)</f>
        <v>0</v>
      </c>
      <c r="AC2166" s="25">
        <f>ROUND(IF(AO2166="7",BG2166,0),2)</f>
        <v>0</v>
      </c>
      <c r="AD2166" s="25">
        <f>ROUND(IF(AO2166="2",BF2166,0),2)</f>
        <v>0</v>
      </c>
      <c r="AE2166" s="25">
        <f>ROUND(IF(AO2166="2",BG2166,0),2)</f>
        <v>0</v>
      </c>
      <c r="AF2166" s="25">
        <f>ROUND(IF(AO2166="0",BH2166,0),2)</f>
        <v>0</v>
      </c>
      <c r="AG2166" s="10" t="s">
        <v>2333</v>
      </c>
      <c r="AH2166" s="25">
        <f>IF(AL2166=0,K2166,0)</f>
        <v>0</v>
      </c>
      <c r="AI2166" s="25">
        <f>IF(AL2166=12,K2166,0)</f>
        <v>0</v>
      </c>
      <c r="AJ2166" s="25">
        <f>IF(AL2166=21,K2166,0)</f>
        <v>0</v>
      </c>
      <c r="AL2166" s="25">
        <v>21</v>
      </c>
      <c r="AM2166" s="25">
        <f>H2166*0</f>
        <v>0</v>
      </c>
      <c r="AN2166" s="25">
        <f>H2166*(1-0)</f>
        <v>0</v>
      </c>
      <c r="AO2166" s="27" t="s">
        <v>97</v>
      </c>
      <c r="AT2166" s="25">
        <f>ROUND(AU2166+AV2166,2)</f>
        <v>0</v>
      </c>
      <c r="AU2166" s="25">
        <f>ROUND(G2166*AM2166,2)</f>
        <v>0</v>
      </c>
      <c r="AV2166" s="25">
        <f>ROUND(G2166*AN2166,2)</f>
        <v>0</v>
      </c>
      <c r="AW2166" s="27" t="s">
        <v>2643</v>
      </c>
      <c r="AX2166" s="27" t="s">
        <v>2392</v>
      </c>
      <c r="AY2166" s="10" t="s">
        <v>2341</v>
      </c>
      <c r="BA2166" s="25">
        <f>AU2166+AV2166</f>
        <v>0</v>
      </c>
      <c r="BB2166" s="25">
        <f>H2166/(100-BC2166)*100</f>
        <v>0</v>
      </c>
      <c r="BC2166" s="25">
        <v>0</v>
      </c>
      <c r="BD2166" s="25">
        <f>M2166</f>
        <v>0</v>
      </c>
      <c r="BF2166" s="25">
        <f>G2166*AM2166</f>
        <v>0</v>
      </c>
      <c r="BG2166" s="25">
        <f>G2166*AN2166</f>
        <v>0</v>
      </c>
      <c r="BH2166" s="25">
        <f>G2166*H2166</f>
        <v>0</v>
      </c>
      <c r="BI2166" s="27" t="s">
        <v>65</v>
      </c>
      <c r="BJ2166" s="25"/>
      <c r="BU2166" s="25" t="e">
        <f>#REF!</f>
        <v>#REF!</v>
      </c>
      <c r="BV2166" s="4" t="s">
        <v>2642</v>
      </c>
    </row>
    <row r="2167" spans="1:74" ht="14.4" x14ac:dyDescent="0.3">
      <c r="A2167" s="28"/>
      <c r="D2167" s="29" t="s">
        <v>2644</v>
      </c>
      <c r="E2167" s="29" t="s">
        <v>52</v>
      </c>
      <c r="G2167" s="30">
        <v>7.2679999999999998</v>
      </c>
      <c r="H2167" s="63"/>
      <c r="N2167" s="31"/>
    </row>
    <row r="2168" spans="1:74" ht="14.4" x14ac:dyDescent="0.3">
      <c r="A2168" s="21" t="s">
        <v>52</v>
      </c>
      <c r="B2168" s="22" t="s">
        <v>2333</v>
      </c>
      <c r="C2168" s="22" t="s">
        <v>2645</v>
      </c>
      <c r="D2168" s="170" t="s">
        <v>2084</v>
      </c>
      <c r="E2168" s="171"/>
      <c r="F2168" s="23" t="s">
        <v>32</v>
      </c>
      <c r="G2168" s="23" t="s">
        <v>32</v>
      </c>
      <c r="H2168" s="64"/>
      <c r="I2168" s="1">
        <f>SUM(I2169:I2173)</f>
        <v>0</v>
      </c>
      <c r="J2168" s="1">
        <f>SUM(J2169:J2173)</f>
        <v>0</v>
      </c>
      <c r="K2168" s="1">
        <f>SUM(K2169:K2173)</f>
        <v>0</v>
      </c>
      <c r="L2168" s="10" t="s">
        <v>52</v>
      </c>
      <c r="M2168" s="1">
        <f>SUM(M2169:M2173)</f>
        <v>0</v>
      </c>
      <c r="N2168" s="24"/>
      <c r="AG2168" s="10" t="s">
        <v>2333</v>
      </c>
      <c r="AQ2168" s="1">
        <f>SUM(AH2169:AH2173)</f>
        <v>0</v>
      </c>
      <c r="AR2168" s="1">
        <f>SUM(AI2169:AI2173)</f>
        <v>0</v>
      </c>
      <c r="AS2168" s="1">
        <f>SUM(AJ2169:AJ2173)</f>
        <v>0</v>
      </c>
    </row>
    <row r="2169" spans="1:74" ht="14.4" x14ac:dyDescent="0.3">
      <c r="A2169" s="2" t="s">
        <v>2646</v>
      </c>
      <c r="B2169" s="3" t="s">
        <v>2333</v>
      </c>
      <c r="C2169" s="3" t="s">
        <v>2647</v>
      </c>
      <c r="D2169" s="112" t="s">
        <v>2648</v>
      </c>
      <c r="E2169" s="109"/>
      <c r="F2169" s="3" t="s">
        <v>860</v>
      </c>
      <c r="G2169" s="25">
        <v>1</v>
      </c>
      <c r="H2169" s="62"/>
      <c r="I2169" s="25">
        <f>ROUND(G2169*AM2169,2)</f>
        <v>0</v>
      </c>
      <c r="J2169" s="25">
        <f>ROUND(G2169*AN2169,2)</f>
        <v>0</v>
      </c>
      <c r="K2169" s="25">
        <f>ROUND(G2169*H2169,2)</f>
        <v>0</v>
      </c>
      <c r="L2169" s="25">
        <v>0</v>
      </c>
      <c r="M2169" s="25">
        <f>G2169*L2169</f>
        <v>0</v>
      </c>
      <c r="N2169" s="102"/>
      <c r="X2169" s="25">
        <f>ROUND(IF(AO2169="5",BH2169,0),2)</f>
        <v>0</v>
      </c>
      <c r="Z2169" s="25">
        <f>ROUND(IF(AO2169="1",BF2169,0),2)</f>
        <v>0</v>
      </c>
      <c r="AA2169" s="25">
        <f>ROUND(IF(AO2169="1",BG2169,0),2)</f>
        <v>0</v>
      </c>
      <c r="AB2169" s="25">
        <f>ROUND(IF(AO2169="7",BF2169,0),2)</f>
        <v>0</v>
      </c>
      <c r="AC2169" s="25">
        <f>ROUND(IF(AO2169="7",BG2169,0),2)</f>
        <v>0</v>
      </c>
      <c r="AD2169" s="25">
        <f>ROUND(IF(AO2169="2",BF2169,0),2)</f>
        <v>0</v>
      </c>
      <c r="AE2169" s="25">
        <f>ROUND(IF(AO2169="2",BG2169,0),2)</f>
        <v>0</v>
      </c>
      <c r="AF2169" s="25">
        <f>ROUND(IF(AO2169="0",BH2169,0),2)</f>
        <v>0</v>
      </c>
      <c r="AG2169" s="10" t="s">
        <v>2333</v>
      </c>
      <c r="AH2169" s="25">
        <f>IF(AL2169=0,K2169,0)</f>
        <v>0</v>
      </c>
      <c r="AI2169" s="25">
        <f>IF(AL2169=12,K2169,0)</f>
        <v>0</v>
      </c>
      <c r="AJ2169" s="25">
        <f>IF(AL2169=21,K2169,0)</f>
        <v>0</v>
      </c>
      <c r="AL2169" s="25">
        <v>21</v>
      </c>
      <c r="AM2169" s="25">
        <f>H2169*0</f>
        <v>0</v>
      </c>
      <c r="AN2169" s="25">
        <f>H2169*(1-0)</f>
        <v>0</v>
      </c>
      <c r="AO2169" s="27" t="s">
        <v>57</v>
      </c>
      <c r="AT2169" s="25">
        <f>ROUND(AU2169+AV2169,2)</f>
        <v>0</v>
      </c>
      <c r="AU2169" s="25">
        <f>ROUND(G2169*AM2169,2)</f>
        <v>0</v>
      </c>
      <c r="AV2169" s="25">
        <f>ROUND(G2169*AN2169,2)</f>
        <v>0</v>
      </c>
      <c r="AW2169" s="27" t="s">
        <v>2649</v>
      </c>
      <c r="AX2169" s="27" t="s">
        <v>2392</v>
      </c>
      <c r="AY2169" s="10" t="s">
        <v>2341</v>
      </c>
      <c r="BA2169" s="25">
        <f>AU2169+AV2169</f>
        <v>0</v>
      </c>
      <c r="BB2169" s="25">
        <f>H2169/(100-BC2169)*100</f>
        <v>0</v>
      </c>
      <c r="BC2169" s="25">
        <v>0</v>
      </c>
      <c r="BD2169" s="25">
        <f>M2169</f>
        <v>0</v>
      </c>
      <c r="BF2169" s="25">
        <f>G2169*AM2169</f>
        <v>0</v>
      </c>
      <c r="BG2169" s="25">
        <f>G2169*AN2169</f>
        <v>0</v>
      </c>
      <c r="BH2169" s="25">
        <f>G2169*H2169</f>
        <v>0</v>
      </c>
      <c r="BI2169" s="27" t="s">
        <v>65</v>
      </c>
      <c r="BJ2169" s="25"/>
      <c r="BU2169" s="25" t="e">
        <f>#REF!</f>
        <v>#REF!</v>
      </c>
      <c r="BV2169" s="4" t="s">
        <v>2648</v>
      </c>
    </row>
    <row r="2170" spans="1:74" ht="14.4" x14ac:dyDescent="0.3">
      <c r="A2170" s="28"/>
      <c r="D2170" s="29" t="s">
        <v>57</v>
      </c>
      <c r="E2170" s="29" t="s">
        <v>52</v>
      </c>
      <c r="G2170" s="30">
        <v>1</v>
      </c>
      <c r="H2170" s="63"/>
      <c r="N2170" s="31"/>
    </row>
    <row r="2171" spans="1:74" ht="14.4" x14ac:dyDescent="0.3">
      <c r="A2171" s="2" t="s">
        <v>2650</v>
      </c>
      <c r="B2171" s="3" t="s">
        <v>2333</v>
      </c>
      <c r="C2171" s="3" t="s">
        <v>2651</v>
      </c>
      <c r="D2171" s="112" t="s">
        <v>2652</v>
      </c>
      <c r="E2171" s="109"/>
      <c r="F2171" s="3" t="s">
        <v>860</v>
      </c>
      <c r="G2171" s="25">
        <v>1</v>
      </c>
      <c r="H2171" s="62"/>
      <c r="I2171" s="25">
        <f>ROUND(G2171*AM2171,2)</f>
        <v>0</v>
      </c>
      <c r="J2171" s="25">
        <f>ROUND(G2171*AN2171,2)</f>
        <v>0</v>
      </c>
      <c r="K2171" s="25">
        <f>ROUND(G2171*H2171,2)</f>
        <v>0</v>
      </c>
      <c r="L2171" s="25">
        <v>0</v>
      </c>
      <c r="M2171" s="25">
        <f>G2171*L2171</f>
        <v>0</v>
      </c>
      <c r="N2171" s="102"/>
      <c r="X2171" s="25">
        <f>ROUND(IF(AO2171="5",BH2171,0),2)</f>
        <v>0</v>
      </c>
      <c r="Z2171" s="25">
        <f>ROUND(IF(AO2171="1",BF2171,0),2)</f>
        <v>0</v>
      </c>
      <c r="AA2171" s="25">
        <f>ROUND(IF(AO2171="1",BG2171,0),2)</f>
        <v>0</v>
      </c>
      <c r="AB2171" s="25">
        <f>ROUND(IF(AO2171="7",BF2171,0),2)</f>
        <v>0</v>
      </c>
      <c r="AC2171" s="25">
        <f>ROUND(IF(AO2171="7",BG2171,0),2)</f>
        <v>0</v>
      </c>
      <c r="AD2171" s="25">
        <f>ROUND(IF(AO2171="2",BF2171,0),2)</f>
        <v>0</v>
      </c>
      <c r="AE2171" s="25">
        <f>ROUND(IF(AO2171="2",BG2171,0),2)</f>
        <v>0</v>
      </c>
      <c r="AF2171" s="25">
        <f>ROUND(IF(AO2171="0",BH2171,0),2)</f>
        <v>0</v>
      </c>
      <c r="AG2171" s="10" t="s">
        <v>2333</v>
      </c>
      <c r="AH2171" s="25">
        <f>IF(AL2171=0,K2171,0)</f>
        <v>0</v>
      </c>
      <c r="AI2171" s="25">
        <f>IF(AL2171=12,K2171,0)</f>
        <v>0</v>
      </c>
      <c r="AJ2171" s="25">
        <f>IF(AL2171=21,K2171,0)</f>
        <v>0</v>
      </c>
      <c r="AL2171" s="25">
        <v>21</v>
      </c>
      <c r="AM2171" s="25">
        <f>H2171*0</f>
        <v>0</v>
      </c>
      <c r="AN2171" s="25">
        <f>H2171*(1-0)</f>
        <v>0</v>
      </c>
      <c r="AO2171" s="27" t="s">
        <v>57</v>
      </c>
      <c r="AT2171" s="25">
        <f>ROUND(AU2171+AV2171,2)</f>
        <v>0</v>
      </c>
      <c r="AU2171" s="25">
        <f>ROUND(G2171*AM2171,2)</f>
        <v>0</v>
      </c>
      <c r="AV2171" s="25">
        <f>ROUND(G2171*AN2171,2)</f>
        <v>0</v>
      </c>
      <c r="AW2171" s="27" t="s">
        <v>2649</v>
      </c>
      <c r="AX2171" s="27" t="s">
        <v>2392</v>
      </c>
      <c r="AY2171" s="10" t="s">
        <v>2341</v>
      </c>
      <c r="BA2171" s="25">
        <f>AU2171+AV2171</f>
        <v>0</v>
      </c>
      <c r="BB2171" s="25">
        <f>H2171/(100-BC2171)*100</f>
        <v>0</v>
      </c>
      <c r="BC2171" s="25">
        <v>0</v>
      </c>
      <c r="BD2171" s="25">
        <f>M2171</f>
        <v>0</v>
      </c>
      <c r="BF2171" s="25">
        <f>G2171*AM2171</f>
        <v>0</v>
      </c>
      <c r="BG2171" s="25">
        <f>G2171*AN2171</f>
        <v>0</v>
      </c>
      <c r="BH2171" s="25">
        <f>G2171*H2171</f>
        <v>0</v>
      </c>
      <c r="BI2171" s="27" t="s">
        <v>65</v>
      </c>
      <c r="BJ2171" s="25"/>
      <c r="BU2171" s="25" t="e">
        <f>#REF!</f>
        <v>#REF!</v>
      </c>
      <c r="BV2171" s="4" t="s">
        <v>2652</v>
      </c>
    </row>
    <row r="2172" spans="1:74" ht="14.4" x14ac:dyDescent="0.3">
      <c r="A2172" s="28"/>
      <c r="D2172" s="29" t="s">
        <v>57</v>
      </c>
      <c r="E2172" s="29" t="s">
        <v>52</v>
      </c>
      <c r="G2172" s="30">
        <v>1</v>
      </c>
      <c r="H2172" s="63"/>
      <c r="N2172" s="31"/>
    </row>
    <row r="2173" spans="1:74" ht="14.4" x14ac:dyDescent="0.3">
      <c r="A2173" s="2" t="s">
        <v>2653</v>
      </c>
      <c r="B2173" s="3" t="s">
        <v>2333</v>
      </c>
      <c r="C2173" s="3" t="s">
        <v>2654</v>
      </c>
      <c r="D2173" s="112" t="s">
        <v>2655</v>
      </c>
      <c r="E2173" s="109"/>
      <c r="F2173" s="3" t="s">
        <v>278</v>
      </c>
      <c r="G2173" s="25">
        <v>1.5269999999999999</v>
      </c>
      <c r="H2173" s="62"/>
      <c r="I2173" s="25">
        <f>ROUND(G2173*AM2173,2)</f>
        <v>0</v>
      </c>
      <c r="J2173" s="25">
        <f>ROUND(G2173*AN2173,2)</f>
        <v>0</v>
      </c>
      <c r="K2173" s="25">
        <f>ROUND(G2173*H2173,2)</f>
        <v>0</v>
      </c>
      <c r="L2173" s="25">
        <v>0</v>
      </c>
      <c r="M2173" s="25">
        <f>G2173*L2173</f>
        <v>0</v>
      </c>
      <c r="N2173" s="26"/>
      <c r="X2173" s="25">
        <f>ROUND(IF(AO2173="5",BH2173,0),2)</f>
        <v>0</v>
      </c>
      <c r="Z2173" s="25">
        <f>ROUND(IF(AO2173="1",BF2173,0),2)</f>
        <v>0</v>
      </c>
      <c r="AA2173" s="25">
        <f>ROUND(IF(AO2173="1",BG2173,0),2)</f>
        <v>0</v>
      </c>
      <c r="AB2173" s="25">
        <f>ROUND(IF(AO2173="7",BF2173,0),2)</f>
        <v>0</v>
      </c>
      <c r="AC2173" s="25">
        <f>ROUND(IF(AO2173="7",BG2173,0),2)</f>
        <v>0</v>
      </c>
      <c r="AD2173" s="25">
        <f>ROUND(IF(AO2173="2",BF2173,0),2)</f>
        <v>0</v>
      </c>
      <c r="AE2173" s="25">
        <f>ROUND(IF(AO2173="2",BG2173,0),2)</f>
        <v>0</v>
      </c>
      <c r="AF2173" s="25">
        <f>ROUND(IF(AO2173="0",BH2173,0),2)</f>
        <v>0</v>
      </c>
      <c r="AG2173" s="10" t="s">
        <v>2333</v>
      </c>
      <c r="AH2173" s="25">
        <f>IF(AL2173=0,K2173,0)</f>
        <v>0</v>
      </c>
      <c r="AI2173" s="25">
        <f>IF(AL2173=12,K2173,0)</f>
        <v>0</v>
      </c>
      <c r="AJ2173" s="25">
        <f>IF(AL2173=21,K2173,0)</f>
        <v>0</v>
      </c>
      <c r="AL2173" s="25">
        <v>21</v>
      </c>
      <c r="AM2173" s="25">
        <f>H2173*0</f>
        <v>0</v>
      </c>
      <c r="AN2173" s="25">
        <f>H2173*(1-0)</f>
        <v>0</v>
      </c>
      <c r="AO2173" s="27" t="s">
        <v>57</v>
      </c>
      <c r="AT2173" s="25">
        <f>ROUND(AU2173+AV2173,2)</f>
        <v>0</v>
      </c>
      <c r="AU2173" s="25">
        <f>ROUND(G2173*AM2173,2)</f>
        <v>0</v>
      </c>
      <c r="AV2173" s="25">
        <f>ROUND(G2173*AN2173,2)</f>
        <v>0</v>
      </c>
      <c r="AW2173" s="27" t="s">
        <v>2649</v>
      </c>
      <c r="AX2173" s="27" t="s">
        <v>2392</v>
      </c>
      <c r="AY2173" s="10" t="s">
        <v>2341</v>
      </c>
      <c r="BA2173" s="25">
        <f>AU2173+AV2173</f>
        <v>0</v>
      </c>
      <c r="BB2173" s="25">
        <f>H2173/(100-BC2173)*100</f>
        <v>0</v>
      </c>
      <c r="BC2173" s="25">
        <v>0</v>
      </c>
      <c r="BD2173" s="25">
        <f>M2173</f>
        <v>0</v>
      </c>
      <c r="BF2173" s="25">
        <f>G2173*AM2173</f>
        <v>0</v>
      </c>
      <c r="BG2173" s="25">
        <f>G2173*AN2173</f>
        <v>0</v>
      </c>
      <c r="BH2173" s="25">
        <f>G2173*H2173</f>
        <v>0</v>
      </c>
      <c r="BI2173" s="27" t="s">
        <v>65</v>
      </c>
      <c r="BJ2173" s="25"/>
      <c r="BU2173" s="25" t="e">
        <f>#REF!</f>
        <v>#REF!</v>
      </c>
      <c r="BV2173" s="4" t="s">
        <v>2655</v>
      </c>
    </row>
    <row r="2174" spans="1:74" ht="14.4" x14ac:dyDescent="0.3">
      <c r="A2174" s="28"/>
      <c r="D2174" s="29" t="s">
        <v>2656</v>
      </c>
      <c r="E2174" s="29" t="s">
        <v>52</v>
      </c>
      <c r="G2174" s="30">
        <v>1.5269999999999999</v>
      </c>
      <c r="H2174" s="63"/>
      <c r="N2174" s="31"/>
    </row>
    <row r="2175" spans="1:74" ht="14.4" x14ac:dyDescent="0.3">
      <c r="A2175" s="95" t="s">
        <v>52</v>
      </c>
      <c r="B2175" s="96" t="s">
        <v>2657</v>
      </c>
      <c r="C2175" s="96" t="s">
        <v>52</v>
      </c>
      <c r="D2175" s="179" t="s">
        <v>2658</v>
      </c>
      <c r="E2175" s="180"/>
      <c r="F2175" s="97" t="s">
        <v>32</v>
      </c>
      <c r="G2175" s="97" t="s">
        <v>32</v>
      </c>
      <c r="H2175" s="98"/>
      <c r="I2175" s="99">
        <f>I2176+I2179+I2207+I2218+I2227+I2234+I2257+I2278+I2313+I2351+I2356+I2359</f>
        <v>0</v>
      </c>
      <c r="J2175" s="99">
        <f>J2176+J2179+J2207+J2218+J2227+J2234+J2257+J2278+J2313+J2351+J2356+J2359</f>
        <v>0</v>
      </c>
      <c r="K2175" s="99">
        <f>K2176+K2179+K2207+K2218+K2227+K2234+K2257+K2278+K2313+K2351+K2356+K2359</f>
        <v>0</v>
      </c>
      <c r="L2175" s="100" t="s">
        <v>52</v>
      </c>
      <c r="M2175" s="99">
        <f>M2176+M2179+M2207+M2218+M2227+M2234+M2257+M2278+M2313+M2351+M2356+M2359</f>
        <v>4.4406008000000003</v>
      </c>
      <c r="N2175" s="101"/>
    </row>
    <row r="2176" spans="1:74" ht="14.4" x14ac:dyDescent="0.3">
      <c r="A2176" s="21" t="s">
        <v>52</v>
      </c>
      <c r="B2176" s="22" t="s">
        <v>2657</v>
      </c>
      <c r="C2176" s="22" t="s">
        <v>320</v>
      </c>
      <c r="D2176" s="170" t="s">
        <v>617</v>
      </c>
      <c r="E2176" s="171"/>
      <c r="F2176" s="23" t="s">
        <v>32</v>
      </c>
      <c r="G2176" s="23" t="s">
        <v>32</v>
      </c>
      <c r="H2176" s="64"/>
      <c r="I2176" s="1">
        <f>SUM(I2177:I2177)</f>
        <v>0</v>
      </c>
      <c r="J2176" s="1">
        <f>SUM(J2177:J2177)</f>
        <v>0</v>
      </c>
      <c r="K2176" s="1">
        <f>SUM(K2177:K2177)</f>
        <v>0</v>
      </c>
      <c r="L2176" s="10" t="s">
        <v>52</v>
      </c>
      <c r="M2176" s="1">
        <f>SUM(M2177:M2177)</f>
        <v>0.10790080000000001</v>
      </c>
      <c r="N2176" s="24"/>
      <c r="AG2176" s="10" t="s">
        <v>2657</v>
      </c>
      <c r="AQ2176" s="1">
        <f>SUM(AH2177:AH2177)</f>
        <v>0</v>
      </c>
      <c r="AR2176" s="1">
        <f>SUM(AI2177:AI2177)</f>
        <v>0</v>
      </c>
      <c r="AS2176" s="1">
        <f>SUM(AJ2177:AJ2177)</f>
        <v>0</v>
      </c>
    </row>
    <row r="2177" spans="1:74" ht="14.4" x14ac:dyDescent="0.3">
      <c r="A2177" s="2" t="s">
        <v>2659</v>
      </c>
      <c r="B2177" s="3" t="s">
        <v>2657</v>
      </c>
      <c r="C2177" s="3" t="s">
        <v>1894</v>
      </c>
      <c r="D2177" s="112" t="s">
        <v>1895</v>
      </c>
      <c r="E2177" s="109"/>
      <c r="F2177" s="3" t="s">
        <v>60</v>
      </c>
      <c r="G2177" s="25">
        <v>0.16</v>
      </c>
      <c r="H2177" s="62"/>
      <c r="I2177" s="25">
        <f>ROUND(G2177*AM2177,2)</f>
        <v>0</v>
      </c>
      <c r="J2177" s="25">
        <f>ROUND(G2177*AN2177,2)</f>
        <v>0</v>
      </c>
      <c r="K2177" s="25">
        <f>ROUND(G2177*H2177,2)</f>
        <v>0</v>
      </c>
      <c r="L2177" s="25">
        <v>0.67437999999999998</v>
      </c>
      <c r="M2177" s="25">
        <f>G2177*L2177</f>
        <v>0.10790080000000001</v>
      </c>
      <c r="N2177" s="26"/>
      <c r="X2177" s="25">
        <f>ROUND(IF(AO2177="5",BH2177,0),2)</f>
        <v>0</v>
      </c>
      <c r="Z2177" s="25">
        <f>ROUND(IF(AO2177="1",BF2177,0),2)</f>
        <v>0</v>
      </c>
      <c r="AA2177" s="25">
        <f>ROUND(IF(AO2177="1",BG2177,0),2)</f>
        <v>0</v>
      </c>
      <c r="AB2177" s="25">
        <f>ROUND(IF(AO2177="7",BF2177,0),2)</f>
        <v>0</v>
      </c>
      <c r="AC2177" s="25">
        <f>ROUND(IF(AO2177="7",BG2177,0),2)</f>
        <v>0</v>
      </c>
      <c r="AD2177" s="25">
        <f>ROUND(IF(AO2177="2",BF2177,0),2)</f>
        <v>0</v>
      </c>
      <c r="AE2177" s="25">
        <f>ROUND(IF(AO2177="2",BG2177,0),2)</f>
        <v>0</v>
      </c>
      <c r="AF2177" s="25">
        <f>ROUND(IF(AO2177="0",BH2177,0),2)</f>
        <v>0</v>
      </c>
      <c r="AG2177" s="10" t="s">
        <v>2657</v>
      </c>
      <c r="AH2177" s="25">
        <f>IF(AL2177=0,K2177,0)</f>
        <v>0</v>
      </c>
      <c r="AI2177" s="25">
        <f>IF(AL2177=12,K2177,0)</f>
        <v>0</v>
      </c>
      <c r="AJ2177" s="25">
        <f>IF(AL2177=21,K2177,0)</f>
        <v>0</v>
      </c>
      <c r="AL2177" s="25">
        <v>21</v>
      </c>
      <c r="AM2177" s="25">
        <f>H2177*0.314210627</f>
        <v>0</v>
      </c>
      <c r="AN2177" s="25">
        <f>H2177*(1-0.314210627)</f>
        <v>0</v>
      </c>
      <c r="AO2177" s="27" t="s">
        <v>57</v>
      </c>
      <c r="AT2177" s="25">
        <f>ROUND(AU2177+AV2177,2)</f>
        <v>0</v>
      </c>
      <c r="AU2177" s="25">
        <f>ROUND(G2177*AM2177,2)</f>
        <v>0</v>
      </c>
      <c r="AV2177" s="25">
        <f>ROUND(G2177*AN2177,2)</f>
        <v>0</v>
      </c>
      <c r="AW2177" s="27" t="s">
        <v>621</v>
      </c>
      <c r="AX2177" s="27" t="s">
        <v>2660</v>
      </c>
      <c r="AY2177" s="10" t="s">
        <v>2661</v>
      </c>
      <c r="BA2177" s="25">
        <f>AU2177+AV2177</f>
        <v>0</v>
      </c>
      <c r="BB2177" s="25">
        <f>H2177/(100-BC2177)*100</f>
        <v>0</v>
      </c>
      <c r="BC2177" s="25">
        <v>0</v>
      </c>
      <c r="BD2177" s="25">
        <f>M2177</f>
        <v>0.10790080000000001</v>
      </c>
      <c r="BF2177" s="25">
        <f>G2177*AM2177</f>
        <v>0</v>
      </c>
      <c r="BG2177" s="25">
        <f>G2177*AN2177</f>
        <v>0</v>
      </c>
      <c r="BH2177" s="25">
        <f>G2177*H2177</f>
        <v>0</v>
      </c>
      <c r="BI2177" s="27" t="s">
        <v>65</v>
      </c>
      <c r="BJ2177" s="25">
        <v>41</v>
      </c>
      <c r="BU2177" s="25" t="e">
        <f>#REF!</f>
        <v>#REF!</v>
      </c>
      <c r="BV2177" s="4" t="s">
        <v>1895</v>
      </c>
    </row>
    <row r="2178" spans="1:74" ht="14.4" x14ac:dyDescent="0.3">
      <c r="A2178" s="28"/>
      <c r="D2178" s="29" t="s">
        <v>2662</v>
      </c>
      <c r="E2178" s="29" t="s">
        <v>52</v>
      </c>
      <c r="G2178" s="30">
        <v>0.16</v>
      </c>
      <c r="H2178" s="63"/>
      <c r="N2178" s="31"/>
    </row>
    <row r="2179" spans="1:74" ht="14.4" x14ac:dyDescent="0.3">
      <c r="A2179" s="21" t="s">
        <v>52</v>
      </c>
      <c r="B2179" s="22" t="s">
        <v>2657</v>
      </c>
      <c r="C2179" s="22" t="s">
        <v>429</v>
      </c>
      <c r="D2179" s="170" t="s">
        <v>1898</v>
      </c>
      <c r="E2179" s="171"/>
      <c r="F2179" s="23" t="s">
        <v>32</v>
      </c>
      <c r="G2179" s="23" t="s">
        <v>32</v>
      </c>
      <c r="H2179" s="64"/>
      <c r="I2179" s="1">
        <f>SUM(I2180:I2205)</f>
        <v>0</v>
      </c>
      <c r="J2179" s="1">
        <f>SUM(J2180:J2205)</f>
        <v>0</v>
      </c>
      <c r="K2179" s="1">
        <f>SUM(K2180:K2205)</f>
        <v>0</v>
      </c>
      <c r="L2179" s="10" t="s">
        <v>52</v>
      </c>
      <c r="M2179" s="1">
        <f>SUM(M2180:M2205)</f>
        <v>5.4599999999999996E-3</v>
      </c>
      <c r="N2179" s="24"/>
      <c r="AG2179" s="10" t="s">
        <v>2657</v>
      </c>
      <c r="AQ2179" s="1">
        <f>SUM(AH2180:AH2205)</f>
        <v>0</v>
      </c>
      <c r="AR2179" s="1">
        <f>SUM(AI2180:AI2205)</f>
        <v>0</v>
      </c>
      <c r="AS2179" s="1">
        <f>SUM(AJ2180:AJ2205)</f>
        <v>0</v>
      </c>
    </row>
    <row r="2180" spans="1:74" ht="14.4" x14ac:dyDescent="0.3">
      <c r="A2180" s="2" t="s">
        <v>2663</v>
      </c>
      <c r="B2180" s="3" t="s">
        <v>2657</v>
      </c>
      <c r="C2180" s="3" t="s">
        <v>1921</v>
      </c>
      <c r="D2180" s="112" t="s">
        <v>1922</v>
      </c>
      <c r="E2180" s="109"/>
      <c r="F2180" s="3" t="s">
        <v>860</v>
      </c>
      <c r="G2180" s="25">
        <v>1</v>
      </c>
      <c r="H2180" s="62"/>
      <c r="I2180" s="25">
        <f>ROUND(G2180*AM2180,2)</f>
        <v>0</v>
      </c>
      <c r="J2180" s="25">
        <f>ROUND(G2180*AN2180,2)</f>
        <v>0</v>
      </c>
      <c r="K2180" s="25">
        <f>ROUND(G2180*H2180,2)</f>
        <v>0</v>
      </c>
      <c r="L2180" s="25">
        <v>0</v>
      </c>
      <c r="M2180" s="25">
        <f>G2180*L2180</f>
        <v>0</v>
      </c>
      <c r="N2180" s="26"/>
      <c r="X2180" s="25">
        <f>ROUND(IF(AO2180="5",BH2180,0),2)</f>
        <v>0</v>
      </c>
      <c r="Z2180" s="25">
        <f>ROUND(IF(AO2180="1",BF2180,0),2)</f>
        <v>0</v>
      </c>
      <c r="AA2180" s="25">
        <f>ROUND(IF(AO2180="1",BG2180,0),2)</f>
        <v>0</v>
      </c>
      <c r="AB2180" s="25">
        <f>ROUND(IF(AO2180="7",BF2180,0),2)</f>
        <v>0</v>
      </c>
      <c r="AC2180" s="25">
        <f>ROUND(IF(AO2180="7",BG2180,0),2)</f>
        <v>0</v>
      </c>
      <c r="AD2180" s="25">
        <f>ROUND(IF(AO2180="2",BF2180,0),2)</f>
        <v>0</v>
      </c>
      <c r="AE2180" s="25">
        <f>ROUND(IF(AO2180="2",BG2180,0),2)</f>
        <v>0</v>
      </c>
      <c r="AF2180" s="25">
        <f>ROUND(IF(AO2180="0",BH2180,0),2)</f>
        <v>0</v>
      </c>
      <c r="AG2180" s="10" t="s">
        <v>2657</v>
      </c>
      <c r="AH2180" s="25">
        <f>IF(AL2180=0,K2180,0)</f>
        <v>0</v>
      </c>
      <c r="AI2180" s="25">
        <f>IF(AL2180=12,K2180,0)</f>
        <v>0</v>
      </c>
      <c r="AJ2180" s="25">
        <f>IF(AL2180=21,K2180,0)</f>
        <v>0</v>
      </c>
      <c r="AL2180" s="25">
        <v>21</v>
      </c>
      <c r="AM2180" s="25">
        <f>H2180*0</f>
        <v>0</v>
      </c>
      <c r="AN2180" s="25">
        <f>H2180*(1-0)</f>
        <v>0</v>
      </c>
      <c r="AO2180" s="27" t="s">
        <v>57</v>
      </c>
      <c r="AT2180" s="25">
        <f>ROUND(AU2180+AV2180,2)</f>
        <v>0</v>
      </c>
      <c r="AU2180" s="25">
        <f>ROUND(G2180*AM2180,2)</f>
        <v>0</v>
      </c>
      <c r="AV2180" s="25">
        <f>ROUND(G2180*AN2180,2)</f>
        <v>0</v>
      </c>
      <c r="AW2180" s="27" t="s">
        <v>1902</v>
      </c>
      <c r="AX2180" s="27" t="s">
        <v>2664</v>
      </c>
      <c r="AY2180" s="10" t="s">
        <v>2661</v>
      </c>
      <c r="BA2180" s="25">
        <f>AU2180+AV2180</f>
        <v>0</v>
      </c>
      <c r="BB2180" s="25">
        <f>H2180/(100-BC2180)*100</f>
        <v>0</v>
      </c>
      <c r="BC2180" s="25">
        <v>0</v>
      </c>
      <c r="BD2180" s="25">
        <f>M2180</f>
        <v>0</v>
      </c>
      <c r="BF2180" s="25">
        <f>G2180*AM2180</f>
        <v>0</v>
      </c>
      <c r="BG2180" s="25">
        <f>G2180*AN2180</f>
        <v>0</v>
      </c>
      <c r="BH2180" s="25">
        <f>G2180*H2180</f>
        <v>0</v>
      </c>
      <c r="BI2180" s="27" t="s">
        <v>65</v>
      </c>
      <c r="BJ2180" s="25">
        <v>60</v>
      </c>
      <c r="BU2180" s="25" t="e">
        <f>#REF!</f>
        <v>#REF!</v>
      </c>
      <c r="BV2180" s="4" t="s">
        <v>1922</v>
      </c>
    </row>
    <row r="2181" spans="1:74" ht="14.4" x14ac:dyDescent="0.3">
      <c r="A2181" s="28"/>
      <c r="D2181" s="29" t="s">
        <v>57</v>
      </c>
      <c r="E2181" s="29" t="s">
        <v>52</v>
      </c>
      <c r="G2181" s="30">
        <v>1</v>
      </c>
      <c r="H2181" s="63"/>
      <c r="N2181" s="31"/>
    </row>
    <row r="2182" spans="1:74" ht="14.4" x14ac:dyDescent="0.3">
      <c r="A2182" s="2" t="s">
        <v>2665</v>
      </c>
      <c r="B2182" s="3" t="s">
        <v>2657</v>
      </c>
      <c r="C2182" s="3" t="s">
        <v>2666</v>
      </c>
      <c r="D2182" s="112" t="s">
        <v>2667</v>
      </c>
      <c r="E2182" s="109"/>
      <c r="F2182" s="3" t="s">
        <v>100</v>
      </c>
      <c r="G2182" s="25">
        <v>72</v>
      </c>
      <c r="H2182" s="62"/>
      <c r="I2182" s="25">
        <f>ROUND(G2182*AM2182,2)</f>
        <v>0</v>
      </c>
      <c r="J2182" s="25">
        <f>ROUND(G2182*AN2182,2)</f>
        <v>0</v>
      </c>
      <c r="K2182" s="25">
        <f>ROUND(G2182*H2182,2)</f>
        <v>0</v>
      </c>
      <c r="L2182" s="25">
        <v>0</v>
      </c>
      <c r="M2182" s="25">
        <f>G2182*L2182</f>
        <v>0</v>
      </c>
      <c r="N2182" s="26"/>
      <c r="X2182" s="25">
        <f>ROUND(IF(AO2182="5",BH2182,0),2)</f>
        <v>0</v>
      </c>
      <c r="Z2182" s="25">
        <f>ROUND(IF(AO2182="1",BF2182,0),2)</f>
        <v>0</v>
      </c>
      <c r="AA2182" s="25">
        <f>ROUND(IF(AO2182="1",BG2182,0),2)</f>
        <v>0</v>
      </c>
      <c r="AB2182" s="25">
        <f>ROUND(IF(AO2182="7",BF2182,0),2)</f>
        <v>0</v>
      </c>
      <c r="AC2182" s="25">
        <f>ROUND(IF(AO2182="7",BG2182,0),2)</f>
        <v>0</v>
      </c>
      <c r="AD2182" s="25">
        <f>ROUND(IF(AO2182="2",BF2182,0),2)</f>
        <v>0</v>
      </c>
      <c r="AE2182" s="25">
        <f>ROUND(IF(AO2182="2",BG2182,0),2)</f>
        <v>0</v>
      </c>
      <c r="AF2182" s="25">
        <f>ROUND(IF(AO2182="0",BH2182,0),2)</f>
        <v>0</v>
      </c>
      <c r="AG2182" s="10" t="s">
        <v>2657</v>
      </c>
      <c r="AH2182" s="25">
        <f>IF(AL2182=0,K2182,0)</f>
        <v>0</v>
      </c>
      <c r="AI2182" s="25">
        <f>IF(AL2182=12,K2182,0)</f>
        <v>0</v>
      </c>
      <c r="AJ2182" s="25">
        <f>IF(AL2182=21,K2182,0)</f>
        <v>0</v>
      </c>
      <c r="AL2182" s="25">
        <v>21</v>
      </c>
      <c r="AM2182" s="25">
        <f>H2182*0</f>
        <v>0</v>
      </c>
      <c r="AN2182" s="25">
        <f>H2182*(1-0)</f>
        <v>0</v>
      </c>
      <c r="AO2182" s="27" t="s">
        <v>57</v>
      </c>
      <c r="AT2182" s="25">
        <f>ROUND(AU2182+AV2182,2)</f>
        <v>0</v>
      </c>
      <c r="AU2182" s="25">
        <f>ROUND(G2182*AM2182,2)</f>
        <v>0</v>
      </c>
      <c r="AV2182" s="25">
        <f>ROUND(G2182*AN2182,2)</f>
        <v>0</v>
      </c>
      <c r="AW2182" s="27" t="s">
        <v>1902</v>
      </c>
      <c r="AX2182" s="27" t="s">
        <v>2664</v>
      </c>
      <c r="AY2182" s="10" t="s">
        <v>2661</v>
      </c>
      <c r="BA2182" s="25">
        <f>AU2182+AV2182</f>
        <v>0</v>
      </c>
      <c r="BB2182" s="25">
        <f>H2182/(100-BC2182)*100</f>
        <v>0</v>
      </c>
      <c r="BC2182" s="25">
        <v>0</v>
      </c>
      <c r="BD2182" s="25">
        <f>M2182</f>
        <v>0</v>
      </c>
      <c r="BF2182" s="25">
        <f>G2182*AM2182</f>
        <v>0</v>
      </c>
      <c r="BG2182" s="25">
        <f>G2182*AN2182</f>
        <v>0</v>
      </c>
      <c r="BH2182" s="25">
        <f>G2182*H2182</f>
        <v>0</v>
      </c>
      <c r="BI2182" s="27" t="s">
        <v>65</v>
      </c>
      <c r="BJ2182" s="25">
        <v>60</v>
      </c>
      <c r="BU2182" s="25" t="e">
        <f>#REF!</f>
        <v>#REF!</v>
      </c>
      <c r="BV2182" s="4" t="s">
        <v>2667</v>
      </c>
    </row>
    <row r="2183" spans="1:74" ht="14.4" x14ac:dyDescent="0.3">
      <c r="A2183" s="28"/>
      <c r="D2183" s="29" t="s">
        <v>499</v>
      </c>
      <c r="E2183" s="29" t="s">
        <v>52</v>
      </c>
      <c r="G2183" s="30">
        <v>72</v>
      </c>
      <c r="H2183" s="63"/>
      <c r="N2183" s="31"/>
    </row>
    <row r="2184" spans="1:74" ht="14.4" x14ac:dyDescent="0.3">
      <c r="A2184" s="2" t="s">
        <v>2668</v>
      </c>
      <c r="B2184" s="3" t="s">
        <v>2657</v>
      </c>
      <c r="C2184" s="3" t="s">
        <v>2669</v>
      </c>
      <c r="D2184" s="112" t="s">
        <v>2670</v>
      </c>
      <c r="E2184" s="109"/>
      <c r="F2184" s="3" t="s">
        <v>860</v>
      </c>
      <c r="G2184" s="25">
        <v>1</v>
      </c>
      <c r="H2184" s="62"/>
      <c r="I2184" s="25">
        <f>ROUND(G2184*AM2184,2)</f>
        <v>0</v>
      </c>
      <c r="J2184" s="25">
        <f>ROUND(G2184*AN2184,2)</f>
        <v>0</v>
      </c>
      <c r="K2184" s="25">
        <f>ROUND(G2184*H2184,2)</f>
        <v>0</v>
      </c>
      <c r="L2184" s="25">
        <v>0</v>
      </c>
      <c r="M2184" s="25">
        <f>G2184*L2184</f>
        <v>0</v>
      </c>
      <c r="N2184" s="102"/>
      <c r="X2184" s="25">
        <f>ROUND(IF(AO2184="5",BH2184,0),2)</f>
        <v>0</v>
      </c>
      <c r="Z2184" s="25">
        <f>ROUND(IF(AO2184="1",BF2184,0),2)</f>
        <v>0</v>
      </c>
      <c r="AA2184" s="25">
        <f>ROUND(IF(AO2184="1",BG2184,0),2)</f>
        <v>0</v>
      </c>
      <c r="AB2184" s="25">
        <f>ROUND(IF(AO2184="7",BF2184,0),2)</f>
        <v>0</v>
      </c>
      <c r="AC2184" s="25">
        <f>ROUND(IF(AO2184="7",BG2184,0),2)</f>
        <v>0</v>
      </c>
      <c r="AD2184" s="25">
        <f>ROUND(IF(AO2184="2",BF2184,0),2)</f>
        <v>0</v>
      </c>
      <c r="AE2184" s="25">
        <f>ROUND(IF(AO2184="2",BG2184,0),2)</f>
        <v>0</v>
      </c>
      <c r="AF2184" s="25">
        <f>ROUND(IF(AO2184="0",BH2184,0),2)</f>
        <v>0</v>
      </c>
      <c r="AG2184" s="10" t="s">
        <v>2657</v>
      </c>
      <c r="AH2184" s="25">
        <f>IF(AL2184=0,K2184,0)</f>
        <v>0</v>
      </c>
      <c r="AI2184" s="25">
        <f>IF(AL2184=12,K2184,0)</f>
        <v>0</v>
      </c>
      <c r="AJ2184" s="25">
        <f>IF(AL2184=21,K2184,0)</f>
        <v>0</v>
      </c>
      <c r="AL2184" s="25">
        <v>21</v>
      </c>
      <c r="AM2184" s="25">
        <f>H2184*0</f>
        <v>0</v>
      </c>
      <c r="AN2184" s="25">
        <f>H2184*(1-0)</f>
        <v>0</v>
      </c>
      <c r="AO2184" s="27" t="s">
        <v>57</v>
      </c>
      <c r="AT2184" s="25">
        <f>ROUND(AU2184+AV2184,2)</f>
        <v>0</v>
      </c>
      <c r="AU2184" s="25">
        <f>ROUND(G2184*AM2184,2)</f>
        <v>0</v>
      </c>
      <c r="AV2184" s="25">
        <f>ROUND(G2184*AN2184,2)</f>
        <v>0</v>
      </c>
      <c r="AW2184" s="27" t="s">
        <v>1902</v>
      </c>
      <c r="AX2184" s="27" t="s">
        <v>2664</v>
      </c>
      <c r="AY2184" s="10" t="s">
        <v>2661</v>
      </c>
      <c r="BA2184" s="25">
        <f>AU2184+AV2184</f>
        <v>0</v>
      </c>
      <c r="BB2184" s="25">
        <f>H2184/(100-BC2184)*100</f>
        <v>0</v>
      </c>
      <c r="BC2184" s="25">
        <v>0</v>
      </c>
      <c r="BD2184" s="25">
        <f>M2184</f>
        <v>0</v>
      </c>
      <c r="BF2184" s="25">
        <f>G2184*AM2184</f>
        <v>0</v>
      </c>
      <c r="BG2184" s="25">
        <f>G2184*AN2184</f>
        <v>0</v>
      </c>
      <c r="BH2184" s="25">
        <f>G2184*H2184</f>
        <v>0</v>
      </c>
      <c r="BI2184" s="27" t="s">
        <v>65</v>
      </c>
      <c r="BJ2184" s="25">
        <v>60</v>
      </c>
      <c r="BU2184" s="25" t="e">
        <f>#REF!</f>
        <v>#REF!</v>
      </c>
      <c r="BV2184" s="4" t="s">
        <v>2670</v>
      </c>
    </row>
    <row r="2185" spans="1:74" ht="14.4" x14ac:dyDescent="0.3">
      <c r="A2185" s="28"/>
      <c r="D2185" s="29" t="s">
        <v>57</v>
      </c>
      <c r="E2185" s="29" t="s">
        <v>52</v>
      </c>
      <c r="G2185" s="30">
        <v>1</v>
      </c>
      <c r="H2185" s="63"/>
      <c r="N2185" s="31"/>
    </row>
    <row r="2186" spans="1:74" ht="26.4" x14ac:dyDescent="0.3">
      <c r="A2186" s="2" t="s">
        <v>2671</v>
      </c>
      <c r="B2186" s="3" t="s">
        <v>2657</v>
      </c>
      <c r="C2186" s="3" t="s">
        <v>1912</v>
      </c>
      <c r="D2186" s="112" t="s">
        <v>2672</v>
      </c>
      <c r="E2186" s="109"/>
      <c r="F2186" s="3" t="s">
        <v>100</v>
      </c>
      <c r="G2186" s="25">
        <v>8</v>
      </c>
      <c r="H2186" s="62"/>
      <c r="I2186" s="25">
        <f>ROUND(G2186*AM2186,2)</f>
        <v>0</v>
      </c>
      <c r="J2186" s="25">
        <f>ROUND(G2186*AN2186,2)</f>
        <v>0</v>
      </c>
      <c r="K2186" s="25">
        <f>ROUND(G2186*H2186,2)</f>
        <v>0</v>
      </c>
      <c r="L2186" s="25">
        <v>0</v>
      </c>
      <c r="M2186" s="25">
        <f>G2186*L2186</f>
        <v>0</v>
      </c>
      <c r="N2186" s="26"/>
      <c r="X2186" s="25">
        <f>ROUND(IF(AO2186="5",BH2186,0),2)</f>
        <v>0</v>
      </c>
      <c r="Z2186" s="25">
        <f>ROUND(IF(AO2186="1",BF2186,0),2)</f>
        <v>0</v>
      </c>
      <c r="AA2186" s="25">
        <f>ROUND(IF(AO2186="1",BG2186,0),2)</f>
        <v>0</v>
      </c>
      <c r="AB2186" s="25">
        <f>ROUND(IF(AO2186="7",BF2186,0),2)</f>
        <v>0</v>
      </c>
      <c r="AC2186" s="25">
        <f>ROUND(IF(AO2186="7",BG2186,0),2)</f>
        <v>0</v>
      </c>
      <c r="AD2186" s="25">
        <f>ROUND(IF(AO2186="2",BF2186,0),2)</f>
        <v>0</v>
      </c>
      <c r="AE2186" s="25">
        <f>ROUND(IF(AO2186="2",BG2186,0),2)</f>
        <v>0</v>
      </c>
      <c r="AF2186" s="25">
        <f>ROUND(IF(AO2186="0",BH2186,0),2)</f>
        <v>0</v>
      </c>
      <c r="AG2186" s="10" t="s">
        <v>2657</v>
      </c>
      <c r="AH2186" s="25">
        <f>IF(AL2186=0,K2186,0)</f>
        <v>0</v>
      </c>
      <c r="AI2186" s="25">
        <f>IF(AL2186=12,K2186,0)</f>
        <v>0</v>
      </c>
      <c r="AJ2186" s="25">
        <f>IF(AL2186=21,K2186,0)</f>
        <v>0</v>
      </c>
      <c r="AL2186" s="25">
        <v>21</v>
      </c>
      <c r="AM2186" s="25">
        <f>H2186*0</f>
        <v>0</v>
      </c>
      <c r="AN2186" s="25">
        <f>H2186*(1-0)</f>
        <v>0</v>
      </c>
      <c r="AO2186" s="27" t="s">
        <v>57</v>
      </c>
      <c r="AT2186" s="25">
        <f>ROUND(AU2186+AV2186,2)</f>
        <v>0</v>
      </c>
      <c r="AU2186" s="25">
        <f>ROUND(G2186*AM2186,2)</f>
        <v>0</v>
      </c>
      <c r="AV2186" s="25">
        <f>ROUND(G2186*AN2186,2)</f>
        <v>0</v>
      </c>
      <c r="AW2186" s="27" t="s">
        <v>1902</v>
      </c>
      <c r="AX2186" s="27" t="s">
        <v>2664</v>
      </c>
      <c r="AY2186" s="10" t="s">
        <v>2661</v>
      </c>
      <c r="BA2186" s="25">
        <f>AU2186+AV2186</f>
        <v>0</v>
      </c>
      <c r="BB2186" s="25">
        <f>H2186/(100-BC2186)*100</f>
        <v>0</v>
      </c>
      <c r="BC2186" s="25">
        <v>0</v>
      </c>
      <c r="BD2186" s="25">
        <f>M2186</f>
        <v>0</v>
      </c>
      <c r="BF2186" s="25">
        <f>G2186*AM2186</f>
        <v>0</v>
      </c>
      <c r="BG2186" s="25">
        <f>G2186*AN2186</f>
        <v>0</v>
      </c>
      <c r="BH2186" s="25">
        <f>G2186*H2186</f>
        <v>0</v>
      </c>
      <c r="BI2186" s="27" t="s">
        <v>65</v>
      </c>
      <c r="BJ2186" s="25">
        <v>60</v>
      </c>
      <c r="BU2186" s="25" t="e">
        <f>#REF!</f>
        <v>#REF!</v>
      </c>
      <c r="BV2186" s="4" t="s">
        <v>2672</v>
      </c>
    </row>
    <row r="2187" spans="1:74" ht="14.4" x14ac:dyDescent="0.3">
      <c r="A2187" s="28"/>
      <c r="D2187" s="29" t="s">
        <v>119</v>
      </c>
      <c r="E2187" s="29" t="s">
        <v>52</v>
      </c>
      <c r="G2187" s="30">
        <v>8</v>
      </c>
      <c r="H2187" s="63"/>
      <c r="N2187" s="31"/>
    </row>
    <row r="2188" spans="1:74" ht="14.4" x14ac:dyDescent="0.3">
      <c r="A2188" s="2" t="s">
        <v>2673</v>
      </c>
      <c r="B2188" s="3" t="s">
        <v>2657</v>
      </c>
      <c r="C2188" s="3" t="s">
        <v>2674</v>
      </c>
      <c r="D2188" s="112" t="s">
        <v>2675</v>
      </c>
      <c r="E2188" s="109"/>
      <c r="F2188" s="3" t="s">
        <v>860</v>
      </c>
      <c r="G2188" s="25">
        <v>1</v>
      </c>
      <c r="H2188" s="62"/>
      <c r="I2188" s="25">
        <f>ROUND(G2188*AM2188,2)</f>
        <v>0</v>
      </c>
      <c r="J2188" s="25">
        <f>ROUND(G2188*AN2188,2)</f>
        <v>0</v>
      </c>
      <c r="K2188" s="25">
        <f>ROUND(G2188*H2188,2)</f>
        <v>0</v>
      </c>
      <c r="L2188" s="25">
        <v>0</v>
      </c>
      <c r="M2188" s="25">
        <f>G2188*L2188</f>
        <v>0</v>
      </c>
      <c r="N2188" s="102"/>
      <c r="X2188" s="25">
        <f>ROUND(IF(AO2188="5",BH2188,0),2)</f>
        <v>0</v>
      </c>
      <c r="Z2188" s="25">
        <f>ROUND(IF(AO2188="1",BF2188,0),2)</f>
        <v>0</v>
      </c>
      <c r="AA2188" s="25">
        <f>ROUND(IF(AO2188="1",BG2188,0),2)</f>
        <v>0</v>
      </c>
      <c r="AB2188" s="25">
        <f>ROUND(IF(AO2188="7",BF2188,0),2)</f>
        <v>0</v>
      </c>
      <c r="AC2188" s="25">
        <f>ROUND(IF(AO2188="7",BG2188,0),2)</f>
        <v>0</v>
      </c>
      <c r="AD2188" s="25">
        <f>ROUND(IF(AO2188="2",BF2188,0),2)</f>
        <v>0</v>
      </c>
      <c r="AE2188" s="25">
        <f>ROUND(IF(AO2188="2",BG2188,0),2)</f>
        <v>0</v>
      </c>
      <c r="AF2188" s="25">
        <f>ROUND(IF(AO2188="0",BH2188,0),2)</f>
        <v>0</v>
      </c>
      <c r="AG2188" s="10" t="s">
        <v>2657</v>
      </c>
      <c r="AH2188" s="25">
        <f>IF(AL2188=0,K2188,0)</f>
        <v>0</v>
      </c>
      <c r="AI2188" s="25">
        <f>IF(AL2188=12,K2188,0)</f>
        <v>0</v>
      </c>
      <c r="AJ2188" s="25">
        <f>IF(AL2188=21,K2188,0)</f>
        <v>0</v>
      </c>
      <c r="AL2188" s="25">
        <v>21</v>
      </c>
      <c r="AM2188" s="25">
        <f>H2188*0</f>
        <v>0</v>
      </c>
      <c r="AN2188" s="25">
        <f>H2188*(1-0)</f>
        <v>0</v>
      </c>
      <c r="AO2188" s="27" t="s">
        <v>57</v>
      </c>
      <c r="AT2188" s="25">
        <f>ROUND(AU2188+AV2188,2)</f>
        <v>0</v>
      </c>
      <c r="AU2188" s="25">
        <f>ROUND(G2188*AM2188,2)</f>
        <v>0</v>
      </c>
      <c r="AV2188" s="25">
        <f>ROUND(G2188*AN2188,2)</f>
        <v>0</v>
      </c>
      <c r="AW2188" s="27" t="s">
        <v>1902</v>
      </c>
      <c r="AX2188" s="27" t="s">
        <v>2664</v>
      </c>
      <c r="AY2188" s="10" t="s">
        <v>2661</v>
      </c>
      <c r="BA2188" s="25">
        <f>AU2188+AV2188</f>
        <v>0</v>
      </c>
      <c r="BB2188" s="25">
        <f>H2188/(100-BC2188)*100</f>
        <v>0</v>
      </c>
      <c r="BC2188" s="25">
        <v>0</v>
      </c>
      <c r="BD2188" s="25">
        <f>M2188</f>
        <v>0</v>
      </c>
      <c r="BF2188" s="25">
        <f>G2188*AM2188</f>
        <v>0</v>
      </c>
      <c r="BG2188" s="25">
        <f>G2188*AN2188</f>
        <v>0</v>
      </c>
      <c r="BH2188" s="25">
        <f>G2188*H2188</f>
        <v>0</v>
      </c>
      <c r="BI2188" s="27" t="s">
        <v>65</v>
      </c>
      <c r="BJ2188" s="25">
        <v>60</v>
      </c>
      <c r="BU2188" s="25" t="e">
        <f>#REF!</f>
        <v>#REF!</v>
      </c>
      <c r="BV2188" s="4" t="s">
        <v>2675</v>
      </c>
    </row>
    <row r="2189" spans="1:74" ht="14.4" x14ac:dyDescent="0.3">
      <c r="A2189" s="28"/>
      <c r="D2189" s="29" t="s">
        <v>57</v>
      </c>
      <c r="E2189" s="29" t="s">
        <v>52</v>
      </c>
      <c r="G2189" s="30">
        <v>1</v>
      </c>
      <c r="H2189" s="63"/>
      <c r="N2189" s="31"/>
    </row>
    <row r="2190" spans="1:74" ht="14.4" x14ac:dyDescent="0.3">
      <c r="A2190" s="2" t="s">
        <v>2676</v>
      </c>
      <c r="B2190" s="3" t="s">
        <v>2657</v>
      </c>
      <c r="C2190" s="3" t="s">
        <v>1924</v>
      </c>
      <c r="D2190" s="112" t="s">
        <v>1925</v>
      </c>
      <c r="E2190" s="109"/>
      <c r="F2190" s="3" t="s">
        <v>860</v>
      </c>
      <c r="G2190" s="25">
        <v>1</v>
      </c>
      <c r="H2190" s="62"/>
      <c r="I2190" s="25">
        <f>ROUND(G2190*AM2190,2)</f>
        <v>0</v>
      </c>
      <c r="J2190" s="25">
        <f>ROUND(G2190*AN2190,2)</f>
        <v>0</v>
      </c>
      <c r="K2190" s="25">
        <f>ROUND(G2190*H2190,2)</f>
        <v>0</v>
      </c>
      <c r="L2190" s="25">
        <v>0</v>
      </c>
      <c r="M2190" s="25">
        <f>G2190*L2190</f>
        <v>0</v>
      </c>
      <c r="N2190" s="102"/>
      <c r="X2190" s="25">
        <f>ROUND(IF(AO2190="5",BH2190,0),2)</f>
        <v>0</v>
      </c>
      <c r="Z2190" s="25">
        <f>ROUND(IF(AO2190="1",BF2190,0),2)</f>
        <v>0</v>
      </c>
      <c r="AA2190" s="25">
        <f>ROUND(IF(AO2190="1",BG2190,0),2)</f>
        <v>0</v>
      </c>
      <c r="AB2190" s="25">
        <f>ROUND(IF(AO2190="7",BF2190,0),2)</f>
        <v>0</v>
      </c>
      <c r="AC2190" s="25">
        <f>ROUND(IF(AO2190="7",BG2190,0),2)</f>
        <v>0</v>
      </c>
      <c r="AD2190" s="25">
        <f>ROUND(IF(AO2190="2",BF2190,0),2)</f>
        <v>0</v>
      </c>
      <c r="AE2190" s="25">
        <f>ROUND(IF(AO2190="2",BG2190,0),2)</f>
        <v>0</v>
      </c>
      <c r="AF2190" s="25">
        <f>ROUND(IF(AO2190="0",BH2190,0),2)</f>
        <v>0</v>
      </c>
      <c r="AG2190" s="10" t="s">
        <v>2657</v>
      </c>
      <c r="AH2190" s="25">
        <f>IF(AL2190=0,K2190,0)</f>
        <v>0</v>
      </c>
      <c r="AI2190" s="25">
        <f>IF(AL2190=12,K2190,0)</f>
        <v>0</v>
      </c>
      <c r="AJ2190" s="25">
        <f>IF(AL2190=21,K2190,0)</f>
        <v>0</v>
      </c>
      <c r="AL2190" s="25">
        <v>21</v>
      </c>
      <c r="AM2190" s="25">
        <f>H2190*0</f>
        <v>0</v>
      </c>
      <c r="AN2190" s="25">
        <f>H2190*(1-0)</f>
        <v>0</v>
      </c>
      <c r="AO2190" s="27" t="s">
        <v>57</v>
      </c>
      <c r="AT2190" s="25">
        <f>ROUND(AU2190+AV2190,2)</f>
        <v>0</v>
      </c>
      <c r="AU2190" s="25">
        <f>ROUND(G2190*AM2190,2)</f>
        <v>0</v>
      </c>
      <c r="AV2190" s="25">
        <f>ROUND(G2190*AN2190,2)</f>
        <v>0</v>
      </c>
      <c r="AW2190" s="27" t="s">
        <v>1902</v>
      </c>
      <c r="AX2190" s="27" t="s">
        <v>2664</v>
      </c>
      <c r="AY2190" s="10" t="s">
        <v>2661</v>
      </c>
      <c r="BA2190" s="25">
        <f>AU2190+AV2190</f>
        <v>0</v>
      </c>
      <c r="BB2190" s="25">
        <f>H2190/(100-BC2190)*100</f>
        <v>0</v>
      </c>
      <c r="BC2190" s="25">
        <v>0</v>
      </c>
      <c r="BD2190" s="25">
        <f>M2190</f>
        <v>0</v>
      </c>
      <c r="BF2190" s="25">
        <f>G2190*AM2190</f>
        <v>0</v>
      </c>
      <c r="BG2190" s="25">
        <f>G2190*AN2190</f>
        <v>0</v>
      </c>
      <c r="BH2190" s="25">
        <f>G2190*H2190</f>
        <v>0</v>
      </c>
      <c r="BI2190" s="27" t="s">
        <v>65</v>
      </c>
      <c r="BJ2190" s="25">
        <v>60</v>
      </c>
      <c r="BU2190" s="25" t="e">
        <f>#REF!</f>
        <v>#REF!</v>
      </c>
      <c r="BV2190" s="4" t="s">
        <v>1925</v>
      </c>
    </row>
    <row r="2191" spans="1:74" ht="14.4" x14ac:dyDescent="0.3">
      <c r="A2191" s="28"/>
      <c r="D2191" s="29" t="s">
        <v>57</v>
      </c>
      <c r="E2191" s="29" t="s">
        <v>52</v>
      </c>
      <c r="G2191" s="30">
        <v>1</v>
      </c>
      <c r="H2191" s="63"/>
      <c r="N2191" s="31"/>
    </row>
    <row r="2192" spans="1:74" ht="14.4" x14ac:dyDescent="0.3">
      <c r="A2192" s="2" t="s">
        <v>2677</v>
      </c>
      <c r="B2192" s="3" t="s">
        <v>2657</v>
      </c>
      <c r="C2192" s="3" t="s">
        <v>2234</v>
      </c>
      <c r="D2192" s="112" t="s">
        <v>2678</v>
      </c>
      <c r="E2192" s="109"/>
      <c r="F2192" s="3" t="s">
        <v>860</v>
      </c>
      <c r="G2192" s="25">
        <v>1</v>
      </c>
      <c r="H2192" s="62"/>
      <c r="I2192" s="25">
        <f>ROUND(G2192*AM2192,2)</f>
        <v>0</v>
      </c>
      <c r="J2192" s="25">
        <f>ROUND(G2192*AN2192,2)</f>
        <v>0</v>
      </c>
      <c r="K2192" s="25">
        <f>ROUND(G2192*H2192,2)</f>
        <v>0</v>
      </c>
      <c r="L2192" s="25">
        <v>0</v>
      </c>
      <c r="M2192" s="25">
        <f>G2192*L2192</f>
        <v>0</v>
      </c>
      <c r="N2192" s="102"/>
      <c r="X2192" s="25">
        <f>ROUND(IF(AO2192="5",BH2192,0),2)</f>
        <v>0</v>
      </c>
      <c r="Z2192" s="25">
        <f>ROUND(IF(AO2192="1",BF2192,0),2)</f>
        <v>0</v>
      </c>
      <c r="AA2192" s="25">
        <f>ROUND(IF(AO2192="1",BG2192,0),2)</f>
        <v>0</v>
      </c>
      <c r="AB2192" s="25">
        <f>ROUND(IF(AO2192="7",BF2192,0),2)</f>
        <v>0</v>
      </c>
      <c r="AC2192" s="25">
        <f>ROUND(IF(AO2192="7",BG2192,0),2)</f>
        <v>0</v>
      </c>
      <c r="AD2192" s="25">
        <f>ROUND(IF(AO2192="2",BF2192,0),2)</f>
        <v>0</v>
      </c>
      <c r="AE2192" s="25">
        <f>ROUND(IF(AO2192="2",BG2192,0),2)</f>
        <v>0</v>
      </c>
      <c r="AF2192" s="25">
        <f>ROUND(IF(AO2192="0",BH2192,0),2)</f>
        <v>0</v>
      </c>
      <c r="AG2192" s="10" t="s">
        <v>2657</v>
      </c>
      <c r="AH2192" s="25">
        <f>IF(AL2192=0,K2192,0)</f>
        <v>0</v>
      </c>
      <c r="AI2192" s="25">
        <f>IF(AL2192=12,K2192,0)</f>
        <v>0</v>
      </c>
      <c r="AJ2192" s="25">
        <f>IF(AL2192=21,K2192,0)</f>
        <v>0</v>
      </c>
      <c r="AL2192" s="25">
        <v>21</v>
      </c>
      <c r="AM2192" s="25">
        <f>H2192*0</f>
        <v>0</v>
      </c>
      <c r="AN2192" s="25">
        <f>H2192*(1-0)</f>
        <v>0</v>
      </c>
      <c r="AO2192" s="27" t="s">
        <v>57</v>
      </c>
      <c r="AT2192" s="25">
        <f>ROUND(AU2192+AV2192,2)</f>
        <v>0</v>
      </c>
      <c r="AU2192" s="25">
        <f>ROUND(G2192*AM2192,2)</f>
        <v>0</v>
      </c>
      <c r="AV2192" s="25">
        <f>ROUND(G2192*AN2192,2)</f>
        <v>0</v>
      </c>
      <c r="AW2192" s="27" t="s">
        <v>1902</v>
      </c>
      <c r="AX2192" s="27" t="s">
        <v>2664</v>
      </c>
      <c r="AY2192" s="10" t="s">
        <v>2661</v>
      </c>
      <c r="BA2192" s="25">
        <f>AU2192+AV2192</f>
        <v>0</v>
      </c>
      <c r="BB2192" s="25">
        <f>H2192/(100-BC2192)*100</f>
        <v>0</v>
      </c>
      <c r="BC2192" s="25">
        <v>0</v>
      </c>
      <c r="BD2192" s="25">
        <f>M2192</f>
        <v>0</v>
      </c>
      <c r="BF2192" s="25">
        <f>G2192*AM2192</f>
        <v>0</v>
      </c>
      <c r="BG2192" s="25">
        <f>G2192*AN2192</f>
        <v>0</v>
      </c>
      <c r="BH2192" s="25">
        <f>G2192*H2192</f>
        <v>0</v>
      </c>
      <c r="BI2192" s="27" t="s">
        <v>65</v>
      </c>
      <c r="BJ2192" s="25">
        <v>60</v>
      </c>
      <c r="BU2192" s="25" t="e">
        <f>#REF!</f>
        <v>#REF!</v>
      </c>
      <c r="BV2192" s="4" t="s">
        <v>2678</v>
      </c>
    </row>
    <row r="2193" spans="1:74" ht="14.4" x14ac:dyDescent="0.3">
      <c r="A2193" s="28"/>
      <c r="D2193" s="29" t="s">
        <v>57</v>
      </c>
      <c r="E2193" s="29" t="s">
        <v>52</v>
      </c>
      <c r="G2193" s="30">
        <v>1</v>
      </c>
      <c r="H2193" s="63"/>
      <c r="N2193" s="31"/>
    </row>
    <row r="2194" spans="1:74" ht="14.4" x14ac:dyDescent="0.3">
      <c r="A2194" s="2" t="s">
        <v>2679</v>
      </c>
      <c r="B2194" s="3" t="s">
        <v>2657</v>
      </c>
      <c r="C2194" s="3" t="s">
        <v>2237</v>
      </c>
      <c r="D2194" s="112" t="s">
        <v>2680</v>
      </c>
      <c r="E2194" s="109"/>
      <c r="F2194" s="3" t="s">
        <v>860</v>
      </c>
      <c r="G2194" s="25">
        <v>1</v>
      </c>
      <c r="H2194" s="62"/>
      <c r="I2194" s="25">
        <f>ROUND(G2194*AM2194,2)</f>
        <v>0</v>
      </c>
      <c r="J2194" s="25">
        <f>ROUND(G2194*AN2194,2)</f>
        <v>0</v>
      </c>
      <c r="K2194" s="25">
        <f>ROUND(G2194*H2194,2)</f>
        <v>0</v>
      </c>
      <c r="L2194" s="25">
        <v>0</v>
      </c>
      <c r="M2194" s="25">
        <f>G2194*L2194</f>
        <v>0</v>
      </c>
      <c r="N2194" s="102"/>
      <c r="X2194" s="25">
        <f>ROUND(IF(AO2194="5",BH2194,0),2)</f>
        <v>0</v>
      </c>
      <c r="Z2194" s="25">
        <f>ROUND(IF(AO2194="1",BF2194,0),2)</f>
        <v>0</v>
      </c>
      <c r="AA2194" s="25">
        <f>ROUND(IF(AO2194="1",BG2194,0),2)</f>
        <v>0</v>
      </c>
      <c r="AB2194" s="25">
        <f>ROUND(IF(AO2194="7",BF2194,0),2)</f>
        <v>0</v>
      </c>
      <c r="AC2194" s="25">
        <f>ROUND(IF(AO2194="7",BG2194,0),2)</f>
        <v>0</v>
      </c>
      <c r="AD2194" s="25">
        <f>ROUND(IF(AO2194="2",BF2194,0),2)</f>
        <v>0</v>
      </c>
      <c r="AE2194" s="25">
        <f>ROUND(IF(AO2194="2",BG2194,0),2)</f>
        <v>0</v>
      </c>
      <c r="AF2194" s="25">
        <f>ROUND(IF(AO2194="0",BH2194,0),2)</f>
        <v>0</v>
      </c>
      <c r="AG2194" s="10" t="s">
        <v>2657</v>
      </c>
      <c r="AH2194" s="25">
        <f>IF(AL2194=0,K2194,0)</f>
        <v>0</v>
      </c>
      <c r="AI2194" s="25">
        <f>IF(AL2194=12,K2194,0)</f>
        <v>0</v>
      </c>
      <c r="AJ2194" s="25">
        <f>IF(AL2194=21,K2194,0)</f>
        <v>0</v>
      </c>
      <c r="AL2194" s="25">
        <v>21</v>
      </c>
      <c r="AM2194" s="25">
        <f>H2194*0</f>
        <v>0</v>
      </c>
      <c r="AN2194" s="25">
        <f>H2194*(1-0)</f>
        <v>0</v>
      </c>
      <c r="AO2194" s="27" t="s">
        <v>57</v>
      </c>
      <c r="AT2194" s="25">
        <f>ROUND(AU2194+AV2194,2)</f>
        <v>0</v>
      </c>
      <c r="AU2194" s="25">
        <f>ROUND(G2194*AM2194,2)</f>
        <v>0</v>
      </c>
      <c r="AV2194" s="25">
        <f>ROUND(G2194*AN2194,2)</f>
        <v>0</v>
      </c>
      <c r="AW2194" s="27" t="s">
        <v>1902</v>
      </c>
      <c r="AX2194" s="27" t="s">
        <v>2664</v>
      </c>
      <c r="AY2194" s="10" t="s">
        <v>2661</v>
      </c>
      <c r="BA2194" s="25">
        <f>AU2194+AV2194</f>
        <v>0</v>
      </c>
      <c r="BB2194" s="25">
        <f>H2194/(100-BC2194)*100</f>
        <v>0</v>
      </c>
      <c r="BC2194" s="25">
        <v>0</v>
      </c>
      <c r="BD2194" s="25">
        <f>M2194</f>
        <v>0</v>
      </c>
      <c r="BF2194" s="25">
        <f>G2194*AM2194</f>
        <v>0</v>
      </c>
      <c r="BG2194" s="25">
        <f>G2194*AN2194</f>
        <v>0</v>
      </c>
      <c r="BH2194" s="25">
        <f>G2194*H2194</f>
        <v>0</v>
      </c>
      <c r="BI2194" s="27" t="s">
        <v>65</v>
      </c>
      <c r="BJ2194" s="25">
        <v>60</v>
      </c>
      <c r="BU2194" s="25" t="e">
        <f>#REF!</f>
        <v>#REF!</v>
      </c>
      <c r="BV2194" s="4" t="s">
        <v>2680</v>
      </c>
    </row>
    <row r="2195" spans="1:74" ht="14.4" x14ac:dyDescent="0.3">
      <c r="A2195" s="28"/>
      <c r="D2195" s="29" t="s">
        <v>57</v>
      </c>
      <c r="E2195" s="29" t="s">
        <v>52</v>
      </c>
      <c r="G2195" s="30">
        <v>1</v>
      </c>
      <c r="H2195" s="63"/>
      <c r="N2195" s="31"/>
    </row>
    <row r="2196" spans="1:74" ht="14.4" x14ac:dyDescent="0.3">
      <c r="A2196" s="2" t="s">
        <v>2681</v>
      </c>
      <c r="B2196" s="3" t="s">
        <v>2657</v>
      </c>
      <c r="C2196" s="3" t="s">
        <v>2303</v>
      </c>
      <c r="D2196" s="112" t="s">
        <v>1901</v>
      </c>
      <c r="E2196" s="109"/>
      <c r="F2196" s="3" t="s">
        <v>860</v>
      </c>
      <c r="G2196" s="25">
        <v>1</v>
      </c>
      <c r="H2196" s="62"/>
      <c r="I2196" s="25">
        <f>ROUND(G2196*AM2196,2)</f>
        <v>0</v>
      </c>
      <c r="J2196" s="25">
        <f>ROUND(G2196*AN2196,2)</f>
        <v>0</v>
      </c>
      <c r="K2196" s="25">
        <f>ROUND(G2196*H2196,2)</f>
        <v>0</v>
      </c>
      <c r="L2196" s="25">
        <v>0</v>
      </c>
      <c r="M2196" s="25">
        <f>G2196*L2196</f>
        <v>0</v>
      </c>
      <c r="N2196" s="102"/>
      <c r="X2196" s="25">
        <f>ROUND(IF(AO2196="5",BH2196,0),2)</f>
        <v>0</v>
      </c>
      <c r="Z2196" s="25">
        <f>ROUND(IF(AO2196="1",BF2196,0),2)</f>
        <v>0</v>
      </c>
      <c r="AA2196" s="25">
        <f>ROUND(IF(AO2196="1",BG2196,0),2)</f>
        <v>0</v>
      </c>
      <c r="AB2196" s="25">
        <f>ROUND(IF(AO2196="7",BF2196,0),2)</f>
        <v>0</v>
      </c>
      <c r="AC2196" s="25">
        <f>ROUND(IF(AO2196="7",BG2196,0),2)</f>
        <v>0</v>
      </c>
      <c r="AD2196" s="25">
        <f>ROUND(IF(AO2196="2",BF2196,0),2)</f>
        <v>0</v>
      </c>
      <c r="AE2196" s="25">
        <f>ROUND(IF(AO2196="2",BG2196,0),2)</f>
        <v>0</v>
      </c>
      <c r="AF2196" s="25">
        <f>ROUND(IF(AO2196="0",BH2196,0),2)</f>
        <v>0</v>
      </c>
      <c r="AG2196" s="10" t="s">
        <v>2657</v>
      </c>
      <c r="AH2196" s="25">
        <f>IF(AL2196=0,K2196,0)</f>
        <v>0</v>
      </c>
      <c r="AI2196" s="25">
        <f>IF(AL2196=12,K2196,0)</f>
        <v>0</v>
      </c>
      <c r="AJ2196" s="25">
        <f>IF(AL2196=21,K2196,0)</f>
        <v>0</v>
      </c>
      <c r="AL2196" s="25">
        <v>21</v>
      </c>
      <c r="AM2196" s="25">
        <f>H2196*0</f>
        <v>0</v>
      </c>
      <c r="AN2196" s="25">
        <f>H2196*(1-0)</f>
        <v>0</v>
      </c>
      <c r="AO2196" s="27" t="s">
        <v>57</v>
      </c>
      <c r="AT2196" s="25">
        <f>ROUND(AU2196+AV2196,2)</f>
        <v>0</v>
      </c>
      <c r="AU2196" s="25">
        <f>ROUND(G2196*AM2196,2)</f>
        <v>0</v>
      </c>
      <c r="AV2196" s="25">
        <f>ROUND(G2196*AN2196,2)</f>
        <v>0</v>
      </c>
      <c r="AW2196" s="27" t="s">
        <v>1902</v>
      </c>
      <c r="AX2196" s="27" t="s">
        <v>2664</v>
      </c>
      <c r="AY2196" s="10" t="s">
        <v>2661</v>
      </c>
      <c r="BA2196" s="25">
        <f>AU2196+AV2196</f>
        <v>0</v>
      </c>
      <c r="BB2196" s="25">
        <f>H2196/(100-BC2196)*100</f>
        <v>0</v>
      </c>
      <c r="BC2196" s="25">
        <v>0</v>
      </c>
      <c r="BD2196" s="25">
        <f>M2196</f>
        <v>0</v>
      </c>
      <c r="BF2196" s="25">
        <f>G2196*AM2196</f>
        <v>0</v>
      </c>
      <c r="BG2196" s="25">
        <f>G2196*AN2196</f>
        <v>0</v>
      </c>
      <c r="BH2196" s="25">
        <f>G2196*H2196</f>
        <v>0</v>
      </c>
      <c r="BI2196" s="27" t="s">
        <v>65</v>
      </c>
      <c r="BJ2196" s="25">
        <v>60</v>
      </c>
      <c r="BU2196" s="25" t="e">
        <f>#REF!</f>
        <v>#REF!</v>
      </c>
      <c r="BV2196" s="4" t="s">
        <v>1901</v>
      </c>
    </row>
    <row r="2197" spans="1:74" ht="14.4" x14ac:dyDescent="0.3">
      <c r="A2197" s="28"/>
      <c r="D2197" s="29" t="s">
        <v>57</v>
      </c>
      <c r="E2197" s="29" t="s">
        <v>52</v>
      </c>
      <c r="G2197" s="30">
        <v>1</v>
      </c>
      <c r="H2197" s="63"/>
      <c r="N2197" s="31"/>
    </row>
    <row r="2198" spans="1:74" ht="14.4" x14ac:dyDescent="0.3">
      <c r="A2198" s="2" t="s">
        <v>2682</v>
      </c>
      <c r="B2198" s="3" t="s">
        <v>2657</v>
      </c>
      <c r="C2198" s="3" t="s">
        <v>2683</v>
      </c>
      <c r="D2198" s="112" t="s">
        <v>2684</v>
      </c>
      <c r="E2198" s="109"/>
      <c r="F2198" s="3" t="s">
        <v>122</v>
      </c>
      <c r="G2198" s="25">
        <v>11</v>
      </c>
      <c r="H2198" s="62"/>
      <c r="I2198" s="25">
        <f>ROUND(G2198*AM2198,2)</f>
        <v>0</v>
      </c>
      <c r="J2198" s="25">
        <f>ROUND(G2198*AN2198,2)</f>
        <v>0</v>
      </c>
      <c r="K2198" s="25">
        <f>ROUND(G2198*H2198,2)</f>
        <v>0</v>
      </c>
      <c r="L2198" s="25">
        <v>0</v>
      </c>
      <c r="M2198" s="25">
        <f>G2198*L2198</f>
        <v>0</v>
      </c>
      <c r="N2198" s="26"/>
      <c r="X2198" s="25">
        <f>ROUND(IF(AO2198="5",BH2198,0),2)</f>
        <v>0</v>
      </c>
      <c r="Z2198" s="25">
        <f>ROUND(IF(AO2198="1",BF2198,0),2)</f>
        <v>0</v>
      </c>
      <c r="AA2198" s="25">
        <f>ROUND(IF(AO2198="1",BG2198,0),2)</f>
        <v>0</v>
      </c>
      <c r="AB2198" s="25">
        <f>ROUND(IF(AO2198="7",BF2198,0),2)</f>
        <v>0</v>
      </c>
      <c r="AC2198" s="25">
        <f>ROUND(IF(AO2198="7",BG2198,0),2)</f>
        <v>0</v>
      </c>
      <c r="AD2198" s="25">
        <f>ROUND(IF(AO2198="2",BF2198,0),2)</f>
        <v>0</v>
      </c>
      <c r="AE2198" s="25">
        <f>ROUND(IF(AO2198="2",BG2198,0),2)</f>
        <v>0</v>
      </c>
      <c r="AF2198" s="25">
        <f>ROUND(IF(AO2198="0",BH2198,0),2)</f>
        <v>0</v>
      </c>
      <c r="AG2198" s="10" t="s">
        <v>2657</v>
      </c>
      <c r="AH2198" s="25">
        <f>IF(AL2198=0,K2198,0)</f>
        <v>0</v>
      </c>
      <c r="AI2198" s="25">
        <f>IF(AL2198=12,K2198,0)</f>
        <v>0</v>
      </c>
      <c r="AJ2198" s="25">
        <f>IF(AL2198=21,K2198,0)</f>
        <v>0</v>
      </c>
      <c r="AL2198" s="25">
        <v>21</v>
      </c>
      <c r="AM2198" s="25">
        <f>H2198*0.009828571</f>
        <v>0</v>
      </c>
      <c r="AN2198" s="25">
        <f>H2198*(1-0.009828571)</f>
        <v>0</v>
      </c>
      <c r="AO2198" s="27" t="s">
        <v>57</v>
      </c>
      <c r="AT2198" s="25">
        <f>ROUND(AU2198+AV2198,2)</f>
        <v>0</v>
      </c>
      <c r="AU2198" s="25">
        <f>ROUND(G2198*AM2198,2)</f>
        <v>0</v>
      </c>
      <c r="AV2198" s="25">
        <f>ROUND(G2198*AN2198,2)</f>
        <v>0</v>
      </c>
      <c r="AW2198" s="27" t="s">
        <v>1902</v>
      </c>
      <c r="AX2198" s="27" t="s">
        <v>2664</v>
      </c>
      <c r="AY2198" s="10" t="s">
        <v>2661</v>
      </c>
      <c r="BA2198" s="25">
        <f>AU2198+AV2198</f>
        <v>0</v>
      </c>
      <c r="BB2198" s="25">
        <f>H2198/(100-BC2198)*100</f>
        <v>0</v>
      </c>
      <c r="BC2198" s="25">
        <v>0</v>
      </c>
      <c r="BD2198" s="25">
        <f>M2198</f>
        <v>0</v>
      </c>
      <c r="BF2198" s="25">
        <f>G2198*AM2198</f>
        <v>0</v>
      </c>
      <c r="BG2198" s="25">
        <f>G2198*AN2198</f>
        <v>0</v>
      </c>
      <c r="BH2198" s="25">
        <f>G2198*H2198</f>
        <v>0</v>
      </c>
      <c r="BI2198" s="27" t="s">
        <v>65</v>
      </c>
      <c r="BJ2198" s="25">
        <v>60</v>
      </c>
      <c r="BU2198" s="25" t="e">
        <f>#REF!</f>
        <v>#REF!</v>
      </c>
      <c r="BV2198" s="4" t="s">
        <v>2684</v>
      </c>
    </row>
    <row r="2199" spans="1:74" ht="14.4" x14ac:dyDescent="0.3">
      <c r="A2199" s="28"/>
      <c r="D2199" s="29" t="s">
        <v>140</v>
      </c>
      <c r="E2199" s="29" t="s">
        <v>52</v>
      </c>
      <c r="G2199" s="30">
        <v>11</v>
      </c>
      <c r="H2199" s="63"/>
      <c r="N2199" s="31"/>
    </row>
    <row r="2200" spans="1:74" ht="26.4" x14ac:dyDescent="0.3">
      <c r="A2200" s="2" t="s">
        <v>2685</v>
      </c>
      <c r="B2200" s="3" t="s">
        <v>2657</v>
      </c>
      <c r="C2200" s="3" t="s">
        <v>1753</v>
      </c>
      <c r="D2200" s="112" t="s">
        <v>2686</v>
      </c>
      <c r="E2200" s="109"/>
      <c r="F2200" s="3" t="s">
        <v>860</v>
      </c>
      <c r="G2200" s="25">
        <v>1</v>
      </c>
      <c r="H2200" s="62"/>
      <c r="I2200" s="25">
        <f>ROUND(G2200*AM2200,2)</f>
        <v>0</v>
      </c>
      <c r="J2200" s="25">
        <f>ROUND(G2200*AN2200,2)</f>
        <v>0</v>
      </c>
      <c r="K2200" s="25">
        <f>ROUND(G2200*H2200,2)</f>
        <v>0</v>
      </c>
      <c r="L2200" s="25">
        <v>0</v>
      </c>
      <c r="M2200" s="25">
        <f>G2200*L2200</f>
        <v>0</v>
      </c>
      <c r="N2200" s="102"/>
      <c r="X2200" s="25">
        <f>ROUND(IF(AO2200="5",BH2200,0),2)</f>
        <v>0</v>
      </c>
      <c r="Z2200" s="25">
        <f>ROUND(IF(AO2200="1",BF2200,0),2)</f>
        <v>0</v>
      </c>
      <c r="AA2200" s="25">
        <f>ROUND(IF(AO2200="1",BG2200,0),2)</f>
        <v>0</v>
      </c>
      <c r="AB2200" s="25">
        <f>ROUND(IF(AO2200="7",BF2200,0),2)</f>
        <v>0</v>
      </c>
      <c r="AC2200" s="25">
        <f>ROUND(IF(AO2200="7",BG2200,0),2)</f>
        <v>0</v>
      </c>
      <c r="AD2200" s="25">
        <f>ROUND(IF(AO2200="2",BF2200,0),2)</f>
        <v>0</v>
      </c>
      <c r="AE2200" s="25">
        <f>ROUND(IF(AO2200="2",BG2200,0),2)</f>
        <v>0</v>
      </c>
      <c r="AF2200" s="25">
        <f>ROUND(IF(AO2200="0",BH2200,0),2)</f>
        <v>0</v>
      </c>
      <c r="AG2200" s="10" t="s">
        <v>2657</v>
      </c>
      <c r="AH2200" s="25">
        <f>IF(AL2200=0,K2200,0)</f>
        <v>0</v>
      </c>
      <c r="AI2200" s="25">
        <f>IF(AL2200=12,K2200,0)</f>
        <v>0</v>
      </c>
      <c r="AJ2200" s="25">
        <f>IF(AL2200=21,K2200,0)</f>
        <v>0</v>
      </c>
      <c r="AL2200" s="25">
        <v>21</v>
      </c>
      <c r="AM2200" s="25">
        <f>H2200*0</f>
        <v>0</v>
      </c>
      <c r="AN2200" s="25">
        <f>H2200*(1-0)</f>
        <v>0</v>
      </c>
      <c r="AO2200" s="27" t="s">
        <v>57</v>
      </c>
      <c r="AT2200" s="25">
        <f>ROUND(AU2200+AV2200,2)</f>
        <v>0</v>
      </c>
      <c r="AU2200" s="25">
        <f>ROUND(G2200*AM2200,2)</f>
        <v>0</v>
      </c>
      <c r="AV2200" s="25">
        <f>ROUND(G2200*AN2200,2)</f>
        <v>0</v>
      </c>
      <c r="AW2200" s="27" t="s">
        <v>1902</v>
      </c>
      <c r="AX2200" s="27" t="s">
        <v>2664</v>
      </c>
      <c r="AY2200" s="10" t="s">
        <v>2661</v>
      </c>
      <c r="BA2200" s="25">
        <f>AU2200+AV2200</f>
        <v>0</v>
      </c>
      <c r="BB2200" s="25">
        <f>H2200/(100-BC2200)*100</f>
        <v>0</v>
      </c>
      <c r="BC2200" s="25">
        <v>0</v>
      </c>
      <c r="BD2200" s="25">
        <f>M2200</f>
        <v>0</v>
      </c>
      <c r="BF2200" s="25">
        <f>G2200*AM2200</f>
        <v>0</v>
      </c>
      <c r="BG2200" s="25">
        <f>G2200*AN2200</f>
        <v>0</v>
      </c>
      <c r="BH2200" s="25">
        <f>G2200*H2200</f>
        <v>0</v>
      </c>
      <c r="BI2200" s="27" t="s">
        <v>65</v>
      </c>
      <c r="BJ2200" s="25">
        <v>60</v>
      </c>
      <c r="BU2200" s="25" t="e">
        <f>#REF!</f>
        <v>#REF!</v>
      </c>
      <c r="BV2200" s="4" t="s">
        <v>2686</v>
      </c>
    </row>
    <row r="2201" spans="1:74" ht="26.4" x14ac:dyDescent="0.3">
      <c r="A2201" s="2" t="s">
        <v>2687</v>
      </c>
      <c r="B2201" s="3" t="s">
        <v>2657</v>
      </c>
      <c r="C2201" s="3" t="s">
        <v>2688</v>
      </c>
      <c r="D2201" s="112" t="s">
        <v>2689</v>
      </c>
      <c r="E2201" s="109"/>
      <c r="F2201" s="3" t="s">
        <v>122</v>
      </c>
      <c r="G2201" s="25">
        <v>2</v>
      </c>
      <c r="H2201" s="62"/>
      <c r="I2201" s="25">
        <f>ROUND(G2201*AM2201,2)</f>
        <v>0</v>
      </c>
      <c r="J2201" s="25">
        <f>ROUND(G2201*AN2201,2)</f>
        <v>0</v>
      </c>
      <c r="K2201" s="25">
        <f>ROUND(G2201*H2201,2)</f>
        <v>0</v>
      </c>
      <c r="L2201" s="25">
        <v>4.0000000000000002E-4</v>
      </c>
      <c r="M2201" s="25">
        <f>G2201*L2201</f>
        <v>8.0000000000000004E-4</v>
      </c>
      <c r="N2201" s="26"/>
      <c r="X2201" s="25">
        <f>ROUND(IF(AO2201="5",BH2201,0),2)</f>
        <v>0</v>
      </c>
      <c r="Z2201" s="25">
        <f>ROUND(IF(AO2201="1",BF2201,0),2)</f>
        <v>0</v>
      </c>
      <c r="AA2201" s="25">
        <f>ROUND(IF(AO2201="1",BG2201,0),2)</f>
        <v>0</v>
      </c>
      <c r="AB2201" s="25">
        <f>ROUND(IF(AO2201="7",BF2201,0),2)</f>
        <v>0</v>
      </c>
      <c r="AC2201" s="25">
        <f>ROUND(IF(AO2201="7",BG2201,0),2)</f>
        <v>0</v>
      </c>
      <c r="AD2201" s="25">
        <f>ROUND(IF(AO2201="2",BF2201,0),2)</f>
        <v>0</v>
      </c>
      <c r="AE2201" s="25">
        <f>ROUND(IF(AO2201="2",BG2201,0),2)</f>
        <v>0</v>
      </c>
      <c r="AF2201" s="25">
        <f>ROUND(IF(AO2201="0",BH2201,0),2)</f>
        <v>0</v>
      </c>
      <c r="AG2201" s="10" t="s">
        <v>2657</v>
      </c>
      <c r="AH2201" s="25">
        <f>IF(AL2201=0,K2201,0)</f>
        <v>0</v>
      </c>
      <c r="AI2201" s="25">
        <f>IF(AL2201=12,K2201,0)</f>
        <v>0</v>
      </c>
      <c r="AJ2201" s="25">
        <f>IF(AL2201=21,K2201,0)</f>
        <v>0</v>
      </c>
      <c r="AL2201" s="25">
        <v>21</v>
      </c>
      <c r="AM2201" s="25">
        <f>H2201*0.942605915</f>
        <v>0</v>
      </c>
      <c r="AN2201" s="25">
        <f>H2201*(1-0.942605915)</f>
        <v>0</v>
      </c>
      <c r="AO2201" s="27" t="s">
        <v>57</v>
      </c>
      <c r="AT2201" s="25">
        <f>ROUND(AU2201+AV2201,2)</f>
        <v>0</v>
      </c>
      <c r="AU2201" s="25">
        <f>ROUND(G2201*AM2201,2)</f>
        <v>0</v>
      </c>
      <c r="AV2201" s="25">
        <f>ROUND(G2201*AN2201,2)</f>
        <v>0</v>
      </c>
      <c r="AW2201" s="27" t="s">
        <v>1902</v>
      </c>
      <c r="AX2201" s="27" t="s">
        <v>2664</v>
      </c>
      <c r="AY2201" s="10" t="s">
        <v>2661</v>
      </c>
      <c r="BA2201" s="25">
        <f>AU2201+AV2201</f>
        <v>0</v>
      </c>
      <c r="BB2201" s="25">
        <f>H2201/(100-BC2201)*100</f>
        <v>0</v>
      </c>
      <c r="BC2201" s="25">
        <v>0</v>
      </c>
      <c r="BD2201" s="25">
        <f>M2201</f>
        <v>8.0000000000000004E-4</v>
      </c>
      <c r="BF2201" s="25">
        <f>G2201*AM2201</f>
        <v>0</v>
      </c>
      <c r="BG2201" s="25">
        <f>G2201*AN2201</f>
        <v>0</v>
      </c>
      <c r="BH2201" s="25">
        <f>G2201*H2201</f>
        <v>0</v>
      </c>
      <c r="BI2201" s="27" t="s">
        <v>65</v>
      </c>
      <c r="BJ2201" s="25">
        <v>60</v>
      </c>
      <c r="BU2201" s="25" t="e">
        <f>#REF!</f>
        <v>#REF!</v>
      </c>
      <c r="BV2201" s="4" t="s">
        <v>2689</v>
      </c>
    </row>
    <row r="2202" spans="1:74" ht="14.4" x14ac:dyDescent="0.3">
      <c r="A2202" s="28"/>
      <c r="D2202" s="29" t="s">
        <v>81</v>
      </c>
      <c r="E2202" s="29" t="s">
        <v>52</v>
      </c>
      <c r="G2202" s="30">
        <v>2</v>
      </c>
      <c r="H2202" s="63"/>
      <c r="N2202" s="31"/>
    </row>
    <row r="2203" spans="1:74" ht="14.4" x14ac:dyDescent="0.3">
      <c r="A2203" s="2" t="s">
        <v>2690</v>
      </c>
      <c r="B2203" s="3" t="s">
        <v>2657</v>
      </c>
      <c r="C2203" s="3" t="s">
        <v>2691</v>
      </c>
      <c r="D2203" s="112" t="s">
        <v>2692</v>
      </c>
      <c r="E2203" s="109"/>
      <c r="F2203" s="3" t="s">
        <v>122</v>
      </c>
      <c r="G2203" s="25">
        <v>4</v>
      </c>
      <c r="H2203" s="62"/>
      <c r="I2203" s="25">
        <f>ROUND(G2203*AM2203,2)</f>
        <v>0</v>
      </c>
      <c r="J2203" s="25">
        <f>ROUND(G2203*AN2203,2)</f>
        <v>0</v>
      </c>
      <c r="K2203" s="25">
        <f>ROUND(G2203*H2203,2)</f>
        <v>0</v>
      </c>
      <c r="L2203" s="25">
        <v>3.8999999999999999E-4</v>
      </c>
      <c r="M2203" s="25">
        <f>G2203*L2203</f>
        <v>1.56E-3</v>
      </c>
      <c r="N2203" s="26"/>
      <c r="X2203" s="25">
        <f>ROUND(IF(AO2203="5",BH2203,0),2)</f>
        <v>0</v>
      </c>
      <c r="Z2203" s="25">
        <f>ROUND(IF(AO2203="1",BF2203,0),2)</f>
        <v>0</v>
      </c>
      <c r="AA2203" s="25">
        <f>ROUND(IF(AO2203="1",BG2203,0),2)</f>
        <v>0</v>
      </c>
      <c r="AB2203" s="25">
        <f>ROUND(IF(AO2203="7",BF2203,0),2)</f>
        <v>0</v>
      </c>
      <c r="AC2203" s="25">
        <f>ROUND(IF(AO2203="7",BG2203,0),2)</f>
        <v>0</v>
      </c>
      <c r="AD2203" s="25">
        <f>ROUND(IF(AO2203="2",BF2203,0),2)</f>
        <v>0</v>
      </c>
      <c r="AE2203" s="25">
        <f>ROUND(IF(AO2203="2",BG2203,0),2)</f>
        <v>0</v>
      </c>
      <c r="AF2203" s="25">
        <f>ROUND(IF(AO2203="0",BH2203,0),2)</f>
        <v>0</v>
      </c>
      <c r="AG2203" s="10" t="s">
        <v>2657</v>
      </c>
      <c r="AH2203" s="25">
        <f>IF(AL2203=0,K2203,0)</f>
        <v>0</v>
      </c>
      <c r="AI2203" s="25">
        <f>IF(AL2203=12,K2203,0)</f>
        <v>0</v>
      </c>
      <c r="AJ2203" s="25">
        <f>IF(AL2203=21,K2203,0)</f>
        <v>0</v>
      </c>
      <c r="AL2203" s="25">
        <v>21</v>
      </c>
      <c r="AM2203" s="25">
        <f>H2203*0.632508124</f>
        <v>0</v>
      </c>
      <c r="AN2203" s="25">
        <f>H2203*(1-0.632508124)</f>
        <v>0</v>
      </c>
      <c r="AO2203" s="27" t="s">
        <v>57</v>
      </c>
      <c r="AT2203" s="25">
        <f>ROUND(AU2203+AV2203,2)</f>
        <v>0</v>
      </c>
      <c r="AU2203" s="25">
        <f>ROUND(G2203*AM2203,2)</f>
        <v>0</v>
      </c>
      <c r="AV2203" s="25">
        <f>ROUND(G2203*AN2203,2)</f>
        <v>0</v>
      </c>
      <c r="AW2203" s="27" t="s">
        <v>1902</v>
      </c>
      <c r="AX2203" s="27" t="s">
        <v>2664</v>
      </c>
      <c r="AY2203" s="10" t="s">
        <v>2661</v>
      </c>
      <c r="BA2203" s="25">
        <f>AU2203+AV2203</f>
        <v>0</v>
      </c>
      <c r="BB2203" s="25">
        <f>H2203/(100-BC2203)*100</f>
        <v>0</v>
      </c>
      <c r="BC2203" s="25">
        <v>0</v>
      </c>
      <c r="BD2203" s="25">
        <f>M2203</f>
        <v>1.56E-3</v>
      </c>
      <c r="BF2203" s="25">
        <f>G2203*AM2203</f>
        <v>0</v>
      </c>
      <c r="BG2203" s="25">
        <f>G2203*AN2203</f>
        <v>0</v>
      </c>
      <c r="BH2203" s="25">
        <f>G2203*H2203</f>
        <v>0</v>
      </c>
      <c r="BI2203" s="27" t="s">
        <v>65</v>
      </c>
      <c r="BJ2203" s="25">
        <v>60</v>
      </c>
      <c r="BU2203" s="25" t="e">
        <f>#REF!</f>
        <v>#REF!</v>
      </c>
      <c r="BV2203" s="4" t="s">
        <v>2692</v>
      </c>
    </row>
    <row r="2204" spans="1:74" ht="14.4" x14ac:dyDescent="0.3">
      <c r="A2204" s="28"/>
      <c r="D2204" s="29" t="s">
        <v>90</v>
      </c>
      <c r="E2204" s="29" t="s">
        <v>52</v>
      </c>
      <c r="G2204" s="30">
        <v>4</v>
      </c>
      <c r="H2204" s="63"/>
      <c r="N2204" s="31"/>
    </row>
    <row r="2205" spans="1:74" ht="14.4" x14ac:dyDescent="0.3">
      <c r="A2205" s="2" t="s">
        <v>2693</v>
      </c>
      <c r="B2205" s="3" t="s">
        <v>2657</v>
      </c>
      <c r="C2205" s="3" t="s">
        <v>2694</v>
      </c>
      <c r="D2205" s="112" t="s">
        <v>2695</v>
      </c>
      <c r="E2205" s="109"/>
      <c r="F2205" s="3" t="s">
        <v>60</v>
      </c>
      <c r="G2205" s="25">
        <v>10</v>
      </c>
      <c r="H2205" s="62"/>
      <c r="I2205" s="25">
        <f>ROUND(G2205*AM2205,2)</f>
        <v>0</v>
      </c>
      <c r="J2205" s="25">
        <f>ROUND(G2205*AN2205,2)</f>
        <v>0</v>
      </c>
      <c r="K2205" s="25">
        <f>ROUND(G2205*H2205,2)</f>
        <v>0</v>
      </c>
      <c r="L2205" s="25">
        <v>3.1E-4</v>
      </c>
      <c r="M2205" s="25">
        <f>G2205*L2205</f>
        <v>3.0999999999999999E-3</v>
      </c>
      <c r="N2205" s="26"/>
      <c r="X2205" s="25">
        <f>ROUND(IF(AO2205="5",BH2205,0),2)</f>
        <v>0</v>
      </c>
      <c r="Z2205" s="25">
        <f>ROUND(IF(AO2205="1",BF2205,0),2)</f>
        <v>0</v>
      </c>
      <c r="AA2205" s="25">
        <f>ROUND(IF(AO2205="1",BG2205,0),2)</f>
        <v>0</v>
      </c>
      <c r="AB2205" s="25">
        <f>ROUND(IF(AO2205="7",BF2205,0),2)</f>
        <v>0</v>
      </c>
      <c r="AC2205" s="25">
        <f>ROUND(IF(AO2205="7",BG2205,0),2)</f>
        <v>0</v>
      </c>
      <c r="AD2205" s="25">
        <f>ROUND(IF(AO2205="2",BF2205,0),2)</f>
        <v>0</v>
      </c>
      <c r="AE2205" s="25">
        <f>ROUND(IF(AO2205="2",BG2205,0),2)</f>
        <v>0</v>
      </c>
      <c r="AF2205" s="25">
        <f>ROUND(IF(AO2205="0",BH2205,0),2)</f>
        <v>0</v>
      </c>
      <c r="AG2205" s="10" t="s">
        <v>2657</v>
      </c>
      <c r="AH2205" s="25">
        <f>IF(AL2205=0,K2205,0)</f>
        <v>0</v>
      </c>
      <c r="AI2205" s="25">
        <f>IF(AL2205=12,K2205,0)</f>
        <v>0</v>
      </c>
      <c r="AJ2205" s="25">
        <f>IF(AL2205=21,K2205,0)</f>
        <v>0</v>
      </c>
      <c r="AL2205" s="25">
        <v>21</v>
      </c>
      <c r="AM2205" s="25">
        <f>H2205*0.18738806</f>
        <v>0</v>
      </c>
      <c r="AN2205" s="25">
        <f>H2205*(1-0.18738806)</f>
        <v>0</v>
      </c>
      <c r="AO2205" s="27" t="s">
        <v>57</v>
      </c>
      <c r="AT2205" s="25">
        <f>ROUND(AU2205+AV2205,2)</f>
        <v>0</v>
      </c>
      <c r="AU2205" s="25">
        <f>ROUND(G2205*AM2205,2)</f>
        <v>0</v>
      </c>
      <c r="AV2205" s="25">
        <f>ROUND(G2205*AN2205,2)</f>
        <v>0</v>
      </c>
      <c r="AW2205" s="27" t="s">
        <v>1902</v>
      </c>
      <c r="AX2205" s="27" t="s">
        <v>2664</v>
      </c>
      <c r="AY2205" s="10" t="s">
        <v>2661</v>
      </c>
      <c r="BA2205" s="25">
        <f>AU2205+AV2205</f>
        <v>0</v>
      </c>
      <c r="BB2205" s="25">
        <f>H2205/(100-BC2205)*100</f>
        <v>0</v>
      </c>
      <c r="BC2205" s="25">
        <v>0</v>
      </c>
      <c r="BD2205" s="25">
        <f>M2205</f>
        <v>3.0999999999999999E-3</v>
      </c>
      <c r="BF2205" s="25">
        <f>G2205*AM2205</f>
        <v>0</v>
      </c>
      <c r="BG2205" s="25">
        <f>G2205*AN2205</f>
        <v>0</v>
      </c>
      <c r="BH2205" s="25">
        <f>G2205*H2205</f>
        <v>0</v>
      </c>
      <c r="BI2205" s="27" t="s">
        <v>65</v>
      </c>
      <c r="BJ2205" s="25">
        <v>60</v>
      </c>
      <c r="BU2205" s="25" t="e">
        <f>#REF!</f>
        <v>#REF!</v>
      </c>
      <c r="BV2205" s="4" t="s">
        <v>2695</v>
      </c>
    </row>
    <row r="2206" spans="1:74" ht="14.4" x14ac:dyDescent="0.3">
      <c r="A2206" s="28"/>
      <c r="D2206" s="29" t="s">
        <v>129</v>
      </c>
      <c r="E2206" s="29" t="s">
        <v>52</v>
      </c>
      <c r="G2206" s="30">
        <v>10</v>
      </c>
      <c r="H2206" s="63"/>
      <c r="N2206" s="31"/>
    </row>
    <row r="2207" spans="1:74" ht="14.4" x14ac:dyDescent="0.3">
      <c r="A2207" s="21" t="s">
        <v>52</v>
      </c>
      <c r="B2207" s="22" t="s">
        <v>2657</v>
      </c>
      <c r="C2207" s="22" t="s">
        <v>1362</v>
      </c>
      <c r="D2207" s="170" t="s">
        <v>1363</v>
      </c>
      <c r="E2207" s="171"/>
      <c r="F2207" s="23" t="s">
        <v>32</v>
      </c>
      <c r="G2207" s="23" t="s">
        <v>32</v>
      </c>
      <c r="H2207" s="64"/>
      <c r="I2207" s="1">
        <f>SUM(I2208:I2216)</f>
        <v>0</v>
      </c>
      <c r="J2207" s="1">
        <f>SUM(J2208:J2216)</f>
        <v>0</v>
      </c>
      <c r="K2207" s="1">
        <f>SUM(K2208:K2216)</f>
        <v>0</v>
      </c>
      <c r="L2207" s="10" t="s">
        <v>52</v>
      </c>
      <c r="M2207" s="1">
        <f>SUM(M2208:M2216)</f>
        <v>1.6E-2</v>
      </c>
      <c r="N2207" s="24"/>
      <c r="AG2207" s="10" t="s">
        <v>2657</v>
      </c>
      <c r="AQ2207" s="1">
        <f>SUM(AH2208:AH2216)</f>
        <v>0</v>
      </c>
      <c r="AR2207" s="1">
        <f>SUM(AI2208:AI2216)</f>
        <v>0</v>
      </c>
      <c r="AS2207" s="1">
        <f>SUM(AJ2208:AJ2216)</f>
        <v>0</v>
      </c>
    </row>
    <row r="2208" spans="1:74" ht="14.4" x14ac:dyDescent="0.3">
      <c r="A2208" s="2" t="s">
        <v>2696</v>
      </c>
      <c r="B2208" s="3" t="s">
        <v>2657</v>
      </c>
      <c r="C2208" s="3" t="s">
        <v>2697</v>
      </c>
      <c r="D2208" s="112" t="s">
        <v>2698</v>
      </c>
      <c r="E2208" s="109"/>
      <c r="F2208" s="3" t="s">
        <v>122</v>
      </c>
      <c r="G2208" s="25">
        <v>2</v>
      </c>
      <c r="H2208" s="62"/>
      <c r="I2208" s="25">
        <f>ROUND(G2208*AM2208,2)</f>
        <v>0</v>
      </c>
      <c r="J2208" s="25">
        <f>ROUND(G2208*AN2208,2)</f>
        <v>0</v>
      </c>
      <c r="K2208" s="25">
        <f>ROUND(G2208*H2208,2)</f>
        <v>0</v>
      </c>
      <c r="L2208" s="25">
        <v>1.15E-3</v>
      </c>
      <c r="M2208" s="25">
        <f>G2208*L2208</f>
        <v>2.3E-3</v>
      </c>
      <c r="N2208" s="26"/>
      <c r="X2208" s="25">
        <f>ROUND(IF(AO2208="5",BH2208,0),2)</f>
        <v>0</v>
      </c>
      <c r="Z2208" s="25">
        <f>ROUND(IF(AO2208="1",BF2208,0),2)</f>
        <v>0</v>
      </c>
      <c r="AA2208" s="25">
        <f>ROUND(IF(AO2208="1",BG2208,0),2)</f>
        <v>0</v>
      </c>
      <c r="AB2208" s="25">
        <f>ROUND(IF(AO2208="7",BF2208,0),2)</f>
        <v>0</v>
      </c>
      <c r="AC2208" s="25">
        <f>ROUND(IF(AO2208="7",BG2208,0),2)</f>
        <v>0</v>
      </c>
      <c r="AD2208" s="25">
        <f>ROUND(IF(AO2208="2",BF2208,0),2)</f>
        <v>0</v>
      </c>
      <c r="AE2208" s="25">
        <f>ROUND(IF(AO2208="2",BG2208,0),2)</f>
        <v>0</v>
      </c>
      <c r="AF2208" s="25">
        <f>ROUND(IF(AO2208="0",BH2208,0),2)</f>
        <v>0</v>
      </c>
      <c r="AG2208" s="10" t="s">
        <v>2657</v>
      </c>
      <c r="AH2208" s="25">
        <f>IF(AL2208=0,K2208,0)</f>
        <v>0</v>
      </c>
      <c r="AI2208" s="25">
        <f>IF(AL2208=12,K2208,0)</f>
        <v>0</v>
      </c>
      <c r="AJ2208" s="25">
        <f>IF(AL2208=21,K2208,0)</f>
        <v>0</v>
      </c>
      <c r="AL2208" s="25">
        <v>21</v>
      </c>
      <c r="AM2208" s="25">
        <f>H2208*0</f>
        <v>0</v>
      </c>
      <c r="AN2208" s="25">
        <f>H2208*(1-0)</f>
        <v>0</v>
      </c>
      <c r="AO2208" s="27" t="s">
        <v>61</v>
      </c>
      <c r="AT2208" s="25">
        <f>ROUND(AU2208+AV2208,2)</f>
        <v>0</v>
      </c>
      <c r="AU2208" s="25">
        <f>ROUND(G2208*AM2208,2)</f>
        <v>0</v>
      </c>
      <c r="AV2208" s="25">
        <f>ROUND(G2208*AN2208,2)</f>
        <v>0</v>
      </c>
      <c r="AW2208" s="27" t="s">
        <v>1367</v>
      </c>
      <c r="AX2208" s="27" t="s">
        <v>2699</v>
      </c>
      <c r="AY2208" s="10" t="s">
        <v>2661</v>
      </c>
      <c r="BA2208" s="25">
        <f>AU2208+AV2208</f>
        <v>0</v>
      </c>
      <c r="BB2208" s="25">
        <f>H2208/(100-BC2208)*100</f>
        <v>0</v>
      </c>
      <c r="BC2208" s="25">
        <v>0</v>
      </c>
      <c r="BD2208" s="25">
        <f>M2208</f>
        <v>2.3E-3</v>
      </c>
      <c r="BF2208" s="25">
        <f>G2208*AM2208</f>
        <v>0</v>
      </c>
      <c r="BG2208" s="25">
        <f>G2208*AN2208</f>
        <v>0</v>
      </c>
      <c r="BH2208" s="25">
        <f>G2208*H2208</f>
        <v>0</v>
      </c>
      <c r="BI2208" s="27" t="s">
        <v>65</v>
      </c>
      <c r="BJ2208" s="25">
        <v>712</v>
      </c>
      <c r="BU2208" s="25" t="e">
        <f>#REF!</f>
        <v>#REF!</v>
      </c>
      <c r="BV2208" s="4" t="s">
        <v>2698</v>
      </c>
    </row>
    <row r="2209" spans="1:74" ht="14.4" x14ac:dyDescent="0.3">
      <c r="A2209" s="28"/>
      <c r="D2209" s="29" t="s">
        <v>81</v>
      </c>
      <c r="E2209" s="29" t="s">
        <v>52</v>
      </c>
      <c r="G2209" s="30">
        <v>2</v>
      </c>
      <c r="H2209" s="63"/>
      <c r="N2209" s="31"/>
    </row>
    <row r="2210" spans="1:74" ht="14.4" x14ac:dyDescent="0.3">
      <c r="A2210" s="2" t="s">
        <v>2700</v>
      </c>
      <c r="B2210" s="3" t="s">
        <v>2657</v>
      </c>
      <c r="C2210" s="3" t="s">
        <v>1397</v>
      </c>
      <c r="D2210" s="112" t="s">
        <v>1398</v>
      </c>
      <c r="E2210" s="109"/>
      <c r="F2210" s="3" t="s">
        <v>122</v>
      </c>
      <c r="G2210" s="25">
        <v>2</v>
      </c>
      <c r="H2210" s="62"/>
      <c r="I2210" s="25">
        <f>ROUND(G2210*AM2210,2)</f>
        <v>0</v>
      </c>
      <c r="J2210" s="25">
        <f>ROUND(G2210*AN2210,2)</f>
        <v>0</v>
      </c>
      <c r="K2210" s="25">
        <f>ROUND(G2210*H2210,2)</f>
        <v>0</v>
      </c>
      <c r="L2210" s="25">
        <v>1E-3</v>
      </c>
      <c r="M2210" s="25">
        <f>G2210*L2210</f>
        <v>2E-3</v>
      </c>
      <c r="N2210" s="26"/>
      <c r="X2210" s="25">
        <f>ROUND(IF(AO2210="5",BH2210,0),2)</f>
        <v>0</v>
      </c>
      <c r="Z2210" s="25">
        <f>ROUND(IF(AO2210="1",BF2210,0),2)</f>
        <v>0</v>
      </c>
      <c r="AA2210" s="25">
        <f>ROUND(IF(AO2210="1",BG2210,0),2)</f>
        <v>0</v>
      </c>
      <c r="AB2210" s="25">
        <f>ROUND(IF(AO2210="7",BF2210,0),2)</f>
        <v>0</v>
      </c>
      <c r="AC2210" s="25">
        <f>ROUND(IF(AO2210="7",BG2210,0),2)</f>
        <v>0</v>
      </c>
      <c r="AD2210" s="25">
        <f>ROUND(IF(AO2210="2",BF2210,0),2)</f>
        <v>0</v>
      </c>
      <c r="AE2210" s="25">
        <f>ROUND(IF(AO2210="2",BG2210,0),2)</f>
        <v>0</v>
      </c>
      <c r="AF2210" s="25">
        <f>ROUND(IF(AO2210="0",BH2210,0),2)</f>
        <v>0</v>
      </c>
      <c r="AG2210" s="10" t="s">
        <v>2657</v>
      </c>
      <c r="AH2210" s="25">
        <f>IF(AL2210=0,K2210,0)</f>
        <v>0</v>
      </c>
      <c r="AI2210" s="25">
        <f>IF(AL2210=12,K2210,0)</f>
        <v>0</v>
      </c>
      <c r="AJ2210" s="25">
        <f>IF(AL2210=21,K2210,0)</f>
        <v>0</v>
      </c>
      <c r="AL2210" s="25">
        <v>21</v>
      </c>
      <c r="AM2210" s="25">
        <f>H2210*0</f>
        <v>0</v>
      </c>
      <c r="AN2210" s="25">
        <f>H2210*(1-0)</f>
        <v>0</v>
      </c>
      <c r="AO2210" s="27" t="s">
        <v>61</v>
      </c>
      <c r="AT2210" s="25">
        <f>ROUND(AU2210+AV2210,2)</f>
        <v>0</v>
      </c>
      <c r="AU2210" s="25">
        <f>ROUND(G2210*AM2210,2)</f>
        <v>0</v>
      </c>
      <c r="AV2210" s="25">
        <f>ROUND(G2210*AN2210,2)</f>
        <v>0</v>
      </c>
      <c r="AW2210" s="27" t="s">
        <v>1367</v>
      </c>
      <c r="AX2210" s="27" t="s">
        <v>2699</v>
      </c>
      <c r="AY2210" s="10" t="s">
        <v>2661</v>
      </c>
      <c r="BA2210" s="25">
        <f>AU2210+AV2210</f>
        <v>0</v>
      </c>
      <c r="BB2210" s="25">
        <f>H2210/(100-BC2210)*100</f>
        <v>0</v>
      </c>
      <c r="BC2210" s="25">
        <v>0</v>
      </c>
      <c r="BD2210" s="25">
        <f>M2210</f>
        <v>2E-3</v>
      </c>
      <c r="BF2210" s="25">
        <f>G2210*AM2210</f>
        <v>0</v>
      </c>
      <c r="BG2210" s="25">
        <f>G2210*AN2210</f>
        <v>0</v>
      </c>
      <c r="BH2210" s="25">
        <f>G2210*H2210</f>
        <v>0</v>
      </c>
      <c r="BI2210" s="27" t="s">
        <v>65</v>
      </c>
      <c r="BJ2210" s="25">
        <v>712</v>
      </c>
      <c r="BU2210" s="25" t="e">
        <f>#REF!</f>
        <v>#REF!</v>
      </c>
      <c r="BV2210" s="4" t="s">
        <v>1398</v>
      </c>
    </row>
    <row r="2211" spans="1:74" ht="14.4" x14ac:dyDescent="0.3">
      <c r="A2211" s="28"/>
      <c r="D2211" s="29" t="s">
        <v>81</v>
      </c>
      <c r="E2211" s="29" t="s">
        <v>52</v>
      </c>
      <c r="G2211" s="30">
        <v>2</v>
      </c>
      <c r="H2211" s="63"/>
      <c r="N2211" s="31"/>
    </row>
    <row r="2212" spans="1:74" ht="14.4" x14ac:dyDescent="0.3">
      <c r="A2212" s="2" t="s">
        <v>2701</v>
      </c>
      <c r="B2212" s="3" t="s">
        <v>2657</v>
      </c>
      <c r="C2212" s="3" t="s">
        <v>1394</v>
      </c>
      <c r="D2212" s="112" t="s">
        <v>1395</v>
      </c>
      <c r="E2212" s="109"/>
      <c r="F2212" s="3" t="s">
        <v>122</v>
      </c>
      <c r="G2212" s="25">
        <v>2</v>
      </c>
      <c r="H2212" s="62"/>
      <c r="I2212" s="25">
        <f>ROUND(G2212*AM2212,2)</f>
        <v>0</v>
      </c>
      <c r="J2212" s="25">
        <f>ROUND(G2212*AN2212,2)</f>
        <v>0</v>
      </c>
      <c r="K2212" s="25">
        <f>ROUND(G2212*H2212,2)</f>
        <v>0</v>
      </c>
      <c r="L2212" s="25">
        <v>3.7499999999999999E-3</v>
      </c>
      <c r="M2212" s="25">
        <f>G2212*L2212</f>
        <v>7.4999999999999997E-3</v>
      </c>
      <c r="N2212" s="26"/>
      <c r="X2212" s="25">
        <f>ROUND(IF(AO2212="5",BH2212,0),2)</f>
        <v>0</v>
      </c>
      <c r="Z2212" s="25">
        <f>ROUND(IF(AO2212="1",BF2212,0),2)</f>
        <v>0</v>
      </c>
      <c r="AA2212" s="25">
        <f>ROUND(IF(AO2212="1",BG2212,0),2)</f>
        <v>0</v>
      </c>
      <c r="AB2212" s="25">
        <f>ROUND(IF(AO2212="7",BF2212,0),2)</f>
        <v>0</v>
      </c>
      <c r="AC2212" s="25">
        <f>ROUND(IF(AO2212="7",BG2212,0),2)</f>
        <v>0</v>
      </c>
      <c r="AD2212" s="25">
        <f>ROUND(IF(AO2212="2",BF2212,0),2)</f>
        <v>0</v>
      </c>
      <c r="AE2212" s="25">
        <f>ROUND(IF(AO2212="2",BG2212,0),2)</f>
        <v>0</v>
      </c>
      <c r="AF2212" s="25">
        <f>ROUND(IF(AO2212="0",BH2212,0),2)</f>
        <v>0</v>
      </c>
      <c r="AG2212" s="10" t="s">
        <v>2657</v>
      </c>
      <c r="AH2212" s="25">
        <f>IF(AL2212=0,K2212,0)</f>
        <v>0</v>
      </c>
      <c r="AI2212" s="25">
        <f>IF(AL2212=12,K2212,0)</f>
        <v>0</v>
      </c>
      <c r="AJ2212" s="25">
        <f>IF(AL2212=21,K2212,0)</f>
        <v>0</v>
      </c>
      <c r="AL2212" s="25">
        <v>21</v>
      </c>
      <c r="AM2212" s="25">
        <f>H2212*1</f>
        <v>0</v>
      </c>
      <c r="AN2212" s="25">
        <f>H2212*(1-1)</f>
        <v>0</v>
      </c>
      <c r="AO2212" s="27" t="s">
        <v>61</v>
      </c>
      <c r="AT2212" s="25">
        <f>ROUND(AU2212+AV2212,2)</f>
        <v>0</v>
      </c>
      <c r="AU2212" s="25">
        <f>ROUND(G2212*AM2212,2)</f>
        <v>0</v>
      </c>
      <c r="AV2212" s="25">
        <f>ROUND(G2212*AN2212,2)</f>
        <v>0</v>
      </c>
      <c r="AW2212" s="27" t="s">
        <v>1367</v>
      </c>
      <c r="AX2212" s="27" t="s">
        <v>2699</v>
      </c>
      <c r="AY2212" s="10" t="s">
        <v>2661</v>
      </c>
      <c r="BA2212" s="25">
        <f>AU2212+AV2212</f>
        <v>0</v>
      </c>
      <c r="BB2212" s="25">
        <f>H2212/(100-BC2212)*100</f>
        <v>0</v>
      </c>
      <c r="BC2212" s="25">
        <v>0</v>
      </c>
      <c r="BD2212" s="25">
        <f>M2212</f>
        <v>7.4999999999999997E-3</v>
      </c>
      <c r="BF2212" s="25">
        <f>G2212*AM2212</f>
        <v>0</v>
      </c>
      <c r="BG2212" s="25">
        <f>G2212*AN2212</f>
        <v>0</v>
      </c>
      <c r="BH2212" s="25">
        <f>G2212*H2212</f>
        <v>0</v>
      </c>
      <c r="BI2212" s="27" t="s">
        <v>65</v>
      </c>
      <c r="BJ2212" s="25">
        <v>712</v>
      </c>
      <c r="BU2212" s="25" t="e">
        <f>#REF!</f>
        <v>#REF!</v>
      </c>
      <c r="BV2212" s="4" t="s">
        <v>1395</v>
      </c>
    </row>
    <row r="2213" spans="1:74" ht="14.4" x14ac:dyDescent="0.3">
      <c r="A2213" s="28"/>
      <c r="D2213" s="29" t="s">
        <v>81</v>
      </c>
      <c r="E2213" s="29" t="s">
        <v>52</v>
      </c>
      <c r="G2213" s="30">
        <v>2</v>
      </c>
      <c r="H2213" s="63"/>
      <c r="N2213" s="31"/>
    </row>
    <row r="2214" spans="1:74" ht="14.4" x14ac:dyDescent="0.3">
      <c r="A2214" s="2" t="s">
        <v>2702</v>
      </c>
      <c r="B2214" s="3" t="s">
        <v>2657</v>
      </c>
      <c r="C2214" s="3" t="s">
        <v>1400</v>
      </c>
      <c r="D2214" s="112" t="s">
        <v>1401</v>
      </c>
      <c r="E2214" s="109"/>
      <c r="F2214" s="3" t="s">
        <v>278</v>
      </c>
      <c r="G2214" s="25">
        <v>1.6E-2</v>
      </c>
      <c r="H2214" s="62"/>
      <c r="I2214" s="25">
        <f>ROUND(G2214*AM2214,2)</f>
        <v>0</v>
      </c>
      <c r="J2214" s="25">
        <f>ROUND(G2214*AN2214,2)</f>
        <v>0</v>
      </c>
      <c r="K2214" s="25">
        <f>ROUND(G2214*H2214,2)</f>
        <v>0</v>
      </c>
      <c r="L2214" s="25">
        <v>0</v>
      </c>
      <c r="M2214" s="25">
        <f>G2214*L2214</f>
        <v>0</v>
      </c>
      <c r="N2214" s="26"/>
      <c r="X2214" s="25">
        <f>ROUND(IF(AO2214="5",BH2214,0),2)</f>
        <v>0</v>
      </c>
      <c r="Z2214" s="25">
        <f>ROUND(IF(AO2214="1",BF2214,0),2)</f>
        <v>0</v>
      </c>
      <c r="AA2214" s="25">
        <f>ROUND(IF(AO2214="1",BG2214,0),2)</f>
        <v>0</v>
      </c>
      <c r="AB2214" s="25">
        <f>ROUND(IF(AO2214="7",BF2214,0),2)</f>
        <v>0</v>
      </c>
      <c r="AC2214" s="25">
        <f>ROUND(IF(AO2214="7",BG2214,0),2)</f>
        <v>0</v>
      </c>
      <c r="AD2214" s="25">
        <f>ROUND(IF(AO2214="2",BF2214,0),2)</f>
        <v>0</v>
      </c>
      <c r="AE2214" s="25">
        <f>ROUND(IF(AO2214="2",BG2214,0),2)</f>
        <v>0</v>
      </c>
      <c r="AF2214" s="25">
        <f>ROUND(IF(AO2214="0",BH2214,0),2)</f>
        <v>0</v>
      </c>
      <c r="AG2214" s="10" t="s">
        <v>2657</v>
      </c>
      <c r="AH2214" s="25">
        <f>IF(AL2214=0,K2214,0)</f>
        <v>0</v>
      </c>
      <c r="AI2214" s="25">
        <f>IF(AL2214=12,K2214,0)</f>
        <v>0</v>
      </c>
      <c r="AJ2214" s="25">
        <f>IF(AL2214=21,K2214,0)</f>
        <v>0</v>
      </c>
      <c r="AL2214" s="25">
        <v>21</v>
      </c>
      <c r="AM2214" s="25">
        <f>H2214*0</f>
        <v>0</v>
      </c>
      <c r="AN2214" s="25">
        <f>H2214*(1-0)</f>
        <v>0</v>
      </c>
      <c r="AO2214" s="27" t="s">
        <v>97</v>
      </c>
      <c r="AT2214" s="25">
        <f>ROUND(AU2214+AV2214,2)</f>
        <v>0</v>
      </c>
      <c r="AU2214" s="25">
        <f>ROUND(G2214*AM2214,2)</f>
        <v>0</v>
      </c>
      <c r="AV2214" s="25">
        <f>ROUND(G2214*AN2214,2)</f>
        <v>0</v>
      </c>
      <c r="AW2214" s="27" t="s">
        <v>1367</v>
      </c>
      <c r="AX2214" s="27" t="s">
        <v>2699</v>
      </c>
      <c r="AY2214" s="10" t="s">
        <v>2661</v>
      </c>
      <c r="BA2214" s="25">
        <f>AU2214+AV2214</f>
        <v>0</v>
      </c>
      <c r="BB2214" s="25">
        <f>H2214/(100-BC2214)*100</f>
        <v>0</v>
      </c>
      <c r="BC2214" s="25">
        <v>0</v>
      </c>
      <c r="BD2214" s="25">
        <f>M2214</f>
        <v>0</v>
      </c>
      <c r="BF2214" s="25">
        <f>G2214*AM2214</f>
        <v>0</v>
      </c>
      <c r="BG2214" s="25">
        <f>G2214*AN2214</f>
        <v>0</v>
      </c>
      <c r="BH2214" s="25">
        <f>G2214*H2214</f>
        <v>0</v>
      </c>
      <c r="BI2214" s="27" t="s">
        <v>65</v>
      </c>
      <c r="BJ2214" s="25">
        <v>712</v>
      </c>
      <c r="BU2214" s="25" t="e">
        <f>#REF!</f>
        <v>#REF!</v>
      </c>
      <c r="BV2214" s="4" t="s">
        <v>1401</v>
      </c>
    </row>
    <row r="2215" spans="1:74" ht="14.4" x14ac:dyDescent="0.3">
      <c r="A2215" s="28"/>
      <c r="D2215" s="29" t="s">
        <v>57</v>
      </c>
      <c r="E2215" s="29" t="s">
        <v>52</v>
      </c>
      <c r="G2215" s="30">
        <v>1</v>
      </c>
      <c r="H2215" s="63"/>
      <c r="N2215" s="31"/>
    </row>
    <row r="2216" spans="1:74" ht="14.4" x14ac:dyDescent="0.3">
      <c r="A2216" s="2" t="s">
        <v>2703</v>
      </c>
      <c r="B2216" s="3" t="s">
        <v>2657</v>
      </c>
      <c r="C2216" s="3" t="s">
        <v>1391</v>
      </c>
      <c r="D2216" s="112" t="s">
        <v>2704</v>
      </c>
      <c r="E2216" s="109"/>
      <c r="F2216" s="3" t="s">
        <v>122</v>
      </c>
      <c r="G2216" s="25">
        <v>2</v>
      </c>
      <c r="H2216" s="62"/>
      <c r="I2216" s="25">
        <f>ROUND(G2216*AM2216,2)</f>
        <v>0</v>
      </c>
      <c r="J2216" s="25">
        <f>ROUND(G2216*AN2216,2)</f>
        <v>0</v>
      </c>
      <c r="K2216" s="25">
        <f>ROUND(G2216*H2216,2)</f>
        <v>0</v>
      </c>
      <c r="L2216" s="25">
        <v>2.0999999999999999E-3</v>
      </c>
      <c r="M2216" s="25">
        <f>G2216*L2216</f>
        <v>4.1999999999999997E-3</v>
      </c>
      <c r="N2216" s="26"/>
      <c r="X2216" s="25">
        <f>ROUND(IF(AO2216="5",BH2216,0),2)</f>
        <v>0</v>
      </c>
      <c r="Z2216" s="25">
        <f>ROUND(IF(AO2216="1",BF2216,0),2)</f>
        <v>0</v>
      </c>
      <c r="AA2216" s="25">
        <f>ROUND(IF(AO2216="1",BG2216,0),2)</f>
        <v>0</v>
      </c>
      <c r="AB2216" s="25">
        <f>ROUND(IF(AO2216="7",BF2216,0),2)</f>
        <v>0</v>
      </c>
      <c r="AC2216" s="25">
        <f>ROUND(IF(AO2216="7",BG2216,0),2)</f>
        <v>0</v>
      </c>
      <c r="AD2216" s="25">
        <f>ROUND(IF(AO2216="2",BF2216,0),2)</f>
        <v>0</v>
      </c>
      <c r="AE2216" s="25">
        <f>ROUND(IF(AO2216="2",BG2216,0),2)</f>
        <v>0</v>
      </c>
      <c r="AF2216" s="25">
        <f>ROUND(IF(AO2216="0",BH2216,0),2)</f>
        <v>0</v>
      </c>
      <c r="AG2216" s="10" t="s">
        <v>2657</v>
      </c>
      <c r="AH2216" s="25">
        <f>IF(AL2216=0,K2216,0)</f>
        <v>0</v>
      </c>
      <c r="AI2216" s="25">
        <f>IF(AL2216=12,K2216,0)</f>
        <v>0</v>
      </c>
      <c r="AJ2216" s="25">
        <f>IF(AL2216=21,K2216,0)</f>
        <v>0</v>
      </c>
      <c r="AL2216" s="25">
        <v>21</v>
      </c>
      <c r="AM2216" s="25">
        <f>H2216*1</f>
        <v>0</v>
      </c>
      <c r="AN2216" s="25">
        <f>H2216*(1-1)</f>
        <v>0</v>
      </c>
      <c r="AO2216" s="27" t="s">
        <v>61</v>
      </c>
      <c r="AT2216" s="25">
        <f>ROUND(AU2216+AV2216,2)</f>
        <v>0</v>
      </c>
      <c r="AU2216" s="25">
        <f>ROUND(G2216*AM2216,2)</f>
        <v>0</v>
      </c>
      <c r="AV2216" s="25">
        <f>ROUND(G2216*AN2216,2)</f>
        <v>0</v>
      </c>
      <c r="AW2216" s="27" t="s">
        <v>1367</v>
      </c>
      <c r="AX2216" s="27" t="s">
        <v>2699</v>
      </c>
      <c r="AY2216" s="10" t="s">
        <v>2661</v>
      </c>
      <c r="BA2216" s="25">
        <f>AU2216+AV2216</f>
        <v>0</v>
      </c>
      <c r="BB2216" s="25">
        <f>H2216/(100-BC2216)*100</f>
        <v>0</v>
      </c>
      <c r="BC2216" s="25">
        <v>0</v>
      </c>
      <c r="BD2216" s="25">
        <f>M2216</f>
        <v>4.1999999999999997E-3</v>
      </c>
      <c r="BF2216" s="25">
        <f>G2216*AM2216</f>
        <v>0</v>
      </c>
      <c r="BG2216" s="25">
        <f>G2216*AN2216</f>
        <v>0</v>
      </c>
      <c r="BH2216" s="25">
        <f>G2216*H2216</f>
        <v>0</v>
      </c>
      <c r="BI2216" s="27" t="s">
        <v>576</v>
      </c>
      <c r="BJ2216" s="25">
        <v>712</v>
      </c>
      <c r="BU2216" s="25" t="e">
        <f>#REF!</f>
        <v>#REF!</v>
      </c>
      <c r="BV2216" s="4" t="s">
        <v>2704</v>
      </c>
    </row>
    <row r="2217" spans="1:74" ht="14.4" x14ac:dyDescent="0.3">
      <c r="A2217" s="28"/>
      <c r="D2217" s="29" t="s">
        <v>81</v>
      </c>
      <c r="E2217" s="29" t="s">
        <v>52</v>
      </c>
      <c r="G2217" s="30">
        <v>2</v>
      </c>
      <c r="H2217" s="63"/>
      <c r="N2217" s="31"/>
    </row>
    <row r="2218" spans="1:74" ht="14.4" x14ac:dyDescent="0.3">
      <c r="A2218" s="21" t="s">
        <v>52</v>
      </c>
      <c r="B2218" s="22" t="s">
        <v>2657</v>
      </c>
      <c r="C2218" s="22" t="s">
        <v>79</v>
      </c>
      <c r="D2218" s="170" t="s">
        <v>80</v>
      </c>
      <c r="E2218" s="171"/>
      <c r="F2218" s="23" t="s">
        <v>32</v>
      </c>
      <c r="G2218" s="23" t="s">
        <v>32</v>
      </c>
      <c r="H2218" s="64"/>
      <c r="I2218" s="1">
        <f>SUM(I2219:I2226)</f>
        <v>0</v>
      </c>
      <c r="J2218" s="1">
        <f>SUM(J2219:J2226)</f>
        <v>0</v>
      </c>
      <c r="K2218" s="1">
        <f>SUM(K2219:K2226)</f>
        <v>0</v>
      </c>
      <c r="L2218" s="10" t="s">
        <v>52</v>
      </c>
      <c r="M2218" s="1">
        <f>SUM(M2219:M2226)</f>
        <v>1.806E-2</v>
      </c>
      <c r="N2218" s="24"/>
      <c r="AG2218" s="10" t="s">
        <v>2657</v>
      </c>
      <c r="AQ2218" s="1">
        <f>SUM(AH2219:AH2226)</f>
        <v>0</v>
      </c>
      <c r="AR2218" s="1">
        <f>SUM(AI2219:AI2226)</f>
        <v>0</v>
      </c>
      <c r="AS2218" s="1">
        <f>SUM(AJ2219:AJ2226)</f>
        <v>0</v>
      </c>
    </row>
    <row r="2219" spans="1:74" ht="14.4" x14ac:dyDescent="0.3">
      <c r="A2219" s="2" t="s">
        <v>2705</v>
      </c>
      <c r="B2219" s="3" t="s">
        <v>2657</v>
      </c>
      <c r="C2219" s="3" t="s">
        <v>1709</v>
      </c>
      <c r="D2219" s="112" t="s">
        <v>1710</v>
      </c>
      <c r="E2219" s="109"/>
      <c r="F2219" s="3" t="s">
        <v>115</v>
      </c>
      <c r="G2219" s="25">
        <v>4</v>
      </c>
      <c r="H2219" s="62"/>
      <c r="I2219" s="25">
        <f>ROUND(G2219*AM2219,2)</f>
        <v>0</v>
      </c>
      <c r="J2219" s="25">
        <f>ROUND(G2219*AN2219,2)</f>
        <v>0</v>
      </c>
      <c r="K2219" s="25">
        <f>ROUND(G2219*H2219,2)</f>
        <v>0</v>
      </c>
      <c r="L2219" s="25">
        <v>0</v>
      </c>
      <c r="M2219" s="25">
        <f>G2219*L2219</f>
        <v>0</v>
      </c>
      <c r="N2219" s="26"/>
      <c r="X2219" s="25">
        <f>ROUND(IF(AO2219="5",BH2219,0),2)</f>
        <v>0</v>
      </c>
      <c r="Z2219" s="25">
        <f>ROUND(IF(AO2219="1",BF2219,0),2)</f>
        <v>0</v>
      </c>
      <c r="AA2219" s="25">
        <f>ROUND(IF(AO2219="1",BG2219,0),2)</f>
        <v>0</v>
      </c>
      <c r="AB2219" s="25">
        <f>ROUND(IF(AO2219="7",BF2219,0),2)</f>
        <v>0</v>
      </c>
      <c r="AC2219" s="25">
        <f>ROUND(IF(AO2219="7",BG2219,0),2)</f>
        <v>0</v>
      </c>
      <c r="AD2219" s="25">
        <f>ROUND(IF(AO2219="2",BF2219,0),2)</f>
        <v>0</v>
      </c>
      <c r="AE2219" s="25">
        <f>ROUND(IF(AO2219="2",BG2219,0),2)</f>
        <v>0</v>
      </c>
      <c r="AF2219" s="25">
        <f>ROUND(IF(AO2219="0",BH2219,0),2)</f>
        <v>0</v>
      </c>
      <c r="AG2219" s="10" t="s">
        <v>2657</v>
      </c>
      <c r="AH2219" s="25">
        <f>IF(AL2219=0,K2219,0)</f>
        <v>0</v>
      </c>
      <c r="AI2219" s="25">
        <f>IF(AL2219=12,K2219,0)</f>
        <v>0</v>
      </c>
      <c r="AJ2219" s="25">
        <f>IF(AL2219=21,K2219,0)</f>
        <v>0</v>
      </c>
      <c r="AL2219" s="25">
        <v>21</v>
      </c>
      <c r="AM2219" s="25">
        <f>H2219*0</f>
        <v>0</v>
      </c>
      <c r="AN2219" s="25">
        <f>H2219*(1-0)</f>
        <v>0</v>
      </c>
      <c r="AO2219" s="27" t="s">
        <v>61</v>
      </c>
      <c r="AT2219" s="25">
        <f>ROUND(AU2219+AV2219,2)</f>
        <v>0</v>
      </c>
      <c r="AU2219" s="25">
        <f>ROUND(G2219*AM2219,2)</f>
        <v>0</v>
      </c>
      <c r="AV2219" s="25">
        <f>ROUND(G2219*AN2219,2)</f>
        <v>0</v>
      </c>
      <c r="AW2219" s="27" t="s">
        <v>84</v>
      </c>
      <c r="AX2219" s="27" t="s">
        <v>2699</v>
      </c>
      <c r="AY2219" s="10" t="s">
        <v>2661</v>
      </c>
      <c r="BA2219" s="25">
        <f>AU2219+AV2219</f>
        <v>0</v>
      </c>
      <c r="BB2219" s="25">
        <f>H2219/(100-BC2219)*100</f>
        <v>0</v>
      </c>
      <c r="BC2219" s="25">
        <v>0</v>
      </c>
      <c r="BD2219" s="25">
        <f>M2219</f>
        <v>0</v>
      </c>
      <c r="BF2219" s="25">
        <f>G2219*AM2219</f>
        <v>0</v>
      </c>
      <c r="BG2219" s="25">
        <f>G2219*AN2219</f>
        <v>0</v>
      </c>
      <c r="BH2219" s="25">
        <f>G2219*H2219</f>
        <v>0</v>
      </c>
      <c r="BI2219" s="27" t="s">
        <v>65</v>
      </c>
      <c r="BJ2219" s="25">
        <v>713</v>
      </c>
      <c r="BU2219" s="25" t="e">
        <f>#REF!</f>
        <v>#REF!</v>
      </c>
      <c r="BV2219" s="4" t="s">
        <v>1710</v>
      </c>
    </row>
    <row r="2220" spans="1:74" ht="14.4" x14ac:dyDescent="0.3">
      <c r="A2220" s="2" t="s">
        <v>2706</v>
      </c>
      <c r="B2220" s="3" t="s">
        <v>2657</v>
      </c>
      <c r="C2220" s="3" t="s">
        <v>1712</v>
      </c>
      <c r="D2220" s="112" t="s">
        <v>1713</v>
      </c>
      <c r="E2220" s="109"/>
      <c r="F2220" s="3" t="s">
        <v>115</v>
      </c>
      <c r="G2220" s="25">
        <v>118</v>
      </c>
      <c r="H2220" s="62"/>
      <c r="I2220" s="25">
        <f>ROUND(G2220*AM2220,2)</f>
        <v>0</v>
      </c>
      <c r="J2220" s="25">
        <f>ROUND(G2220*AN2220,2)</f>
        <v>0</v>
      </c>
      <c r="K2220" s="25">
        <f>ROUND(G2220*H2220,2)</f>
        <v>0</v>
      </c>
      <c r="L2220" s="25">
        <v>0</v>
      </c>
      <c r="M2220" s="25">
        <f>G2220*L2220</f>
        <v>0</v>
      </c>
      <c r="N2220" s="26"/>
      <c r="X2220" s="25">
        <f>ROUND(IF(AO2220="5",BH2220,0),2)</f>
        <v>0</v>
      </c>
      <c r="Z2220" s="25">
        <f>ROUND(IF(AO2220="1",BF2220,0),2)</f>
        <v>0</v>
      </c>
      <c r="AA2220" s="25">
        <f>ROUND(IF(AO2220="1",BG2220,0),2)</f>
        <v>0</v>
      </c>
      <c r="AB2220" s="25">
        <f>ROUND(IF(AO2220="7",BF2220,0),2)</f>
        <v>0</v>
      </c>
      <c r="AC2220" s="25">
        <f>ROUND(IF(AO2220="7",BG2220,0),2)</f>
        <v>0</v>
      </c>
      <c r="AD2220" s="25">
        <f>ROUND(IF(AO2220="2",BF2220,0),2)</f>
        <v>0</v>
      </c>
      <c r="AE2220" s="25">
        <f>ROUND(IF(AO2220="2",BG2220,0),2)</f>
        <v>0</v>
      </c>
      <c r="AF2220" s="25">
        <f>ROUND(IF(AO2220="0",BH2220,0),2)</f>
        <v>0</v>
      </c>
      <c r="AG2220" s="10" t="s">
        <v>2657</v>
      </c>
      <c r="AH2220" s="25">
        <f>IF(AL2220=0,K2220,0)</f>
        <v>0</v>
      </c>
      <c r="AI2220" s="25">
        <f>IF(AL2220=12,K2220,0)</f>
        <v>0</v>
      </c>
      <c r="AJ2220" s="25">
        <f>IF(AL2220=21,K2220,0)</f>
        <v>0</v>
      </c>
      <c r="AL2220" s="25">
        <v>21</v>
      </c>
      <c r="AM2220" s="25">
        <f>H2220*0</f>
        <v>0</v>
      </c>
      <c r="AN2220" s="25">
        <f>H2220*(1-0)</f>
        <v>0</v>
      </c>
      <c r="AO2220" s="27" t="s">
        <v>61</v>
      </c>
      <c r="AT2220" s="25">
        <f>ROUND(AU2220+AV2220,2)</f>
        <v>0</v>
      </c>
      <c r="AU2220" s="25">
        <f>ROUND(G2220*AM2220,2)</f>
        <v>0</v>
      </c>
      <c r="AV2220" s="25">
        <f>ROUND(G2220*AN2220,2)</f>
        <v>0</v>
      </c>
      <c r="AW2220" s="27" t="s">
        <v>84</v>
      </c>
      <c r="AX2220" s="27" t="s">
        <v>2699</v>
      </c>
      <c r="AY2220" s="10" t="s">
        <v>2661</v>
      </c>
      <c r="BA2220" s="25">
        <f>AU2220+AV2220</f>
        <v>0</v>
      </c>
      <c r="BB2220" s="25">
        <f>H2220/(100-BC2220)*100</f>
        <v>0</v>
      </c>
      <c r="BC2220" s="25">
        <v>0</v>
      </c>
      <c r="BD2220" s="25">
        <f>M2220</f>
        <v>0</v>
      </c>
      <c r="BF2220" s="25">
        <f>G2220*AM2220</f>
        <v>0</v>
      </c>
      <c r="BG2220" s="25">
        <f>G2220*AN2220</f>
        <v>0</v>
      </c>
      <c r="BH2220" s="25">
        <f>G2220*H2220</f>
        <v>0</v>
      </c>
      <c r="BI2220" s="27" t="s">
        <v>65</v>
      </c>
      <c r="BJ2220" s="25">
        <v>713</v>
      </c>
      <c r="BU2220" s="25" t="e">
        <f>#REF!</f>
        <v>#REF!</v>
      </c>
      <c r="BV2220" s="4" t="s">
        <v>1713</v>
      </c>
    </row>
    <row r="2221" spans="1:74" ht="14.4" x14ac:dyDescent="0.3">
      <c r="A2221" s="2" t="s">
        <v>2707</v>
      </c>
      <c r="B2221" s="3" t="s">
        <v>2657</v>
      </c>
      <c r="C2221" s="3" t="s">
        <v>855</v>
      </c>
      <c r="D2221" s="112" t="s">
        <v>856</v>
      </c>
      <c r="E2221" s="109"/>
      <c r="F2221" s="3" t="s">
        <v>278</v>
      </c>
      <c r="G2221" s="25">
        <v>0.23</v>
      </c>
      <c r="H2221" s="62"/>
      <c r="I2221" s="25">
        <f>ROUND(G2221*AM2221,2)</f>
        <v>0</v>
      </c>
      <c r="J2221" s="25">
        <f>ROUND(G2221*AN2221,2)</f>
        <v>0</v>
      </c>
      <c r="K2221" s="25">
        <f>ROUND(G2221*H2221,2)</f>
        <v>0</v>
      </c>
      <c r="L2221" s="25">
        <v>0</v>
      </c>
      <c r="M2221" s="25">
        <f>G2221*L2221</f>
        <v>0</v>
      </c>
      <c r="N2221" s="26"/>
      <c r="X2221" s="25">
        <f>ROUND(IF(AO2221="5",BH2221,0),2)</f>
        <v>0</v>
      </c>
      <c r="Z2221" s="25">
        <f>ROUND(IF(AO2221="1",BF2221,0),2)</f>
        <v>0</v>
      </c>
      <c r="AA2221" s="25">
        <f>ROUND(IF(AO2221="1",BG2221,0),2)</f>
        <v>0</v>
      </c>
      <c r="AB2221" s="25">
        <f>ROUND(IF(AO2221="7",BF2221,0),2)</f>
        <v>0</v>
      </c>
      <c r="AC2221" s="25">
        <f>ROUND(IF(AO2221="7",BG2221,0),2)</f>
        <v>0</v>
      </c>
      <c r="AD2221" s="25">
        <f>ROUND(IF(AO2221="2",BF2221,0),2)</f>
        <v>0</v>
      </c>
      <c r="AE2221" s="25">
        <f>ROUND(IF(AO2221="2",BG2221,0),2)</f>
        <v>0</v>
      </c>
      <c r="AF2221" s="25">
        <f>ROUND(IF(AO2221="0",BH2221,0),2)</f>
        <v>0</v>
      </c>
      <c r="AG2221" s="10" t="s">
        <v>2657</v>
      </c>
      <c r="AH2221" s="25">
        <f>IF(AL2221=0,K2221,0)</f>
        <v>0</v>
      </c>
      <c r="AI2221" s="25">
        <f>IF(AL2221=12,K2221,0)</f>
        <v>0</v>
      </c>
      <c r="AJ2221" s="25">
        <f>IF(AL2221=21,K2221,0)</f>
        <v>0</v>
      </c>
      <c r="AL2221" s="25">
        <v>21</v>
      </c>
      <c r="AM2221" s="25">
        <f>H2221*0</f>
        <v>0</v>
      </c>
      <c r="AN2221" s="25">
        <f>H2221*(1-0)</f>
        <v>0</v>
      </c>
      <c r="AO2221" s="27" t="s">
        <v>97</v>
      </c>
      <c r="AT2221" s="25">
        <f>ROUND(AU2221+AV2221,2)</f>
        <v>0</v>
      </c>
      <c r="AU2221" s="25">
        <f>ROUND(G2221*AM2221,2)</f>
        <v>0</v>
      </c>
      <c r="AV2221" s="25">
        <f>ROUND(G2221*AN2221,2)</f>
        <v>0</v>
      </c>
      <c r="AW2221" s="27" t="s">
        <v>84</v>
      </c>
      <c r="AX2221" s="27" t="s">
        <v>2699</v>
      </c>
      <c r="AY2221" s="10" t="s">
        <v>2661</v>
      </c>
      <c r="BA2221" s="25">
        <f>AU2221+AV2221</f>
        <v>0</v>
      </c>
      <c r="BB2221" s="25">
        <f>H2221/(100-BC2221)*100</f>
        <v>0</v>
      </c>
      <c r="BC2221" s="25">
        <v>0</v>
      </c>
      <c r="BD2221" s="25">
        <f>M2221</f>
        <v>0</v>
      </c>
      <c r="BF2221" s="25">
        <f>G2221*AM2221</f>
        <v>0</v>
      </c>
      <c r="BG2221" s="25">
        <f>G2221*AN2221</f>
        <v>0</v>
      </c>
      <c r="BH2221" s="25">
        <f>G2221*H2221</f>
        <v>0</v>
      </c>
      <c r="BI2221" s="27" t="s">
        <v>65</v>
      </c>
      <c r="BJ2221" s="25">
        <v>713</v>
      </c>
      <c r="BU2221" s="25" t="e">
        <f>#REF!</f>
        <v>#REF!</v>
      </c>
      <c r="BV2221" s="4" t="s">
        <v>856</v>
      </c>
    </row>
    <row r="2222" spans="1:74" ht="14.4" x14ac:dyDescent="0.3">
      <c r="A2222" s="28"/>
      <c r="D2222" s="29" t="s">
        <v>2708</v>
      </c>
      <c r="E2222" s="29" t="s">
        <v>52</v>
      </c>
      <c r="G2222" s="30">
        <v>0.23</v>
      </c>
      <c r="H2222" s="63"/>
      <c r="N2222" s="31"/>
    </row>
    <row r="2223" spans="1:74" ht="14.4" x14ac:dyDescent="0.3">
      <c r="A2223" s="2" t="s">
        <v>2709</v>
      </c>
      <c r="B2223" s="3" t="s">
        <v>2657</v>
      </c>
      <c r="C2223" s="3" t="s">
        <v>2167</v>
      </c>
      <c r="D2223" s="112" t="s">
        <v>2710</v>
      </c>
      <c r="E2223" s="109"/>
      <c r="F2223" s="3" t="s">
        <v>115</v>
      </c>
      <c r="G2223" s="25">
        <v>4</v>
      </c>
      <c r="H2223" s="62"/>
      <c r="I2223" s="25">
        <f>ROUND(G2223*AM2223,2)</f>
        <v>0</v>
      </c>
      <c r="J2223" s="25">
        <f>ROUND(G2223*AN2223,2)</f>
        <v>0</v>
      </c>
      <c r="K2223" s="25">
        <f>ROUND(G2223*H2223,2)</f>
        <v>0</v>
      </c>
      <c r="L2223" s="25">
        <v>9.0000000000000006E-5</v>
      </c>
      <c r="M2223" s="25">
        <f>G2223*L2223</f>
        <v>3.6000000000000002E-4</v>
      </c>
      <c r="N2223" s="102"/>
      <c r="X2223" s="25">
        <f>ROUND(IF(AO2223="5",BH2223,0),2)</f>
        <v>0</v>
      </c>
      <c r="Z2223" s="25">
        <f>ROUND(IF(AO2223="1",BF2223,0),2)</f>
        <v>0</v>
      </c>
      <c r="AA2223" s="25">
        <f>ROUND(IF(AO2223="1",BG2223,0),2)</f>
        <v>0</v>
      </c>
      <c r="AB2223" s="25">
        <f>ROUND(IF(AO2223="7",BF2223,0),2)</f>
        <v>0</v>
      </c>
      <c r="AC2223" s="25">
        <f>ROUND(IF(AO2223="7",BG2223,0),2)</f>
        <v>0</v>
      </c>
      <c r="AD2223" s="25">
        <f>ROUND(IF(AO2223="2",BF2223,0),2)</f>
        <v>0</v>
      </c>
      <c r="AE2223" s="25">
        <f>ROUND(IF(AO2223="2",BG2223,0),2)</f>
        <v>0</v>
      </c>
      <c r="AF2223" s="25">
        <f>ROUND(IF(AO2223="0",BH2223,0),2)</f>
        <v>0</v>
      </c>
      <c r="AG2223" s="10" t="s">
        <v>2657</v>
      </c>
      <c r="AH2223" s="25">
        <f>IF(AL2223=0,K2223,0)</f>
        <v>0</v>
      </c>
      <c r="AI2223" s="25">
        <f>IF(AL2223=12,K2223,0)</f>
        <v>0</v>
      </c>
      <c r="AJ2223" s="25">
        <f>IF(AL2223=21,K2223,0)</f>
        <v>0</v>
      </c>
      <c r="AL2223" s="25">
        <v>21</v>
      </c>
      <c r="AM2223" s="25">
        <f>H2223*1</f>
        <v>0</v>
      </c>
      <c r="AN2223" s="25">
        <f>H2223*(1-1)</f>
        <v>0</v>
      </c>
      <c r="AO2223" s="27" t="s">
        <v>61</v>
      </c>
      <c r="AT2223" s="25">
        <f>ROUND(AU2223+AV2223,2)</f>
        <v>0</v>
      </c>
      <c r="AU2223" s="25">
        <f>ROUND(G2223*AM2223,2)</f>
        <v>0</v>
      </c>
      <c r="AV2223" s="25">
        <f>ROUND(G2223*AN2223,2)</f>
        <v>0</v>
      </c>
      <c r="AW2223" s="27" t="s">
        <v>84</v>
      </c>
      <c r="AX2223" s="27" t="s">
        <v>2699</v>
      </c>
      <c r="AY2223" s="10" t="s">
        <v>2661</v>
      </c>
      <c r="BA2223" s="25">
        <f>AU2223+AV2223</f>
        <v>0</v>
      </c>
      <c r="BB2223" s="25">
        <f>H2223/(100-BC2223)*100</f>
        <v>0</v>
      </c>
      <c r="BC2223" s="25">
        <v>0</v>
      </c>
      <c r="BD2223" s="25">
        <f>M2223</f>
        <v>3.6000000000000002E-4</v>
      </c>
      <c r="BF2223" s="25">
        <f>G2223*AM2223</f>
        <v>0</v>
      </c>
      <c r="BG2223" s="25">
        <f>G2223*AN2223</f>
        <v>0</v>
      </c>
      <c r="BH2223" s="25">
        <f>G2223*H2223</f>
        <v>0</v>
      </c>
      <c r="BI2223" s="27" t="s">
        <v>576</v>
      </c>
      <c r="BJ2223" s="25">
        <v>713</v>
      </c>
      <c r="BU2223" s="25" t="e">
        <f>#REF!</f>
        <v>#REF!</v>
      </c>
      <c r="BV2223" s="4" t="s">
        <v>2710</v>
      </c>
    </row>
    <row r="2224" spans="1:74" ht="14.4" x14ac:dyDescent="0.3">
      <c r="A2224" s="2" t="s">
        <v>2711</v>
      </c>
      <c r="B2224" s="3" t="s">
        <v>2657</v>
      </c>
      <c r="C2224" s="3" t="s">
        <v>2244</v>
      </c>
      <c r="D2224" s="112" t="s">
        <v>2712</v>
      </c>
      <c r="E2224" s="109"/>
      <c r="F2224" s="3" t="s">
        <v>115</v>
      </c>
      <c r="G2224" s="25">
        <v>10</v>
      </c>
      <c r="H2224" s="62"/>
      <c r="I2224" s="25">
        <f>ROUND(G2224*AM2224,2)</f>
        <v>0</v>
      </c>
      <c r="J2224" s="25">
        <f>ROUND(G2224*AN2224,2)</f>
        <v>0</v>
      </c>
      <c r="K2224" s="25">
        <f>ROUND(G2224*H2224,2)</f>
        <v>0</v>
      </c>
      <c r="L2224" s="25">
        <v>1.4999999999999999E-4</v>
      </c>
      <c r="M2224" s="25">
        <f>G2224*L2224</f>
        <v>1.4999999999999998E-3</v>
      </c>
      <c r="N2224" s="102"/>
      <c r="X2224" s="25">
        <f>ROUND(IF(AO2224="5",BH2224,0),2)</f>
        <v>0</v>
      </c>
      <c r="Z2224" s="25">
        <f>ROUND(IF(AO2224="1",BF2224,0),2)</f>
        <v>0</v>
      </c>
      <c r="AA2224" s="25">
        <f>ROUND(IF(AO2224="1",BG2224,0),2)</f>
        <v>0</v>
      </c>
      <c r="AB2224" s="25">
        <f>ROUND(IF(AO2224="7",BF2224,0),2)</f>
        <v>0</v>
      </c>
      <c r="AC2224" s="25">
        <f>ROUND(IF(AO2224="7",BG2224,0),2)</f>
        <v>0</v>
      </c>
      <c r="AD2224" s="25">
        <f>ROUND(IF(AO2224="2",BF2224,0),2)</f>
        <v>0</v>
      </c>
      <c r="AE2224" s="25">
        <f>ROUND(IF(AO2224="2",BG2224,0),2)</f>
        <v>0</v>
      </c>
      <c r="AF2224" s="25">
        <f>ROUND(IF(AO2224="0",BH2224,0),2)</f>
        <v>0</v>
      </c>
      <c r="AG2224" s="10" t="s">
        <v>2657</v>
      </c>
      <c r="AH2224" s="25">
        <f>IF(AL2224=0,K2224,0)</f>
        <v>0</v>
      </c>
      <c r="AI2224" s="25">
        <f>IF(AL2224=12,K2224,0)</f>
        <v>0</v>
      </c>
      <c r="AJ2224" s="25">
        <f>IF(AL2224=21,K2224,0)</f>
        <v>0</v>
      </c>
      <c r="AL2224" s="25">
        <v>21</v>
      </c>
      <c r="AM2224" s="25">
        <f>H2224*1</f>
        <v>0</v>
      </c>
      <c r="AN2224" s="25">
        <f>H2224*(1-1)</f>
        <v>0</v>
      </c>
      <c r="AO2224" s="27" t="s">
        <v>61</v>
      </c>
      <c r="AT2224" s="25">
        <f>ROUND(AU2224+AV2224,2)</f>
        <v>0</v>
      </c>
      <c r="AU2224" s="25">
        <f>ROUND(G2224*AM2224,2)</f>
        <v>0</v>
      </c>
      <c r="AV2224" s="25">
        <f>ROUND(G2224*AN2224,2)</f>
        <v>0</v>
      </c>
      <c r="AW2224" s="27" t="s">
        <v>84</v>
      </c>
      <c r="AX2224" s="27" t="s">
        <v>2699</v>
      </c>
      <c r="AY2224" s="10" t="s">
        <v>2661</v>
      </c>
      <c r="BA2224" s="25">
        <f>AU2224+AV2224</f>
        <v>0</v>
      </c>
      <c r="BB2224" s="25">
        <f>H2224/(100-BC2224)*100</f>
        <v>0</v>
      </c>
      <c r="BC2224" s="25">
        <v>0</v>
      </c>
      <c r="BD2224" s="25">
        <f>M2224</f>
        <v>1.4999999999999998E-3</v>
      </c>
      <c r="BF2224" s="25">
        <f>G2224*AM2224</f>
        <v>0</v>
      </c>
      <c r="BG2224" s="25">
        <f>G2224*AN2224</f>
        <v>0</v>
      </c>
      <c r="BH2224" s="25">
        <f>G2224*H2224</f>
        <v>0</v>
      </c>
      <c r="BI2224" s="27" t="s">
        <v>576</v>
      </c>
      <c r="BJ2224" s="25">
        <v>713</v>
      </c>
      <c r="BU2224" s="25" t="e">
        <f>#REF!</f>
        <v>#REF!</v>
      </c>
      <c r="BV2224" s="4" t="s">
        <v>2712</v>
      </c>
    </row>
    <row r="2225" spans="1:74" ht="14.4" x14ac:dyDescent="0.3">
      <c r="A2225" s="2" t="s">
        <v>2713</v>
      </c>
      <c r="B2225" s="3" t="s">
        <v>2657</v>
      </c>
      <c r="C2225" s="3" t="s">
        <v>2247</v>
      </c>
      <c r="D2225" s="112" t="s">
        <v>2714</v>
      </c>
      <c r="E2225" s="109"/>
      <c r="F2225" s="3" t="s">
        <v>115</v>
      </c>
      <c r="G2225" s="25">
        <v>88</v>
      </c>
      <c r="H2225" s="62"/>
      <c r="I2225" s="25">
        <f>ROUND(G2225*AM2225,2)</f>
        <v>0</v>
      </c>
      <c r="J2225" s="25">
        <f>ROUND(G2225*AN2225,2)</f>
        <v>0</v>
      </c>
      <c r="K2225" s="25">
        <f>ROUND(G2225*H2225,2)</f>
        <v>0</v>
      </c>
      <c r="L2225" s="25">
        <v>1.4999999999999999E-4</v>
      </c>
      <c r="M2225" s="25">
        <f>G2225*L2225</f>
        <v>1.3199999999999998E-2</v>
      </c>
      <c r="N2225" s="102"/>
      <c r="X2225" s="25">
        <f>ROUND(IF(AO2225="5",BH2225,0),2)</f>
        <v>0</v>
      </c>
      <c r="Z2225" s="25">
        <f>ROUND(IF(AO2225="1",BF2225,0),2)</f>
        <v>0</v>
      </c>
      <c r="AA2225" s="25">
        <f>ROUND(IF(AO2225="1",BG2225,0),2)</f>
        <v>0</v>
      </c>
      <c r="AB2225" s="25">
        <f>ROUND(IF(AO2225="7",BF2225,0),2)</f>
        <v>0</v>
      </c>
      <c r="AC2225" s="25">
        <f>ROUND(IF(AO2225="7",BG2225,0),2)</f>
        <v>0</v>
      </c>
      <c r="AD2225" s="25">
        <f>ROUND(IF(AO2225="2",BF2225,0),2)</f>
        <v>0</v>
      </c>
      <c r="AE2225" s="25">
        <f>ROUND(IF(AO2225="2",BG2225,0),2)</f>
        <v>0</v>
      </c>
      <c r="AF2225" s="25">
        <f>ROUND(IF(AO2225="0",BH2225,0),2)</f>
        <v>0</v>
      </c>
      <c r="AG2225" s="10" t="s">
        <v>2657</v>
      </c>
      <c r="AH2225" s="25">
        <f>IF(AL2225=0,K2225,0)</f>
        <v>0</v>
      </c>
      <c r="AI2225" s="25">
        <f>IF(AL2225=12,K2225,0)</f>
        <v>0</v>
      </c>
      <c r="AJ2225" s="25">
        <f>IF(AL2225=21,K2225,0)</f>
        <v>0</v>
      </c>
      <c r="AL2225" s="25">
        <v>21</v>
      </c>
      <c r="AM2225" s="25">
        <f>H2225*1</f>
        <v>0</v>
      </c>
      <c r="AN2225" s="25">
        <f>H2225*(1-1)</f>
        <v>0</v>
      </c>
      <c r="AO2225" s="27" t="s">
        <v>61</v>
      </c>
      <c r="AT2225" s="25">
        <f>ROUND(AU2225+AV2225,2)</f>
        <v>0</v>
      </c>
      <c r="AU2225" s="25">
        <f>ROUND(G2225*AM2225,2)</f>
        <v>0</v>
      </c>
      <c r="AV2225" s="25">
        <f>ROUND(G2225*AN2225,2)</f>
        <v>0</v>
      </c>
      <c r="AW2225" s="27" t="s">
        <v>84</v>
      </c>
      <c r="AX2225" s="27" t="s">
        <v>2699</v>
      </c>
      <c r="AY2225" s="10" t="s">
        <v>2661</v>
      </c>
      <c r="BA2225" s="25">
        <f>AU2225+AV2225</f>
        <v>0</v>
      </c>
      <c r="BB2225" s="25">
        <f>H2225/(100-BC2225)*100</f>
        <v>0</v>
      </c>
      <c r="BC2225" s="25">
        <v>0</v>
      </c>
      <c r="BD2225" s="25">
        <f>M2225</f>
        <v>1.3199999999999998E-2</v>
      </c>
      <c r="BF2225" s="25">
        <f>G2225*AM2225</f>
        <v>0</v>
      </c>
      <c r="BG2225" s="25">
        <f>G2225*AN2225</f>
        <v>0</v>
      </c>
      <c r="BH2225" s="25">
        <f>G2225*H2225</f>
        <v>0</v>
      </c>
      <c r="BI2225" s="27" t="s">
        <v>576</v>
      </c>
      <c r="BJ2225" s="25">
        <v>713</v>
      </c>
      <c r="BU2225" s="25" t="e">
        <f>#REF!</f>
        <v>#REF!</v>
      </c>
      <c r="BV2225" s="4" t="s">
        <v>2714</v>
      </c>
    </row>
    <row r="2226" spans="1:74" ht="14.4" x14ac:dyDescent="0.3">
      <c r="A2226" s="2" t="s">
        <v>2715</v>
      </c>
      <c r="B2226" s="3" t="s">
        <v>2657</v>
      </c>
      <c r="C2226" s="3" t="s">
        <v>1767</v>
      </c>
      <c r="D2226" s="112" t="s">
        <v>2716</v>
      </c>
      <c r="E2226" s="109"/>
      <c r="F2226" s="3" t="s">
        <v>115</v>
      </c>
      <c r="G2226" s="25">
        <v>20</v>
      </c>
      <c r="H2226" s="62"/>
      <c r="I2226" s="25">
        <f>ROUND(G2226*AM2226,2)</f>
        <v>0</v>
      </c>
      <c r="J2226" s="25">
        <f>ROUND(G2226*AN2226,2)</f>
        <v>0</v>
      </c>
      <c r="K2226" s="25">
        <f>ROUND(G2226*H2226,2)</f>
        <v>0</v>
      </c>
      <c r="L2226" s="25">
        <v>1.4999999999999999E-4</v>
      </c>
      <c r="M2226" s="25">
        <f>G2226*L2226</f>
        <v>2.9999999999999996E-3</v>
      </c>
      <c r="N2226" s="102"/>
      <c r="X2226" s="25">
        <f>ROUND(IF(AO2226="5",BH2226,0),2)</f>
        <v>0</v>
      </c>
      <c r="Z2226" s="25">
        <f>ROUND(IF(AO2226="1",BF2226,0),2)</f>
        <v>0</v>
      </c>
      <c r="AA2226" s="25">
        <f>ROUND(IF(AO2226="1",BG2226,0),2)</f>
        <v>0</v>
      </c>
      <c r="AB2226" s="25">
        <f>ROUND(IF(AO2226="7",BF2226,0),2)</f>
        <v>0</v>
      </c>
      <c r="AC2226" s="25">
        <f>ROUND(IF(AO2226="7",BG2226,0),2)</f>
        <v>0</v>
      </c>
      <c r="AD2226" s="25">
        <f>ROUND(IF(AO2226="2",BF2226,0),2)</f>
        <v>0</v>
      </c>
      <c r="AE2226" s="25">
        <f>ROUND(IF(AO2226="2",BG2226,0),2)</f>
        <v>0</v>
      </c>
      <c r="AF2226" s="25">
        <f>ROUND(IF(AO2226="0",BH2226,0),2)</f>
        <v>0</v>
      </c>
      <c r="AG2226" s="10" t="s">
        <v>2657</v>
      </c>
      <c r="AH2226" s="25">
        <f>IF(AL2226=0,K2226,0)</f>
        <v>0</v>
      </c>
      <c r="AI2226" s="25">
        <f>IF(AL2226=12,K2226,0)</f>
        <v>0</v>
      </c>
      <c r="AJ2226" s="25">
        <f>IF(AL2226=21,K2226,0)</f>
        <v>0</v>
      </c>
      <c r="AL2226" s="25">
        <v>21</v>
      </c>
      <c r="AM2226" s="25">
        <f>H2226*1</f>
        <v>0</v>
      </c>
      <c r="AN2226" s="25">
        <f>H2226*(1-1)</f>
        <v>0</v>
      </c>
      <c r="AO2226" s="27" t="s">
        <v>61</v>
      </c>
      <c r="AT2226" s="25">
        <f>ROUND(AU2226+AV2226,2)</f>
        <v>0</v>
      </c>
      <c r="AU2226" s="25">
        <f>ROUND(G2226*AM2226,2)</f>
        <v>0</v>
      </c>
      <c r="AV2226" s="25">
        <f>ROUND(G2226*AN2226,2)</f>
        <v>0</v>
      </c>
      <c r="AW2226" s="27" t="s">
        <v>84</v>
      </c>
      <c r="AX2226" s="27" t="s">
        <v>2699</v>
      </c>
      <c r="AY2226" s="10" t="s">
        <v>2661</v>
      </c>
      <c r="BA2226" s="25">
        <f>AU2226+AV2226</f>
        <v>0</v>
      </c>
      <c r="BB2226" s="25">
        <f>H2226/(100-BC2226)*100</f>
        <v>0</v>
      </c>
      <c r="BC2226" s="25">
        <v>0</v>
      </c>
      <c r="BD2226" s="25">
        <f>M2226</f>
        <v>2.9999999999999996E-3</v>
      </c>
      <c r="BF2226" s="25">
        <f>G2226*AM2226</f>
        <v>0</v>
      </c>
      <c r="BG2226" s="25">
        <f>G2226*AN2226</f>
        <v>0</v>
      </c>
      <c r="BH2226" s="25">
        <f>G2226*H2226</f>
        <v>0</v>
      </c>
      <c r="BI2226" s="27" t="s">
        <v>576</v>
      </c>
      <c r="BJ2226" s="25">
        <v>713</v>
      </c>
      <c r="BU2226" s="25" t="e">
        <f>#REF!</f>
        <v>#REF!</v>
      </c>
      <c r="BV2226" s="4" t="s">
        <v>2716</v>
      </c>
    </row>
    <row r="2227" spans="1:74" ht="14.4" x14ac:dyDescent="0.3">
      <c r="A2227" s="21" t="s">
        <v>52</v>
      </c>
      <c r="B2227" s="22" t="s">
        <v>2657</v>
      </c>
      <c r="C2227" s="22" t="s">
        <v>2083</v>
      </c>
      <c r="D2227" s="170" t="s">
        <v>2084</v>
      </c>
      <c r="E2227" s="171"/>
      <c r="F2227" s="23" t="s">
        <v>32</v>
      </c>
      <c r="G2227" s="23" t="s">
        <v>32</v>
      </c>
      <c r="H2227" s="64"/>
      <c r="I2227" s="1">
        <f>SUM(I2228:I2233)</f>
        <v>0</v>
      </c>
      <c r="J2227" s="1">
        <f>SUM(J2228:J2233)</f>
        <v>0</v>
      </c>
      <c r="K2227" s="1">
        <f>SUM(K2228:K2233)</f>
        <v>0</v>
      </c>
      <c r="L2227" s="10" t="s">
        <v>52</v>
      </c>
      <c r="M2227" s="1">
        <f>SUM(M2228:M2233)</f>
        <v>0.99122999999999994</v>
      </c>
      <c r="N2227" s="24"/>
      <c r="AG2227" s="10" t="s">
        <v>2657</v>
      </c>
      <c r="AQ2227" s="1">
        <f>SUM(AH2228:AH2233)</f>
        <v>0</v>
      </c>
      <c r="AR2227" s="1">
        <f>SUM(AI2228:AI2233)</f>
        <v>0</v>
      </c>
      <c r="AS2227" s="1">
        <f>SUM(AJ2228:AJ2233)</f>
        <v>0</v>
      </c>
    </row>
    <row r="2228" spans="1:74" ht="14.4" x14ac:dyDescent="0.3">
      <c r="A2228" s="2" t="s">
        <v>2717</v>
      </c>
      <c r="B2228" s="3" t="s">
        <v>2657</v>
      </c>
      <c r="C2228" s="3" t="s">
        <v>2718</v>
      </c>
      <c r="D2228" s="112" t="s">
        <v>2719</v>
      </c>
      <c r="E2228" s="109"/>
      <c r="F2228" s="3" t="s">
        <v>115</v>
      </c>
      <c r="G2228" s="25">
        <v>66</v>
      </c>
      <c r="H2228" s="62"/>
      <c r="I2228" s="25">
        <f>ROUND(G2228*AM2228,2)</f>
        <v>0</v>
      </c>
      <c r="J2228" s="25">
        <f>ROUND(G2228*AN2228,2)</f>
        <v>0</v>
      </c>
      <c r="K2228" s="25">
        <f>ROUND(G2228*H2228,2)</f>
        <v>0</v>
      </c>
      <c r="L2228" s="25">
        <v>3.81E-3</v>
      </c>
      <c r="M2228" s="25">
        <f>G2228*L2228</f>
        <v>0.25146000000000002</v>
      </c>
      <c r="N2228" s="26"/>
      <c r="X2228" s="25">
        <f>ROUND(IF(AO2228="5",BH2228,0),2)</f>
        <v>0</v>
      </c>
      <c r="Z2228" s="25">
        <f>ROUND(IF(AO2228="1",BF2228,0),2)</f>
        <v>0</v>
      </c>
      <c r="AA2228" s="25">
        <f>ROUND(IF(AO2228="1",BG2228,0),2)</f>
        <v>0</v>
      </c>
      <c r="AB2228" s="25">
        <f>ROUND(IF(AO2228="7",BF2228,0),2)</f>
        <v>0</v>
      </c>
      <c r="AC2228" s="25">
        <f>ROUND(IF(AO2228="7",BG2228,0),2)</f>
        <v>0</v>
      </c>
      <c r="AD2228" s="25">
        <f>ROUND(IF(AO2228="2",BF2228,0),2)</f>
        <v>0</v>
      </c>
      <c r="AE2228" s="25">
        <f>ROUND(IF(AO2228="2",BG2228,0),2)</f>
        <v>0</v>
      </c>
      <c r="AF2228" s="25">
        <f>ROUND(IF(AO2228="0",BH2228,0),2)</f>
        <v>0</v>
      </c>
      <c r="AG2228" s="10" t="s">
        <v>2657</v>
      </c>
      <c r="AH2228" s="25">
        <f>IF(AL2228=0,K2228,0)</f>
        <v>0</v>
      </c>
      <c r="AI2228" s="25">
        <f>IF(AL2228=12,K2228,0)</f>
        <v>0</v>
      </c>
      <c r="AJ2228" s="25">
        <f>IF(AL2228=21,K2228,0)</f>
        <v>0</v>
      </c>
      <c r="AL2228" s="25">
        <v>21</v>
      </c>
      <c r="AM2228" s="25">
        <f>H2228*0.884450262</f>
        <v>0</v>
      </c>
      <c r="AN2228" s="25">
        <f>H2228*(1-0.884450262)</f>
        <v>0</v>
      </c>
      <c r="AO2228" s="27" t="s">
        <v>61</v>
      </c>
      <c r="AT2228" s="25">
        <f>ROUND(AU2228+AV2228,2)</f>
        <v>0</v>
      </c>
      <c r="AU2228" s="25">
        <f>ROUND(G2228*AM2228,2)</f>
        <v>0</v>
      </c>
      <c r="AV2228" s="25">
        <f>ROUND(G2228*AN2228,2)</f>
        <v>0</v>
      </c>
      <c r="AW2228" s="27" t="s">
        <v>2088</v>
      </c>
      <c r="AX2228" s="27" t="s">
        <v>2720</v>
      </c>
      <c r="AY2228" s="10" t="s">
        <v>2661</v>
      </c>
      <c r="BA2228" s="25">
        <f>AU2228+AV2228</f>
        <v>0</v>
      </c>
      <c r="BB2228" s="25">
        <f>H2228/(100-BC2228)*100</f>
        <v>0</v>
      </c>
      <c r="BC2228" s="25">
        <v>0</v>
      </c>
      <c r="BD2228" s="25">
        <f>M2228</f>
        <v>0.25146000000000002</v>
      </c>
      <c r="BF2228" s="25">
        <f>G2228*AM2228</f>
        <v>0</v>
      </c>
      <c r="BG2228" s="25">
        <f>G2228*AN2228</f>
        <v>0</v>
      </c>
      <c r="BH2228" s="25">
        <f>G2228*H2228</f>
        <v>0</v>
      </c>
      <c r="BI2228" s="27" t="s">
        <v>65</v>
      </c>
      <c r="BJ2228" s="25">
        <v>723</v>
      </c>
      <c r="BU2228" s="25" t="e">
        <f>#REF!</f>
        <v>#REF!</v>
      </c>
      <c r="BV2228" s="4" t="s">
        <v>2719</v>
      </c>
    </row>
    <row r="2229" spans="1:74" ht="14.4" x14ac:dyDescent="0.3">
      <c r="A2229" s="2" t="s">
        <v>2721</v>
      </c>
      <c r="B2229" s="3" t="s">
        <v>2657</v>
      </c>
      <c r="C2229" s="3" t="s">
        <v>2722</v>
      </c>
      <c r="D2229" s="112" t="s">
        <v>2723</v>
      </c>
      <c r="E2229" s="109"/>
      <c r="F2229" s="3" t="s">
        <v>122</v>
      </c>
      <c r="G2229" s="25">
        <v>14</v>
      </c>
      <c r="H2229" s="62"/>
      <c r="I2229" s="25">
        <f>ROUND(G2229*AM2229,2)</f>
        <v>0</v>
      </c>
      <c r="J2229" s="25">
        <f>ROUND(G2229*AN2229,2)</f>
        <v>0</v>
      </c>
      <c r="K2229" s="25">
        <f>ROUND(G2229*H2229,2)</f>
        <v>0</v>
      </c>
      <c r="L2229" s="25">
        <v>4.6829999999999997E-2</v>
      </c>
      <c r="M2229" s="25">
        <f>G2229*L2229</f>
        <v>0.65561999999999998</v>
      </c>
      <c r="N2229" s="26"/>
      <c r="X2229" s="25">
        <f>ROUND(IF(AO2229="5",BH2229,0),2)</f>
        <v>0</v>
      </c>
      <c r="Z2229" s="25">
        <f>ROUND(IF(AO2229="1",BF2229,0),2)</f>
        <v>0</v>
      </c>
      <c r="AA2229" s="25">
        <f>ROUND(IF(AO2229="1",BG2229,0),2)</f>
        <v>0</v>
      </c>
      <c r="AB2229" s="25">
        <f>ROUND(IF(AO2229="7",BF2229,0),2)</f>
        <v>0</v>
      </c>
      <c r="AC2229" s="25">
        <f>ROUND(IF(AO2229="7",BG2229,0),2)</f>
        <v>0</v>
      </c>
      <c r="AD2229" s="25">
        <f>ROUND(IF(AO2229="2",BF2229,0),2)</f>
        <v>0</v>
      </c>
      <c r="AE2229" s="25">
        <f>ROUND(IF(AO2229="2",BG2229,0),2)</f>
        <v>0</v>
      </c>
      <c r="AF2229" s="25">
        <f>ROUND(IF(AO2229="0",BH2229,0),2)</f>
        <v>0</v>
      </c>
      <c r="AG2229" s="10" t="s">
        <v>2657</v>
      </c>
      <c r="AH2229" s="25">
        <f>IF(AL2229=0,K2229,0)</f>
        <v>0</v>
      </c>
      <c r="AI2229" s="25">
        <f>IF(AL2229=12,K2229,0)</f>
        <v>0</v>
      </c>
      <c r="AJ2229" s="25">
        <f>IF(AL2229=21,K2229,0)</f>
        <v>0</v>
      </c>
      <c r="AL2229" s="25">
        <v>21</v>
      </c>
      <c r="AM2229" s="25">
        <f>H2229*0.120800033</f>
        <v>0</v>
      </c>
      <c r="AN2229" s="25">
        <f>H2229*(1-0.120800033)</f>
        <v>0</v>
      </c>
      <c r="AO2229" s="27" t="s">
        <v>61</v>
      </c>
      <c r="AT2229" s="25">
        <f>ROUND(AU2229+AV2229,2)</f>
        <v>0</v>
      </c>
      <c r="AU2229" s="25">
        <f>ROUND(G2229*AM2229,2)</f>
        <v>0</v>
      </c>
      <c r="AV2229" s="25">
        <f>ROUND(G2229*AN2229,2)</f>
        <v>0</v>
      </c>
      <c r="AW2229" s="27" t="s">
        <v>2088</v>
      </c>
      <c r="AX2229" s="27" t="s">
        <v>2720</v>
      </c>
      <c r="AY2229" s="10" t="s">
        <v>2661</v>
      </c>
      <c r="BA2229" s="25">
        <f>AU2229+AV2229</f>
        <v>0</v>
      </c>
      <c r="BB2229" s="25">
        <f>H2229/(100-BC2229)*100</f>
        <v>0</v>
      </c>
      <c r="BC2229" s="25">
        <v>0</v>
      </c>
      <c r="BD2229" s="25">
        <f>M2229</f>
        <v>0.65561999999999998</v>
      </c>
      <c r="BF2229" s="25">
        <f>G2229*AM2229</f>
        <v>0</v>
      </c>
      <c r="BG2229" s="25">
        <f>G2229*AN2229</f>
        <v>0</v>
      </c>
      <c r="BH2229" s="25">
        <f>G2229*H2229</f>
        <v>0</v>
      </c>
      <c r="BI2229" s="27" t="s">
        <v>65</v>
      </c>
      <c r="BJ2229" s="25">
        <v>723</v>
      </c>
      <c r="BU2229" s="25" t="e">
        <f>#REF!</f>
        <v>#REF!</v>
      </c>
      <c r="BV2229" s="4" t="s">
        <v>2723</v>
      </c>
    </row>
    <row r="2230" spans="1:74" ht="14.4" x14ac:dyDescent="0.3">
      <c r="A2230" s="2" t="s">
        <v>2724</v>
      </c>
      <c r="B2230" s="3" t="s">
        <v>2657</v>
      </c>
      <c r="C2230" s="3" t="s">
        <v>2725</v>
      </c>
      <c r="D2230" s="112" t="s">
        <v>2726</v>
      </c>
      <c r="E2230" s="109"/>
      <c r="F2230" s="3" t="s">
        <v>60</v>
      </c>
      <c r="G2230" s="25">
        <v>20</v>
      </c>
      <c r="H2230" s="62"/>
      <c r="I2230" s="25">
        <f>ROUND(G2230*AM2230,2)</f>
        <v>0</v>
      </c>
      <c r="J2230" s="25">
        <f>ROUND(G2230*AN2230,2)</f>
        <v>0</v>
      </c>
      <c r="K2230" s="25">
        <f>ROUND(G2230*H2230,2)</f>
        <v>0</v>
      </c>
      <c r="L2230" s="25">
        <v>0</v>
      </c>
      <c r="M2230" s="25">
        <f>G2230*L2230</f>
        <v>0</v>
      </c>
      <c r="N2230" s="26"/>
      <c r="X2230" s="25">
        <f>ROUND(IF(AO2230="5",BH2230,0),2)</f>
        <v>0</v>
      </c>
      <c r="Z2230" s="25">
        <f>ROUND(IF(AO2230="1",BF2230,0),2)</f>
        <v>0</v>
      </c>
      <c r="AA2230" s="25">
        <f>ROUND(IF(AO2230="1",BG2230,0),2)</f>
        <v>0</v>
      </c>
      <c r="AB2230" s="25">
        <f>ROUND(IF(AO2230="7",BF2230,0),2)</f>
        <v>0</v>
      </c>
      <c r="AC2230" s="25">
        <f>ROUND(IF(AO2230="7",BG2230,0),2)</f>
        <v>0</v>
      </c>
      <c r="AD2230" s="25">
        <f>ROUND(IF(AO2230="2",BF2230,0),2)</f>
        <v>0</v>
      </c>
      <c r="AE2230" s="25">
        <f>ROUND(IF(AO2230="2",BG2230,0),2)</f>
        <v>0</v>
      </c>
      <c r="AF2230" s="25">
        <f>ROUND(IF(AO2230="0",BH2230,0),2)</f>
        <v>0</v>
      </c>
      <c r="AG2230" s="10" t="s">
        <v>2657</v>
      </c>
      <c r="AH2230" s="25">
        <f>IF(AL2230=0,K2230,0)</f>
        <v>0</v>
      </c>
      <c r="AI2230" s="25">
        <f>IF(AL2230=12,K2230,0)</f>
        <v>0</v>
      </c>
      <c r="AJ2230" s="25">
        <f>IF(AL2230=21,K2230,0)</f>
        <v>0</v>
      </c>
      <c r="AL2230" s="25">
        <v>21</v>
      </c>
      <c r="AM2230" s="25">
        <f>H2230*0</f>
        <v>0</v>
      </c>
      <c r="AN2230" s="25">
        <f>H2230*(1-0)</f>
        <v>0</v>
      </c>
      <c r="AO2230" s="27" t="s">
        <v>61</v>
      </c>
      <c r="AT2230" s="25">
        <f>ROUND(AU2230+AV2230,2)</f>
        <v>0</v>
      </c>
      <c r="AU2230" s="25">
        <f>ROUND(G2230*AM2230,2)</f>
        <v>0</v>
      </c>
      <c r="AV2230" s="25">
        <f>ROUND(G2230*AN2230,2)</f>
        <v>0</v>
      </c>
      <c r="AW2230" s="27" t="s">
        <v>2088</v>
      </c>
      <c r="AX2230" s="27" t="s">
        <v>2720</v>
      </c>
      <c r="AY2230" s="10" t="s">
        <v>2661</v>
      </c>
      <c r="BA2230" s="25">
        <f>AU2230+AV2230</f>
        <v>0</v>
      </c>
      <c r="BB2230" s="25">
        <f>H2230/(100-BC2230)*100</f>
        <v>0</v>
      </c>
      <c r="BC2230" s="25">
        <v>0</v>
      </c>
      <c r="BD2230" s="25">
        <f>M2230</f>
        <v>0</v>
      </c>
      <c r="BF2230" s="25">
        <f>G2230*AM2230</f>
        <v>0</v>
      </c>
      <c r="BG2230" s="25">
        <f>G2230*AN2230</f>
        <v>0</v>
      </c>
      <c r="BH2230" s="25">
        <f>G2230*H2230</f>
        <v>0</v>
      </c>
      <c r="BI2230" s="27" t="s">
        <v>65</v>
      </c>
      <c r="BJ2230" s="25">
        <v>723</v>
      </c>
      <c r="BU2230" s="25" t="e">
        <f>#REF!</f>
        <v>#REF!</v>
      </c>
      <c r="BV2230" s="4" t="s">
        <v>2726</v>
      </c>
    </row>
    <row r="2231" spans="1:74" ht="14.4" x14ac:dyDescent="0.3">
      <c r="A2231" s="28"/>
      <c r="D2231" s="29" t="s">
        <v>2727</v>
      </c>
      <c r="E2231" s="29" t="s">
        <v>52</v>
      </c>
      <c r="G2231" s="30">
        <v>20</v>
      </c>
      <c r="H2231" s="63"/>
      <c r="N2231" s="31"/>
    </row>
    <row r="2232" spans="1:74" ht="14.4" x14ac:dyDescent="0.3">
      <c r="A2232" s="2" t="s">
        <v>2728</v>
      </c>
      <c r="B2232" s="3" t="s">
        <v>2657</v>
      </c>
      <c r="C2232" s="3" t="s">
        <v>2250</v>
      </c>
      <c r="D2232" s="112" t="s">
        <v>2729</v>
      </c>
      <c r="E2232" s="109"/>
      <c r="F2232" s="3" t="s">
        <v>860</v>
      </c>
      <c r="G2232" s="25">
        <v>11</v>
      </c>
      <c r="H2232" s="62"/>
      <c r="I2232" s="25">
        <f>ROUND(G2232*AM2232,2)</f>
        <v>0</v>
      </c>
      <c r="J2232" s="25">
        <f>ROUND(G2232*AN2232,2)</f>
        <v>0</v>
      </c>
      <c r="K2232" s="25">
        <f>ROUND(G2232*H2232,2)</f>
        <v>0</v>
      </c>
      <c r="L2232" s="25">
        <v>5.1900000000000002E-3</v>
      </c>
      <c r="M2232" s="25">
        <f>G2232*L2232</f>
        <v>5.7090000000000002E-2</v>
      </c>
      <c r="N2232" s="102"/>
      <c r="X2232" s="25">
        <f>ROUND(IF(AO2232="5",BH2232,0),2)</f>
        <v>0</v>
      </c>
      <c r="Z2232" s="25">
        <f>ROUND(IF(AO2232="1",BF2232,0),2)</f>
        <v>0</v>
      </c>
      <c r="AA2232" s="25">
        <f>ROUND(IF(AO2232="1",BG2232,0),2)</f>
        <v>0</v>
      </c>
      <c r="AB2232" s="25">
        <f>ROUND(IF(AO2232="7",BF2232,0),2)</f>
        <v>0</v>
      </c>
      <c r="AC2232" s="25">
        <f>ROUND(IF(AO2232="7",BG2232,0),2)</f>
        <v>0</v>
      </c>
      <c r="AD2232" s="25">
        <f>ROUND(IF(AO2232="2",BF2232,0),2)</f>
        <v>0</v>
      </c>
      <c r="AE2232" s="25">
        <f>ROUND(IF(AO2232="2",BG2232,0),2)</f>
        <v>0</v>
      </c>
      <c r="AF2232" s="25">
        <f>ROUND(IF(AO2232="0",BH2232,0),2)</f>
        <v>0</v>
      </c>
      <c r="AG2232" s="10" t="s">
        <v>2657</v>
      </c>
      <c r="AH2232" s="25">
        <f>IF(AL2232=0,K2232,0)</f>
        <v>0</v>
      </c>
      <c r="AI2232" s="25">
        <f>IF(AL2232=12,K2232,0)</f>
        <v>0</v>
      </c>
      <c r="AJ2232" s="25">
        <f>IF(AL2232=21,K2232,0)</f>
        <v>0</v>
      </c>
      <c r="AL2232" s="25">
        <v>21</v>
      </c>
      <c r="AM2232" s="25">
        <f>H2232*0.046615385</f>
        <v>0</v>
      </c>
      <c r="AN2232" s="25">
        <f>H2232*(1-0.046615385)</f>
        <v>0</v>
      </c>
      <c r="AO2232" s="27" t="s">
        <v>61</v>
      </c>
      <c r="AT2232" s="25">
        <f>ROUND(AU2232+AV2232,2)</f>
        <v>0</v>
      </c>
      <c r="AU2232" s="25">
        <f>ROUND(G2232*AM2232,2)</f>
        <v>0</v>
      </c>
      <c r="AV2232" s="25">
        <f>ROUND(G2232*AN2232,2)</f>
        <v>0</v>
      </c>
      <c r="AW2232" s="27" t="s">
        <v>2088</v>
      </c>
      <c r="AX2232" s="27" t="s">
        <v>2720</v>
      </c>
      <c r="AY2232" s="10" t="s">
        <v>2661</v>
      </c>
      <c r="BA2232" s="25">
        <f>AU2232+AV2232</f>
        <v>0</v>
      </c>
      <c r="BB2232" s="25">
        <f>H2232/(100-BC2232)*100</f>
        <v>0</v>
      </c>
      <c r="BC2232" s="25">
        <v>0</v>
      </c>
      <c r="BD2232" s="25">
        <f>M2232</f>
        <v>5.7090000000000002E-2</v>
      </c>
      <c r="BF2232" s="25">
        <f>G2232*AM2232</f>
        <v>0</v>
      </c>
      <c r="BG2232" s="25">
        <f>G2232*AN2232</f>
        <v>0</v>
      </c>
      <c r="BH2232" s="25">
        <f>G2232*H2232</f>
        <v>0</v>
      </c>
      <c r="BI2232" s="27" t="s">
        <v>65</v>
      </c>
      <c r="BJ2232" s="25">
        <v>723</v>
      </c>
      <c r="BU2232" s="25" t="e">
        <f>#REF!</f>
        <v>#REF!</v>
      </c>
      <c r="BV2232" s="4" t="s">
        <v>2729</v>
      </c>
    </row>
    <row r="2233" spans="1:74" ht="14.4" x14ac:dyDescent="0.3">
      <c r="A2233" s="2" t="s">
        <v>55</v>
      </c>
      <c r="B2233" s="3" t="s">
        <v>2657</v>
      </c>
      <c r="C2233" s="3" t="s">
        <v>2086</v>
      </c>
      <c r="D2233" s="112" t="s">
        <v>2730</v>
      </c>
      <c r="E2233" s="109"/>
      <c r="F2233" s="3" t="s">
        <v>122</v>
      </c>
      <c r="G2233" s="25">
        <v>22</v>
      </c>
      <c r="H2233" s="62"/>
      <c r="I2233" s="25">
        <f>ROUND(G2233*AM2233,2)</f>
        <v>0</v>
      </c>
      <c r="J2233" s="25">
        <f>ROUND(G2233*AN2233,2)</f>
        <v>0</v>
      </c>
      <c r="K2233" s="25">
        <f>ROUND(G2233*H2233,2)</f>
        <v>0</v>
      </c>
      <c r="L2233" s="25">
        <v>1.23E-3</v>
      </c>
      <c r="M2233" s="25">
        <f>G2233*L2233</f>
        <v>2.7060000000000001E-2</v>
      </c>
      <c r="N2233" s="26"/>
      <c r="X2233" s="25">
        <f>ROUND(IF(AO2233="5",BH2233,0),2)</f>
        <v>0</v>
      </c>
      <c r="Z2233" s="25">
        <f>ROUND(IF(AO2233="1",BF2233,0),2)</f>
        <v>0</v>
      </c>
      <c r="AA2233" s="25">
        <f>ROUND(IF(AO2233="1",BG2233,0),2)</f>
        <v>0</v>
      </c>
      <c r="AB2233" s="25">
        <f>ROUND(IF(AO2233="7",BF2233,0),2)</f>
        <v>0</v>
      </c>
      <c r="AC2233" s="25">
        <f>ROUND(IF(AO2233="7",BG2233,0),2)</f>
        <v>0</v>
      </c>
      <c r="AD2233" s="25">
        <f>ROUND(IF(AO2233="2",BF2233,0),2)</f>
        <v>0</v>
      </c>
      <c r="AE2233" s="25">
        <f>ROUND(IF(AO2233="2",BG2233,0),2)</f>
        <v>0</v>
      </c>
      <c r="AF2233" s="25">
        <f>ROUND(IF(AO2233="0",BH2233,0),2)</f>
        <v>0</v>
      </c>
      <c r="AG2233" s="10" t="s">
        <v>2657</v>
      </c>
      <c r="AH2233" s="25">
        <f>IF(AL2233=0,K2233,0)</f>
        <v>0</v>
      </c>
      <c r="AI2233" s="25">
        <f>IF(AL2233=12,K2233,0)</f>
        <v>0</v>
      </c>
      <c r="AJ2233" s="25">
        <f>IF(AL2233=21,K2233,0)</f>
        <v>0</v>
      </c>
      <c r="AL2233" s="25">
        <v>21</v>
      </c>
      <c r="AM2233" s="25">
        <f>H2233*0</f>
        <v>0</v>
      </c>
      <c r="AN2233" s="25">
        <f>H2233*(1-0)</f>
        <v>0</v>
      </c>
      <c r="AO2233" s="27" t="s">
        <v>61</v>
      </c>
      <c r="AT2233" s="25">
        <f>ROUND(AU2233+AV2233,2)</f>
        <v>0</v>
      </c>
      <c r="AU2233" s="25">
        <f>ROUND(G2233*AM2233,2)</f>
        <v>0</v>
      </c>
      <c r="AV2233" s="25">
        <f>ROUND(G2233*AN2233,2)</f>
        <v>0</v>
      </c>
      <c r="AW2233" s="27" t="s">
        <v>2088</v>
      </c>
      <c r="AX2233" s="27" t="s">
        <v>2720</v>
      </c>
      <c r="AY2233" s="10" t="s">
        <v>2661</v>
      </c>
      <c r="BA2233" s="25">
        <f>AU2233+AV2233</f>
        <v>0</v>
      </c>
      <c r="BB2233" s="25">
        <f>H2233/(100-BC2233)*100</f>
        <v>0</v>
      </c>
      <c r="BC2233" s="25">
        <v>0</v>
      </c>
      <c r="BD2233" s="25">
        <f>M2233</f>
        <v>2.7060000000000001E-2</v>
      </c>
      <c r="BF2233" s="25">
        <f>G2233*AM2233</f>
        <v>0</v>
      </c>
      <c r="BG2233" s="25">
        <f>G2233*AN2233</f>
        <v>0</v>
      </c>
      <c r="BH2233" s="25">
        <f>G2233*H2233</f>
        <v>0</v>
      </c>
      <c r="BI2233" s="27" t="s">
        <v>65</v>
      </c>
      <c r="BJ2233" s="25">
        <v>723</v>
      </c>
      <c r="BU2233" s="25" t="e">
        <f>#REF!</f>
        <v>#REF!</v>
      </c>
      <c r="BV2233" s="4" t="s">
        <v>2730</v>
      </c>
    </row>
    <row r="2234" spans="1:74" ht="14.4" x14ac:dyDescent="0.3">
      <c r="A2234" s="21" t="s">
        <v>52</v>
      </c>
      <c r="B2234" s="22" t="s">
        <v>2657</v>
      </c>
      <c r="C2234" s="22" t="s">
        <v>2731</v>
      </c>
      <c r="D2234" s="170" t="s">
        <v>2732</v>
      </c>
      <c r="E2234" s="171"/>
      <c r="F2234" s="23" t="s">
        <v>32</v>
      </c>
      <c r="G2234" s="23" t="s">
        <v>32</v>
      </c>
      <c r="H2234" s="64"/>
      <c r="I2234" s="1">
        <f>SUM(I2235:I2255)</f>
        <v>0</v>
      </c>
      <c r="J2234" s="1">
        <f>SUM(J2235:J2255)</f>
        <v>0</v>
      </c>
      <c r="K2234" s="1">
        <f>SUM(K2235:K2255)</f>
        <v>0</v>
      </c>
      <c r="L2234" s="10" t="s">
        <v>52</v>
      </c>
      <c r="M2234" s="1">
        <f>SUM(M2235:M2255)</f>
        <v>0.74653999999999998</v>
      </c>
      <c r="N2234" s="24"/>
      <c r="AG2234" s="10" t="s">
        <v>2657</v>
      </c>
      <c r="AQ2234" s="1">
        <f>SUM(AH2235:AH2255)</f>
        <v>0</v>
      </c>
      <c r="AR2234" s="1">
        <f>SUM(AI2235:AI2255)</f>
        <v>0</v>
      </c>
      <c r="AS2234" s="1">
        <f>SUM(AJ2235:AJ2255)</f>
        <v>0</v>
      </c>
    </row>
    <row r="2235" spans="1:74" ht="14.4" x14ac:dyDescent="0.3">
      <c r="A2235" s="2" t="s">
        <v>1362</v>
      </c>
      <c r="B2235" s="3" t="s">
        <v>2657</v>
      </c>
      <c r="C2235" s="3" t="s">
        <v>2470</v>
      </c>
      <c r="D2235" s="112" t="s">
        <v>2733</v>
      </c>
      <c r="E2235" s="109"/>
      <c r="F2235" s="3" t="s">
        <v>860</v>
      </c>
      <c r="G2235" s="25">
        <v>1</v>
      </c>
      <c r="H2235" s="62"/>
      <c r="I2235" s="25">
        <f>ROUND(G2235*AM2235,2)</f>
        <v>0</v>
      </c>
      <c r="J2235" s="25">
        <f>ROUND(G2235*AN2235,2)</f>
        <v>0</v>
      </c>
      <c r="K2235" s="25">
        <f>ROUND(G2235*H2235,2)</f>
        <v>0</v>
      </c>
      <c r="L2235" s="25">
        <v>4.7600000000000003E-3</v>
      </c>
      <c r="M2235" s="25">
        <f>G2235*L2235</f>
        <v>4.7600000000000003E-3</v>
      </c>
      <c r="N2235" s="102"/>
      <c r="X2235" s="25">
        <f>ROUND(IF(AO2235="5",BH2235,0),2)</f>
        <v>0</v>
      </c>
      <c r="Z2235" s="25">
        <f>ROUND(IF(AO2235="1",BF2235,0),2)</f>
        <v>0</v>
      </c>
      <c r="AA2235" s="25">
        <f>ROUND(IF(AO2235="1",BG2235,0),2)</f>
        <v>0</v>
      </c>
      <c r="AB2235" s="25">
        <f>ROUND(IF(AO2235="7",BF2235,0),2)</f>
        <v>0</v>
      </c>
      <c r="AC2235" s="25">
        <f>ROUND(IF(AO2235="7",BG2235,0),2)</f>
        <v>0</v>
      </c>
      <c r="AD2235" s="25">
        <f>ROUND(IF(AO2235="2",BF2235,0),2)</f>
        <v>0</v>
      </c>
      <c r="AE2235" s="25">
        <f>ROUND(IF(AO2235="2",BG2235,0),2)</f>
        <v>0</v>
      </c>
      <c r="AF2235" s="25">
        <f>ROUND(IF(AO2235="0",BH2235,0),2)</f>
        <v>0</v>
      </c>
      <c r="AG2235" s="10" t="s">
        <v>2657</v>
      </c>
      <c r="AH2235" s="25">
        <f>IF(AL2235=0,K2235,0)</f>
        <v>0</v>
      </c>
      <c r="AI2235" s="25">
        <f>IF(AL2235=12,K2235,0)</f>
        <v>0</v>
      </c>
      <c r="AJ2235" s="25">
        <f>IF(AL2235=21,K2235,0)</f>
        <v>0</v>
      </c>
      <c r="AL2235" s="25">
        <v>21</v>
      </c>
      <c r="AM2235" s="25">
        <f>H2235*0.969130909</f>
        <v>0</v>
      </c>
      <c r="AN2235" s="25">
        <f>H2235*(1-0.969130909)</f>
        <v>0</v>
      </c>
      <c r="AO2235" s="27" t="s">
        <v>61</v>
      </c>
      <c r="AT2235" s="25">
        <f>ROUND(AU2235+AV2235,2)</f>
        <v>0</v>
      </c>
      <c r="AU2235" s="25">
        <f>ROUND(G2235*AM2235,2)</f>
        <v>0</v>
      </c>
      <c r="AV2235" s="25">
        <f>ROUND(G2235*AN2235,2)</f>
        <v>0</v>
      </c>
      <c r="AW2235" s="27" t="s">
        <v>2734</v>
      </c>
      <c r="AX2235" s="27" t="s">
        <v>2735</v>
      </c>
      <c r="AY2235" s="10" t="s">
        <v>2661</v>
      </c>
      <c r="BA2235" s="25">
        <f>AU2235+AV2235</f>
        <v>0</v>
      </c>
      <c r="BB2235" s="25">
        <f>H2235/(100-BC2235)*100</f>
        <v>0</v>
      </c>
      <c r="BC2235" s="25">
        <v>0</v>
      </c>
      <c r="BD2235" s="25">
        <f>M2235</f>
        <v>4.7600000000000003E-3</v>
      </c>
      <c r="BF2235" s="25">
        <f>G2235*AM2235</f>
        <v>0</v>
      </c>
      <c r="BG2235" s="25">
        <f>G2235*AN2235</f>
        <v>0</v>
      </c>
      <c r="BH2235" s="25">
        <f>G2235*H2235</f>
        <v>0</v>
      </c>
      <c r="BI2235" s="27" t="s">
        <v>65</v>
      </c>
      <c r="BJ2235" s="25">
        <v>731</v>
      </c>
      <c r="BU2235" s="25" t="e">
        <f>#REF!</f>
        <v>#REF!</v>
      </c>
      <c r="BV2235" s="4" t="s">
        <v>2733</v>
      </c>
    </row>
    <row r="2236" spans="1:74" ht="14.4" x14ac:dyDescent="0.3">
      <c r="A2236" s="28"/>
      <c r="D2236" s="29" t="s">
        <v>57</v>
      </c>
      <c r="E2236" s="29" t="s">
        <v>52</v>
      </c>
      <c r="G2236" s="30">
        <v>1</v>
      </c>
      <c r="H2236" s="63"/>
      <c r="N2236" s="31"/>
    </row>
    <row r="2237" spans="1:74" ht="26.4" x14ac:dyDescent="0.3">
      <c r="A2237" s="2" t="s">
        <v>79</v>
      </c>
      <c r="B2237" s="3" t="s">
        <v>2657</v>
      </c>
      <c r="C2237" s="3" t="s">
        <v>2475</v>
      </c>
      <c r="D2237" s="112" t="s">
        <v>2736</v>
      </c>
      <c r="E2237" s="109"/>
      <c r="F2237" s="3" t="s">
        <v>122</v>
      </c>
      <c r="G2237" s="25">
        <v>1</v>
      </c>
      <c r="H2237" s="62"/>
      <c r="I2237" s="25">
        <f>ROUND(G2237*AM2237,2)</f>
        <v>0</v>
      </c>
      <c r="J2237" s="25">
        <f>ROUND(G2237*AN2237,2)</f>
        <v>0</v>
      </c>
      <c r="K2237" s="25">
        <f>ROUND(G2237*H2237,2)</f>
        <v>0</v>
      </c>
      <c r="L2237" s="25">
        <v>1.8519999999999998E-2</v>
      </c>
      <c r="M2237" s="25">
        <f>G2237*L2237</f>
        <v>1.8519999999999998E-2</v>
      </c>
      <c r="N2237" s="102"/>
      <c r="X2237" s="25">
        <f>ROUND(IF(AO2237="5",BH2237,0),2)</f>
        <v>0</v>
      </c>
      <c r="Z2237" s="25">
        <f>ROUND(IF(AO2237="1",BF2237,0),2)</f>
        <v>0</v>
      </c>
      <c r="AA2237" s="25">
        <f>ROUND(IF(AO2237="1",BG2237,0),2)</f>
        <v>0</v>
      </c>
      <c r="AB2237" s="25">
        <f>ROUND(IF(AO2237="7",BF2237,0),2)</f>
        <v>0</v>
      </c>
      <c r="AC2237" s="25">
        <f>ROUND(IF(AO2237="7",BG2237,0),2)</f>
        <v>0</v>
      </c>
      <c r="AD2237" s="25">
        <f>ROUND(IF(AO2237="2",BF2237,0),2)</f>
        <v>0</v>
      </c>
      <c r="AE2237" s="25">
        <f>ROUND(IF(AO2237="2",BG2237,0),2)</f>
        <v>0</v>
      </c>
      <c r="AF2237" s="25">
        <f>ROUND(IF(AO2237="0",BH2237,0),2)</f>
        <v>0</v>
      </c>
      <c r="AG2237" s="10" t="s">
        <v>2657</v>
      </c>
      <c r="AH2237" s="25">
        <f>IF(AL2237=0,K2237,0)</f>
        <v>0</v>
      </c>
      <c r="AI2237" s="25">
        <f>IF(AL2237=12,K2237,0)</f>
        <v>0</v>
      </c>
      <c r="AJ2237" s="25">
        <f>IF(AL2237=21,K2237,0)</f>
        <v>0</v>
      </c>
      <c r="AL2237" s="25">
        <v>21</v>
      </c>
      <c r="AM2237" s="25">
        <f>H2237*1</f>
        <v>0</v>
      </c>
      <c r="AN2237" s="25">
        <f>H2237*(1-1)</f>
        <v>0</v>
      </c>
      <c r="AO2237" s="27" t="s">
        <v>61</v>
      </c>
      <c r="AT2237" s="25">
        <f>ROUND(AU2237+AV2237,2)</f>
        <v>0</v>
      </c>
      <c r="AU2237" s="25">
        <f>ROUND(G2237*AM2237,2)</f>
        <v>0</v>
      </c>
      <c r="AV2237" s="25">
        <f>ROUND(G2237*AN2237,2)</f>
        <v>0</v>
      </c>
      <c r="AW2237" s="27" t="s">
        <v>2734</v>
      </c>
      <c r="AX2237" s="27" t="s">
        <v>2735</v>
      </c>
      <c r="AY2237" s="10" t="s">
        <v>2661</v>
      </c>
      <c r="BA2237" s="25">
        <f>AU2237+AV2237</f>
        <v>0</v>
      </c>
      <c r="BB2237" s="25">
        <f>H2237/(100-BC2237)*100</f>
        <v>0</v>
      </c>
      <c r="BC2237" s="25">
        <v>0</v>
      </c>
      <c r="BD2237" s="25">
        <f>M2237</f>
        <v>1.8519999999999998E-2</v>
      </c>
      <c r="BF2237" s="25">
        <f>G2237*AM2237</f>
        <v>0</v>
      </c>
      <c r="BG2237" s="25">
        <f>G2237*AN2237</f>
        <v>0</v>
      </c>
      <c r="BH2237" s="25">
        <f>G2237*H2237</f>
        <v>0</v>
      </c>
      <c r="BI2237" s="27" t="s">
        <v>65</v>
      </c>
      <c r="BJ2237" s="25">
        <v>731</v>
      </c>
      <c r="BU2237" s="25" t="e">
        <f>#REF!</f>
        <v>#REF!</v>
      </c>
      <c r="BV2237" s="4" t="s">
        <v>2736</v>
      </c>
    </row>
    <row r="2238" spans="1:74" ht="14.4" x14ac:dyDescent="0.3">
      <c r="A2238" s="28"/>
      <c r="D2238" s="29" t="s">
        <v>57</v>
      </c>
      <c r="E2238" s="29" t="s">
        <v>52</v>
      </c>
      <c r="G2238" s="30">
        <v>1</v>
      </c>
      <c r="H2238" s="63"/>
      <c r="N2238" s="31"/>
    </row>
    <row r="2239" spans="1:74" ht="14.4" x14ac:dyDescent="0.3">
      <c r="A2239" s="2" t="s">
        <v>2737</v>
      </c>
      <c r="B2239" s="3" t="s">
        <v>2657</v>
      </c>
      <c r="C2239" s="3" t="s">
        <v>2478</v>
      </c>
      <c r="D2239" s="112" t="s">
        <v>2738</v>
      </c>
      <c r="E2239" s="109"/>
      <c r="F2239" s="3" t="s">
        <v>860</v>
      </c>
      <c r="G2239" s="25">
        <v>1</v>
      </c>
      <c r="H2239" s="62"/>
      <c r="I2239" s="25">
        <f>ROUND(G2239*AM2239,2)</f>
        <v>0</v>
      </c>
      <c r="J2239" s="25">
        <f>ROUND(G2239*AN2239,2)</f>
        <v>0</v>
      </c>
      <c r="K2239" s="25">
        <f>ROUND(G2239*H2239,2)</f>
        <v>0</v>
      </c>
      <c r="L2239" s="25">
        <v>5.1900000000000002E-3</v>
      </c>
      <c r="M2239" s="25">
        <f>G2239*L2239</f>
        <v>5.1900000000000002E-3</v>
      </c>
      <c r="N2239" s="102"/>
      <c r="X2239" s="25">
        <f>ROUND(IF(AO2239="5",BH2239,0),2)</f>
        <v>0</v>
      </c>
      <c r="Z2239" s="25">
        <f>ROUND(IF(AO2239="1",BF2239,0),2)</f>
        <v>0</v>
      </c>
      <c r="AA2239" s="25">
        <f>ROUND(IF(AO2239="1",BG2239,0),2)</f>
        <v>0</v>
      </c>
      <c r="AB2239" s="25">
        <f>ROUND(IF(AO2239="7",BF2239,0),2)</f>
        <v>0</v>
      </c>
      <c r="AC2239" s="25">
        <f>ROUND(IF(AO2239="7",BG2239,0),2)</f>
        <v>0</v>
      </c>
      <c r="AD2239" s="25">
        <f>ROUND(IF(AO2239="2",BF2239,0),2)</f>
        <v>0</v>
      </c>
      <c r="AE2239" s="25">
        <f>ROUND(IF(AO2239="2",BG2239,0),2)</f>
        <v>0</v>
      </c>
      <c r="AF2239" s="25">
        <f>ROUND(IF(AO2239="0",BH2239,0),2)</f>
        <v>0</v>
      </c>
      <c r="AG2239" s="10" t="s">
        <v>2657</v>
      </c>
      <c r="AH2239" s="25">
        <f>IF(AL2239=0,K2239,0)</f>
        <v>0</v>
      </c>
      <c r="AI2239" s="25">
        <f>IF(AL2239=12,K2239,0)</f>
        <v>0</v>
      </c>
      <c r="AJ2239" s="25">
        <f>IF(AL2239=21,K2239,0)</f>
        <v>0</v>
      </c>
      <c r="AL2239" s="25">
        <v>21</v>
      </c>
      <c r="AM2239" s="25">
        <f>H2239*0.13392</f>
        <v>0</v>
      </c>
      <c r="AN2239" s="25">
        <f>H2239*(1-0.13392)</f>
        <v>0</v>
      </c>
      <c r="AO2239" s="27" t="s">
        <v>61</v>
      </c>
      <c r="AT2239" s="25">
        <f>ROUND(AU2239+AV2239,2)</f>
        <v>0</v>
      </c>
      <c r="AU2239" s="25">
        <f>ROUND(G2239*AM2239,2)</f>
        <v>0</v>
      </c>
      <c r="AV2239" s="25">
        <f>ROUND(G2239*AN2239,2)</f>
        <v>0</v>
      </c>
      <c r="AW2239" s="27" t="s">
        <v>2734</v>
      </c>
      <c r="AX2239" s="27" t="s">
        <v>2735</v>
      </c>
      <c r="AY2239" s="10" t="s">
        <v>2661</v>
      </c>
      <c r="BA2239" s="25">
        <f>AU2239+AV2239</f>
        <v>0</v>
      </c>
      <c r="BB2239" s="25">
        <f>H2239/(100-BC2239)*100</f>
        <v>0</v>
      </c>
      <c r="BC2239" s="25">
        <v>0</v>
      </c>
      <c r="BD2239" s="25">
        <f>M2239</f>
        <v>5.1900000000000002E-3</v>
      </c>
      <c r="BF2239" s="25">
        <f>G2239*AM2239</f>
        <v>0</v>
      </c>
      <c r="BG2239" s="25">
        <f>G2239*AN2239</f>
        <v>0</v>
      </c>
      <c r="BH2239" s="25">
        <f>G2239*H2239</f>
        <v>0</v>
      </c>
      <c r="BI2239" s="27" t="s">
        <v>65</v>
      </c>
      <c r="BJ2239" s="25">
        <v>731</v>
      </c>
      <c r="BU2239" s="25" t="e">
        <f>#REF!</f>
        <v>#REF!</v>
      </c>
      <c r="BV2239" s="4" t="s">
        <v>2738</v>
      </c>
    </row>
    <row r="2240" spans="1:74" ht="14.4" x14ac:dyDescent="0.3">
      <c r="A2240" s="2" t="s">
        <v>2739</v>
      </c>
      <c r="B2240" s="3" t="s">
        <v>2657</v>
      </c>
      <c r="C2240" s="3" t="s">
        <v>2481</v>
      </c>
      <c r="D2240" s="112" t="s">
        <v>2740</v>
      </c>
      <c r="E2240" s="109"/>
      <c r="F2240" s="3" t="s">
        <v>860</v>
      </c>
      <c r="G2240" s="25">
        <v>1</v>
      </c>
      <c r="H2240" s="62"/>
      <c r="I2240" s="25">
        <f>ROUND(G2240*AM2240,2)</f>
        <v>0</v>
      </c>
      <c r="J2240" s="25">
        <f>ROUND(G2240*AN2240,2)</f>
        <v>0</v>
      </c>
      <c r="K2240" s="25">
        <f>ROUND(G2240*H2240,2)</f>
        <v>0</v>
      </c>
      <c r="L2240" s="25">
        <v>5.1900000000000002E-3</v>
      </c>
      <c r="M2240" s="25">
        <f>G2240*L2240</f>
        <v>5.1900000000000002E-3</v>
      </c>
      <c r="N2240" s="102"/>
      <c r="X2240" s="25">
        <f>ROUND(IF(AO2240="5",BH2240,0),2)</f>
        <v>0</v>
      </c>
      <c r="Z2240" s="25">
        <f>ROUND(IF(AO2240="1",BF2240,0),2)</f>
        <v>0</v>
      </c>
      <c r="AA2240" s="25">
        <f>ROUND(IF(AO2240="1",BG2240,0),2)</f>
        <v>0</v>
      </c>
      <c r="AB2240" s="25">
        <f>ROUND(IF(AO2240="7",BF2240,0),2)</f>
        <v>0</v>
      </c>
      <c r="AC2240" s="25">
        <f>ROUND(IF(AO2240="7",BG2240,0),2)</f>
        <v>0</v>
      </c>
      <c r="AD2240" s="25">
        <f>ROUND(IF(AO2240="2",BF2240,0),2)</f>
        <v>0</v>
      </c>
      <c r="AE2240" s="25">
        <f>ROUND(IF(AO2240="2",BG2240,0),2)</f>
        <v>0</v>
      </c>
      <c r="AF2240" s="25">
        <f>ROUND(IF(AO2240="0",BH2240,0),2)</f>
        <v>0</v>
      </c>
      <c r="AG2240" s="10" t="s">
        <v>2657</v>
      </c>
      <c r="AH2240" s="25">
        <f>IF(AL2240=0,K2240,0)</f>
        <v>0</v>
      </c>
      <c r="AI2240" s="25">
        <f>IF(AL2240=12,K2240,0)</f>
        <v>0</v>
      </c>
      <c r="AJ2240" s="25">
        <f>IF(AL2240=21,K2240,0)</f>
        <v>0</v>
      </c>
      <c r="AL2240" s="25">
        <v>21</v>
      </c>
      <c r="AM2240" s="25">
        <f>H2240*0.131052308</f>
        <v>0</v>
      </c>
      <c r="AN2240" s="25">
        <f>H2240*(1-0.131052308)</f>
        <v>0</v>
      </c>
      <c r="AO2240" s="27" t="s">
        <v>61</v>
      </c>
      <c r="AT2240" s="25">
        <f>ROUND(AU2240+AV2240,2)</f>
        <v>0</v>
      </c>
      <c r="AU2240" s="25">
        <f>ROUND(G2240*AM2240,2)</f>
        <v>0</v>
      </c>
      <c r="AV2240" s="25">
        <f>ROUND(G2240*AN2240,2)</f>
        <v>0</v>
      </c>
      <c r="AW2240" s="27" t="s">
        <v>2734</v>
      </c>
      <c r="AX2240" s="27" t="s">
        <v>2735</v>
      </c>
      <c r="AY2240" s="10" t="s">
        <v>2661</v>
      </c>
      <c r="BA2240" s="25">
        <f>AU2240+AV2240</f>
        <v>0</v>
      </c>
      <c r="BB2240" s="25">
        <f>H2240/(100-BC2240)*100</f>
        <v>0</v>
      </c>
      <c r="BC2240" s="25">
        <v>0</v>
      </c>
      <c r="BD2240" s="25">
        <f>M2240</f>
        <v>5.1900000000000002E-3</v>
      </c>
      <c r="BF2240" s="25">
        <f>G2240*AM2240</f>
        <v>0</v>
      </c>
      <c r="BG2240" s="25">
        <f>G2240*AN2240</f>
        <v>0</v>
      </c>
      <c r="BH2240" s="25">
        <f>G2240*H2240</f>
        <v>0</v>
      </c>
      <c r="BI2240" s="27" t="s">
        <v>65</v>
      </c>
      <c r="BJ2240" s="25">
        <v>731</v>
      </c>
      <c r="BU2240" s="25" t="e">
        <f>#REF!</f>
        <v>#REF!</v>
      </c>
      <c r="BV2240" s="4" t="s">
        <v>2740</v>
      </c>
    </row>
    <row r="2241" spans="1:74" ht="14.4" x14ac:dyDescent="0.3">
      <c r="A2241" s="28"/>
      <c r="D2241" s="29" t="s">
        <v>57</v>
      </c>
      <c r="E2241" s="29" t="s">
        <v>52</v>
      </c>
      <c r="G2241" s="30">
        <v>1</v>
      </c>
      <c r="H2241" s="63"/>
      <c r="N2241" s="31"/>
    </row>
    <row r="2242" spans="1:74" ht="26.4" x14ac:dyDescent="0.3">
      <c r="A2242" s="2" t="s">
        <v>2741</v>
      </c>
      <c r="B2242" s="3" t="s">
        <v>2657</v>
      </c>
      <c r="C2242" s="3" t="s">
        <v>2742</v>
      </c>
      <c r="D2242" s="112" t="s">
        <v>2743</v>
      </c>
      <c r="E2242" s="109"/>
      <c r="F2242" s="3" t="s">
        <v>860</v>
      </c>
      <c r="G2242" s="25">
        <v>1</v>
      </c>
      <c r="H2242" s="62"/>
      <c r="I2242" s="25">
        <f>ROUND(G2242*AM2242,2)</f>
        <v>0</v>
      </c>
      <c r="J2242" s="25">
        <f>ROUND(G2242*AN2242,2)</f>
        <v>0</v>
      </c>
      <c r="K2242" s="25">
        <f>ROUND(G2242*H2242,2)</f>
        <v>0</v>
      </c>
      <c r="L2242" s="25">
        <v>1.6160000000000001E-2</v>
      </c>
      <c r="M2242" s="25">
        <f>G2242*L2242</f>
        <v>1.6160000000000001E-2</v>
      </c>
      <c r="N2242" s="26"/>
      <c r="X2242" s="25">
        <f>ROUND(IF(AO2242="5",BH2242,0),2)</f>
        <v>0</v>
      </c>
      <c r="Z2242" s="25">
        <f>ROUND(IF(AO2242="1",BF2242,0),2)</f>
        <v>0</v>
      </c>
      <c r="AA2242" s="25">
        <f>ROUND(IF(AO2242="1",BG2242,0),2)</f>
        <v>0</v>
      </c>
      <c r="AB2242" s="25">
        <f>ROUND(IF(AO2242="7",BF2242,0),2)</f>
        <v>0</v>
      </c>
      <c r="AC2242" s="25">
        <f>ROUND(IF(AO2242="7",BG2242,0),2)</f>
        <v>0</v>
      </c>
      <c r="AD2242" s="25">
        <f>ROUND(IF(AO2242="2",BF2242,0),2)</f>
        <v>0</v>
      </c>
      <c r="AE2242" s="25">
        <f>ROUND(IF(AO2242="2",BG2242,0),2)</f>
        <v>0</v>
      </c>
      <c r="AF2242" s="25">
        <f>ROUND(IF(AO2242="0",BH2242,0),2)</f>
        <v>0</v>
      </c>
      <c r="AG2242" s="10" t="s">
        <v>2657</v>
      </c>
      <c r="AH2242" s="25">
        <f>IF(AL2242=0,K2242,0)</f>
        <v>0</v>
      </c>
      <c r="AI2242" s="25">
        <f>IF(AL2242=12,K2242,0)</f>
        <v>0</v>
      </c>
      <c r="AJ2242" s="25">
        <f>IF(AL2242=21,K2242,0)</f>
        <v>0</v>
      </c>
      <c r="AL2242" s="25">
        <v>21</v>
      </c>
      <c r="AM2242" s="25">
        <f>H2242*1</f>
        <v>0</v>
      </c>
      <c r="AN2242" s="25">
        <f>H2242*(1-1)</f>
        <v>0</v>
      </c>
      <c r="AO2242" s="27" t="s">
        <v>61</v>
      </c>
      <c r="AT2242" s="25">
        <f>ROUND(AU2242+AV2242,2)</f>
        <v>0</v>
      </c>
      <c r="AU2242" s="25">
        <f>ROUND(G2242*AM2242,2)</f>
        <v>0</v>
      </c>
      <c r="AV2242" s="25">
        <f>ROUND(G2242*AN2242,2)</f>
        <v>0</v>
      </c>
      <c r="AW2242" s="27" t="s">
        <v>2734</v>
      </c>
      <c r="AX2242" s="27" t="s">
        <v>2735</v>
      </c>
      <c r="AY2242" s="10" t="s">
        <v>2661</v>
      </c>
      <c r="BA2242" s="25">
        <f>AU2242+AV2242</f>
        <v>0</v>
      </c>
      <c r="BB2242" s="25">
        <f>H2242/(100-BC2242)*100</f>
        <v>0</v>
      </c>
      <c r="BC2242" s="25">
        <v>0</v>
      </c>
      <c r="BD2242" s="25">
        <f>M2242</f>
        <v>1.6160000000000001E-2</v>
      </c>
      <c r="BF2242" s="25">
        <f>G2242*AM2242</f>
        <v>0</v>
      </c>
      <c r="BG2242" s="25">
        <f>G2242*AN2242</f>
        <v>0</v>
      </c>
      <c r="BH2242" s="25">
        <f>G2242*H2242</f>
        <v>0</v>
      </c>
      <c r="BI2242" s="27" t="s">
        <v>65</v>
      </c>
      <c r="BJ2242" s="25">
        <v>731</v>
      </c>
      <c r="BU2242" s="25" t="e">
        <f>#REF!</f>
        <v>#REF!</v>
      </c>
      <c r="BV2242" s="4" t="s">
        <v>2743</v>
      </c>
    </row>
    <row r="2243" spans="1:74" ht="14.4" x14ac:dyDescent="0.3">
      <c r="A2243" s="28"/>
      <c r="D2243" s="29" t="s">
        <v>57</v>
      </c>
      <c r="E2243" s="29" t="s">
        <v>52</v>
      </c>
      <c r="G2243" s="30">
        <v>1</v>
      </c>
      <c r="H2243" s="63"/>
      <c r="N2243" s="31"/>
    </row>
    <row r="2244" spans="1:74" ht="14.4" x14ac:dyDescent="0.3">
      <c r="A2244" s="2" t="s">
        <v>2744</v>
      </c>
      <c r="B2244" s="3" t="s">
        <v>2657</v>
      </c>
      <c r="C2244" s="3" t="s">
        <v>2745</v>
      </c>
      <c r="D2244" s="112" t="s">
        <v>2746</v>
      </c>
      <c r="E2244" s="109"/>
      <c r="F2244" s="3" t="s">
        <v>860</v>
      </c>
      <c r="G2244" s="25">
        <v>1</v>
      </c>
      <c r="H2244" s="62"/>
      <c r="I2244" s="25">
        <f>ROUND(G2244*AM2244,2)</f>
        <v>0</v>
      </c>
      <c r="J2244" s="25">
        <f>ROUND(G2244*AN2244,2)</f>
        <v>0</v>
      </c>
      <c r="K2244" s="25">
        <f>ROUND(G2244*H2244,2)</f>
        <v>0</v>
      </c>
      <c r="L2244" s="25">
        <v>4.7600000000000003E-3</v>
      </c>
      <c r="M2244" s="25">
        <f>G2244*L2244</f>
        <v>4.7600000000000003E-3</v>
      </c>
      <c r="N2244" s="26"/>
      <c r="X2244" s="25">
        <f>ROUND(IF(AO2244="5",BH2244,0),2)</f>
        <v>0</v>
      </c>
      <c r="Z2244" s="25">
        <f>ROUND(IF(AO2244="1",BF2244,0),2)</f>
        <v>0</v>
      </c>
      <c r="AA2244" s="25">
        <f>ROUND(IF(AO2244="1",BG2244,0),2)</f>
        <v>0</v>
      </c>
      <c r="AB2244" s="25">
        <f>ROUND(IF(AO2244="7",BF2244,0),2)</f>
        <v>0</v>
      </c>
      <c r="AC2244" s="25">
        <f>ROUND(IF(AO2244="7",BG2244,0),2)</f>
        <v>0</v>
      </c>
      <c r="AD2244" s="25">
        <f>ROUND(IF(AO2244="2",BF2244,0),2)</f>
        <v>0</v>
      </c>
      <c r="AE2244" s="25">
        <f>ROUND(IF(AO2244="2",BG2244,0),2)</f>
        <v>0</v>
      </c>
      <c r="AF2244" s="25">
        <f>ROUND(IF(AO2244="0",BH2244,0),2)</f>
        <v>0</v>
      </c>
      <c r="AG2244" s="10" t="s">
        <v>2657</v>
      </c>
      <c r="AH2244" s="25">
        <f>IF(AL2244=0,K2244,0)</f>
        <v>0</v>
      </c>
      <c r="AI2244" s="25">
        <f>IF(AL2244=12,K2244,0)</f>
        <v>0</v>
      </c>
      <c r="AJ2244" s="25">
        <f>IF(AL2244=21,K2244,0)</f>
        <v>0</v>
      </c>
      <c r="AL2244" s="25">
        <v>21</v>
      </c>
      <c r="AM2244" s="25">
        <f>H2244*0</f>
        <v>0</v>
      </c>
      <c r="AN2244" s="25">
        <f>H2244*(1-0)</f>
        <v>0</v>
      </c>
      <c r="AO2244" s="27" t="s">
        <v>61</v>
      </c>
      <c r="AT2244" s="25">
        <f>ROUND(AU2244+AV2244,2)</f>
        <v>0</v>
      </c>
      <c r="AU2244" s="25">
        <f>ROUND(G2244*AM2244,2)</f>
        <v>0</v>
      </c>
      <c r="AV2244" s="25">
        <f>ROUND(G2244*AN2244,2)</f>
        <v>0</v>
      </c>
      <c r="AW2244" s="27" t="s">
        <v>2734</v>
      </c>
      <c r="AX2244" s="27" t="s">
        <v>2735</v>
      </c>
      <c r="AY2244" s="10" t="s">
        <v>2661</v>
      </c>
      <c r="BA2244" s="25">
        <f>AU2244+AV2244</f>
        <v>0</v>
      </c>
      <c r="BB2244" s="25">
        <f>H2244/(100-BC2244)*100</f>
        <v>0</v>
      </c>
      <c r="BC2244" s="25">
        <v>0</v>
      </c>
      <c r="BD2244" s="25">
        <f>M2244</f>
        <v>4.7600000000000003E-3</v>
      </c>
      <c r="BF2244" s="25">
        <f>G2244*AM2244</f>
        <v>0</v>
      </c>
      <c r="BG2244" s="25">
        <f>G2244*AN2244</f>
        <v>0</v>
      </c>
      <c r="BH2244" s="25">
        <f>G2244*H2244</f>
        <v>0</v>
      </c>
      <c r="BI2244" s="27" t="s">
        <v>65</v>
      </c>
      <c r="BJ2244" s="25">
        <v>731</v>
      </c>
      <c r="BU2244" s="25" t="e">
        <f>#REF!</f>
        <v>#REF!</v>
      </c>
      <c r="BV2244" s="4" t="s">
        <v>2746</v>
      </c>
    </row>
    <row r="2245" spans="1:74" ht="14.4" x14ac:dyDescent="0.3">
      <c r="A2245" s="28"/>
      <c r="D2245" s="29" t="s">
        <v>57</v>
      </c>
      <c r="E2245" s="29" t="s">
        <v>52</v>
      </c>
      <c r="G2245" s="30">
        <v>1</v>
      </c>
      <c r="H2245" s="63"/>
      <c r="N2245" s="31"/>
    </row>
    <row r="2246" spans="1:74" ht="26.4" x14ac:dyDescent="0.3">
      <c r="A2246" s="2" t="s">
        <v>2747</v>
      </c>
      <c r="B2246" s="3" t="s">
        <v>2657</v>
      </c>
      <c r="C2246" s="3" t="s">
        <v>2228</v>
      </c>
      <c r="D2246" s="112" t="s">
        <v>2748</v>
      </c>
      <c r="E2246" s="109"/>
      <c r="F2246" s="3" t="s">
        <v>122</v>
      </c>
      <c r="G2246" s="25">
        <v>1</v>
      </c>
      <c r="H2246" s="62"/>
      <c r="I2246" s="25">
        <f>ROUND(G2246*AM2246,2)</f>
        <v>0</v>
      </c>
      <c r="J2246" s="25">
        <f>ROUND(G2246*AN2246,2)</f>
        <v>0</v>
      </c>
      <c r="K2246" s="25">
        <f>ROUND(G2246*H2246,2)</f>
        <v>0</v>
      </c>
      <c r="L2246" s="25">
        <v>0</v>
      </c>
      <c r="M2246" s="25">
        <f>G2246*L2246</f>
        <v>0</v>
      </c>
      <c r="N2246" s="26"/>
      <c r="X2246" s="25">
        <f>ROUND(IF(AO2246="5",BH2246,0),2)</f>
        <v>0</v>
      </c>
      <c r="Z2246" s="25">
        <f>ROUND(IF(AO2246="1",BF2246,0),2)</f>
        <v>0</v>
      </c>
      <c r="AA2246" s="25">
        <f>ROUND(IF(AO2246="1",BG2246,0),2)</f>
        <v>0</v>
      </c>
      <c r="AB2246" s="25">
        <f>ROUND(IF(AO2246="7",BF2246,0),2)</f>
        <v>0</v>
      </c>
      <c r="AC2246" s="25">
        <f>ROUND(IF(AO2246="7",BG2246,0),2)</f>
        <v>0</v>
      </c>
      <c r="AD2246" s="25">
        <f>ROUND(IF(AO2246="2",BF2246,0),2)</f>
        <v>0</v>
      </c>
      <c r="AE2246" s="25">
        <f>ROUND(IF(AO2246="2",BG2246,0),2)</f>
        <v>0</v>
      </c>
      <c r="AF2246" s="25">
        <f>ROUND(IF(AO2246="0",BH2246,0),2)</f>
        <v>0</v>
      </c>
      <c r="AG2246" s="10" t="s">
        <v>2657</v>
      </c>
      <c r="AH2246" s="25">
        <f>IF(AL2246=0,K2246,0)</f>
        <v>0</v>
      </c>
      <c r="AI2246" s="25">
        <f>IF(AL2246=12,K2246,0)</f>
        <v>0</v>
      </c>
      <c r="AJ2246" s="25">
        <f>IF(AL2246=21,K2246,0)</f>
        <v>0</v>
      </c>
      <c r="AL2246" s="25">
        <v>21</v>
      </c>
      <c r="AM2246" s="25">
        <f>H2246*0</f>
        <v>0</v>
      </c>
      <c r="AN2246" s="25">
        <f>H2246*(1-0)</f>
        <v>0</v>
      </c>
      <c r="AO2246" s="27" t="s">
        <v>61</v>
      </c>
      <c r="AT2246" s="25">
        <f>ROUND(AU2246+AV2246,2)</f>
        <v>0</v>
      </c>
      <c r="AU2246" s="25">
        <f>ROUND(G2246*AM2246,2)</f>
        <v>0</v>
      </c>
      <c r="AV2246" s="25">
        <f>ROUND(G2246*AN2246,2)</f>
        <v>0</v>
      </c>
      <c r="AW2246" s="27" t="s">
        <v>2734</v>
      </c>
      <c r="AX2246" s="27" t="s">
        <v>2735</v>
      </c>
      <c r="AY2246" s="10" t="s">
        <v>2661</v>
      </c>
      <c r="BA2246" s="25">
        <f>AU2246+AV2246</f>
        <v>0</v>
      </c>
      <c r="BB2246" s="25">
        <f>H2246/(100-BC2246)*100</f>
        <v>0</v>
      </c>
      <c r="BC2246" s="25">
        <v>0</v>
      </c>
      <c r="BD2246" s="25">
        <f>M2246</f>
        <v>0</v>
      </c>
      <c r="BF2246" s="25">
        <f>G2246*AM2246</f>
        <v>0</v>
      </c>
      <c r="BG2246" s="25">
        <f>G2246*AN2246</f>
        <v>0</v>
      </c>
      <c r="BH2246" s="25">
        <f>G2246*H2246</f>
        <v>0</v>
      </c>
      <c r="BI2246" s="27" t="s">
        <v>65</v>
      </c>
      <c r="BJ2246" s="25">
        <v>731</v>
      </c>
      <c r="BU2246" s="25" t="e">
        <f>#REF!</f>
        <v>#REF!</v>
      </c>
      <c r="BV2246" s="4" t="s">
        <v>2748</v>
      </c>
    </row>
    <row r="2247" spans="1:74" ht="14.4" x14ac:dyDescent="0.3">
      <c r="A2247" s="28"/>
      <c r="D2247" s="29" t="s">
        <v>57</v>
      </c>
      <c r="E2247" s="29" t="s">
        <v>52</v>
      </c>
      <c r="G2247" s="30">
        <v>1</v>
      </c>
      <c r="H2247" s="63"/>
      <c r="N2247" s="31"/>
    </row>
    <row r="2248" spans="1:74" ht="26.4" x14ac:dyDescent="0.3">
      <c r="A2248" s="2" t="s">
        <v>2749</v>
      </c>
      <c r="B2248" s="3" t="s">
        <v>2657</v>
      </c>
      <c r="C2248" s="3" t="s">
        <v>2484</v>
      </c>
      <c r="D2248" s="112" t="s">
        <v>2750</v>
      </c>
      <c r="E2248" s="109"/>
      <c r="F2248" s="3" t="s">
        <v>122</v>
      </c>
      <c r="G2248" s="25">
        <v>1</v>
      </c>
      <c r="H2248" s="62"/>
      <c r="I2248" s="25">
        <f>ROUND(G2248*AM2248,2)</f>
        <v>0</v>
      </c>
      <c r="J2248" s="25">
        <f>ROUND(G2248*AN2248,2)</f>
        <v>0</v>
      </c>
      <c r="K2248" s="25">
        <f>ROUND(G2248*H2248,2)</f>
        <v>0</v>
      </c>
      <c r="L2248" s="25">
        <v>3.3899999999999998E-3</v>
      </c>
      <c r="M2248" s="25">
        <f>G2248*L2248</f>
        <v>3.3899999999999998E-3</v>
      </c>
      <c r="N2248" s="102"/>
      <c r="X2248" s="25">
        <f>ROUND(IF(AO2248="5",BH2248,0),2)</f>
        <v>0</v>
      </c>
      <c r="Z2248" s="25">
        <f>ROUND(IF(AO2248="1",BF2248,0),2)</f>
        <v>0</v>
      </c>
      <c r="AA2248" s="25">
        <f>ROUND(IF(AO2248="1",BG2248,0),2)</f>
        <v>0</v>
      </c>
      <c r="AB2248" s="25">
        <f>ROUND(IF(AO2248="7",BF2248,0),2)</f>
        <v>0</v>
      </c>
      <c r="AC2248" s="25">
        <f>ROUND(IF(AO2248="7",BG2248,0),2)</f>
        <v>0</v>
      </c>
      <c r="AD2248" s="25">
        <f>ROUND(IF(AO2248="2",BF2248,0),2)</f>
        <v>0</v>
      </c>
      <c r="AE2248" s="25">
        <f>ROUND(IF(AO2248="2",BG2248,0),2)</f>
        <v>0</v>
      </c>
      <c r="AF2248" s="25">
        <f>ROUND(IF(AO2248="0",BH2248,0),2)</f>
        <v>0</v>
      </c>
      <c r="AG2248" s="10" t="s">
        <v>2657</v>
      </c>
      <c r="AH2248" s="25">
        <f>IF(AL2248=0,K2248,0)</f>
        <v>0</v>
      </c>
      <c r="AI2248" s="25">
        <f>IF(AL2248=12,K2248,0)</f>
        <v>0</v>
      </c>
      <c r="AJ2248" s="25">
        <f>IF(AL2248=21,K2248,0)</f>
        <v>0</v>
      </c>
      <c r="AL2248" s="25">
        <v>21</v>
      </c>
      <c r="AM2248" s="25">
        <f>H2248*1</f>
        <v>0</v>
      </c>
      <c r="AN2248" s="25">
        <f>H2248*(1-1)</f>
        <v>0</v>
      </c>
      <c r="AO2248" s="27" t="s">
        <v>61</v>
      </c>
      <c r="AT2248" s="25">
        <f>ROUND(AU2248+AV2248,2)</f>
        <v>0</v>
      </c>
      <c r="AU2248" s="25">
        <f>ROUND(G2248*AM2248,2)</f>
        <v>0</v>
      </c>
      <c r="AV2248" s="25">
        <f>ROUND(G2248*AN2248,2)</f>
        <v>0</v>
      </c>
      <c r="AW2248" s="27" t="s">
        <v>2734</v>
      </c>
      <c r="AX2248" s="27" t="s">
        <v>2735</v>
      </c>
      <c r="AY2248" s="10" t="s">
        <v>2661</v>
      </c>
      <c r="BA2248" s="25">
        <f>AU2248+AV2248</f>
        <v>0</v>
      </c>
      <c r="BB2248" s="25">
        <f>H2248/(100-BC2248)*100</f>
        <v>0</v>
      </c>
      <c r="BC2248" s="25">
        <v>0</v>
      </c>
      <c r="BD2248" s="25">
        <f>M2248</f>
        <v>3.3899999999999998E-3</v>
      </c>
      <c r="BF2248" s="25">
        <f>G2248*AM2248</f>
        <v>0</v>
      </c>
      <c r="BG2248" s="25">
        <f>G2248*AN2248</f>
        <v>0</v>
      </c>
      <c r="BH2248" s="25">
        <f>G2248*H2248</f>
        <v>0</v>
      </c>
      <c r="BI2248" s="27" t="s">
        <v>65</v>
      </c>
      <c r="BJ2248" s="25">
        <v>731</v>
      </c>
      <c r="BU2248" s="25" t="e">
        <f>#REF!</f>
        <v>#REF!</v>
      </c>
      <c r="BV2248" s="4" t="s">
        <v>2750</v>
      </c>
    </row>
    <row r="2249" spans="1:74" ht="14.4" x14ac:dyDescent="0.3">
      <c r="A2249" s="28"/>
      <c r="D2249" s="29" t="s">
        <v>57</v>
      </c>
      <c r="E2249" s="29" t="s">
        <v>52</v>
      </c>
      <c r="G2249" s="30">
        <v>1</v>
      </c>
      <c r="H2249" s="63"/>
      <c r="N2249" s="31"/>
    </row>
    <row r="2250" spans="1:74" ht="26.4" x14ac:dyDescent="0.3">
      <c r="A2250" s="2" t="s">
        <v>2751</v>
      </c>
      <c r="B2250" s="3" t="s">
        <v>2657</v>
      </c>
      <c r="C2250" s="3" t="s">
        <v>2752</v>
      </c>
      <c r="D2250" s="112" t="s">
        <v>2753</v>
      </c>
      <c r="E2250" s="109"/>
      <c r="F2250" s="3" t="s">
        <v>122</v>
      </c>
      <c r="G2250" s="25">
        <v>1</v>
      </c>
      <c r="H2250" s="62"/>
      <c r="I2250" s="25">
        <f>ROUND(G2250*AM2250,2)</f>
        <v>0</v>
      </c>
      <c r="J2250" s="25">
        <f>ROUND(G2250*AN2250,2)</f>
        <v>0</v>
      </c>
      <c r="K2250" s="25">
        <f>ROUND(G2250*H2250,2)</f>
        <v>0</v>
      </c>
      <c r="L2250" s="25">
        <v>3.3899999999999998E-3</v>
      </c>
      <c r="M2250" s="25">
        <f>G2250*L2250</f>
        <v>3.3899999999999998E-3</v>
      </c>
      <c r="N2250" s="102"/>
      <c r="X2250" s="25">
        <f>ROUND(IF(AO2250="5",BH2250,0),2)</f>
        <v>0</v>
      </c>
      <c r="Z2250" s="25">
        <f>ROUND(IF(AO2250="1",BF2250,0),2)</f>
        <v>0</v>
      </c>
      <c r="AA2250" s="25">
        <f>ROUND(IF(AO2250="1",BG2250,0),2)</f>
        <v>0</v>
      </c>
      <c r="AB2250" s="25">
        <f>ROUND(IF(AO2250="7",BF2250,0),2)</f>
        <v>0</v>
      </c>
      <c r="AC2250" s="25">
        <f>ROUND(IF(AO2250="7",BG2250,0),2)</f>
        <v>0</v>
      </c>
      <c r="AD2250" s="25">
        <f>ROUND(IF(AO2250="2",BF2250,0),2)</f>
        <v>0</v>
      </c>
      <c r="AE2250" s="25">
        <f>ROUND(IF(AO2250="2",BG2250,0),2)</f>
        <v>0</v>
      </c>
      <c r="AF2250" s="25">
        <f>ROUND(IF(AO2250="0",BH2250,0),2)</f>
        <v>0</v>
      </c>
      <c r="AG2250" s="10" t="s">
        <v>2657</v>
      </c>
      <c r="AH2250" s="25">
        <f>IF(AL2250=0,K2250,0)</f>
        <v>0</v>
      </c>
      <c r="AI2250" s="25">
        <f>IF(AL2250=12,K2250,0)</f>
        <v>0</v>
      </c>
      <c r="AJ2250" s="25">
        <f>IF(AL2250=21,K2250,0)</f>
        <v>0</v>
      </c>
      <c r="AL2250" s="25">
        <v>21</v>
      </c>
      <c r="AM2250" s="25">
        <f>H2250*1</f>
        <v>0</v>
      </c>
      <c r="AN2250" s="25">
        <f>H2250*(1-1)</f>
        <v>0</v>
      </c>
      <c r="AO2250" s="27" t="s">
        <v>61</v>
      </c>
      <c r="AT2250" s="25">
        <f>ROUND(AU2250+AV2250,2)</f>
        <v>0</v>
      </c>
      <c r="AU2250" s="25">
        <f>ROUND(G2250*AM2250,2)</f>
        <v>0</v>
      </c>
      <c r="AV2250" s="25">
        <f>ROUND(G2250*AN2250,2)</f>
        <v>0</v>
      </c>
      <c r="AW2250" s="27" t="s">
        <v>2734</v>
      </c>
      <c r="AX2250" s="27" t="s">
        <v>2735</v>
      </c>
      <c r="AY2250" s="10" t="s">
        <v>2661</v>
      </c>
      <c r="BA2250" s="25">
        <f>AU2250+AV2250</f>
        <v>0</v>
      </c>
      <c r="BB2250" s="25">
        <f>H2250/(100-BC2250)*100</f>
        <v>0</v>
      </c>
      <c r="BC2250" s="25">
        <v>0</v>
      </c>
      <c r="BD2250" s="25">
        <f>M2250</f>
        <v>3.3899999999999998E-3</v>
      </c>
      <c r="BF2250" s="25">
        <f>G2250*AM2250</f>
        <v>0</v>
      </c>
      <c r="BG2250" s="25">
        <f>G2250*AN2250</f>
        <v>0</v>
      </c>
      <c r="BH2250" s="25">
        <f>G2250*H2250</f>
        <v>0</v>
      </c>
      <c r="BI2250" s="27" t="s">
        <v>65</v>
      </c>
      <c r="BJ2250" s="25">
        <v>731</v>
      </c>
      <c r="BU2250" s="25" t="e">
        <f>#REF!</f>
        <v>#REF!</v>
      </c>
      <c r="BV2250" s="4" t="s">
        <v>2753</v>
      </c>
    </row>
    <row r="2251" spans="1:74" ht="14.4" x14ac:dyDescent="0.3">
      <c r="A2251" s="28"/>
      <c r="D2251" s="29" t="s">
        <v>57</v>
      </c>
      <c r="E2251" s="29" t="s">
        <v>52</v>
      </c>
      <c r="G2251" s="30">
        <v>1</v>
      </c>
      <c r="H2251" s="63"/>
      <c r="N2251" s="31"/>
    </row>
    <row r="2252" spans="1:74" ht="14.4" x14ac:dyDescent="0.3">
      <c r="A2252" s="2" t="s">
        <v>1948</v>
      </c>
      <c r="B2252" s="3" t="s">
        <v>2657</v>
      </c>
      <c r="C2252" s="3" t="s">
        <v>2754</v>
      </c>
      <c r="D2252" s="112" t="s">
        <v>2755</v>
      </c>
      <c r="E2252" s="109"/>
      <c r="F2252" s="3" t="s">
        <v>860</v>
      </c>
      <c r="G2252" s="25">
        <v>2</v>
      </c>
      <c r="H2252" s="62"/>
      <c r="I2252" s="25">
        <f>ROUND(G2252*AM2252,2)</f>
        <v>0</v>
      </c>
      <c r="J2252" s="25">
        <f>ROUND(G2252*AN2252,2)</f>
        <v>0</v>
      </c>
      <c r="K2252" s="25">
        <f>ROUND(G2252*H2252,2)</f>
        <v>0</v>
      </c>
      <c r="L2252" s="25">
        <v>5.9000000000000003E-4</v>
      </c>
      <c r="M2252" s="25">
        <f>G2252*L2252</f>
        <v>1.1800000000000001E-3</v>
      </c>
      <c r="N2252" s="26"/>
      <c r="X2252" s="25">
        <f>ROUND(IF(AO2252="5",BH2252,0),2)</f>
        <v>0</v>
      </c>
      <c r="Z2252" s="25">
        <f>ROUND(IF(AO2252="1",BF2252,0),2)</f>
        <v>0</v>
      </c>
      <c r="AA2252" s="25">
        <f>ROUND(IF(AO2252="1",BG2252,0),2)</f>
        <v>0</v>
      </c>
      <c r="AB2252" s="25">
        <f>ROUND(IF(AO2252="7",BF2252,0),2)</f>
        <v>0</v>
      </c>
      <c r="AC2252" s="25">
        <f>ROUND(IF(AO2252="7",BG2252,0),2)</f>
        <v>0</v>
      </c>
      <c r="AD2252" s="25">
        <f>ROUND(IF(AO2252="2",BF2252,0),2)</f>
        <v>0</v>
      </c>
      <c r="AE2252" s="25">
        <f>ROUND(IF(AO2252="2",BG2252,0),2)</f>
        <v>0</v>
      </c>
      <c r="AF2252" s="25">
        <f>ROUND(IF(AO2252="0",BH2252,0),2)</f>
        <v>0</v>
      </c>
      <c r="AG2252" s="10" t="s">
        <v>2657</v>
      </c>
      <c r="AH2252" s="25">
        <f>IF(AL2252=0,K2252,0)</f>
        <v>0</v>
      </c>
      <c r="AI2252" s="25">
        <f>IF(AL2252=12,K2252,0)</f>
        <v>0</v>
      </c>
      <c r="AJ2252" s="25">
        <f>IF(AL2252=21,K2252,0)</f>
        <v>0</v>
      </c>
      <c r="AL2252" s="25">
        <v>21</v>
      </c>
      <c r="AM2252" s="25">
        <f>H2252*0</f>
        <v>0</v>
      </c>
      <c r="AN2252" s="25">
        <f>H2252*(1-0)</f>
        <v>0</v>
      </c>
      <c r="AO2252" s="27" t="s">
        <v>61</v>
      </c>
      <c r="AT2252" s="25">
        <f>ROUND(AU2252+AV2252,2)</f>
        <v>0</v>
      </c>
      <c r="AU2252" s="25">
        <f>ROUND(G2252*AM2252,2)</f>
        <v>0</v>
      </c>
      <c r="AV2252" s="25">
        <f>ROUND(G2252*AN2252,2)</f>
        <v>0</v>
      </c>
      <c r="AW2252" s="27" t="s">
        <v>2734</v>
      </c>
      <c r="AX2252" s="27" t="s">
        <v>2735</v>
      </c>
      <c r="AY2252" s="10" t="s">
        <v>2661</v>
      </c>
      <c r="BA2252" s="25">
        <f>AU2252+AV2252</f>
        <v>0</v>
      </c>
      <c r="BB2252" s="25">
        <f>H2252/(100-BC2252)*100</f>
        <v>0</v>
      </c>
      <c r="BC2252" s="25">
        <v>0</v>
      </c>
      <c r="BD2252" s="25">
        <f>M2252</f>
        <v>1.1800000000000001E-3</v>
      </c>
      <c r="BF2252" s="25">
        <f>G2252*AM2252</f>
        <v>0</v>
      </c>
      <c r="BG2252" s="25">
        <f>G2252*AN2252</f>
        <v>0</v>
      </c>
      <c r="BH2252" s="25">
        <f>G2252*H2252</f>
        <v>0</v>
      </c>
      <c r="BI2252" s="27" t="s">
        <v>65</v>
      </c>
      <c r="BJ2252" s="25">
        <v>731</v>
      </c>
      <c r="BU2252" s="25" t="e">
        <f>#REF!</f>
        <v>#REF!</v>
      </c>
      <c r="BV2252" s="4" t="s">
        <v>2755</v>
      </c>
    </row>
    <row r="2253" spans="1:74" ht="14.4" x14ac:dyDescent="0.3">
      <c r="A2253" s="28"/>
      <c r="D2253" s="29" t="s">
        <v>81</v>
      </c>
      <c r="E2253" s="29" t="s">
        <v>52</v>
      </c>
      <c r="G2253" s="30">
        <v>2</v>
      </c>
      <c r="H2253" s="63"/>
      <c r="N2253" s="31"/>
    </row>
    <row r="2254" spans="1:74" ht="14.4" x14ac:dyDescent="0.3">
      <c r="A2254" s="2" t="s">
        <v>2019</v>
      </c>
      <c r="B2254" s="3" t="s">
        <v>2657</v>
      </c>
      <c r="C2254" s="3" t="s">
        <v>2756</v>
      </c>
      <c r="D2254" s="112" t="s">
        <v>2757</v>
      </c>
      <c r="E2254" s="109"/>
      <c r="F2254" s="3" t="s">
        <v>1520</v>
      </c>
      <c r="G2254" s="25">
        <v>200</v>
      </c>
      <c r="H2254" s="62"/>
      <c r="I2254" s="25">
        <f>ROUND(G2254*AM2254,2)</f>
        <v>0</v>
      </c>
      <c r="J2254" s="25">
        <f>ROUND(G2254*AN2254,2)</f>
        <v>0</v>
      </c>
      <c r="K2254" s="25">
        <f>ROUND(G2254*H2254,2)</f>
        <v>0</v>
      </c>
      <c r="L2254" s="25">
        <v>3.4199999999999999E-3</v>
      </c>
      <c r="M2254" s="25">
        <f>G2254*L2254</f>
        <v>0.68399999999999994</v>
      </c>
      <c r="N2254" s="102"/>
      <c r="X2254" s="25">
        <f>ROUND(IF(AO2254="5",BH2254,0),2)</f>
        <v>0</v>
      </c>
      <c r="Z2254" s="25">
        <f>ROUND(IF(AO2254="1",BF2254,0),2)</f>
        <v>0</v>
      </c>
      <c r="AA2254" s="25">
        <f>ROUND(IF(AO2254="1",BG2254,0),2)</f>
        <v>0</v>
      </c>
      <c r="AB2254" s="25">
        <f>ROUND(IF(AO2254="7",BF2254,0),2)</f>
        <v>0</v>
      </c>
      <c r="AC2254" s="25">
        <f>ROUND(IF(AO2254="7",BG2254,0),2)</f>
        <v>0</v>
      </c>
      <c r="AD2254" s="25">
        <f>ROUND(IF(AO2254="2",BF2254,0),2)</f>
        <v>0</v>
      </c>
      <c r="AE2254" s="25">
        <f>ROUND(IF(AO2254="2",BG2254,0),2)</f>
        <v>0</v>
      </c>
      <c r="AF2254" s="25">
        <f>ROUND(IF(AO2254="0",BH2254,0),2)</f>
        <v>0</v>
      </c>
      <c r="AG2254" s="10" t="s">
        <v>2657</v>
      </c>
      <c r="AH2254" s="25">
        <f>IF(AL2254=0,K2254,0)</f>
        <v>0</v>
      </c>
      <c r="AI2254" s="25">
        <f>IF(AL2254=12,K2254,0)</f>
        <v>0</v>
      </c>
      <c r="AJ2254" s="25">
        <f>IF(AL2254=21,K2254,0)</f>
        <v>0</v>
      </c>
      <c r="AL2254" s="25">
        <v>21</v>
      </c>
      <c r="AM2254" s="25">
        <f>H2254*0.297735849</f>
        <v>0</v>
      </c>
      <c r="AN2254" s="25">
        <f>H2254*(1-0.297735849)</f>
        <v>0</v>
      </c>
      <c r="AO2254" s="27" t="s">
        <v>61</v>
      </c>
      <c r="AT2254" s="25">
        <f>ROUND(AU2254+AV2254,2)</f>
        <v>0</v>
      </c>
      <c r="AU2254" s="25">
        <f>ROUND(G2254*AM2254,2)</f>
        <v>0</v>
      </c>
      <c r="AV2254" s="25">
        <f>ROUND(G2254*AN2254,2)</f>
        <v>0</v>
      </c>
      <c r="AW2254" s="27" t="s">
        <v>2734</v>
      </c>
      <c r="AX2254" s="27" t="s">
        <v>2735</v>
      </c>
      <c r="AY2254" s="10" t="s">
        <v>2661</v>
      </c>
      <c r="BA2254" s="25">
        <f>AU2254+AV2254</f>
        <v>0</v>
      </c>
      <c r="BB2254" s="25">
        <f>H2254/(100-BC2254)*100</f>
        <v>0</v>
      </c>
      <c r="BC2254" s="25">
        <v>0</v>
      </c>
      <c r="BD2254" s="25">
        <f>M2254</f>
        <v>0.68399999999999994</v>
      </c>
      <c r="BF2254" s="25">
        <f>G2254*AM2254</f>
        <v>0</v>
      </c>
      <c r="BG2254" s="25">
        <f>G2254*AN2254</f>
        <v>0</v>
      </c>
      <c r="BH2254" s="25">
        <f>G2254*H2254</f>
        <v>0</v>
      </c>
      <c r="BI2254" s="27" t="s">
        <v>65</v>
      </c>
      <c r="BJ2254" s="25">
        <v>731</v>
      </c>
      <c r="BU2254" s="25" t="e">
        <f>#REF!</f>
        <v>#REF!</v>
      </c>
      <c r="BV2254" s="4" t="s">
        <v>2757</v>
      </c>
    </row>
    <row r="2255" spans="1:74" ht="14.4" x14ac:dyDescent="0.3">
      <c r="A2255" s="2" t="s">
        <v>2083</v>
      </c>
      <c r="B2255" s="3" t="s">
        <v>2657</v>
      </c>
      <c r="C2255" s="3" t="s">
        <v>2240</v>
      </c>
      <c r="D2255" s="112" t="s">
        <v>2241</v>
      </c>
      <c r="E2255" s="109"/>
      <c r="F2255" s="3" t="s">
        <v>278</v>
      </c>
      <c r="G2255" s="25">
        <v>0.747</v>
      </c>
      <c r="H2255" s="62"/>
      <c r="I2255" s="25">
        <f>ROUND(G2255*AM2255,2)</f>
        <v>0</v>
      </c>
      <c r="J2255" s="25">
        <f>ROUND(G2255*AN2255,2)</f>
        <v>0</v>
      </c>
      <c r="K2255" s="25">
        <f>ROUND(G2255*H2255,2)</f>
        <v>0</v>
      </c>
      <c r="L2255" s="25">
        <v>0</v>
      </c>
      <c r="M2255" s="25">
        <f>G2255*L2255</f>
        <v>0</v>
      </c>
      <c r="N2255" s="26"/>
      <c r="X2255" s="25">
        <f>ROUND(IF(AO2255="5",BH2255,0),2)</f>
        <v>0</v>
      </c>
      <c r="Z2255" s="25">
        <f>ROUND(IF(AO2255="1",BF2255,0),2)</f>
        <v>0</v>
      </c>
      <c r="AA2255" s="25">
        <f>ROUND(IF(AO2255="1",BG2255,0),2)</f>
        <v>0</v>
      </c>
      <c r="AB2255" s="25">
        <f>ROUND(IF(AO2255="7",BF2255,0),2)</f>
        <v>0</v>
      </c>
      <c r="AC2255" s="25">
        <f>ROUND(IF(AO2255="7",BG2255,0),2)</f>
        <v>0</v>
      </c>
      <c r="AD2255" s="25">
        <f>ROUND(IF(AO2255="2",BF2255,0),2)</f>
        <v>0</v>
      </c>
      <c r="AE2255" s="25">
        <f>ROUND(IF(AO2255="2",BG2255,0),2)</f>
        <v>0</v>
      </c>
      <c r="AF2255" s="25">
        <f>ROUND(IF(AO2255="0",BH2255,0),2)</f>
        <v>0</v>
      </c>
      <c r="AG2255" s="10" t="s">
        <v>2657</v>
      </c>
      <c r="AH2255" s="25">
        <f>IF(AL2255=0,K2255,0)</f>
        <v>0</v>
      </c>
      <c r="AI2255" s="25">
        <f>IF(AL2255=12,K2255,0)</f>
        <v>0</v>
      </c>
      <c r="AJ2255" s="25">
        <f>IF(AL2255=21,K2255,0)</f>
        <v>0</v>
      </c>
      <c r="AL2255" s="25">
        <v>21</v>
      </c>
      <c r="AM2255" s="25">
        <f>H2255*0</f>
        <v>0</v>
      </c>
      <c r="AN2255" s="25">
        <f>H2255*(1-0)</f>
        <v>0</v>
      </c>
      <c r="AO2255" s="27" t="s">
        <v>97</v>
      </c>
      <c r="AT2255" s="25">
        <f>ROUND(AU2255+AV2255,2)</f>
        <v>0</v>
      </c>
      <c r="AU2255" s="25">
        <f>ROUND(G2255*AM2255,2)</f>
        <v>0</v>
      </c>
      <c r="AV2255" s="25">
        <f>ROUND(G2255*AN2255,2)</f>
        <v>0</v>
      </c>
      <c r="AW2255" s="27" t="s">
        <v>2734</v>
      </c>
      <c r="AX2255" s="27" t="s">
        <v>2735</v>
      </c>
      <c r="AY2255" s="10" t="s">
        <v>2661</v>
      </c>
      <c r="BA2255" s="25">
        <f>AU2255+AV2255</f>
        <v>0</v>
      </c>
      <c r="BB2255" s="25">
        <f>H2255/(100-BC2255)*100</f>
        <v>0</v>
      </c>
      <c r="BC2255" s="25">
        <v>0</v>
      </c>
      <c r="BD2255" s="25">
        <f>M2255</f>
        <v>0</v>
      </c>
      <c r="BF2255" s="25">
        <f>G2255*AM2255</f>
        <v>0</v>
      </c>
      <c r="BG2255" s="25">
        <f>G2255*AN2255</f>
        <v>0</v>
      </c>
      <c r="BH2255" s="25">
        <f>G2255*H2255</f>
        <v>0</v>
      </c>
      <c r="BI2255" s="27" t="s">
        <v>65</v>
      </c>
      <c r="BJ2255" s="25">
        <v>731</v>
      </c>
      <c r="BU2255" s="25" t="e">
        <f>#REF!</f>
        <v>#REF!</v>
      </c>
      <c r="BV2255" s="4" t="s">
        <v>2241</v>
      </c>
    </row>
    <row r="2256" spans="1:74" ht="14.4" x14ac:dyDescent="0.3">
      <c r="A2256" s="28"/>
      <c r="D2256" s="29" t="s">
        <v>2758</v>
      </c>
      <c r="E2256" s="29" t="s">
        <v>52</v>
      </c>
      <c r="G2256" s="30">
        <v>0.747</v>
      </c>
      <c r="H2256" s="63"/>
      <c r="N2256" s="31"/>
    </row>
    <row r="2257" spans="1:74" ht="14.4" x14ac:dyDescent="0.3">
      <c r="A2257" s="21" t="s">
        <v>52</v>
      </c>
      <c r="B2257" s="22" t="s">
        <v>2657</v>
      </c>
      <c r="C2257" s="22" t="s">
        <v>2759</v>
      </c>
      <c r="D2257" s="170" t="s">
        <v>2760</v>
      </c>
      <c r="E2257" s="171"/>
      <c r="F2257" s="23" t="s">
        <v>32</v>
      </c>
      <c r="G2257" s="23" t="s">
        <v>32</v>
      </c>
      <c r="H2257" s="64"/>
      <c r="I2257" s="1">
        <f>SUM(I2258:I2276)</f>
        <v>0</v>
      </c>
      <c r="J2257" s="1">
        <f>SUM(J2258:J2276)</f>
        <v>0</v>
      </c>
      <c r="K2257" s="1">
        <f>SUM(K2258:K2276)</f>
        <v>0</v>
      </c>
      <c r="L2257" s="10" t="s">
        <v>52</v>
      </c>
      <c r="M2257" s="1">
        <f>SUM(M2258:M2276)</f>
        <v>1.3124</v>
      </c>
      <c r="N2257" s="24"/>
      <c r="AG2257" s="10" t="s">
        <v>2657</v>
      </c>
      <c r="AQ2257" s="1">
        <f>SUM(AH2258:AH2276)</f>
        <v>0</v>
      </c>
      <c r="AR2257" s="1">
        <f>SUM(AI2258:AI2276)</f>
        <v>0</v>
      </c>
      <c r="AS2257" s="1">
        <f>SUM(AJ2258:AJ2276)</f>
        <v>0</v>
      </c>
    </row>
    <row r="2258" spans="1:74" ht="14.4" x14ac:dyDescent="0.3">
      <c r="A2258" s="2" t="s">
        <v>2761</v>
      </c>
      <c r="B2258" s="3" t="s">
        <v>2657</v>
      </c>
      <c r="C2258" s="3" t="s">
        <v>2762</v>
      </c>
      <c r="D2258" s="112" t="s">
        <v>2763</v>
      </c>
      <c r="E2258" s="109"/>
      <c r="F2258" s="3" t="s">
        <v>115</v>
      </c>
      <c r="G2258" s="25">
        <v>66</v>
      </c>
      <c r="H2258" s="62"/>
      <c r="I2258" s="25">
        <f>ROUND(G2258*AM2258,2)</f>
        <v>0</v>
      </c>
      <c r="J2258" s="25">
        <f>ROUND(G2258*AN2258,2)</f>
        <v>0</v>
      </c>
      <c r="K2258" s="25">
        <f>ROUND(G2258*H2258,2)</f>
        <v>0</v>
      </c>
      <c r="L2258" s="25">
        <v>5.8599999999999998E-3</v>
      </c>
      <c r="M2258" s="25">
        <f>G2258*L2258</f>
        <v>0.38675999999999999</v>
      </c>
      <c r="N2258" s="26"/>
      <c r="X2258" s="25">
        <f>ROUND(IF(AO2258="5",BH2258,0),2)</f>
        <v>0</v>
      </c>
      <c r="Z2258" s="25">
        <f>ROUND(IF(AO2258="1",BF2258,0),2)</f>
        <v>0</v>
      </c>
      <c r="AA2258" s="25">
        <f>ROUND(IF(AO2258="1",BG2258,0),2)</f>
        <v>0</v>
      </c>
      <c r="AB2258" s="25">
        <f>ROUND(IF(AO2258="7",BF2258,0),2)</f>
        <v>0</v>
      </c>
      <c r="AC2258" s="25">
        <f>ROUND(IF(AO2258="7",BG2258,0),2)</f>
        <v>0</v>
      </c>
      <c r="AD2258" s="25">
        <f>ROUND(IF(AO2258="2",BF2258,0),2)</f>
        <v>0</v>
      </c>
      <c r="AE2258" s="25">
        <f>ROUND(IF(AO2258="2",BG2258,0),2)</f>
        <v>0</v>
      </c>
      <c r="AF2258" s="25">
        <f>ROUND(IF(AO2258="0",BH2258,0),2)</f>
        <v>0</v>
      </c>
      <c r="AG2258" s="10" t="s">
        <v>2657</v>
      </c>
      <c r="AH2258" s="25">
        <f>IF(AL2258=0,K2258,0)</f>
        <v>0</v>
      </c>
      <c r="AI2258" s="25">
        <f>IF(AL2258=12,K2258,0)</f>
        <v>0</v>
      </c>
      <c r="AJ2258" s="25">
        <f>IF(AL2258=21,K2258,0)</f>
        <v>0</v>
      </c>
      <c r="AL2258" s="25">
        <v>21</v>
      </c>
      <c r="AM2258" s="25">
        <f>H2258*0</f>
        <v>0</v>
      </c>
      <c r="AN2258" s="25">
        <f>H2258*(1-0)</f>
        <v>0</v>
      </c>
      <c r="AO2258" s="27" t="s">
        <v>61</v>
      </c>
      <c r="AT2258" s="25">
        <f>ROUND(AU2258+AV2258,2)</f>
        <v>0</v>
      </c>
      <c r="AU2258" s="25">
        <f>ROUND(G2258*AM2258,2)</f>
        <v>0</v>
      </c>
      <c r="AV2258" s="25">
        <f>ROUND(G2258*AN2258,2)</f>
        <v>0</v>
      </c>
      <c r="AW2258" s="27" t="s">
        <v>2764</v>
      </c>
      <c r="AX2258" s="27" t="s">
        <v>2735</v>
      </c>
      <c r="AY2258" s="10" t="s">
        <v>2661</v>
      </c>
      <c r="BA2258" s="25">
        <f>AU2258+AV2258</f>
        <v>0</v>
      </c>
      <c r="BB2258" s="25">
        <f>H2258/(100-BC2258)*100</f>
        <v>0</v>
      </c>
      <c r="BC2258" s="25">
        <v>0</v>
      </c>
      <c r="BD2258" s="25">
        <f>M2258</f>
        <v>0.38675999999999999</v>
      </c>
      <c r="BF2258" s="25">
        <f>G2258*AM2258</f>
        <v>0</v>
      </c>
      <c r="BG2258" s="25">
        <f>G2258*AN2258</f>
        <v>0</v>
      </c>
      <c r="BH2258" s="25">
        <f>G2258*H2258</f>
        <v>0</v>
      </c>
      <c r="BI2258" s="27" t="s">
        <v>65</v>
      </c>
      <c r="BJ2258" s="25">
        <v>733</v>
      </c>
      <c r="BU2258" s="25" t="e">
        <f>#REF!</f>
        <v>#REF!</v>
      </c>
      <c r="BV2258" s="4" t="s">
        <v>2763</v>
      </c>
    </row>
    <row r="2259" spans="1:74" ht="14.4" x14ac:dyDescent="0.3">
      <c r="A2259" s="28"/>
      <c r="D2259" s="29" t="s">
        <v>450</v>
      </c>
      <c r="E2259" s="29" t="s">
        <v>52</v>
      </c>
      <c r="G2259" s="30">
        <v>66</v>
      </c>
      <c r="H2259" s="63"/>
      <c r="N2259" s="31"/>
    </row>
    <row r="2260" spans="1:74" ht="14.4" x14ac:dyDescent="0.3">
      <c r="A2260" s="2" t="s">
        <v>95</v>
      </c>
      <c r="B2260" s="3" t="s">
        <v>2657</v>
      </c>
      <c r="C2260" s="3" t="s">
        <v>2765</v>
      </c>
      <c r="D2260" s="112" t="s">
        <v>2766</v>
      </c>
      <c r="E2260" s="109"/>
      <c r="F2260" s="3" t="s">
        <v>115</v>
      </c>
      <c r="G2260" s="25">
        <v>4</v>
      </c>
      <c r="H2260" s="62"/>
      <c r="I2260" s="25">
        <f>ROUND(G2260*AM2260,2)</f>
        <v>0</v>
      </c>
      <c r="J2260" s="25">
        <f>ROUND(G2260*AN2260,2)</f>
        <v>0</v>
      </c>
      <c r="K2260" s="25">
        <f>ROUND(G2260*H2260,2)</f>
        <v>0</v>
      </c>
      <c r="L2260" s="25">
        <v>4.8700000000000002E-3</v>
      </c>
      <c r="M2260" s="25">
        <f>G2260*L2260</f>
        <v>1.9480000000000001E-2</v>
      </c>
      <c r="N2260" s="26"/>
      <c r="X2260" s="25">
        <f>ROUND(IF(AO2260="5",BH2260,0),2)</f>
        <v>0</v>
      </c>
      <c r="Z2260" s="25">
        <f>ROUND(IF(AO2260="1",BF2260,0),2)</f>
        <v>0</v>
      </c>
      <c r="AA2260" s="25">
        <f>ROUND(IF(AO2260="1",BG2260,0),2)</f>
        <v>0</v>
      </c>
      <c r="AB2260" s="25">
        <f>ROUND(IF(AO2260="7",BF2260,0),2)</f>
        <v>0</v>
      </c>
      <c r="AC2260" s="25">
        <f>ROUND(IF(AO2260="7",BG2260,0),2)</f>
        <v>0</v>
      </c>
      <c r="AD2260" s="25">
        <f>ROUND(IF(AO2260="2",BF2260,0),2)</f>
        <v>0</v>
      </c>
      <c r="AE2260" s="25">
        <f>ROUND(IF(AO2260="2",BG2260,0),2)</f>
        <v>0</v>
      </c>
      <c r="AF2260" s="25">
        <f>ROUND(IF(AO2260="0",BH2260,0),2)</f>
        <v>0</v>
      </c>
      <c r="AG2260" s="10" t="s">
        <v>2657</v>
      </c>
      <c r="AH2260" s="25">
        <f>IF(AL2260=0,K2260,0)</f>
        <v>0</v>
      </c>
      <c r="AI2260" s="25">
        <f>IF(AL2260=12,K2260,0)</f>
        <v>0</v>
      </c>
      <c r="AJ2260" s="25">
        <f>IF(AL2260=21,K2260,0)</f>
        <v>0</v>
      </c>
      <c r="AL2260" s="25">
        <v>21</v>
      </c>
      <c r="AM2260" s="25">
        <f>H2260*0</f>
        <v>0</v>
      </c>
      <c r="AN2260" s="25">
        <f>H2260*(1-0)</f>
        <v>0</v>
      </c>
      <c r="AO2260" s="27" t="s">
        <v>61</v>
      </c>
      <c r="AT2260" s="25">
        <f>ROUND(AU2260+AV2260,2)</f>
        <v>0</v>
      </c>
      <c r="AU2260" s="25">
        <f>ROUND(G2260*AM2260,2)</f>
        <v>0</v>
      </c>
      <c r="AV2260" s="25">
        <f>ROUND(G2260*AN2260,2)</f>
        <v>0</v>
      </c>
      <c r="AW2260" s="27" t="s">
        <v>2764</v>
      </c>
      <c r="AX2260" s="27" t="s">
        <v>2735</v>
      </c>
      <c r="AY2260" s="10" t="s">
        <v>2661</v>
      </c>
      <c r="BA2260" s="25">
        <f>AU2260+AV2260</f>
        <v>0</v>
      </c>
      <c r="BB2260" s="25">
        <f>H2260/(100-BC2260)*100</f>
        <v>0</v>
      </c>
      <c r="BC2260" s="25">
        <v>0</v>
      </c>
      <c r="BD2260" s="25">
        <f>M2260</f>
        <v>1.9480000000000001E-2</v>
      </c>
      <c r="BF2260" s="25">
        <f>G2260*AM2260</f>
        <v>0</v>
      </c>
      <c r="BG2260" s="25">
        <f>G2260*AN2260</f>
        <v>0</v>
      </c>
      <c r="BH2260" s="25">
        <f>G2260*H2260</f>
        <v>0</v>
      </c>
      <c r="BI2260" s="27" t="s">
        <v>65</v>
      </c>
      <c r="BJ2260" s="25">
        <v>733</v>
      </c>
      <c r="BU2260" s="25" t="e">
        <f>#REF!</f>
        <v>#REF!</v>
      </c>
      <c r="BV2260" s="4" t="s">
        <v>2766</v>
      </c>
    </row>
    <row r="2261" spans="1:74" ht="14.4" x14ac:dyDescent="0.3">
      <c r="A2261" s="28"/>
      <c r="D2261" s="29" t="s">
        <v>90</v>
      </c>
      <c r="E2261" s="29" t="s">
        <v>52</v>
      </c>
      <c r="G2261" s="30">
        <v>4</v>
      </c>
      <c r="H2261" s="63"/>
      <c r="N2261" s="31"/>
    </row>
    <row r="2262" spans="1:74" ht="14.4" x14ac:dyDescent="0.3">
      <c r="A2262" s="2" t="s">
        <v>2767</v>
      </c>
      <c r="B2262" s="3" t="s">
        <v>2657</v>
      </c>
      <c r="C2262" s="3" t="s">
        <v>2768</v>
      </c>
      <c r="D2262" s="112" t="s">
        <v>2769</v>
      </c>
      <c r="E2262" s="109"/>
      <c r="F2262" s="3" t="s">
        <v>115</v>
      </c>
      <c r="G2262" s="25">
        <v>10</v>
      </c>
      <c r="H2262" s="62"/>
      <c r="I2262" s="25">
        <f>ROUND(G2262*AM2262,2)</f>
        <v>0</v>
      </c>
      <c r="J2262" s="25">
        <f>ROUND(G2262*AN2262,2)</f>
        <v>0</v>
      </c>
      <c r="K2262" s="25">
        <f>ROUND(G2262*H2262,2)</f>
        <v>0</v>
      </c>
      <c r="L2262" s="25">
        <v>4.8700000000000002E-3</v>
      </c>
      <c r="M2262" s="25">
        <f>G2262*L2262</f>
        <v>4.87E-2</v>
      </c>
      <c r="N2262" s="26"/>
      <c r="X2262" s="25">
        <f>ROUND(IF(AO2262="5",BH2262,0),2)</f>
        <v>0</v>
      </c>
      <c r="Z2262" s="25">
        <f>ROUND(IF(AO2262="1",BF2262,0),2)</f>
        <v>0</v>
      </c>
      <c r="AA2262" s="25">
        <f>ROUND(IF(AO2262="1",BG2262,0),2)</f>
        <v>0</v>
      </c>
      <c r="AB2262" s="25">
        <f>ROUND(IF(AO2262="7",BF2262,0),2)</f>
        <v>0</v>
      </c>
      <c r="AC2262" s="25">
        <f>ROUND(IF(AO2262="7",BG2262,0),2)</f>
        <v>0</v>
      </c>
      <c r="AD2262" s="25">
        <f>ROUND(IF(AO2262="2",BF2262,0),2)</f>
        <v>0</v>
      </c>
      <c r="AE2262" s="25">
        <f>ROUND(IF(AO2262="2",BG2262,0),2)</f>
        <v>0</v>
      </c>
      <c r="AF2262" s="25">
        <f>ROUND(IF(AO2262="0",BH2262,0),2)</f>
        <v>0</v>
      </c>
      <c r="AG2262" s="10" t="s">
        <v>2657</v>
      </c>
      <c r="AH2262" s="25">
        <f>IF(AL2262=0,K2262,0)</f>
        <v>0</v>
      </c>
      <c r="AI2262" s="25">
        <f>IF(AL2262=12,K2262,0)</f>
        <v>0</v>
      </c>
      <c r="AJ2262" s="25">
        <f>IF(AL2262=21,K2262,0)</f>
        <v>0</v>
      </c>
      <c r="AL2262" s="25">
        <v>21</v>
      </c>
      <c r="AM2262" s="25">
        <f>H2262*0</f>
        <v>0</v>
      </c>
      <c r="AN2262" s="25">
        <f>H2262*(1-0)</f>
        <v>0</v>
      </c>
      <c r="AO2262" s="27" t="s">
        <v>61</v>
      </c>
      <c r="AT2262" s="25">
        <f>ROUND(AU2262+AV2262,2)</f>
        <v>0</v>
      </c>
      <c r="AU2262" s="25">
        <f>ROUND(G2262*AM2262,2)</f>
        <v>0</v>
      </c>
      <c r="AV2262" s="25">
        <f>ROUND(G2262*AN2262,2)</f>
        <v>0</v>
      </c>
      <c r="AW2262" s="27" t="s">
        <v>2764</v>
      </c>
      <c r="AX2262" s="27" t="s">
        <v>2735</v>
      </c>
      <c r="AY2262" s="10" t="s">
        <v>2661</v>
      </c>
      <c r="BA2262" s="25">
        <f>AU2262+AV2262</f>
        <v>0</v>
      </c>
      <c r="BB2262" s="25">
        <f>H2262/(100-BC2262)*100</f>
        <v>0</v>
      </c>
      <c r="BC2262" s="25">
        <v>0</v>
      </c>
      <c r="BD2262" s="25">
        <f>M2262</f>
        <v>4.87E-2</v>
      </c>
      <c r="BF2262" s="25">
        <f>G2262*AM2262</f>
        <v>0</v>
      </c>
      <c r="BG2262" s="25">
        <f>G2262*AN2262</f>
        <v>0</v>
      </c>
      <c r="BH2262" s="25">
        <f>G2262*H2262</f>
        <v>0</v>
      </c>
      <c r="BI2262" s="27" t="s">
        <v>65</v>
      </c>
      <c r="BJ2262" s="25">
        <v>733</v>
      </c>
      <c r="BU2262" s="25" t="e">
        <f>#REF!</f>
        <v>#REF!</v>
      </c>
      <c r="BV2262" s="4" t="s">
        <v>2769</v>
      </c>
    </row>
    <row r="2263" spans="1:74" ht="14.4" x14ac:dyDescent="0.3">
      <c r="A2263" s="28"/>
      <c r="D2263" s="29" t="s">
        <v>129</v>
      </c>
      <c r="E2263" s="29" t="s">
        <v>52</v>
      </c>
      <c r="G2263" s="30">
        <v>10</v>
      </c>
      <c r="H2263" s="63"/>
      <c r="N2263" s="31"/>
    </row>
    <row r="2264" spans="1:74" ht="14.4" x14ac:dyDescent="0.3">
      <c r="A2264" s="2" t="s">
        <v>2770</v>
      </c>
      <c r="B2264" s="3" t="s">
        <v>2657</v>
      </c>
      <c r="C2264" s="3" t="s">
        <v>2771</v>
      </c>
      <c r="D2264" s="112" t="s">
        <v>2772</v>
      </c>
      <c r="E2264" s="109"/>
      <c r="F2264" s="3" t="s">
        <v>115</v>
      </c>
      <c r="G2264" s="25">
        <v>104</v>
      </c>
      <c r="H2264" s="62"/>
      <c r="I2264" s="25">
        <f>ROUND(G2264*AM2264,2)</f>
        <v>0</v>
      </c>
      <c r="J2264" s="25">
        <f>ROUND(G2264*AN2264,2)</f>
        <v>0</v>
      </c>
      <c r="K2264" s="25">
        <f>ROUND(G2264*H2264,2)</f>
        <v>0</v>
      </c>
      <c r="L2264" s="25">
        <v>4.8799999999999998E-3</v>
      </c>
      <c r="M2264" s="25">
        <f>G2264*L2264</f>
        <v>0.50751999999999997</v>
      </c>
      <c r="N2264" s="26"/>
      <c r="X2264" s="25">
        <f>ROUND(IF(AO2264="5",BH2264,0),2)</f>
        <v>0</v>
      </c>
      <c r="Z2264" s="25">
        <f>ROUND(IF(AO2264="1",BF2264,0),2)</f>
        <v>0</v>
      </c>
      <c r="AA2264" s="25">
        <f>ROUND(IF(AO2264="1",BG2264,0),2)</f>
        <v>0</v>
      </c>
      <c r="AB2264" s="25">
        <f>ROUND(IF(AO2264="7",BF2264,0),2)</f>
        <v>0</v>
      </c>
      <c r="AC2264" s="25">
        <f>ROUND(IF(AO2264="7",BG2264,0),2)</f>
        <v>0</v>
      </c>
      <c r="AD2264" s="25">
        <f>ROUND(IF(AO2264="2",BF2264,0),2)</f>
        <v>0</v>
      </c>
      <c r="AE2264" s="25">
        <f>ROUND(IF(AO2264="2",BG2264,0),2)</f>
        <v>0</v>
      </c>
      <c r="AF2264" s="25">
        <f>ROUND(IF(AO2264="0",BH2264,0),2)</f>
        <v>0</v>
      </c>
      <c r="AG2264" s="10" t="s">
        <v>2657</v>
      </c>
      <c r="AH2264" s="25">
        <f>IF(AL2264=0,K2264,0)</f>
        <v>0</v>
      </c>
      <c r="AI2264" s="25">
        <f>IF(AL2264=12,K2264,0)</f>
        <v>0</v>
      </c>
      <c r="AJ2264" s="25">
        <f>IF(AL2264=21,K2264,0)</f>
        <v>0</v>
      </c>
      <c r="AL2264" s="25">
        <v>21</v>
      </c>
      <c r="AM2264" s="25">
        <f>H2264*0</f>
        <v>0</v>
      </c>
      <c r="AN2264" s="25">
        <f>H2264*(1-0)</f>
        <v>0</v>
      </c>
      <c r="AO2264" s="27" t="s">
        <v>61</v>
      </c>
      <c r="AT2264" s="25">
        <f>ROUND(AU2264+AV2264,2)</f>
        <v>0</v>
      </c>
      <c r="AU2264" s="25">
        <f>ROUND(G2264*AM2264,2)</f>
        <v>0</v>
      </c>
      <c r="AV2264" s="25">
        <f>ROUND(G2264*AN2264,2)</f>
        <v>0</v>
      </c>
      <c r="AW2264" s="27" t="s">
        <v>2764</v>
      </c>
      <c r="AX2264" s="27" t="s">
        <v>2735</v>
      </c>
      <c r="AY2264" s="10" t="s">
        <v>2661</v>
      </c>
      <c r="BA2264" s="25">
        <f>AU2264+AV2264</f>
        <v>0</v>
      </c>
      <c r="BB2264" s="25">
        <f>H2264/(100-BC2264)*100</f>
        <v>0</v>
      </c>
      <c r="BC2264" s="25">
        <v>0</v>
      </c>
      <c r="BD2264" s="25">
        <f>M2264</f>
        <v>0.50751999999999997</v>
      </c>
      <c r="BF2264" s="25">
        <f>G2264*AM2264</f>
        <v>0</v>
      </c>
      <c r="BG2264" s="25">
        <f>G2264*AN2264</f>
        <v>0</v>
      </c>
      <c r="BH2264" s="25">
        <f>G2264*H2264</f>
        <v>0</v>
      </c>
      <c r="BI2264" s="27" t="s">
        <v>65</v>
      </c>
      <c r="BJ2264" s="25">
        <v>733</v>
      </c>
      <c r="BU2264" s="25" t="e">
        <f>#REF!</f>
        <v>#REF!</v>
      </c>
      <c r="BV2264" s="4" t="s">
        <v>2772</v>
      </c>
    </row>
    <row r="2265" spans="1:74" ht="14.4" x14ac:dyDescent="0.3">
      <c r="A2265" s="28"/>
      <c r="D2265" s="29" t="s">
        <v>629</v>
      </c>
      <c r="E2265" s="29" t="s">
        <v>52</v>
      </c>
      <c r="G2265" s="30">
        <v>104</v>
      </c>
      <c r="H2265" s="63"/>
      <c r="N2265" s="31"/>
    </row>
    <row r="2266" spans="1:74" ht="14.4" x14ac:dyDescent="0.3">
      <c r="A2266" s="2" t="s">
        <v>2467</v>
      </c>
      <c r="B2266" s="3" t="s">
        <v>2657</v>
      </c>
      <c r="C2266" s="3" t="s">
        <v>2773</v>
      </c>
      <c r="D2266" s="112" t="s">
        <v>2774</v>
      </c>
      <c r="E2266" s="109"/>
      <c r="F2266" s="3" t="s">
        <v>115</v>
      </c>
      <c r="G2266" s="25">
        <v>114</v>
      </c>
      <c r="H2266" s="62"/>
      <c r="I2266" s="25">
        <f>ROUND(G2266*AM2266,2)</f>
        <v>0</v>
      </c>
      <c r="J2266" s="25">
        <f>ROUND(G2266*AN2266,2)</f>
        <v>0</v>
      </c>
      <c r="K2266" s="25">
        <f>ROUND(G2266*H2266,2)</f>
        <v>0</v>
      </c>
      <c r="L2266" s="25">
        <v>0</v>
      </c>
      <c r="M2266" s="25">
        <f>G2266*L2266</f>
        <v>0</v>
      </c>
      <c r="N2266" s="26"/>
      <c r="X2266" s="25">
        <f>ROUND(IF(AO2266="5",BH2266,0),2)</f>
        <v>0</v>
      </c>
      <c r="Z2266" s="25">
        <f>ROUND(IF(AO2266="1",BF2266,0),2)</f>
        <v>0</v>
      </c>
      <c r="AA2266" s="25">
        <f>ROUND(IF(AO2266="1",BG2266,0),2)</f>
        <v>0</v>
      </c>
      <c r="AB2266" s="25">
        <f>ROUND(IF(AO2266="7",BF2266,0),2)</f>
        <v>0</v>
      </c>
      <c r="AC2266" s="25">
        <f>ROUND(IF(AO2266="7",BG2266,0),2)</f>
        <v>0</v>
      </c>
      <c r="AD2266" s="25">
        <f>ROUND(IF(AO2266="2",BF2266,0),2)</f>
        <v>0</v>
      </c>
      <c r="AE2266" s="25">
        <f>ROUND(IF(AO2266="2",BG2266,0),2)</f>
        <v>0</v>
      </c>
      <c r="AF2266" s="25">
        <f>ROUND(IF(AO2266="0",BH2266,0),2)</f>
        <v>0</v>
      </c>
      <c r="AG2266" s="10" t="s">
        <v>2657</v>
      </c>
      <c r="AH2266" s="25">
        <f>IF(AL2266=0,K2266,0)</f>
        <v>0</v>
      </c>
      <c r="AI2266" s="25">
        <f>IF(AL2266=12,K2266,0)</f>
        <v>0</v>
      </c>
      <c r="AJ2266" s="25">
        <f>IF(AL2266=21,K2266,0)</f>
        <v>0</v>
      </c>
      <c r="AL2266" s="25">
        <v>21</v>
      </c>
      <c r="AM2266" s="25">
        <f>H2266*0.023979018</f>
        <v>0</v>
      </c>
      <c r="AN2266" s="25">
        <f>H2266*(1-0.023979018)</f>
        <v>0</v>
      </c>
      <c r="AO2266" s="27" t="s">
        <v>61</v>
      </c>
      <c r="AT2266" s="25">
        <f>ROUND(AU2266+AV2266,2)</f>
        <v>0</v>
      </c>
      <c r="AU2266" s="25">
        <f>ROUND(G2266*AM2266,2)</f>
        <v>0</v>
      </c>
      <c r="AV2266" s="25">
        <f>ROUND(G2266*AN2266,2)</f>
        <v>0</v>
      </c>
      <c r="AW2266" s="27" t="s">
        <v>2764</v>
      </c>
      <c r="AX2266" s="27" t="s">
        <v>2735</v>
      </c>
      <c r="AY2266" s="10" t="s">
        <v>2661</v>
      </c>
      <c r="BA2266" s="25">
        <f>AU2266+AV2266</f>
        <v>0</v>
      </c>
      <c r="BB2266" s="25">
        <f>H2266/(100-BC2266)*100</f>
        <v>0</v>
      </c>
      <c r="BC2266" s="25">
        <v>0</v>
      </c>
      <c r="BD2266" s="25">
        <f>M2266</f>
        <v>0</v>
      </c>
      <c r="BF2266" s="25">
        <f>G2266*AM2266</f>
        <v>0</v>
      </c>
      <c r="BG2266" s="25">
        <f>G2266*AN2266</f>
        <v>0</v>
      </c>
      <c r="BH2266" s="25">
        <f>G2266*H2266</f>
        <v>0</v>
      </c>
      <c r="BI2266" s="27" t="s">
        <v>65</v>
      </c>
      <c r="BJ2266" s="25">
        <v>733</v>
      </c>
      <c r="BU2266" s="25" t="e">
        <f>#REF!</f>
        <v>#REF!</v>
      </c>
      <c r="BV2266" s="4" t="s">
        <v>2774</v>
      </c>
    </row>
    <row r="2267" spans="1:74" ht="14.4" x14ac:dyDescent="0.3">
      <c r="A2267" s="28"/>
      <c r="D2267" s="29" t="s">
        <v>674</v>
      </c>
      <c r="E2267" s="29" t="s">
        <v>52</v>
      </c>
      <c r="G2267" s="30">
        <v>114</v>
      </c>
      <c r="H2267" s="63"/>
      <c r="N2267" s="31"/>
    </row>
    <row r="2268" spans="1:74" ht="14.4" x14ac:dyDescent="0.3">
      <c r="A2268" s="2" t="s">
        <v>2775</v>
      </c>
      <c r="B2268" s="3" t="s">
        <v>2657</v>
      </c>
      <c r="C2268" s="3" t="s">
        <v>2776</v>
      </c>
      <c r="D2268" s="112" t="s">
        <v>2777</v>
      </c>
      <c r="E2268" s="109"/>
      <c r="F2268" s="3" t="s">
        <v>115</v>
      </c>
      <c r="G2268" s="25">
        <v>104</v>
      </c>
      <c r="H2268" s="62"/>
      <c r="I2268" s="25">
        <f>ROUND(G2268*AM2268,2)</f>
        <v>0</v>
      </c>
      <c r="J2268" s="25">
        <f>ROUND(G2268*AN2268,2)</f>
        <v>0</v>
      </c>
      <c r="K2268" s="25">
        <f>ROUND(G2268*H2268,2)</f>
        <v>0</v>
      </c>
      <c r="L2268" s="25">
        <v>2.8999999999999998E-3</v>
      </c>
      <c r="M2268" s="25">
        <f>G2268*L2268</f>
        <v>0.30159999999999998</v>
      </c>
      <c r="N2268" s="26"/>
      <c r="X2268" s="25">
        <f>ROUND(IF(AO2268="5",BH2268,0),2)</f>
        <v>0</v>
      </c>
      <c r="Z2268" s="25">
        <f>ROUND(IF(AO2268="1",BF2268,0),2)</f>
        <v>0</v>
      </c>
      <c r="AA2268" s="25">
        <f>ROUND(IF(AO2268="1",BG2268,0),2)</f>
        <v>0</v>
      </c>
      <c r="AB2268" s="25">
        <f>ROUND(IF(AO2268="7",BF2268,0),2)</f>
        <v>0</v>
      </c>
      <c r="AC2268" s="25">
        <f>ROUND(IF(AO2268="7",BG2268,0),2)</f>
        <v>0</v>
      </c>
      <c r="AD2268" s="25">
        <f>ROUND(IF(AO2268="2",BF2268,0),2)</f>
        <v>0</v>
      </c>
      <c r="AE2268" s="25">
        <f>ROUND(IF(AO2268="2",BG2268,0),2)</f>
        <v>0</v>
      </c>
      <c r="AF2268" s="25">
        <f>ROUND(IF(AO2268="0",BH2268,0),2)</f>
        <v>0</v>
      </c>
      <c r="AG2268" s="10" t="s">
        <v>2657</v>
      </c>
      <c r="AH2268" s="25">
        <f>IF(AL2268=0,K2268,0)</f>
        <v>0</v>
      </c>
      <c r="AI2268" s="25">
        <f>IF(AL2268=12,K2268,0)</f>
        <v>0</v>
      </c>
      <c r="AJ2268" s="25">
        <f>IF(AL2268=21,K2268,0)</f>
        <v>0</v>
      </c>
      <c r="AL2268" s="25">
        <v>21</v>
      </c>
      <c r="AM2268" s="25">
        <f>H2268*1</f>
        <v>0</v>
      </c>
      <c r="AN2268" s="25">
        <f>H2268*(1-1)</f>
        <v>0</v>
      </c>
      <c r="AO2268" s="27" t="s">
        <v>61</v>
      </c>
      <c r="AT2268" s="25">
        <f>ROUND(AU2268+AV2268,2)</f>
        <v>0</v>
      </c>
      <c r="AU2268" s="25">
        <f>ROUND(G2268*AM2268,2)</f>
        <v>0</v>
      </c>
      <c r="AV2268" s="25">
        <f>ROUND(G2268*AN2268,2)</f>
        <v>0</v>
      </c>
      <c r="AW2268" s="27" t="s">
        <v>2764</v>
      </c>
      <c r="AX2268" s="27" t="s">
        <v>2735</v>
      </c>
      <c r="AY2268" s="10" t="s">
        <v>2661</v>
      </c>
      <c r="BA2268" s="25">
        <f>AU2268+AV2268</f>
        <v>0</v>
      </c>
      <c r="BB2268" s="25">
        <f>H2268/(100-BC2268)*100</f>
        <v>0</v>
      </c>
      <c r="BC2268" s="25">
        <v>0</v>
      </c>
      <c r="BD2268" s="25">
        <f>M2268</f>
        <v>0.30159999999999998</v>
      </c>
      <c r="BF2268" s="25">
        <f>G2268*AM2268</f>
        <v>0</v>
      </c>
      <c r="BG2268" s="25">
        <f>G2268*AN2268</f>
        <v>0</v>
      </c>
      <c r="BH2268" s="25">
        <f>G2268*H2268</f>
        <v>0</v>
      </c>
      <c r="BI2268" s="27" t="s">
        <v>576</v>
      </c>
      <c r="BJ2268" s="25">
        <v>733</v>
      </c>
      <c r="BU2268" s="25" t="e">
        <f>#REF!</f>
        <v>#REF!</v>
      </c>
      <c r="BV2268" s="4" t="s">
        <v>2777</v>
      </c>
    </row>
    <row r="2269" spans="1:74" ht="14.4" x14ac:dyDescent="0.3">
      <c r="A2269" s="28"/>
      <c r="D2269" s="29" t="s">
        <v>629</v>
      </c>
      <c r="E2269" s="29" t="s">
        <v>52</v>
      </c>
      <c r="G2269" s="30">
        <v>104</v>
      </c>
      <c r="H2269" s="63"/>
      <c r="N2269" s="31"/>
    </row>
    <row r="2270" spans="1:74" ht="14.4" x14ac:dyDescent="0.3">
      <c r="A2270" s="2" t="s">
        <v>2778</v>
      </c>
      <c r="B2270" s="3" t="s">
        <v>2657</v>
      </c>
      <c r="C2270" s="3" t="s">
        <v>2779</v>
      </c>
      <c r="D2270" s="112" t="s">
        <v>2780</v>
      </c>
      <c r="E2270" s="109"/>
      <c r="F2270" s="3" t="s">
        <v>115</v>
      </c>
      <c r="G2270" s="25">
        <v>10</v>
      </c>
      <c r="H2270" s="62"/>
      <c r="I2270" s="25">
        <f>ROUND(G2270*AM2270,2)</f>
        <v>0</v>
      </c>
      <c r="J2270" s="25">
        <f>ROUND(G2270*AN2270,2)</f>
        <v>0</v>
      </c>
      <c r="K2270" s="25">
        <f>ROUND(G2270*H2270,2)</f>
        <v>0</v>
      </c>
      <c r="L2270" s="25">
        <v>1.6999999999999999E-3</v>
      </c>
      <c r="M2270" s="25">
        <f>G2270*L2270</f>
        <v>1.6999999999999998E-2</v>
      </c>
      <c r="N2270" s="26"/>
      <c r="X2270" s="25">
        <f>ROUND(IF(AO2270="5",BH2270,0),2)</f>
        <v>0</v>
      </c>
      <c r="Z2270" s="25">
        <f>ROUND(IF(AO2270="1",BF2270,0),2)</f>
        <v>0</v>
      </c>
      <c r="AA2270" s="25">
        <f>ROUND(IF(AO2270="1",BG2270,0),2)</f>
        <v>0</v>
      </c>
      <c r="AB2270" s="25">
        <f>ROUND(IF(AO2270="7",BF2270,0),2)</f>
        <v>0</v>
      </c>
      <c r="AC2270" s="25">
        <f>ROUND(IF(AO2270="7",BG2270,0),2)</f>
        <v>0</v>
      </c>
      <c r="AD2270" s="25">
        <f>ROUND(IF(AO2270="2",BF2270,0),2)</f>
        <v>0</v>
      </c>
      <c r="AE2270" s="25">
        <f>ROUND(IF(AO2270="2",BG2270,0),2)</f>
        <v>0</v>
      </c>
      <c r="AF2270" s="25">
        <f>ROUND(IF(AO2270="0",BH2270,0),2)</f>
        <v>0</v>
      </c>
      <c r="AG2270" s="10" t="s">
        <v>2657</v>
      </c>
      <c r="AH2270" s="25">
        <f>IF(AL2270=0,K2270,0)</f>
        <v>0</v>
      </c>
      <c r="AI2270" s="25">
        <f>IF(AL2270=12,K2270,0)</f>
        <v>0</v>
      </c>
      <c r="AJ2270" s="25">
        <f>IF(AL2270=21,K2270,0)</f>
        <v>0</v>
      </c>
      <c r="AL2270" s="25">
        <v>21</v>
      </c>
      <c r="AM2270" s="25">
        <f>H2270*1</f>
        <v>0</v>
      </c>
      <c r="AN2270" s="25">
        <f>H2270*(1-1)</f>
        <v>0</v>
      </c>
      <c r="AO2270" s="27" t="s">
        <v>61</v>
      </c>
      <c r="AT2270" s="25">
        <f>ROUND(AU2270+AV2270,2)</f>
        <v>0</v>
      </c>
      <c r="AU2270" s="25">
        <f>ROUND(G2270*AM2270,2)</f>
        <v>0</v>
      </c>
      <c r="AV2270" s="25">
        <f>ROUND(G2270*AN2270,2)</f>
        <v>0</v>
      </c>
      <c r="AW2270" s="27" t="s">
        <v>2764</v>
      </c>
      <c r="AX2270" s="27" t="s">
        <v>2735</v>
      </c>
      <c r="AY2270" s="10" t="s">
        <v>2661</v>
      </c>
      <c r="BA2270" s="25">
        <f>AU2270+AV2270</f>
        <v>0</v>
      </c>
      <c r="BB2270" s="25">
        <f>H2270/(100-BC2270)*100</f>
        <v>0</v>
      </c>
      <c r="BC2270" s="25">
        <v>0</v>
      </c>
      <c r="BD2270" s="25">
        <f>M2270</f>
        <v>1.6999999999999998E-2</v>
      </c>
      <c r="BF2270" s="25">
        <f>G2270*AM2270</f>
        <v>0</v>
      </c>
      <c r="BG2270" s="25">
        <f>G2270*AN2270</f>
        <v>0</v>
      </c>
      <c r="BH2270" s="25">
        <f>G2270*H2270</f>
        <v>0</v>
      </c>
      <c r="BI2270" s="27" t="s">
        <v>576</v>
      </c>
      <c r="BJ2270" s="25">
        <v>733</v>
      </c>
      <c r="BU2270" s="25" t="e">
        <f>#REF!</f>
        <v>#REF!</v>
      </c>
      <c r="BV2270" s="4" t="s">
        <v>2780</v>
      </c>
    </row>
    <row r="2271" spans="1:74" ht="14.4" x14ac:dyDescent="0.3">
      <c r="A2271" s="28"/>
      <c r="D2271" s="29" t="s">
        <v>129</v>
      </c>
      <c r="E2271" s="29" t="s">
        <v>52</v>
      </c>
      <c r="G2271" s="30">
        <v>10</v>
      </c>
      <c r="H2271" s="63"/>
      <c r="N2271" s="31"/>
    </row>
    <row r="2272" spans="1:74" ht="14.4" x14ac:dyDescent="0.3">
      <c r="A2272" s="2" t="s">
        <v>2731</v>
      </c>
      <c r="B2272" s="3" t="s">
        <v>2657</v>
      </c>
      <c r="C2272" s="3" t="s">
        <v>2781</v>
      </c>
      <c r="D2272" s="112" t="s">
        <v>2782</v>
      </c>
      <c r="E2272" s="109"/>
      <c r="F2272" s="3" t="s">
        <v>115</v>
      </c>
      <c r="G2272" s="25">
        <v>4</v>
      </c>
      <c r="H2272" s="62"/>
      <c r="I2272" s="25">
        <f>ROUND(G2272*AM2272,2)</f>
        <v>0</v>
      </c>
      <c r="J2272" s="25">
        <f>ROUND(G2272*AN2272,2)</f>
        <v>0</v>
      </c>
      <c r="K2272" s="25">
        <f>ROUND(G2272*H2272,2)</f>
        <v>0</v>
      </c>
      <c r="L2272" s="25">
        <v>1.4E-3</v>
      </c>
      <c r="M2272" s="25">
        <f>G2272*L2272</f>
        <v>5.5999999999999999E-3</v>
      </c>
      <c r="N2272" s="26"/>
      <c r="X2272" s="25">
        <f>ROUND(IF(AO2272="5",BH2272,0),2)</f>
        <v>0</v>
      </c>
      <c r="Z2272" s="25">
        <f>ROUND(IF(AO2272="1",BF2272,0),2)</f>
        <v>0</v>
      </c>
      <c r="AA2272" s="25">
        <f>ROUND(IF(AO2272="1",BG2272,0),2)</f>
        <v>0</v>
      </c>
      <c r="AB2272" s="25">
        <f>ROUND(IF(AO2272="7",BF2272,0),2)</f>
        <v>0</v>
      </c>
      <c r="AC2272" s="25">
        <f>ROUND(IF(AO2272="7",BG2272,0),2)</f>
        <v>0</v>
      </c>
      <c r="AD2272" s="25">
        <f>ROUND(IF(AO2272="2",BF2272,0),2)</f>
        <v>0</v>
      </c>
      <c r="AE2272" s="25">
        <f>ROUND(IF(AO2272="2",BG2272,0),2)</f>
        <v>0</v>
      </c>
      <c r="AF2272" s="25">
        <f>ROUND(IF(AO2272="0",BH2272,0),2)</f>
        <v>0</v>
      </c>
      <c r="AG2272" s="10" t="s">
        <v>2657</v>
      </c>
      <c r="AH2272" s="25">
        <f>IF(AL2272=0,K2272,0)</f>
        <v>0</v>
      </c>
      <c r="AI2272" s="25">
        <f>IF(AL2272=12,K2272,0)</f>
        <v>0</v>
      </c>
      <c r="AJ2272" s="25">
        <f>IF(AL2272=21,K2272,0)</f>
        <v>0</v>
      </c>
      <c r="AL2272" s="25">
        <v>21</v>
      </c>
      <c r="AM2272" s="25">
        <f>H2272*1</f>
        <v>0</v>
      </c>
      <c r="AN2272" s="25">
        <f>H2272*(1-1)</f>
        <v>0</v>
      </c>
      <c r="AO2272" s="27" t="s">
        <v>61</v>
      </c>
      <c r="AT2272" s="25">
        <f>ROUND(AU2272+AV2272,2)</f>
        <v>0</v>
      </c>
      <c r="AU2272" s="25">
        <f>ROUND(G2272*AM2272,2)</f>
        <v>0</v>
      </c>
      <c r="AV2272" s="25">
        <f>ROUND(G2272*AN2272,2)</f>
        <v>0</v>
      </c>
      <c r="AW2272" s="27" t="s">
        <v>2764</v>
      </c>
      <c r="AX2272" s="27" t="s">
        <v>2735</v>
      </c>
      <c r="AY2272" s="10" t="s">
        <v>2661</v>
      </c>
      <c r="BA2272" s="25">
        <f>AU2272+AV2272</f>
        <v>0</v>
      </c>
      <c r="BB2272" s="25">
        <f>H2272/(100-BC2272)*100</f>
        <v>0</v>
      </c>
      <c r="BC2272" s="25">
        <v>0</v>
      </c>
      <c r="BD2272" s="25">
        <f>M2272</f>
        <v>5.5999999999999999E-3</v>
      </c>
      <c r="BF2272" s="25">
        <f>G2272*AM2272</f>
        <v>0</v>
      </c>
      <c r="BG2272" s="25">
        <f>G2272*AN2272</f>
        <v>0</v>
      </c>
      <c r="BH2272" s="25">
        <f>G2272*H2272</f>
        <v>0</v>
      </c>
      <c r="BI2272" s="27" t="s">
        <v>576</v>
      </c>
      <c r="BJ2272" s="25">
        <v>733</v>
      </c>
      <c r="BU2272" s="25" t="e">
        <f>#REF!</f>
        <v>#REF!</v>
      </c>
      <c r="BV2272" s="4" t="s">
        <v>2782</v>
      </c>
    </row>
    <row r="2273" spans="1:74" ht="14.4" x14ac:dyDescent="0.3">
      <c r="A2273" s="28"/>
      <c r="D2273" s="29" t="s">
        <v>90</v>
      </c>
      <c r="E2273" s="29" t="s">
        <v>52</v>
      </c>
      <c r="G2273" s="30">
        <v>4</v>
      </c>
      <c r="H2273" s="63"/>
      <c r="N2273" s="31"/>
    </row>
    <row r="2274" spans="1:74" ht="14.4" x14ac:dyDescent="0.3">
      <c r="A2274" s="2" t="s">
        <v>2198</v>
      </c>
      <c r="B2274" s="3" t="s">
        <v>2657</v>
      </c>
      <c r="C2274" s="3" t="s">
        <v>2783</v>
      </c>
      <c r="D2274" s="112" t="s">
        <v>2784</v>
      </c>
      <c r="E2274" s="109"/>
      <c r="F2274" s="3" t="s">
        <v>115</v>
      </c>
      <c r="G2274" s="25">
        <v>66</v>
      </c>
      <c r="H2274" s="62"/>
      <c r="I2274" s="25">
        <f>ROUND(G2274*AM2274,2)</f>
        <v>0</v>
      </c>
      <c r="J2274" s="25">
        <f>ROUND(G2274*AN2274,2)</f>
        <v>0</v>
      </c>
      <c r="K2274" s="25">
        <f>ROUND(G2274*H2274,2)</f>
        <v>0</v>
      </c>
      <c r="L2274" s="25">
        <v>3.8999999999999999E-4</v>
      </c>
      <c r="M2274" s="25">
        <f>G2274*L2274</f>
        <v>2.5739999999999999E-2</v>
      </c>
      <c r="N2274" s="26"/>
      <c r="X2274" s="25">
        <f>ROUND(IF(AO2274="5",BH2274,0),2)</f>
        <v>0</v>
      </c>
      <c r="Z2274" s="25">
        <f>ROUND(IF(AO2274="1",BF2274,0),2)</f>
        <v>0</v>
      </c>
      <c r="AA2274" s="25">
        <f>ROUND(IF(AO2274="1",BG2274,0),2)</f>
        <v>0</v>
      </c>
      <c r="AB2274" s="25">
        <f>ROUND(IF(AO2274="7",BF2274,0),2)</f>
        <v>0</v>
      </c>
      <c r="AC2274" s="25">
        <f>ROUND(IF(AO2274="7",BG2274,0),2)</f>
        <v>0</v>
      </c>
      <c r="AD2274" s="25">
        <f>ROUND(IF(AO2274="2",BF2274,0),2)</f>
        <v>0</v>
      </c>
      <c r="AE2274" s="25">
        <f>ROUND(IF(AO2274="2",BG2274,0),2)</f>
        <v>0</v>
      </c>
      <c r="AF2274" s="25">
        <f>ROUND(IF(AO2274="0",BH2274,0),2)</f>
        <v>0</v>
      </c>
      <c r="AG2274" s="10" t="s">
        <v>2657</v>
      </c>
      <c r="AH2274" s="25">
        <f>IF(AL2274=0,K2274,0)</f>
        <v>0</v>
      </c>
      <c r="AI2274" s="25">
        <f>IF(AL2274=12,K2274,0)</f>
        <v>0</v>
      </c>
      <c r="AJ2274" s="25">
        <f>IF(AL2274=21,K2274,0)</f>
        <v>0</v>
      </c>
      <c r="AL2274" s="25">
        <v>21</v>
      </c>
      <c r="AM2274" s="25">
        <f>H2274*1</f>
        <v>0</v>
      </c>
      <c r="AN2274" s="25">
        <f>H2274*(1-1)</f>
        <v>0</v>
      </c>
      <c r="AO2274" s="27" t="s">
        <v>61</v>
      </c>
      <c r="AT2274" s="25">
        <f>ROUND(AU2274+AV2274,2)</f>
        <v>0</v>
      </c>
      <c r="AU2274" s="25">
        <f>ROUND(G2274*AM2274,2)</f>
        <v>0</v>
      </c>
      <c r="AV2274" s="25">
        <f>ROUND(G2274*AN2274,2)</f>
        <v>0</v>
      </c>
      <c r="AW2274" s="27" t="s">
        <v>2764</v>
      </c>
      <c r="AX2274" s="27" t="s">
        <v>2735</v>
      </c>
      <c r="AY2274" s="10" t="s">
        <v>2661</v>
      </c>
      <c r="BA2274" s="25">
        <f>AU2274+AV2274</f>
        <v>0</v>
      </c>
      <c r="BB2274" s="25">
        <f>H2274/(100-BC2274)*100</f>
        <v>0</v>
      </c>
      <c r="BC2274" s="25">
        <v>0</v>
      </c>
      <c r="BD2274" s="25">
        <f>M2274</f>
        <v>2.5739999999999999E-2</v>
      </c>
      <c r="BF2274" s="25">
        <f>G2274*AM2274</f>
        <v>0</v>
      </c>
      <c r="BG2274" s="25">
        <f>G2274*AN2274</f>
        <v>0</v>
      </c>
      <c r="BH2274" s="25">
        <f>G2274*H2274</f>
        <v>0</v>
      </c>
      <c r="BI2274" s="27" t="s">
        <v>576</v>
      </c>
      <c r="BJ2274" s="25">
        <v>733</v>
      </c>
      <c r="BU2274" s="25" t="e">
        <f>#REF!</f>
        <v>#REF!</v>
      </c>
      <c r="BV2274" s="4" t="s">
        <v>2784</v>
      </c>
    </row>
    <row r="2275" spans="1:74" ht="14.4" x14ac:dyDescent="0.3">
      <c r="A2275" s="28"/>
      <c r="D2275" s="29" t="s">
        <v>450</v>
      </c>
      <c r="E2275" s="29" t="s">
        <v>52</v>
      </c>
      <c r="G2275" s="30">
        <v>66</v>
      </c>
      <c r="H2275" s="63"/>
      <c r="N2275" s="31"/>
    </row>
    <row r="2276" spans="1:74" ht="14.4" x14ac:dyDescent="0.3">
      <c r="A2276" s="2" t="s">
        <v>2759</v>
      </c>
      <c r="B2276" s="3" t="s">
        <v>2657</v>
      </c>
      <c r="C2276" s="3" t="s">
        <v>2785</v>
      </c>
      <c r="D2276" s="112" t="s">
        <v>2786</v>
      </c>
      <c r="E2276" s="109"/>
      <c r="F2276" s="3" t="s">
        <v>278</v>
      </c>
      <c r="G2276" s="25">
        <v>0.89500000000000002</v>
      </c>
      <c r="H2276" s="62"/>
      <c r="I2276" s="25">
        <f>ROUND(G2276*AM2276,2)</f>
        <v>0</v>
      </c>
      <c r="J2276" s="25">
        <f>ROUND(G2276*AN2276,2)</f>
        <v>0</v>
      </c>
      <c r="K2276" s="25">
        <f>ROUND(G2276*H2276,2)</f>
        <v>0</v>
      </c>
      <c r="L2276" s="25">
        <v>0</v>
      </c>
      <c r="M2276" s="25">
        <f>G2276*L2276</f>
        <v>0</v>
      </c>
      <c r="N2276" s="26"/>
      <c r="X2276" s="25">
        <f>ROUND(IF(AO2276="5",BH2276,0),2)</f>
        <v>0</v>
      </c>
      <c r="Z2276" s="25">
        <f>ROUND(IF(AO2276="1",BF2276,0),2)</f>
        <v>0</v>
      </c>
      <c r="AA2276" s="25">
        <f>ROUND(IF(AO2276="1",BG2276,0),2)</f>
        <v>0</v>
      </c>
      <c r="AB2276" s="25">
        <f>ROUND(IF(AO2276="7",BF2276,0),2)</f>
        <v>0</v>
      </c>
      <c r="AC2276" s="25">
        <f>ROUND(IF(AO2276="7",BG2276,0),2)</f>
        <v>0</v>
      </c>
      <c r="AD2276" s="25">
        <f>ROUND(IF(AO2276="2",BF2276,0),2)</f>
        <v>0</v>
      </c>
      <c r="AE2276" s="25">
        <f>ROUND(IF(AO2276="2",BG2276,0),2)</f>
        <v>0</v>
      </c>
      <c r="AF2276" s="25">
        <f>ROUND(IF(AO2276="0",BH2276,0),2)</f>
        <v>0</v>
      </c>
      <c r="AG2276" s="10" t="s">
        <v>2657</v>
      </c>
      <c r="AH2276" s="25">
        <f>IF(AL2276=0,K2276,0)</f>
        <v>0</v>
      </c>
      <c r="AI2276" s="25">
        <f>IF(AL2276=12,K2276,0)</f>
        <v>0</v>
      </c>
      <c r="AJ2276" s="25">
        <f>IF(AL2276=21,K2276,0)</f>
        <v>0</v>
      </c>
      <c r="AL2276" s="25">
        <v>21</v>
      </c>
      <c r="AM2276" s="25">
        <f>H2276*0</f>
        <v>0</v>
      </c>
      <c r="AN2276" s="25">
        <f>H2276*(1-0)</f>
        <v>0</v>
      </c>
      <c r="AO2276" s="27" t="s">
        <v>97</v>
      </c>
      <c r="AT2276" s="25">
        <f>ROUND(AU2276+AV2276,2)</f>
        <v>0</v>
      </c>
      <c r="AU2276" s="25">
        <f>ROUND(G2276*AM2276,2)</f>
        <v>0</v>
      </c>
      <c r="AV2276" s="25">
        <f>ROUND(G2276*AN2276,2)</f>
        <v>0</v>
      </c>
      <c r="AW2276" s="27" t="s">
        <v>2764</v>
      </c>
      <c r="AX2276" s="27" t="s">
        <v>2735</v>
      </c>
      <c r="AY2276" s="10" t="s">
        <v>2661</v>
      </c>
      <c r="BA2276" s="25">
        <f>AU2276+AV2276</f>
        <v>0</v>
      </c>
      <c r="BB2276" s="25">
        <f>H2276/(100-BC2276)*100</f>
        <v>0</v>
      </c>
      <c r="BC2276" s="25">
        <v>0</v>
      </c>
      <c r="BD2276" s="25">
        <f>M2276</f>
        <v>0</v>
      </c>
      <c r="BF2276" s="25">
        <f>G2276*AM2276</f>
        <v>0</v>
      </c>
      <c r="BG2276" s="25">
        <f>G2276*AN2276</f>
        <v>0</v>
      </c>
      <c r="BH2276" s="25">
        <f>G2276*H2276</f>
        <v>0</v>
      </c>
      <c r="BI2276" s="27" t="s">
        <v>65</v>
      </c>
      <c r="BJ2276" s="25">
        <v>733</v>
      </c>
      <c r="BU2276" s="25" t="e">
        <f>#REF!</f>
        <v>#REF!</v>
      </c>
      <c r="BV2276" s="4" t="s">
        <v>2786</v>
      </c>
    </row>
    <row r="2277" spans="1:74" ht="14.4" x14ac:dyDescent="0.3">
      <c r="A2277" s="28"/>
      <c r="D2277" s="29" t="s">
        <v>2787</v>
      </c>
      <c r="E2277" s="29" t="s">
        <v>52</v>
      </c>
      <c r="G2277" s="30">
        <v>0.89500000000000002</v>
      </c>
      <c r="H2277" s="63"/>
      <c r="N2277" s="31"/>
    </row>
    <row r="2278" spans="1:74" ht="14.4" x14ac:dyDescent="0.3">
      <c r="A2278" s="21" t="s">
        <v>52</v>
      </c>
      <c r="B2278" s="22" t="s">
        <v>2657</v>
      </c>
      <c r="C2278" s="22" t="s">
        <v>2258</v>
      </c>
      <c r="D2278" s="170" t="s">
        <v>2259</v>
      </c>
      <c r="E2278" s="171"/>
      <c r="F2278" s="23" t="s">
        <v>32</v>
      </c>
      <c r="G2278" s="23" t="s">
        <v>32</v>
      </c>
      <c r="H2278" s="64"/>
      <c r="I2278" s="1">
        <f>SUM(I2279:I2312)</f>
        <v>0</v>
      </c>
      <c r="J2278" s="1">
        <f>SUM(J2279:J2312)</f>
        <v>0</v>
      </c>
      <c r="K2278" s="1">
        <f>SUM(K2279:K2312)</f>
        <v>0</v>
      </c>
      <c r="L2278" s="10" t="s">
        <v>52</v>
      </c>
      <c r="M2278" s="1">
        <f>SUM(M2279:M2312)</f>
        <v>3.2409999999999994E-2</v>
      </c>
      <c r="N2278" s="24"/>
      <c r="AG2278" s="10" t="s">
        <v>2657</v>
      </c>
      <c r="AQ2278" s="1">
        <f>SUM(AH2279:AH2312)</f>
        <v>0</v>
      </c>
      <c r="AR2278" s="1">
        <f>SUM(AI2279:AI2312)</f>
        <v>0</v>
      </c>
      <c r="AS2278" s="1">
        <f>SUM(AJ2279:AJ2312)</f>
        <v>0</v>
      </c>
    </row>
    <row r="2279" spans="1:74" ht="14.4" x14ac:dyDescent="0.3">
      <c r="A2279" s="2" t="s">
        <v>2258</v>
      </c>
      <c r="B2279" s="3" t="s">
        <v>2657</v>
      </c>
      <c r="C2279" s="3" t="s">
        <v>2788</v>
      </c>
      <c r="D2279" s="112" t="s">
        <v>2789</v>
      </c>
      <c r="E2279" s="109"/>
      <c r="F2279" s="3" t="s">
        <v>122</v>
      </c>
      <c r="G2279" s="25">
        <v>6</v>
      </c>
      <c r="H2279" s="62"/>
      <c r="I2279" s="25">
        <f>ROUND(G2279*AM2279,2)</f>
        <v>0</v>
      </c>
      <c r="J2279" s="25">
        <f>ROUND(G2279*AN2279,2)</f>
        <v>0</v>
      </c>
      <c r="K2279" s="25">
        <f>ROUND(G2279*H2279,2)</f>
        <v>0</v>
      </c>
      <c r="L2279" s="25">
        <v>7.6999999999999996E-4</v>
      </c>
      <c r="M2279" s="25">
        <f>G2279*L2279</f>
        <v>4.62E-3</v>
      </c>
      <c r="N2279" s="26"/>
      <c r="X2279" s="25">
        <f>ROUND(IF(AO2279="5",BH2279,0),2)</f>
        <v>0</v>
      </c>
      <c r="Z2279" s="25">
        <f>ROUND(IF(AO2279="1",BF2279,0),2)</f>
        <v>0</v>
      </c>
      <c r="AA2279" s="25">
        <f>ROUND(IF(AO2279="1",BG2279,0),2)</f>
        <v>0</v>
      </c>
      <c r="AB2279" s="25">
        <f>ROUND(IF(AO2279="7",BF2279,0),2)</f>
        <v>0</v>
      </c>
      <c r="AC2279" s="25">
        <f>ROUND(IF(AO2279="7",BG2279,0),2)</f>
        <v>0</v>
      </c>
      <c r="AD2279" s="25">
        <f>ROUND(IF(AO2279="2",BF2279,0),2)</f>
        <v>0</v>
      </c>
      <c r="AE2279" s="25">
        <f>ROUND(IF(AO2279="2",BG2279,0),2)</f>
        <v>0</v>
      </c>
      <c r="AF2279" s="25">
        <f>ROUND(IF(AO2279="0",BH2279,0),2)</f>
        <v>0</v>
      </c>
      <c r="AG2279" s="10" t="s">
        <v>2657</v>
      </c>
      <c r="AH2279" s="25">
        <f>IF(AL2279=0,K2279,0)</f>
        <v>0</v>
      </c>
      <c r="AI2279" s="25">
        <f>IF(AL2279=12,K2279,0)</f>
        <v>0</v>
      </c>
      <c r="AJ2279" s="25">
        <f>IF(AL2279=21,K2279,0)</f>
        <v>0</v>
      </c>
      <c r="AL2279" s="25">
        <v>21</v>
      </c>
      <c r="AM2279" s="25">
        <f>H2279*1</f>
        <v>0</v>
      </c>
      <c r="AN2279" s="25">
        <f>H2279*(1-1)</f>
        <v>0</v>
      </c>
      <c r="AO2279" s="27" t="s">
        <v>61</v>
      </c>
      <c r="AT2279" s="25">
        <f>ROUND(AU2279+AV2279,2)</f>
        <v>0</v>
      </c>
      <c r="AU2279" s="25">
        <f>ROUND(G2279*AM2279,2)</f>
        <v>0</v>
      </c>
      <c r="AV2279" s="25">
        <f>ROUND(G2279*AN2279,2)</f>
        <v>0</v>
      </c>
      <c r="AW2279" s="27" t="s">
        <v>2261</v>
      </c>
      <c r="AX2279" s="27" t="s">
        <v>2735</v>
      </c>
      <c r="AY2279" s="10" t="s">
        <v>2661</v>
      </c>
      <c r="BA2279" s="25">
        <f>AU2279+AV2279</f>
        <v>0</v>
      </c>
      <c r="BB2279" s="25">
        <f>H2279/(100-BC2279)*100</f>
        <v>0</v>
      </c>
      <c r="BC2279" s="25">
        <v>0</v>
      </c>
      <c r="BD2279" s="25">
        <f>M2279</f>
        <v>4.62E-3</v>
      </c>
      <c r="BF2279" s="25">
        <f>G2279*AM2279</f>
        <v>0</v>
      </c>
      <c r="BG2279" s="25">
        <f>G2279*AN2279</f>
        <v>0</v>
      </c>
      <c r="BH2279" s="25">
        <f>G2279*H2279</f>
        <v>0</v>
      </c>
      <c r="BI2279" s="27" t="s">
        <v>65</v>
      </c>
      <c r="BJ2279" s="25">
        <v>734</v>
      </c>
      <c r="BU2279" s="25" t="e">
        <f>#REF!</f>
        <v>#REF!</v>
      </c>
      <c r="BV2279" s="4" t="s">
        <v>2789</v>
      </c>
    </row>
    <row r="2280" spans="1:74" ht="14.4" x14ac:dyDescent="0.3">
      <c r="A2280" s="28"/>
      <c r="D2280" s="29" t="s">
        <v>106</v>
      </c>
      <c r="E2280" s="29" t="s">
        <v>52</v>
      </c>
      <c r="G2280" s="30">
        <v>6</v>
      </c>
      <c r="H2280" s="63"/>
      <c r="N2280" s="31"/>
    </row>
    <row r="2281" spans="1:74" ht="14.4" x14ac:dyDescent="0.3">
      <c r="A2281" s="2" t="s">
        <v>2790</v>
      </c>
      <c r="B2281" s="3" t="s">
        <v>2657</v>
      </c>
      <c r="C2281" s="3" t="s">
        <v>2791</v>
      </c>
      <c r="D2281" s="112" t="s">
        <v>2792</v>
      </c>
      <c r="E2281" s="109"/>
      <c r="F2281" s="3" t="s">
        <v>122</v>
      </c>
      <c r="G2281" s="25">
        <v>5</v>
      </c>
      <c r="H2281" s="62"/>
      <c r="I2281" s="25">
        <f>ROUND(G2281*AM2281,2)</f>
        <v>0</v>
      </c>
      <c r="J2281" s="25">
        <f>ROUND(G2281*AN2281,2)</f>
        <v>0</v>
      </c>
      <c r="K2281" s="25">
        <f>ROUND(G2281*H2281,2)</f>
        <v>0</v>
      </c>
      <c r="L2281" s="25">
        <v>1.24E-3</v>
      </c>
      <c r="M2281" s="25">
        <f>G2281*L2281</f>
        <v>6.1999999999999998E-3</v>
      </c>
      <c r="N2281" s="26"/>
      <c r="X2281" s="25">
        <f>ROUND(IF(AO2281="5",BH2281,0),2)</f>
        <v>0</v>
      </c>
      <c r="Z2281" s="25">
        <f>ROUND(IF(AO2281="1",BF2281,0),2)</f>
        <v>0</v>
      </c>
      <c r="AA2281" s="25">
        <f>ROUND(IF(AO2281="1",BG2281,0),2)</f>
        <v>0</v>
      </c>
      <c r="AB2281" s="25">
        <f>ROUND(IF(AO2281="7",BF2281,0),2)</f>
        <v>0</v>
      </c>
      <c r="AC2281" s="25">
        <f>ROUND(IF(AO2281="7",BG2281,0),2)</f>
        <v>0</v>
      </c>
      <c r="AD2281" s="25">
        <f>ROUND(IF(AO2281="2",BF2281,0),2)</f>
        <v>0</v>
      </c>
      <c r="AE2281" s="25">
        <f>ROUND(IF(AO2281="2",BG2281,0),2)</f>
        <v>0</v>
      </c>
      <c r="AF2281" s="25">
        <f>ROUND(IF(AO2281="0",BH2281,0),2)</f>
        <v>0</v>
      </c>
      <c r="AG2281" s="10" t="s">
        <v>2657</v>
      </c>
      <c r="AH2281" s="25">
        <f>IF(AL2281=0,K2281,0)</f>
        <v>0</v>
      </c>
      <c r="AI2281" s="25">
        <f>IF(AL2281=12,K2281,0)</f>
        <v>0</v>
      </c>
      <c r="AJ2281" s="25">
        <f>IF(AL2281=21,K2281,0)</f>
        <v>0</v>
      </c>
      <c r="AL2281" s="25">
        <v>21</v>
      </c>
      <c r="AM2281" s="25">
        <f>H2281*1</f>
        <v>0</v>
      </c>
      <c r="AN2281" s="25">
        <f>H2281*(1-1)</f>
        <v>0</v>
      </c>
      <c r="AO2281" s="27" t="s">
        <v>61</v>
      </c>
      <c r="AT2281" s="25">
        <f>ROUND(AU2281+AV2281,2)</f>
        <v>0</v>
      </c>
      <c r="AU2281" s="25">
        <f>ROUND(G2281*AM2281,2)</f>
        <v>0</v>
      </c>
      <c r="AV2281" s="25">
        <f>ROUND(G2281*AN2281,2)</f>
        <v>0</v>
      </c>
      <c r="AW2281" s="27" t="s">
        <v>2261</v>
      </c>
      <c r="AX2281" s="27" t="s">
        <v>2735</v>
      </c>
      <c r="AY2281" s="10" t="s">
        <v>2661</v>
      </c>
      <c r="BA2281" s="25">
        <f>AU2281+AV2281</f>
        <v>0</v>
      </c>
      <c r="BB2281" s="25">
        <f>H2281/(100-BC2281)*100</f>
        <v>0</v>
      </c>
      <c r="BC2281" s="25">
        <v>0</v>
      </c>
      <c r="BD2281" s="25">
        <f>M2281</f>
        <v>6.1999999999999998E-3</v>
      </c>
      <c r="BF2281" s="25">
        <f>G2281*AM2281</f>
        <v>0</v>
      </c>
      <c r="BG2281" s="25">
        <f>G2281*AN2281</f>
        <v>0</v>
      </c>
      <c r="BH2281" s="25">
        <f>G2281*H2281</f>
        <v>0</v>
      </c>
      <c r="BI2281" s="27" t="s">
        <v>65</v>
      </c>
      <c r="BJ2281" s="25">
        <v>734</v>
      </c>
      <c r="BU2281" s="25" t="e">
        <f>#REF!</f>
        <v>#REF!</v>
      </c>
      <c r="BV2281" s="4" t="s">
        <v>2792</v>
      </c>
    </row>
    <row r="2282" spans="1:74" ht="14.4" x14ac:dyDescent="0.3">
      <c r="A2282" s="28"/>
      <c r="D2282" s="29" t="s">
        <v>97</v>
      </c>
      <c r="E2282" s="29" t="s">
        <v>52</v>
      </c>
      <c r="G2282" s="30">
        <v>5</v>
      </c>
      <c r="H2282" s="63"/>
      <c r="N2282" s="31"/>
    </row>
    <row r="2283" spans="1:74" ht="14.4" x14ac:dyDescent="0.3">
      <c r="A2283" s="2" t="s">
        <v>2793</v>
      </c>
      <c r="B2283" s="3" t="s">
        <v>2657</v>
      </c>
      <c r="C2283" s="3" t="s">
        <v>2794</v>
      </c>
      <c r="D2283" s="112" t="s">
        <v>2795</v>
      </c>
      <c r="E2283" s="109"/>
      <c r="F2283" s="3" t="s">
        <v>122</v>
      </c>
      <c r="G2283" s="25">
        <v>6</v>
      </c>
      <c r="H2283" s="62"/>
      <c r="I2283" s="25">
        <f>ROUND(G2283*AM2283,2)</f>
        <v>0</v>
      </c>
      <c r="J2283" s="25">
        <f>ROUND(G2283*AN2283,2)</f>
        <v>0</v>
      </c>
      <c r="K2283" s="25">
        <f>ROUND(G2283*H2283,2)</f>
        <v>0</v>
      </c>
      <c r="L2283" s="25">
        <v>2.9999999999999997E-4</v>
      </c>
      <c r="M2283" s="25">
        <f>G2283*L2283</f>
        <v>1.8E-3</v>
      </c>
      <c r="N2283" s="26"/>
      <c r="X2283" s="25">
        <f>ROUND(IF(AO2283="5",BH2283,0),2)</f>
        <v>0</v>
      </c>
      <c r="Z2283" s="25">
        <f>ROUND(IF(AO2283="1",BF2283,0),2)</f>
        <v>0</v>
      </c>
      <c r="AA2283" s="25">
        <f>ROUND(IF(AO2283="1",BG2283,0),2)</f>
        <v>0</v>
      </c>
      <c r="AB2283" s="25">
        <f>ROUND(IF(AO2283="7",BF2283,0),2)</f>
        <v>0</v>
      </c>
      <c r="AC2283" s="25">
        <f>ROUND(IF(AO2283="7",BG2283,0),2)</f>
        <v>0</v>
      </c>
      <c r="AD2283" s="25">
        <f>ROUND(IF(AO2283="2",BF2283,0),2)</f>
        <v>0</v>
      </c>
      <c r="AE2283" s="25">
        <f>ROUND(IF(AO2283="2",BG2283,0),2)</f>
        <v>0</v>
      </c>
      <c r="AF2283" s="25">
        <f>ROUND(IF(AO2283="0",BH2283,0),2)</f>
        <v>0</v>
      </c>
      <c r="AG2283" s="10" t="s">
        <v>2657</v>
      </c>
      <c r="AH2283" s="25">
        <f>IF(AL2283=0,K2283,0)</f>
        <v>0</v>
      </c>
      <c r="AI2283" s="25">
        <f>IF(AL2283=12,K2283,0)</f>
        <v>0</v>
      </c>
      <c r="AJ2283" s="25">
        <f>IF(AL2283=21,K2283,0)</f>
        <v>0</v>
      </c>
      <c r="AL2283" s="25">
        <v>21</v>
      </c>
      <c r="AM2283" s="25">
        <f>H2283*1</f>
        <v>0</v>
      </c>
      <c r="AN2283" s="25">
        <f>H2283*(1-1)</f>
        <v>0</v>
      </c>
      <c r="AO2283" s="27" t="s">
        <v>61</v>
      </c>
      <c r="AT2283" s="25">
        <f>ROUND(AU2283+AV2283,2)</f>
        <v>0</v>
      </c>
      <c r="AU2283" s="25">
        <f>ROUND(G2283*AM2283,2)</f>
        <v>0</v>
      </c>
      <c r="AV2283" s="25">
        <f>ROUND(G2283*AN2283,2)</f>
        <v>0</v>
      </c>
      <c r="AW2283" s="27" t="s">
        <v>2261</v>
      </c>
      <c r="AX2283" s="27" t="s">
        <v>2735</v>
      </c>
      <c r="AY2283" s="10" t="s">
        <v>2661</v>
      </c>
      <c r="BA2283" s="25">
        <f>AU2283+AV2283</f>
        <v>0</v>
      </c>
      <c r="BB2283" s="25">
        <f>H2283/(100-BC2283)*100</f>
        <v>0</v>
      </c>
      <c r="BC2283" s="25">
        <v>0</v>
      </c>
      <c r="BD2283" s="25">
        <f>M2283</f>
        <v>1.8E-3</v>
      </c>
      <c r="BF2283" s="25">
        <f>G2283*AM2283</f>
        <v>0</v>
      </c>
      <c r="BG2283" s="25">
        <f>G2283*AN2283</f>
        <v>0</v>
      </c>
      <c r="BH2283" s="25">
        <f>G2283*H2283</f>
        <v>0</v>
      </c>
      <c r="BI2283" s="27" t="s">
        <v>65</v>
      </c>
      <c r="BJ2283" s="25">
        <v>734</v>
      </c>
      <c r="BU2283" s="25" t="e">
        <f>#REF!</f>
        <v>#REF!</v>
      </c>
      <c r="BV2283" s="4" t="s">
        <v>2795</v>
      </c>
    </row>
    <row r="2284" spans="1:74" ht="14.4" x14ac:dyDescent="0.3">
      <c r="A2284" s="28"/>
      <c r="D2284" s="29" t="s">
        <v>106</v>
      </c>
      <c r="E2284" s="29" t="s">
        <v>52</v>
      </c>
      <c r="G2284" s="30">
        <v>6</v>
      </c>
      <c r="H2284" s="63"/>
      <c r="N2284" s="31"/>
    </row>
    <row r="2285" spans="1:74" ht="14.4" x14ac:dyDescent="0.3">
      <c r="A2285" s="2" t="s">
        <v>2796</v>
      </c>
      <c r="B2285" s="3" t="s">
        <v>2657</v>
      </c>
      <c r="C2285" s="3" t="s">
        <v>2797</v>
      </c>
      <c r="D2285" s="112" t="s">
        <v>2798</v>
      </c>
      <c r="E2285" s="109"/>
      <c r="F2285" s="3" t="s">
        <v>122</v>
      </c>
      <c r="G2285" s="25">
        <v>4</v>
      </c>
      <c r="H2285" s="62"/>
      <c r="I2285" s="25">
        <f>ROUND(G2285*AM2285,2)</f>
        <v>0</v>
      </c>
      <c r="J2285" s="25">
        <f>ROUND(G2285*AN2285,2)</f>
        <v>0</v>
      </c>
      <c r="K2285" s="25">
        <f>ROUND(G2285*H2285,2)</f>
        <v>0</v>
      </c>
      <c r="L2285" s="25">
        <v>8.0000000000000004E-4</v>
      </c>
      <c r="M2285" s="25">
        <f>G2285*L2285</f>
        <v>3.2000000000000002E-3</v>
      </c>
      <c r="N2285" s="26"/>
      <c r="X2285" s="25">
        <f>ROUND(IF(AO2285="5",BH2285,0),2)</f>
        <v>0</v>
      </c>
      <c r="Z2285" s="25">
        <f>ROUND(IF(AO2285="1",BF2285,0),2)</f>
        <v>0</v>
      </c>
      <c r="AA2285" s="25">
        <f>ROUND(IF(AO2285="1",BG2285,0),2)</f>
        <v>0</v>
      </c>
      <c r="AB2285" s="25">
        <f>ROUND(IF(AO2285="7",BF2285,0),2)</f>
        <v>0</v>
      </c>
      <c r="AC2285" s="25">
        <f>ROUND(IF(AO2285="7",BG2285,0),2)</f>
        <v>0</v>
      </c>
      <c r="AD2285" s="25">
        <f>ROUND(IF(AO2285="2",BF2285,0),2)</f>
        <v>0</v>
      </c>
      <c r="AE2285" s="25">
        <f>ROUND(IF(AO2285="2",BG2285,0),2)</f>
        <v>0</v>
      </c>
      <c r="AF2285" s="25">
        <f>ROUND(IF(AO2285="0",BH2285,0),2)</f>
        <v>0</v>
      </c>
      <c r="AG2285" s="10" t="s">
        <v>2657</v>
      </c>
      <c r="AH2285" s="25">
        <f>IF(AL2285=0,K2285,0)</f>
        <v>0</v>
      </c>
      <c r="AI2285" s="25">
        <f>IF(AL2285=12,K2285,0)</f>
        <v>0</v>
      </c>
      <c r="AJ2285" s="25">
        <f>IF(AL2285=21,K2285,0)</f>
        <v>0</v>
      </c>
      <c r="AL2285" s="25">
        <v>21</v>
      </c>
      <c r="AM2285" s="25">
        <f>H2285*1</f>
        <v>0</v>
      </c>
      <c r="AN2285" s="25">
        <f>H2285*(1-1)</f>
        <v>0</v>
      </c>
      <c r="AO2285" s="27" t="s">
        <v>61</v>
      </c>
      <c r="AT2285" s="25">
        <f>ROUND(AU2285+AV2285,2)</f>
        <v>0</v>
      </c>
      <c r="AU2285" s="25">
        <f>ROUND(G2285*AM2285,2)</f>
        <v>0</v>
      </c>
      <c r="AV2285" s="25">
        <f>ROUND(G2285*AN2285,2)</f>
        <v>0</v>
      </c>
      <c r="AW2285" s="27" t="s">
        <v>2261</v>
      </c>
      <c r="AX2285" s="27" t="s">
        <v>2735</v>
      </c>
      <c r="AY2285" s="10" t="s">
        <v>2661</v>
      </c>
      <c r="BA2285" s="25">
        <f>AU2285+AV2285</f>
        <v>0</v>
      </c>
      <c r="BB2285" s="25">
        <f>H2285/(100-BC2285)*100</f>
        <v>0</v>
      </c>
      <c r="BC2285" s="25">
        <v>0</v>
      </c>
      <c r="BD2285" s="25">
        <f>M2285</f>
        <v>3.2000000000000002E-3</v>
      </c>
      <c r="BF2285" s="25">
        <f>G2285*AM2285</f>
        <v>0</v>
      </c>
      <c r="BG2285" s="25">
        <f>G2285*AN2285</f>
        <v>0</v>
      </c>
      <c r="BH2285" s="25">
        <f>G2285*H2285</f>
        <v>0</v>
      </c>
      <c r="BI2285" s="27" t="s">
        <v>65</v>
      </c>
      <c r="BJ2285" s="25">
        <v>734</v>
      </c>
      <c r="BU2285" s="25" t="e">
        <f>#REF!</f>
        <v>#REF!</v>
      </c>
      <c r="BV2285" s="4" t="s">
        <v>2798</v>
      </c>
    </row>
    <row r="2286" spans="1:74" ht="14.4" x14ac:dyDescent="0.3">
      <c r="A2286" s="28"/>
      <c r="D2286" s="29" t="s">
        <v>90</v>
      </c>
      <c r="E2286" s="29" t="s">
        <v>52</v>
      </c>
      <c r="G2286" s="30">
        <v>4</v>
      </c>
      <c r="H2286" s="63"/>
      <c r="N2286" s="31"/>
    </row>
    <row r="2287" spans="1:74" ht="14.4" x14ac:dyDescent="0.3">
      <c r="A2287" s="2" t="s">
        <v>2799</v>
      </c>
      <c r="B2287" s="3" t="s">
        <v>2657</v>
      </c>
      <c r="C2287" s="3" t="s">
        <v>2800</v>
      </c>
      <c r="D2287" s="112" t="s">
        <v>2801</v>
      </c>
      <c r="E2287" s="109"/>
      <c r="F2287" s="3" t="s">
        <v>122</v>
      </c>
      <c r="G2287" s="25">
        <v>1</v>
      </c>
      <c r="H2287" s="62"/>
      <c r="I2287" s="25">
        <f>ROUND(G2287*AM2287,2)</f>
        <v>0</v>
      </c>
      <c r="J2287" s="25">
        <f>ROUND(G2287*AN2287,2)</f>
        <v>0</v>
      </c>
      <c r="K2287" s="25">
        <f>ROUND(G2287*H2287,2)</f>
        <v>0</v>
      </c>
      <c r="L2287" s="25">
        <v>1.1999999999999999E-3</v>
      </c>
      <c r="M2287" s="25">
        <f>G2287*L2287</f>
        <v>1.1999999999999999E-3</v>
      </c>
      <c r="N2287" s="26"/>
      <c r="X2287" s="25">
        <f>ROUND(IF(AO2287="5",BH2287,0),2)</f>
        <v>0</v>
      </c>
      <c r="Z2287" s="25">
        <f>ROUND(IF(AO2287="1",BF2287,0),2)</f>
        <v>0</v>
      </c>
      <c r="AA2287" s="25">
        <f>ROUND(IF(AO2287="1",BG2287,0),2)</f>
        <v>0</v>
      </c>
      <c r="AB2287" s="25">
        <f>ROUND(IF(AO2287="7",BF2287,0),2)</f>
        <v>0</v>
      </c>
      <c r="AC2287" s="25">
        <f>ROUND(IF(AO2287="7",BG2287,0),2)</f>
        <v>0</v>
      </c>
      <c r="AD2287" s="25">
        <f>ROUND(IF(AO2287="2",BF2287,0),2)</f>
        <v>0</v>
      </c>
      <c r="AE2287" s="25">
        <f>ROUND(IF(AO2287="2",BG2287,0),2)</f>
        <v>0</v>
      </c>
      <c r="AF2287" s="25">
        <f>ROUND(IF(AO2287="0",BH2287,0),2)</f>
        <v>0</v>
      </c>
      <c r="AG2287" s="10" t="s">
        <v>2657</v>
      </c>
      <c r="AH2287" s="25">
        <f>IF(AL2287=0,K2287,0)</f>
        <v>0</v>
      </c>
      <c r="AI2287" s="25">
        <f>IF(AL2287=12,K2287,0)</f>
        <v>0</v>
      </c>
      <c r="AJ2287" s="25">
        <f>IF(AL2287=21,K2287,0)</f>
        <v>0</v>
      </c>
      <c r="AL2287" s="25">
        <v>21</v>
      </c>
      <c r="AM2287" s="25">
        <f>H2287*1</f>
        <v>0</v>
      </c>
      <c r="AN2287" s="25">
        <f>H2287*(1-1)</f>
        <v>0</v>
      </c>
      <c r="AO2287" s="27" t="s">
        <v>61</v>
      </c>
      <c r="AT2287" s="25">
        <f>ROUND(AU2287+AV2287,2)</f>
        <v>0</v>
      </c>
      <c r="AU2287" s="25">
        <f>ROUND(G2287*AM2287,2)</f>
        <v>0</v>
      </c>
      <c r="AV2287" s="25">
        <f>ROUND(G2287*AN2287,2)</f>
        <v>0</v>
      </c>
      <c r="AW2287" s="27" t="s">
        <v>2261</v>
      </c>
      <c r="AX2287" s="27" t="s">
        <v>2735</v>
      </c>
      <c r="AY2287" s="10" t="s">
        <v>2661</v>
      </c>
      <c r="BA2287" s="25">
        <f>AU2287+AV2287</f>
        <v>0</v>
      </c>
      <c r="BB2287" s="25">
        <f>H2287/(100-BC2287)*100</f>
        <v>0</v>
      </c>
      <c r="BC2287" s="25">
        <v>0</v>
      </c>
      <c r="BD2287" s="25">
        <f>M2287</f>
        <v>1.1999999999999999E-3</v>
      </c>
      <c r="BF2287" s="25">
        <f>G2287*AM2287</f>
        <v>0</v>
      </c>
      <c r="BG2287" s="25">
        <f>G2287*AN2287</f>
        <v>0</v>
      </c>
      <c r="BH2287" s="25">
        <f>G2287*H2287</f>
        <v>0</v>
      </c>
      <c r="BI2287" s="27" t="s">
        <v>65</v>
      </c>
      <c r="BJ2287" s="25">
        <v>734</v>
      </c>
      <c r="BU2287" s="25" t="e">
        <f>#REF!</f>
        <v>#REF!</v>
      </c>
      <c r="BV2287" s="4" t="s">
        <v>2801</v>
      </c>
    </row>
    <row r="2288" spans="1:74" ht="14.4" x14ac:dyDescent="0.3">
      <c r="A2288" s="28"/>
      <c r="D2288" s="29" t="s">
        <v>57</v>
      </c>
      <c r="E2288" s="29" t="s">
        <v>52</v>
      </c>
      <c r="G2288" s="30">
        <v>1</v>
      </c>
      <c r="H2288" s="63"/>
      <c r="N2288" s="31"/>
    </row>
    <row r="2289" spans="1:74" ht="14.4" x14ac:dyDescent="0.3">
      <c r="A2289" s="2" t="s">
        <v>2802</v>
      </c>
      <c r="B2289" s="3" t="s">
        <v>2657</v>
      </c>
      <c r="C2289" s="3" t="s">
        <v>2803</v>
      </c>
      <c r="D2289" s="112" t="s">
        <v>2804</v>
      </c>
      <c r="E2289" s="109"/>
      <c r="F2289" s="3" t="s">
        <v>122</v>
      </c>
      <c r="G2289" s="25">
        <v>1</v>
      </c>
      <c r="H2289" s="62"/>
      <c r="I2289" s="25">
        <f>ROUND(G2289*AM2289,2)</f>
        <v>0</v>
      </c>
      <c r="J2289" s="25">
        <f>ROUND(G2289*AN2289,2)</f>
        <v>0</v>
      </c>
      <c r="K2289" s="25">
        <f>ROUND(G2289*H2289,2)</f>
        <v>0</v>
      </c>
      <c r="L2289" s="25">
        <v>1.6999999999999999E-3</v>
      </c>
      <c r="M2289" s="25">
        <f>G2289*L2289</f>
        <v>1.6999999999999999E-3</v>
      </c>
      <c r="N2289" s="26"/>
      <c r="X2289" s="25">
        <f>ROUND(IF(AO2289="5",BH2289,0),2)</f>
        <v>0</v>
      </c>
      <c r="Z2289" s="25">
        <f>ROUND(IF(AO2289="1",BF2289,0),2)</f>
        <v>0</v>
      </c>
      <c r="AA2289" s="25">
        <f>ROUND(IF(AO2289="1",BG2289,0),2)</f>
        <v>0</v>
      </c>
      <c r="AB2289" s="25">
        <f>ROUND(IF(AO2289="7",BF2289,0),2)</f>
        <v>0</v>
      </c>
      <c r="AC2289" s="25">
        <f>ROUND(IF(AO2289="7",BG2289,0),2)</f>
        <v>0</v>
      </c>
      <c r="AD2289" s="25">
        <f>ROUND(IF(AO2289="2",BF2289,0),2)</f>
        <v>0</v>
      </c>
      <c r="AE2289" s="25">
        <f>ROUND(IF(AO2289="2",BG2289,0),2)</f>
        <v>0</v>
      </c>
      <c r="AF2289" s="25">
        <f>ROUND(IF(AO2289="0",BH2289,0),2)</f>
        <v>0</v>
      </c>
      <c r="AG2289" s="10" t="s">
        <v>2657</v>
      </c>
      <c r="AH2289" s="25">
        <f>IF(AL2289=0,K2289,0)</f>
        <v>0</v>
      </c>
      <c r="AI2289" s="25">
        <f>IF(AL2289=12,K2289,0)</f>
        <v>0</v>
      </c>
      <c r="AJ2289" s="25">
        <f>IF(AL2289=21,K2289,0)</f>
        <v>0</v>
      </c>
      <c r="AL2289" s="25">
        <v>21</v>
      </c>
      <c r="AM2289" s="25">
        <f>H2289*1</f>
        <v>0</v>
      </c>
      <c r="AN2289" s="25">
        <f>H2289*(1-1)</f>
        <v>0</v>
      </c>
      <c r="AO2289" s="27" t="s">
        <v>61</v>
      </c>
      <c r="AT2289" s="25">
        <f>ROUND(AU2289+AV2289,2)</f>
        <v>0</v>
      </c>
      <c r="AU2289" s="25">
        <f>ROUND(G2289*AM2289,2)</f>
        <v>0</v>
      </c>
      <c r="AV2289" s="25">
        <f>ROUND(G2289*AN2289,2)</f>
        <v>0</v>
      </c>
      <c r="AW2289" s="27" t="s">
        <v>2261</v>
      </c>
      <c r="AX2289" s="27" t="s">
        <v>2735</v>
      </c>
      <c r="AY2289" s="10" t="s">
        <v>2661</v>
      </c>
      <c r="BA2289" s="25">
        <f>AU2289+AV2289</f>
        <v>0</v>
      </c>
      <c r="BB2289" s="25">
        <f>H2289/(100-BC2289)*100</f>
        <v>0</v>
      </c>
      <c r="BC2289" s="25">
        <v>0</v>
      </c>
      <c r="BD2289" s="25">
        <f>M2289</f>
        <v>1.6999999999999999E-3</v>
      </c>
      <c r="BF2289" s="25">
        <f>G2289*AM2289</f>
        <v>0</v>
      </c>
      <c r="BG2289" s="25">
        <f>G2289*AN2289</f>
        <v>0</v>
      </c>
      <c r="BH2289" s="25">
        <f>G2289*H2289</f>
        <v>0</v>
      </c>
      <c r="BI2289" s="27" t="s">
        <v>65</v>
      </c>
      <c r="BJ2289" s="25">
        <v>734</v>
      </c>
      <c r="BU2289" s="25" t="e">
        <f>#REF!</f>
        <v>#REF!</v>
      </c>
      <c r="BV2289" s="4" t="s">
        <v>2804</v>
      </c>
    </row>
    <row r="2290" spans="1:74" ht="14.4" x14ac:dyDescent="0.3">
      <c r="A2290" s="28"/>
      <c r="D2290" s="29" t="s">
        <v>57</v>
      </c>
      <c r="E2290" s="29" t="s">
        <v>52</v>
      </c>
      <c r="G2290" s="30">
        <v>1</v>
      </c>
      <c r="H2290" s="63"/>
      <c r="N2290" s="31"/>
    </row>
    <row r="2291" spans="1:74" ht="14.4" x14ac:dyDescent="0.3">
      <c r="A2291" s="2" t="s">
        <v>2805</v>
      </c>
      <c r="B2291" s="3" t="s">
        <v>2657</v>
      </c>
      <c r="C2291" s="3" t="s">
        <v>2079</v>
      </c>
      <c r="D2291" s="112" t="s">
        <v>2806</v>
      </c>
      <c r="E2291" s="109"/>
      <c r="F2291" s="3" t="s">
        <v>122</v>
      </c>
      <c r="G2291" s="25">
        <v>2</v>
      </c>
      <c r="H2291" s="62"/>
      <c r="I2291" s="25">
        <f>ROUND(G2291*AM2291,2)</f>
        <v>0</v>
      </c>
      <c r="J2291" s="25">
        <f>ROUND(G2291*AN2291,2)</f>
        <v>0</v>
      </c>
      <c r="K2291" s="25">
        <f>ROUND(G2291*H2291,2)</f>
        <v>0</v>
      </c>
      <c r="L2291" s="25">
        <v>1.6999999999999999E-3</v>
      </c>
      <c r="M2291" s="25">
        <f>G2291*L2291</f>
        <v>3.3999999999999998E-3</v>
      </c>
      <c r="N2291" s="102"/>
      <c r="X2291" s="25">
        <f>ROUND(IF(AO2291="5",BH2291,0),2)</f>
        <v>0</v>
      </c>
      <c r="Z2291" s="25">
        <f>ROUND(IF(AO2291="1",BF2291,0),2)</f>
        <v>0</v>
      </c>
      <c r="AA2291" s="25">
        <f>ROUND(IF(AO2291="1",BG2291,0),2)</f>
        <v>0</v>
      </c>
      <c r="AB2291" s="25">
        <f>ROUND(IF(AO2291="7",BF2291,0),2)</f>
        <v>0</v>
      </c>
      <c r="AC2291" s="25">
        <f>ROUND(IF(AO2291="7",BG2291,0),2)</f>
        <v>0</v>
      </c>
      <c r="AD2291" s="25">
        <f>ROUND(IF(AO2291="2",BF2291,0),2)</f>
        <v>0</v>
      </c>
      <c r="AE2291" s="25">
        <f>ROUND(IF(AO2291="2",BG2291,0),2)</f>
        <v>0</v>
      </c>
      <c r="AF2291" s="25">
        <f>ROUND(IF(AO2291="0",BH2291,0),2)</f>
        <v>0</v>
      </c>
      <c r="AG2291" s="10" t="s">
        <v>2657</v>
      </c>
      <c r="AH2291" s="25">
        <f>IF(AL2291=0,K2291,0)</f>
        <v>0</v>
      </c>
      <c r="AI2291" s="25">
        <f>IF(AL2291=12,K2291,0)</f>
        <v>0</v>
      </c>
      <c r="AJ2291" s="25">
        <f>IF(AL2291=21,K2291,0)</f>
        <v>0</v>
      </c>
      <c r="AL2291" s="25">
        <v>21</v>
      </c>
      <c r="AM2291" s="25">
        <f>H2291*1</f>
        <v>0</v>
      </c>
      <c r="AN2291" s="25">
        <f>H2291*(1-1)</f>
        <v>0</v>
      </c>
      <c r="AO2291" s="27" t="s">
        <v>61</v>
      </c>
      <c r="AT2291" s="25">
        <f>ROUND(AU2291+AV2291,2)</f>
        <v>0</v>
      </c>
      <c r="AU2291" s="25">
        <f>ROUND(G2291*AM2291,2)</f>
        <v>0</v>
      </c>
      <c r="AV2291" s="25">
        <f>ROUND(G2291*AN2291,2)</f>
        <v>0</v>
      </c>
      <c r="AW2291" s="27" t="s">
        <v>2261</v>
      </c>
      <c r="AX2291" s="27" t="s">
        <v>2735</v>
      </c>
      <c r="AY2291" s="10" t="s">
        <v>2661</v>
      </c>
      <c r="BA2291" s="25">
        <f>AU2291+AV2291</f>
        <v>0</v>
      </c>
      <c r="BB2291" s="25">
        <f>H2291/(100-BC2291)*100</f>
        <v>0</v>
      </c>
      <c r="BC2291" s="25">
        <v>0</v>
      </c>
      <c r="BD2291" s="25">
        <f>M2291</f>
        <v>3.3999999999999998E-3</v>
      </c>
      <c r="BF2291" s="25">
        <f>G2291*AM2291</f>
        <v>0</v>
      </c>
      <c r="BG2291" s="25">
        <f>G2291*AN2291</f>
        <v>0</v>
      </c>
      <c r="BH2291" s="25">
        <f>G2291*H2291</f>
        <v>0</v>
      </c>
      <c r="BI2291" s="27" t="s">
        <v>65</v>
      </c>
      <c r="BJ2291" s="25">
        <v>734</v>
      </c>
      <c r="BU2291" s="25" t="e">
        <f>#REF!</f>
        <v>#REF!</v>
      </c>
      <c r="BV2291" s="4" t="s">
        <v>2806</v>
      </c>
    </row>
    <row r="2292" spans="1:74" ht="14.4" x14ac:dyDescent="0.3">
      <c r="A2292" s="28"/>
      <c r="D2292" s="29" t="s">
        <v>81</v>
      </c>
      <c r="E2292" s="29" t="s">
        <v>52</v>
      </c>
      <c r="G2292" s="30">
        <v>2</v>
      </c>
      <c r="H2292" s="63"/>
      <c r="N2292" s="31"/>
    </row>
    <row r="2293" spans="1:74" ht="14.4" x14ac:dyDescent="0.3">
      <c r="A2293" s="2" t="s">
        <v>2807</v>
      </c>
      <c r="B2293" s="3" t="s">
        <v>2657</v>
      </c>
      <c r="C2293" s="3" t="s">
        <v>2512</v>
      </c>
      <c r="D2293" s="112" t="s">
        <v>2808</v>
      </c>
      <c r="E2293" s="109"/>
      <c r="F2293" s="3" t="s">
        <v>122</v>
      </c>
      <c r="G2293" s="25">
        <v>1</v>
      </c>
      <c r="H2293" s="62"/>
      <c r="I2293" s="25">
        <f>ROUND(G2293*AM2293,2)</f>
        <v>0</v>
      </c>
      <c r="J2293" s="25">
        <f>ROUND(G2293*AN2293,2)</f>
        <v>0</v>
      </c>
      <c r="K2293" s="25">
        <f>ROUND(G2293*H2293,2)</f>
        <v>0</v>
      </c>
      <c r="L2293" s="25">
        <v>0</v>
      </c>
      <c r="M2293" s="25">
        <f>G2293*L2293</f>
        <v>0</v>
      </c>
      <c r="N2293" s="102"/>
      <c r="X2293" s="25">
        <f>ROUND(IF(AO2293="5",BH2293,0),2)</f>
        <v>0</v>
      </c>
      <c r="Z2293" s="25">
        <f>ROUND(IF(AO2293="1",BF2293,0),2)</f>
        <v>0</v>
      </c>
      <c r="AA2293" s="25">
        <f>ROUND(IF(AO2293="1",BG2293,0),2)</f>
        <v>0</v>
      </c>
      <c r="AB2293" s="25">
        <f>ROUND(IF(AO2293="7",BF2293,0),2)</f>
        <v>0</v>
      </c>
      <c r="AC2293" s="25">
        <f>ROUND(IF(AO2293="7",BG2293,0),2)</f>
        <v>0</v>
      </c>
      <c r="AD2293" s="25">
        <f>ROUND(IF(AO2293="2",BF2293,0),2)</f>
        <v>0</v>
      </c>
      <c r="AE2293" s="25">
        <f>ROUND(IF(AO2293="2",BG2293,0),2)</f>
        <v>0</v>
      </c>
      <c r="AF2293" s="25">
        <f>ROUND(IF(AO2293="0",BH2293,0),2)</f>
        <v>0</v>
      </c>
      <c r="AG2293" s="10" t="s">
        <v>2657</v>
      </c>
      <c r="AH2293" s="25">
        <f>IF(AL2293=0,K2293,0)</f>
        <v>0</v>
      </c>
      <c r="AI2293" s="25">
        <f>IF(AL2293=12,K2293,0)</f>
        <v>0</v>
      </c>
      <c r="AJ2293" s="25">
        <f>IF(AL2293=21,K2293,0)</f>
        <v>0</v>
      </c>
      <c r="AL2293" s="25">
        <v>21</v>
      </c>
      <c r="AM2293" s="25">
        <f>H2293*1</f>
        <v>0</v>
      </c>
      <c r="AN2293" s="25">
        <f>H2293*(1-1)</f>
        <v>0</v>
      </c>
      <c r="AO2293" s="27" t="s">
        <v>61</v>
      </c>
      <c r="AT2293" s="25">
        <f>ROUND(AU2293+AV2293,2)</f>
        <v>0</v>
      </c>
      <c r="AU2293" s="25">
        <f>ROUND(G2293*AM2293,2)</f>
        <v>0</v>
      </c>
      <c r="AV2293" s="25">
        <f>ROUND(G2293*AN2293,2)</f>
        <v>0</v>
      </c>
      <c r="AW2293" s="27" t="s">
        <v>2261</v>
      </c>
      <c r="AX2293" s="27" t="s">
        <v>2735</v>
      </c>
      <c r="AY2293" s="10" t="s">
        <v>2661</v>
      </c>
      <c r="BA2293" s="25">
        <f>AU2293+AV2293</f>
        <v>0</v>
      </c>
      <c r="BB2293" s="25">
        <f>H2293/(100-BC2293)*100</f>
        <v>0</v>
      </c>
      <c r="BC2293" s="25">
        <v>0</v>
      </c>
      <c r="BD2293" s="25">
        <f>M2293</f>
        <v>0</v>
      </c>
      <c r="BF2293" s="25">
        <f>G2293*AM2293</f>
        <v>0</v>
      </c>
      <c r="BG2293" s="25">
        <f>G2293*AN2293</f>
        <v>0</v>
      </c>
      <c r="BH2293" s="25">
        <f>G2293*H2293</f>
        <v>0</v>
      </c>
      <c r="BI2293" s="27" t="s">
        <v>65</v>
      </c>
      <c r="BJ2293" s="25">
        <v>734</v>
      </c>
      <c r="BU2293" s="25" t="e">
        <f>#REF!</f>
        <v>#REF!</v>
      </c>
      <c r="BV2293" s="4" t="s">
        <v>2808</v>
      </c>
    </row>
    <row r="2294" spans="1:74" ht="14.4" x14ac:dyDescent="0.3">
      <c r="A2294" s="28"/>
      <c r="D2294" s="29" t="s">
        <v>57</v>
      </c>
      <c r="E2294" s="29" t="s">
        <v>52</v>
      </c>
      <c r="G2294" s="30">
        <v>1</v>
      </c>
      <c r="H2294" s="63"/>
      <c r="N2294" s="31"/>
    </row>
    <row r="2295" spans="1:74" ht="14.4" x14ac:dyDescent="0.3">
      <c r="A2295" s="2" t="s">
        <v>2809</v>
      </c>
      <c r="B2295" s="3" t="s">
        <v>2657</v>
      </c>
      <c r="C2295" s="3" t="s">
        <v>2810</v>
      </c>
      <c r="D2295" s="112" t="s">
        <v>2811</v>
      </c>
      <c r="E2295" s="109"/>
      <c r="F2295" s="3" t="s">
        <v>122</v>
      </c>
      <c r="G2295" s="25">
        <v>1</v>
      </c>
      <c r="H2295" s="62"/>
      <c r="I2295" s="25">
        <f>ROUND(G2295*AM2295,2)</f>
        <v>0</v>
      </c>
      <c r="J2295" s="25">
        <f>ROUND(G2295*AN2295,2)</f>
        <v>0</v>
      </c>
      <c r="K2295" s="25">
        <f>ROUND(G2295*H2295,2)</f>
        <v>0</v>
      </c>
      <c r="L2295" s="25">
        <v>1.2800000000000001E-3</v>
      </c>
      <c r="M2295" s="25">
        <f>G2295*L2295</f>
        <v>1.2800000000000001E-3</v>
      </c>
      <c r="N2295" s="26"/>
      <c r="X2295" s="25">
        <f>ROUND(IF(AO2295="5",BH2295,0),2)</f>
        <v>0</v>
      </c>
      <c r="Z2295" s="25">
        <f>ROUND(IF(AO2295="1",BF2295,0),2)</f>
        <v>0</v>
      </c>
      <c r="AA2295" s="25">
        <f>ROUND(IF(AO2295="1",BG2295,0),2)</f>
        <v>0</v>
      </c>
      <c r="AB2295" s="25">
        <f>ROUND(IF(AO2295="7",BF2295,0),2)</f>
        <v>0</v>
      </c>
      <c r="AC2295" s="25">
        <f>ROUND(IF(AO2295="7",BG2295,0),2)</f>
        <v>0</v>
      </c>
      <c r="AD2295" s="25">
        <f>ROUND(IF(AO2295="2",BF2295,0),2)</f>
        <v>0</v>
      </c>
      <c r="AE2295" s="25">
        <f>ROUND(IF(AO2295="2",BG2295,0),2)</f>
        <v>0</v>
      </c>
      <c r="AF2295" s="25">
        <f>ROUND(IF(AO2295="0",BH2295,0),2)</f>
        <v>0</v>
      </c>
      <c r="AG2295" s="10" t="s">
        <v>2657</v>
      </c>
      <c r="AH2295" s="25">
        <f>IF(AL2295=0,K2295,0)</f>
        <v>0</v>
      </c>
      <c r="AI2295" s="25">
        <f>IF(AL2295=12,K2295,0)</f>
        <v>0</v>
      </c>
      <c r="AJ2295" s="25">
        <f>IF(AL2295=21,K2295,0)</f>
        <v>0</v>
      </c>
      <c r="AL2295" s="25">
        <v>21</v>
      </c>
      <c r="AM2295" s="25">
        <f>H2295*1</f>
        <v>0</v>
      </c>
      <c r="AN2295" s="25">
        <f>H2295*(1-1)</f>
        <v>0</v>
      </c>
      <c r="AO2295" s="27" t="s">
        <v>61</v>
      </c>
      <c r="AT2295" s="25">
        <f>ROUND(AU2295+AV2295,2)</f>
        <v>0</v>
      </c>
      <c r="AU2295" s="25">
        <f>ROUND(G2295*AM2295,2)</f>
        <v>0</v>
      </c>
      <c r="AV2295" s="25">
        <f>ROUND(G2295*AN2295,2)</f>
        <v>0</v>
      </c>
      <c r="AW2295" s="27" t="s">
        <v>2261</v>
      </c>
      <c r="AX2295" s="27" t="s">
        <v>2735</v>
      </c>
      <c r="AY2295" s="10" t="s">
        <v>2661</v>
      </c>
      <c r="BA2295" s="25">
        <f>AU2295+AV2295</f>
        <v>0</v>
      </c>
      <c r="BB2295" s="25">
        <f>H2295/(100-BC2295)*100</f>
        <v>0</v>
      </c>
      <c r="BC2295" s="25">
        <v>0</v>
      </c>
      <c r="BD2295" s="25">
        <f>M2295</f>
        <v>1.2800000000000001E-3</v>
      </c>
      <c r="BF2295" s="25">
        <f>G2295*AM2295</f>
        <v>0</v>
      </c>
      <c r="BG2295" s="25">
        <f>G2295*AN2295</f>
        <v>0</v>
      </c>
      <c r="BH2295" s="25">
        <f>G2295*H2295</f>
        <v>0</v>
      </c>
      <c r="BI2295" s="27" t="s">
        <v>65</v>
      </c>
      <c r="BJ2295" s="25">
        <v>734</v>
      </c>
      <c r="BU2295" s="25" t="e">
        <f>#REF!</f>
        <v>#REF!</v>
      </c>
      <c r="BV2295" s="4" t="s">
        <v>2811</v>
      </c>
    </row>
    <row r="2296" spans="1:74" ht="14.4" x14ac:dyDescent="0.3">
      <c r="A2296" s="28"/>
      <c r="D2296" s="29" t="s">
        <v>57</v>
      </c>
      <c r="E2296" s="29" t="s">
        <v>52</v>
      </c>
      <c r="G2296" s="30">
        <v>1</v>
      </c>
      <c r="H2296" s="63"/>
      <c r="N2296" s="31"/>
    </row>
    <row r="2297" spans="1:74" ht="14.4" x14ac:dyDescent="0.3">
      <c r="A2297" s="2" t="s">
        <v>2812</v>
      </c>
      <c r="B2297" s="3" t="s">
        <v>2657</v>
      </c>
      <c r="C2297" s="3" t="s">
        <v>2813</v>
      </c>
      <c r="D2297" s="112" t="s">
        <v>2814</v>
      </c>
      <c r="E2297" s="109"/>
      <c r="F2297" s="3" t="s">
        <v>122</v>
      </c>
      <c r="G2297" s="25">
        <v>2</v>
      </c>
      <c r="H2297" s="62"/>
      <c r="I2297" s="25">
        <f>ROUND(G2297*AM2297,2)</f>
        <v>0</v>
      </c>
      <c r="J2297" s="25">
        <f>ROUND(G2297*AN2297,2)</f>
        <v>0</v>
      </c>
      <c r="K2297" s="25">
        <f>ROUND(G2297*H2297,2)</f>
        <v>0</v>
      </c>
      <c r="L2297" s="25">
        <v>2.97E-3</v>
      </c>
      <c r="M2297" s="25">
        <f>G2297*L2297</f>
        <v>5.94E-3</v>
      </c>
      <c r="N2297" s="26"/>
      <c r="X2297" s="25">
        <f>ROUND(IF(AO2297="5",BH2297,0),2)</f>
        <v>0</v>
      </c>
      <c r="Z2297" s="25">
        <f>ROUND(IF(AO2297="1",BF2297,0),2)</f>
        <v>0</v>
      </c>
      <c r="AA2297" s="25">
        <f>ROUND(IF(AO2297="1",BG2297,0),2)</f>
        <v>0</v>
      </c>
      <c r="AB2297" s="25">
        <f>ROUND(IF(AO2297="7",BF2297,0),2)</f>
        <v>0</v>
      </c>
      <c r="AC2297" s="25">
        <f>ROUND(IF(AO2297="7",BG2297,0),2)</f>
        <v>0</v>
      </c>
      <c r="AD2297" s="25">
        <f>ROUND(IF(AO2297="2",BF2297,0),2)</f>
        <v>0</v>
      </c>
      <c r="AE2297" s="25">
        <f>ROUND(IF(AO2297="2",BG2297,0),2)</f>
        <v>0</v>
      </c>
      <c r="AF2297" s="25">
        <f>ROUND(IF(AO2297="0",BH2297,0),2)</f>
        <v>0</v>
      </c>
      <c r="AG2297" s="10" t="s">
        <v>2657</v>
      </c>
      <c r="AH2297" s="25">
        <f>IF(AL2297=0,K2297,0)</f>
        <v>0</v>
      </c>
      <c r="AI2297" s="25">
        <f>IF(AL2297=12,K2297,0)</f>
        <v>0</v>
      </c>
      <c r="AJ2297" s="25">
        <f>IF(AL2297=21,K2297,0)</f>
        <v>0</v>
      </c>
      <c r="AL2297" s="25">
        <v>21</v>
      </c>
      <c r="AM2297" s="25">
        <f>H2297*1</f>
        <v>0</v>
      </c>
      <c r="AN2297" s="25">
        <f>H2297*(1-1)</f>
        <v>0</v>
      </c>
      <c r="AO2297" s="27" t="s">
        <v>61</v>
      </c>
      <c r="AT2297" s="25">
        <f>ROUND(AU2297+AV2297,2)</f>
        <v>0</v>
      </c>
      <c r="AU2297" s="25">
        <f>ROUND(G2297*AM2297,2)</f>
        <v>0</v>
      </c>
      <c r="AV2297" s="25">
        <f>ROUND(G2297*AN2297,2)</f>
        <v>0</v>
      </c>
      <c r="AW2297" s="27" t="s">
        <v>2261</v>
      </c>
      <c r="AX2297" s="27" t="s">
        <v>2735</v>
      </c>
      <c r="AY2297" s="10" t="s">
        <v>2661</v>
      </c>
      <c r="BA2297" s="25">
        <f>AU2297+AV2297</f>
        <v>0</v>
      </c>
      <c r="BB2297" s="25">
        <f>H2297/(100-BC2297)*100</f>
        <v>0</v>
      </c>
      <c r="BC2297" s="25">
        <v>0</v>
      </c>
      <c r="BD2297" s="25">
        <f>M2297</f>
        <v>5.94E-3</v>
      </c>
      <c r="BF2297" s="25">
        <f>G2297*AM2297</f>
        <v>0</v>
      </c>
      <c r="BG2297" s="25">
        <f>G2297*AN2297</f>
        <v>0</v>
      </c>
      <c r="BH2297" s="25">
        <f>G2297*H2297</f>
        <v>0</v>
      </c>
      <c r="BI2297" s="27" t="s">
        <v>65</v>
      </c>
      <c r="BJ2297" s="25">
        <v>734</v>
      </c>
      <c r="BU2297" s="25" t="e">
        <f>#REF!</f>
        <v>#REF!</v>
      </c>
      <c r="BV2297" s="4" t="s">
        <v>2814</v>
      </c>
    </row>
    <row r="2298" spans="1:74" ht="14.4" x14ac:dyDescent="0.3">
      <c r="A2298" s="28"/>
      <c r="D2298" s="29" t="s">
        <v>81</v>
      </c>
      <c r="E2298" s="29" t="s">
        <v>52</v>
      </c>
      <c r="G2298" s="30">
        <v>2</v>
      </c>
      <c r="H2298" s="63"/>
      <c r="N2298" s="31"/>
    </row>
    <row r="2299" spans="1:74" ht="14.4" x14ac:dyDescent="0.3">
      <c r="A2299" s="2" t="s">
        <v>2815</v>
      </c>
      <c r="B2299" s="3" t="s">
        <v>2657</v>
      </c>
      <c r="C2299" s="3" t="s">
        <v>2816</v>
      </c>
      <c r="D2299" s="112" t="s">
        <v>2817</v>
      </c>
      <c r="E2299" s="109"/>
      <c r="F2299" s="3" t="s">
        <v>122</v>
      </c>
      <c r="G2299" s="25">
        <v>2</v>
      </c>
      <c r="H2299" s="62"/>
      <c r="I2299" s="25">
        <f>ROUND(G2299*AM2299,2)</f>
        <v>0</v>
      </c>
      <c r="J2299" s="25">
        <f>ROUND(G2299*AN2299,2)</f>
        <v>0</v>
      </c>
      <c r="K2299" s="25">
        <f>ROUND(G2299*H2299,2)</f>
        <v>0</v>
      </c>
      <c r="L2299" s="25">
        <v>8.3000000000000001E-4</v>
      </c>
      <c r="M2299" s="25">
        <f>G2299*L2299</f>
        <v>1.66E-3</v>
      </c>
      <c r="N2299" s="26"/>
      <c r="X2299" s="25">
        <f>ROUND(IF(AO2299="5",BH2299,0),2)</f>
        <v>0</v>
      </c>
      <c r="Z2299" s="25">
        <f>ROUND(IF(AO2299="1",BF2299,0),2)</f>
        <v>0</v>
      </c>
      <c r="AA2299" s="25">
        <f>ROUND(IF(AO2299="1",BG2299,0),2)</f>
        <v>0</v>
      </c>
      <c r="AB2299" s="25">
        <f>ROUND(IF(AO2299="7",BF2299,0),2)</f>
        <v>0</v>
      </c>
      <c r="AC2299" s="25">
        <f>ROUND(IF(AO2299="7",BG2299,0),2)</f>
        <v>0</v>
      </c>
      <c r="AD2299" s="25">
        <f>ROUND(IF(AO2299="2",BF2299,0),2)</f>
        <v>0</v>
      </c>
      <c r="AE2299" s="25">
        <f>ROUND(IF(AO2299="2",BG2299,0),2)</f>
        <v>0</v>
      </c>
      <c r="AF2299" s="25">
        <f>ROUND(IF(AO2299="0",BH2299,0),2)</f>
        <v>0</v>
      </c>
      <c r="AG2299" s="10" t="s">
        <v>2657</v>
      </c>
      <c r="AH2299" s="25">
        <f>IF(AL2299=0,K2299,0)</f>
        <v>0</v>
      </c>
      <c r="AI2299" s="25">
        <f>IF(AL2299=12,K2299,0)</f>
        <v>0</v>
      </c>
      <c r="AJ2299" s="25">
        <f>IF(AL2299=21,K2299,0)</f>
        <v>0</v>
      </c>
      <c r="AL2299" s="25">
        <v>21</v>
      </c>
      <c r="AM2299" s="25">
        <f>H2299*1</f>
        <v>0</v>
      </c>
      <c r="AN2299" s="25">
        <f>H2299*(1-1)</f>
        <v>0</v>
      </c>
      <c r="AO2299" s="27" t="s">
        <v>61</v>
      </c>
      <c r="AT2299" s="25">
        <f>ROUND(AU2299+AV2299,2)</f>
        <v>0</v>
      </c>
      <c r="AU2299" s="25">
        <f>ROUND(G2299*AM2299,2)</f>
        <v>0</v>
      </c>
      <c r="AV2299" s="25">
        <f>ROUND(G2299*AN2299,2)</f>
        <v>0</v>
      </c>
      <c r="AW2299" s="27" t="s">
        <v>2261</v>
      </c>
      <c r="AX2299" s="27" t="s">
        <v>2735</v>
      </c>
      <c r="AY2299" s="10" t="s">
        <v>2661</v>
      </c>
      <c r="BA2299" s="25">
        <f>AU2299+AV2299</f>
        <v>0</v>
      </c>
      <c r="BB2299" s="25">
        <f>H2299/(100-BC2299)*100</f>
        <v>0</v>
      </c>
      <c r="BC2299" s="25">
        <v>0</v>
      </c>
      <c r="BD2299" s="25">
        <f>M2299</f>
        <v>1.66E-3</v>
      </c>
      <c r="BF2299" s="25">
        <f>G2299*AM2299</f>
        <v>0</v>
      </c>
      <c r="BG2299" s="25">
        <f>G2299*AN2299</f>
        <v>0</v>
      </c>
      <c r="BH2299" s="25">
        <f>G2299*H2299</f>
        <v>0</v>
      </c>
      <c r="BI2299" s="27" t="s">
        <v>65</v>
      </c>
      <c r="BJ2299" s="25">
        <v>734</v>
      </c>
      <c r="BU2299" s="25" t="e">
        <f>#REF!</f>
        <v>#REF!</v>
      </c>
      <c r="BV2299" s="4" t="s">
        <v>2817</v>
      </c>
    </row>
    <row r="2300" spans="1:74" ht="14.4" x14ac:dyDescent="0.3">
      <c r="A2300" s="28"/>
      <c r="D2300" s="29" t="s">
        <v>81</v>
      </c>
      <c r="E2300" s="29" t="s">
        <v>52</v>
      </c>
      <c r="G2300" s="30">
        <v>2</v>
      </c>
      <c r="H2300" s="63"/>
      <c r="N2300" s="31"/>
    </row>
    <row r="2301" spans="1:74" ht="14.4" x14ac:dyDescent="0.3">
      <c r="A2301" s="2" t="s">
        <v>2818</v>
      </c>
      <c r="B2301" s="3" t="s">
        <v>2657</v>
      </c>
      <c r="C2301" s="3" t="s">
        <v>2819</v>
      </c>
      <c r="D2301" s="112" t="s">
        <v>2820</v>
      </c>
      <c r="E2301" s="109"/>
      <c r="F2301" s="3" t="s">
        <v>122</v>
      </c>
      <c r="G2301" s="25">
        <v>1</v>
      </c>
      <c r="H2301" s="62"/>
      <c r="I2301" s="25">
        <f>ROUND(G2301*AM2301,2)</f>
        <v>0</v>
      </c>
      <c r="J2301" s="25">
        <f>ROUND(G2301*AN2301,2)</f>
        <v>0</v>
      </c>
      <c r="K2301" s="25">
        <f>ROUND(G2301*H2301,2)</f>
        <v>0</v>
      </c>
      <c r="L2301" s="25">
        <v>5.8E-4</v>
      </c>
      <c r="M2301" s="25">
        <f>G2301*L2301</f>
        <v>5.8E-4</v>
      </c>
      <c r="N2301" s="26"/>
      <c r="X2301" s="25">
        <f>ROUND(IF(AO2301="5",BH2301,0),2)</f>
        <v>0</v>
      </c>
      <c r="Z2301" s="25">
        <f>ROUND(IF(AO2301="1",BF2301,0),2)</f>
        <v>0</v>
      </c>
      <c r="AA2301" s="25">
        <f>ROUND(IF(AO2301="1",BG2301,0),2)</f>
        <v>0</v>
      </c>
      <c r="AB2301" s="25">
        <f>ROUND(IF(AO2301="7",BF2301,0),2)</f>
        <v>0</v>
      </c>
      <c r="AC2301" s="25">
        <f>ROUND(IF(AO2301="7",BG2301,0),2)</f>
        <v>0</v>
      </c>
      <c r="AD2301" s="25">
        <f>ROUND(IF(AO2301="2",BF2301,0),2)</f>
        <v>0</v>
      </c>
      <c r="AE2301" s="25">
        <f>ROUND(IF(AO2301="2",BG2301,0),2)</f>
        <v>0</v>
      </c>
      <c r="AF2301" s="25">
        <f>ROUND(IF(AO2301="0",BH2301,0),2)</f>
        <v>0</v>
      </c>
      <c r="AG2301" s="10" t="s">
        <v>2657</v>
      </c>
      <c r="AH2301" s="25">
        <f>IF(AL2301=0,K2301,0)</f>
        <v>0</v>
      </c>
      <c r="AI2301" s="25">
        <f>IF(AL2301=12,K2301,0)</f>
        <v>0</v>
      </c>
      <c r="AJ2301" s="25">
        <f>IF(AL2301=21,K2301,0)</f>
        <v>0</v>
      </c>
      <c r="AL2301" s="25">
        <v>21</v>
      </c>
      <c r="AM2301" s="25">
        <f>H2301*1</f>
        <v>0</v>
      </c>
      <c r="AN2301" s="25">
        <f>H2301*(1-1)</f>
        <v>0</v>
      </c>
      <c r="AO2301" s="27" t="s">
        <v>61</v>
      </c>
      <c r="AT2301" s="25">
        <f>ROUND(AU2301+AV2301,2)</f>
        <v>0</v>
      </c>
      <c r="AU2301" s="25">
        <f>ROUND(G2301*AM2301,2)</f>
        <v>0</v>
      </c>
      <c r="AV2301" s="25">
        <f>ROUND(G2301*AN2301,2)</f>
        <v>0</v>
      </c>
      <c r="AW2301" s="27" t="s">
        <v>2261</v>
      </c>
      <c r="AX2301" s="27" t="s">
        <v>2735</v>
      </c>
      <c r="AY2301" s="10" t="s">
        <v>2661</v>
      </c>
      <c r="BA2301" s="25">
        <f>AU2301+AV2301</f>
        <v>0</v>
      </c>
      <c r="BB2301" s="25">
        <f>H2301/(100-BC2301)*100</f>
        <v>0</v>
      </c>
      <c r="BC2301" s="25">
        <v>0</v>
      </c>
      <c r="BD2301" s="25">
        <f>M2301</f>
        <v>5.8E-4</v>
      </c>
      <c r="BF2301" s="25">
        <f>G2301*AM2301</f>
        <v>0</v>
      </c>
      <c r="BG2301" s="25">
        <f>G2301*AN2301</f>
        <v>0</v>
      </c>
      <c r="BH2301" s="25">
        <f>G2301*H2301</f>
        <v>0</v>
      </c>
      <c r="BI2301" s="27" t="s">
        <v>65</v>
      </c>
      <c r="BJ2301" s="25">
        <v>734</v>
      </c>
      <c r="BU2301" s="25" t="e">
        <f>#REF!</f>
        <v>#REF!</v>
      </c>
      <c r="BV2301" s="4" t="s">
        <v>2820</v>
      </c>
    </row>
    <row r="2302" spans="1:74" ht="14.4" x14ac:dyDescent="0.3">
      <c r="A2302" s="28"/>
      <c r="D2302" s="29" t="s">
        <v>57</v>
      </c>
      <c r="E2302" s="29" t="s">
        <v>52</v>
      </c>
      <c r="G2302" s="30">
        <v>1</v>
      </c>
      <c r="H2302" s="63"/>
      <c r="N2302" s="31"/>
    </row>
    <row r="2303" spans="1:74" ht="14.4" x14ac:dyDescent="0.3">
      <c r="A2303" s="2" t="s">
        <v>2821</v>
      </c>
      <c r="B2303" s="3" t="s">
        <v>2657</v>
      </c>
      <c r="C2303" s="3" t="s">
        <v>2822</v>
      </c>
      <c r="D2303" s="112" t="s">
        <v>2823</v>
      </c>
      <c r="E2303" s="109"/>
      <c r="F2303" s="3" t="s">
        <v>122</v>
      </c>
      <c r="G2303" s="25">
        <v>1</v>
      </c>
      <c r="H2303" s="62"/>
      <c r="I2303" s="25">
        <f>ROUND(G2303*AM2303,2)</f>
        <v>0</v>
      </c>
      <c r="J2303" s="25">
        <f>ROUND(G2303*AN2303,2)</f>
        <v>0</v>
      </c>
      <c r="K2303" s="25">
        <f>ROUND(G2303*H2303,2)</f>
        <v>0</v>
      </c>
      <c r="L2303" s="25">
        <v>7.6999999999999996E-4</v>
      </c>
      <c r="M2303" s="25">
        <f>G2303*L2303</f>
        <v>7.6999999999999996E-4</v>
      </c>
      <c r="N2303" s="26"/>
      <c r="X2303" s="25">
        <f>ROUND(IF(AO2303="5",BH2303,0),2)</f>
        <v>0</v>
      </c>
      <c r="Z2303" s="25">
        <f>ROUND(IF(AO2303="1",BF2303,0),2)</f>
        <v>0</v>
      </c>
      <c r="AA2303" s="25">
        <f>ROUND(IF(AO2303="1",BG2303,0),2)</f>
        <v>0</v>
      </c>
      <c r="AB2303" s="25">
        <f>ROUND(IF(AO2303="7",BF2303,0),2)</f>
        <v>0</v>
      </c>
      <c r="AC2303" s="25">
        <f>ROUND(IF(AO2303="7",BG2303,0),2)</f>
        <v>0</v>
      </c>
      <c r="AD2303" s="25">
        <f>ROUND(IF(AO2303="2",BF2303,0),2)</f>
        <v>0</v>
      </c>
      <c r="AE2303" s="25">
        <f>ROUND(IF(AO2303="2",BG2303,0),2)</f>
        <v>0</v>
      </c>
      <c r="AF2303" s="25">
        <f>ROUND(IF(AO2303="0",BH2303,0),2)</f>
        <v>0</v>
      </c>
      <c r="AG2303" s="10" t="s">
        <v>2657</v>
      </c>
      <c r="AH2303" s="25">
        <f>IF(AL2303=0,K2303,0)</f>
        <v>0</v>
      </c>
      <c r="AI2303" s="25">
        <f>IF(AL2303=12,K2303,0)</f>
        <v>0</v>
      </c>
      <c r="AJ2303" s="25">
        <f>IF(AL2303=21,K2303,0)</f>
        <v>0</v>
      </c>
      <c r="AL2303" s="25">
        <v>21</v>
      </c>
      <c r="AM2303" s="25">
        <f>H2303*1</f>
        <v>0</v>
      </c>
      <c r="AN2303" s="25">
        <f>H2303*(1-1)</f>
        <v>0</v>
      </c>
      <c r="AO2303" s="27" t="s">
        <v>61</v>
      </c>
      <c r="AT2303" s="25">
        <f>ROUND(AU2303+AV2303,2)</f>
        <v>0</v>
      </c>
      <c r="AU2303" s="25">
        <f>ROUND(G2303*AM2303,2)</f>
        <v>0</v>
      </c>
      <c r="AV2303" s="25">
        <f>ROUND(G2303*AN2303,2)</f>
        <v>0</v>
      </c>
      <c r="AW2303" s="27" t="s">
        <v>2261</v>
      </c>
      <c r="AX2303" s="27" t="s">
        <v>2735</v>
      </c>
      <c r="AY2303" s="10" t="s">
        <v>2661</v>
      </c>
      <c r="BA2303" s="25">
        <f>AU2303+AV2303</f>
        <v>0</v>
      </c>
      <c r="BB2303" s="25">
        <f>H2303/(100-BC2303)*100</f>
        <v>0</v>
      </c>
      <c r="BC2303" s="25">
        <v>0</v>
      </c>
      <c r="BD2303" s="25">
        <f>M2303</f>
        <v>7.6999999999999996E-4</v>
      </c>
      <c r="BF2303" s="25">
        <f>G2303*AM2303</f>
        <v>0</v>
      </c>
      <c r="BG2303" s="25">
        <f>G2303*AN2303</f>
        <v>0</v>
      </c>
      <c r="BH2303" s="25">
        <f>G2303*H2303</f>
        <v>0</v>
      </c>
      <c r="BI2303" s="27" t="s">
        <v>65</v>
      </c>
      <c r="BJ2303" s="25">
        <v>734</v>
      </c>
      <c r="BU2303" s="25" t="e">
        <f>#REF!</f>
        <v>#REF!</v>
      </c>
      <c r="BV2303" s="4" t="s">
        <v>2823</v>
      </c>
    </row>
    <row r="2304" spans="1:74" ht="14.4" x14ac:dyDescent="0.3">
      <c r="A2304" s="28"/>
      <c r="D2304" s="29" t="s">
        <v>57</v>
      </c>
      <c r="E2304" s="29" t="s">
        <v>52</v>
      </c>
      <c r="G2304" s="30">
        <v>1</v>
      </c>
      <c r="H2304" s="63"/>
      <c r="N2304" s="31"/>
    </row>
    <row r="2305" spans="1:74" ht="14.4" x14ac:dyDescent="0.3">
      <c r="A2305" s="2" t="s">
        <v>2824</v>
      </c>
      <c r="B2305" s="3" t="s">
        <v>2657</v>
      </c>
      <c r="C2305" s="3" t="s">
        <v>2825</v>
      </c>
      <c r="D2305" s="112" t="s">
        <v>2826</v>
      </c>
      <c r="E2305" s="109"/>
      <c r="F2305" s="3" t="s">
        <v>122</v>
      </c>
      <c r="G2305" s="25">
        <v>16</v>
      </c>
      <c r="H2305" s="62"/>
      <c r="I2305" s="25">
        <f t="shared" ref="I2305:I2310" si="172">ROUND(G2305*AM2305,2)</f>
        <v>0</v>
      </c>
      <c r="J2305" s="25">
        <f t="shared" ref="J2305:J2310" si="173">ROUND(G2305*AN2305,2)</f>
        <v>0</v>
      </c>
      <c r="K2305" s="25">
        <f t="shared" ref="K2305:K2310" si="174">ROUND(G2305*H2305,2)</f>
        <v>0</v>
      </c>
      <c r="L2305" s="25">
        <v>0</v>
      </c>
      <c r="M2305" s="25">
        <f t="shared" ref="M2305:M2310" si="175">G2305*L2305</f>
        <v>0</v>
      </c>
      <c r="N2305" s="26"/>
      <c r="X2305" s="25">
        <f t="shared" ref="X2305:X2310" si="176">ROUND(IF(AO2305="5",BH2305,0),2)</f>
        <v>0</v>
      </c>
      <c r="Z2305" s="25">
        <f t="shared" ref="Z2305:Z2310" si="177">ROUND(IF(AO2305="1",BF2305,0),2)</f>
        <v>0</v>
      </c>
      <c r="AA2305" s="25">
        <f t="shared" ref="AA2305:AA2310" si="178">ROUND(IF(AO2305="1",BG2305,0),2)</f>
        <v>0</v>
      </c>
      <c r="AB2305" s="25">
        <f t="shared" ref="AB2305:AB2310" si="179">ROUND(IF(AO2305="7",BF2305,0),2)</f>
        <v>0</v>
      </c>
      <c r="AC2305" s="25">
        <f t="shared" ref="AC2305:AC2310" si="180">ROUND(IF(AO2305="7",BG2305,0),2)</f>
        <v>0</v>
      </c>
      <c r="AD2305" s="25">
        <f t="shared" ref="AD2305:AD2310" si="181">ROUND(IF(AO2305="2",BF2305,0),2)</f>
        <v>0</v>
      </c>
      <c r="AE2305" s="25">
        <f t="shared" ref="AE2305:AE2310" si="182">ROUND(IF(AO2305="2",BG2305,0),2)</f>
        <v>0</v>
      </c>
      <c r="AF2305" s="25">
        <f t="shared" ref="AF2305:AF2310" si="183">ROUND(IF(AO2305="0",BH2305,0),2)</f>
        <v>0</v>
      </c>
      <c r="AG2305" s="10" t="s">
        <v>2657</v>
      </c>
      <c r="AH2305" s="25">
        <f t="shared" ref="AH2305:AH2310" si="184">IF(AL2305=0,K2305,0)</f>
        <v>0</v>
      </c>
      <c r="AI2305" s="25">
        <f t="shared" ref="AI2305:AI2310" si="185">IF(AL2305=12,K2305,0)</f>
        <v>0</v>
      </c>
      <c r="AJ2305" s="25">
        <f t="shared" ref="AJ2305:AJ2310" si="186">IF(AL2305=21,K2305,0)</f>
        <v>0</v>
      </c>
      <c r="AL2305" s="25">
        <v>21</v>
      </c>
      <c r="AM2305" s="25">
        <f>H2305*0.062156693</f>
        <v>0</v>
      </c>
      <c r="AN2305" s="25">
        <f>H2305*(1-0.062156693)</f>
        <v>0</v>
      </c>
      <c r="AO2305" s="27" t="s">
        <v>61</v>
      </c>
      <c r="AT2305" s="25">
        <f t="shared" ref="AT2305:AT2310" si="187">ROUND(AU2305+AV2305,2)</f>
        <v>0</v>
      </c>
      <c r="AU2305" s="25">
        <f t="shared" ref="AU2305:AU2310" si="188">ROUND(G2305*AM2305,2)</f>
        <v>0</v>
      </c>
      <c r="AV2305" s="25">
        <f t="shared" ref="AV2305:AV2310" si="189">ROUND(G2305*AN2305,2)</f>
        <v>0</v>
      </c>
      <c r="AW2305" s="27" t="s">
        <v>2261</v>
      </c>
      <c r="AX2305" s="27" t="s">
        <v>2735</v>
      </c>
      <c r="AY2305" s="10" t="s">
        <v>2661</v>
      </c>
      <c r="BA2305" s="25">
        <f t="shared" ref="BA2305:BA2310" si="190">AU2305+AV2305</f>
        <v>0</v>
      </c>
      <c r="BB2305" s="25">
        <f t="shared" ref="BB2305:BB2310" si="191">H2305/(100-BC2305)*100</f>
        <v>0</v>
      </c>
      <c r="BC2305" s="25">
        <v>0</v>
      </c>
      <c r="BD2305" s="25">
        <f t="shared" ref="BD2305:BD2310" si="192">M2305</f>
        <v>0</v>
      </c>
      <c r="BF2305" s="25">
        <f t="shared" ref="BF2305:BF2310" si="193">G2305*AM2305</f>
        <v>0</v>
      </c>
      <c r="BG2305" s="25">
        <f t="shared" ref="BG2305:BG2310" si="194">G2305*AN2305</f>
        <v>0</v>
      </c>
      <c r="BH2305" s="25">
        <f t="shared" ref="BH2305:BH2310" si="195">G2305*H2305</f>
        <v>0</v>
      </c>
      <c r="BI2305" s="27" t="s">
        <v>65</v>
      </c>
      <c r="BJ2305" s="25">
        <v>734</v>
      </c>
      <c r="BU2305" s="25" t="e">
        <f>#REF!</f>
        <v>#REF!</v>
      </c>
      <c r="BV2305" s="4" t="s">
        <v>2826</v>
      </c>
    </row>
    <row r="2306" spans="1:74" ht="14.4" x14ac:dyDescent="0.3">
      <c r="A2306" s="2" t="s">
        <v>2827</v>
      </c>
      <c r="B2306" s="3" t="s">
        <v>2657</v>
      </c>
      <c r="C2306" s="3" t="s">
        <v>2828</v>
      </c>
      <c r="D2306" s="112" t="s">
        <v>2829</v>
      </c>
      <c r="E2306" s="109"/>
      <c r="F2306" s="3" t="s">
        <v>122</v>
      </c>
      <c r="G2306" s="25">
        <v>1</v>
      </c>
      <c r="H2306" s="62"/>
      <c r="I2306" s="25">
        <f t="shared" si="172"/>
        <v>0</v>
      </c>
      <c r="J2306" s="25">
        <f t="shared" si="173"/>
        <v>0</v>
      </c>
      <c r="K2306" s="25">
        <f t="shared" si="174"/>
        <v>0</v>
      </c>
      <c r="L2306" s="25">
        <v>0</v>
      </c>
      <c r="M2306" s="25">
        <f t="shared" si="175"/>
        <v>0</v>
      </c>
      <c r="N2306" s="26"/>
      <c r="X2306" s="25">
        <f t="shared" si="176"/>
        <v>0</v>
      </c>
      <c r="Z2306" s="25">
        <f t="shared" si="177"/>
        <v>0</v>
      </c>
      <c r="AA2306" s="25">
        <f t="shared" si="178"/>
        <v>0</v>
      </c>
      <c r="AB2306" s="25">
        <f t="shared" si="179"/>
        <v>0</v>
      </c>
      <c r="AC2306" s="25">
        <f t="shared" si="180"/>
        <v>0</v>
      </c>
      <c r="AD2306" s="25">
        <f t="shared" si="181"/>
        <v>0</v>
      </c>
      <c r="AE2306" s="25">
        <f t="shared" si="182"/>
        <v>0</v>
      </c>
      <c r="AF2306" s="25">
        <f t="shared" si="183"/>
        <v>0</v>
      </c>
      <c r="AG2306" s="10" t="s">
        <v>2657</v>
      </c>
      <c r="AH2306" s="25">
        <f t="shared" si="184"/>
        <v>0</v>
      </c>
      <c r="AI2306" s="25">
        <f t="shared" si="185"/>
        <v>0</v>
      </c>
      <c r="AJ2306" s="25">
        <f t="shared" si="186"/>
        <v>0</v>
      </c>
      <c r="AL2306" s="25">
        <v>21</v>
      </c>
      <c r="AM2306" s="25">
        <f>H2306*0.05627451</f>
        <v>0</v>
      </c>
      <c r="AN2306" s="25">
        <f>H2306*(1-0.05627451)</f>
        <v>0</v>
      </c>
      <c r="AO2306" s="27" t="s">
        <v>61</v>
      </c>
      <c r="AT2306" s="25">
        <f t="shared" si="187"/>
        <v>0</v>
      </c>
      <c r="AU2306" s="25">
        <f t="shared" si="188"/>
        <v>0</v>
      </c>
      <c r="AV2306" s="25">
        <f t="shared" si="189"/>
        <v>0</v>
      </c>
      <c r="AW2306" s="27" t="s">
        <v>2261</v>
      </c>
      <c r="AX2306" s="27" t="s">
        <v>2735</v>
      </c>
      <c r="AY2306" s="10" t="s">
        <v>2661</v>
      </c>
      <c r="BA2306" s="25">
        <f t="shared" si="190"/>
        <v>0</v>
      </c>
      <c r="BB2306" s="25">
        <f t="shared" si="191"/>
        <v>0</v>
      </c>
      <c r="BC2306" s="25">
        <v>0</v>
      </c>
      <c r="BD2306" s="25">
        <f t="shared" si="192"/>
        <v>0</v>
      </c>
      <c r="BF2306" s="25">
        <f t="shared" si="193"/>
        <v>0</v>
      </c>
      <c r="BG2306" s="25">
        <f t="shared" si="194"/>
        <v>0</v>
      </c>
      <c r="BH2306" s="25">
        <f t="shared" si="195"/>
        <v>0</v>
      </c>
      <c r="BI2306" s="27" t="s">
        <v>65</v>
      </c>
      <c r="BJ2306" s="25">
        <v>734</v>
      </c>
      <c r="BU2306" s="25" t="e">
        <f>#REF!</f>
        <v>#REF!</v>
      </c>
      <c r="BV2306" s="4" t="s">
        <v>2829</v>
      </c>
    </row>
    <row r="2307" spans="1:74" ht="14.4" x14ac:dyDescent="0.3">
      <c r="A2307" s="2" t="s">
        <v>2830</v>
      </c>
      <c r="B2307" s="3" t="s">
        <v>2657</v>
      </c>
      <c r="C2307" s="3" t="s">
        <v>2831</v>
      </c>
      <c r="D2307" s="112" t="s">
        <v>2832</v>
      </c>
      <c r="E2307" s="109"/>
      <c r="F2307" s="3" t="s">
        <v>122</v>
      </c>
      <c r="G2307" s="25">
        <v>1</v>
      </c>
      <c r="H2307" s="62"/>
      <c r="I2307" s="25">
        <f t="shared" si="172"/>
        <v>0</v>
      </c>
      <c r="J2307" s="25">
        <f t="shared" si="173"/>
        <v>0</v>
      </c>
      <c r="K2307" s="25">
        <f t="shared" si="174"/>
        <v>0</v>
      </c>
      <c r="L2307" s="25">
        <v>0</v>
      </c>
      <c r="M2307" s="25">
        <f t="shared" si="175"/>
        <v>0</v>
      </c>
      <c r="N2307" s="26"/>
      <c r="X2307" s="25">
        <f t="shared" si="176"/>
        <v>0</v>
      </c>
      <c r="Z2307" s="25">
        <f t="shared" si="177"/>
        <v>0</v>
      </c>
      <c r="AA2307" s="25">
        <f t="shared" si="178"/>
        <v>0</v>
      </c>
      <c r="AB2307" s="25">
        <f t="shared" si="179"/>
        <v>0</v>
      </c>
      <c r="AC2307" s="25">
        <f t="shared" si="180"/>
        <v>0</v>
      </c>
      <c r="AD2307" s="25">
        <f t="shared" si="181"/>
        <v>0</v>
      </c>
      <c r="AE2307" s="25">
        <f t="shared" si="182"/>
        <v>0</v>
      </c>
      <c r="AF2307" s="25">
        <f t="shared" si="183"/>
        <v>0</v>
      </c>
      <c r="AG2307" s="10" t="s">
        <v>2657</v>
      </c>
      <c r="AH2307" s="25">
        <f t="shared" si="184"/>
        <v>0</v>
      </c>
      <c r="AI2307" s="25">
        <f t="shared" si="185"/>
        <v>0</v>
      </c>
      <c r="AJ2307" s="25">
        <f t="shared" si="186"/>
        <v>0</v>
      </c>
      <c r="AL2307" s="25">
        <v>21</v>
      </c>
      <c r="AM2307" s="25">
        <f>H2307*0.063073458</f>
        <v>0</v>
      </c>
      <c r="AN2307" s="25">
        <f>H2307*(1-0.063073458)</f>
        <v>0</v>
      </c>
      <c r="AO2307" s="27" t="s">
        <v>61</v>
      </c>
      <c r="AT2307" s="25">
        <f t="shared" si="187"/>
        <v>0</v>
      </c>
      <c r="AU2307" s="25">
        <f t="shared" si="188"/>
        <v>0</v>
      </c>
      <c r="AV2307" s="25">
        <f t="shared" si="189"/>
        <v>0</v>
      </c>
      <c r="AW2307" s="27" t="s">
        <v>2261</v>
      </c>
      <c r="AX2307" s="27" t="s">
        <v>2735</v>
      </c>
      <c r="AY2307" s="10" t="s">
        <v>2661</v>
      </c>
      <c r="BA2307" s="25">
        <f t="shared" si="190"/>
        <v>0</v>
      </c>
      <c r="BB2307" s="25">
        <f t="shared" si="191"/>
        <v>0</v>
      </c>
      <c r="BC2307" s="25">
        <v>0</v>
      </c>
      <c r="BD2307" s="25">
        <f t="shared" si="192"/>
        <v>0</v>
      </c>
      <c r="BF2307" s="25">
        <f t="shared" si="193"/>
        <v>0</v>
      </c>
      <c r="BG2307" s="25">
        <f t="shared" si="194"/>
        <v>0</v>
      </c>
      <c r="BH2307" s="25">
        <f t="shared" si="195"/>
        <v>0</v>
      </c>
      <c r="BI2307" s="27" t="s">
        <v>65</v>
      </c>
      <c r="BJ2307" s="25">
        <v>734</v>
      </c>
      <c r="BU2307" s="25" t="e">
        <f>#REF!</f>
        <v>#REF!</v>
      </c>
      <c r="BV2307" s="4" t="s">
        <v>2832</v>
      </c>
    </row>
    <row r="2308" spans="1:74" ht="14.4" x14ac:dyDescent="0.3">
      <c r="A2308" s="2" t="s">
        <v>2833</v>
      </c>
      <c r="B2308" s="3" t="s">
        <v>2657</v>
      </c>
      <c r="C2308" s="3" t="s">
        <v>2834</v>
      </c>
      <c r="D2308" s="112" t="s">
        <v>2835</v>
      </c>
      <c r="E2308" s="109"/>
      <c r="F2308" s="3" t="s">
        <v>122</v>
      </c>
      <c r="G2308" s="25">
        <v>8</v>
      </c>
      <c r="H2308" s="62"/>
      <c r="I2308" s="25">
        <f t="shared" si="172"/>
        <v>0</v>
      </c>
      <c r="J2308" s="25">
        <f t="shared" si="173"/>
        <v>0</v>
      </c>
      <c r="K2308" s="25">
        <f t="shared" si="174"/>
        <v>0</v>
      </c>
      <c r="L2308" s="25">
        <v>0</v>
      </c>
      <c r="M2308" s="25">
        <f t="shared" si="175"/>
        <v>0</v>
      </c>
      <c r="N2308" s="26"/>
      <c r="X2308" s="25">
        <f t="shared" si="176"/>
        <v>0</v>
      </c>
      <c r="Z2308" s="25">
        <f t="shared" si="177"/>
        <v>0</v>
      </c>
      <c r="AA2308" s="25">
        <f t="shared" si="178"/>
        <v>0</v>
      </c>
      <c r="AB2308" s="25">
        <f t="shared" si="179"/>
        <v>0</v>
      </c>
      <c r="AC2308" s="25">
        <f t="shared" si="180"/>
        <v>0</v>
      </c>
      <c r="AD2308" s="25">
        <f t="shared" si="181"/>
        <v>0</v>
      </c>
      <c r="AE2308" s="25">
        <f t="shared" si="182"/>
        <v>0</v>
      </c>
      <c r="AF2308" s="25">
        <f t="shared" si="183"/>
        <v>0</v>
      </c>
      <c r="AG2308" s="10" t="s">
        <v>2657</v>
      </c>
      <c r="AH2308" s="25">
        <f t="shared" si="184"/>
        <v>0</v>
      </c>
      <c r="AI2308" s="25">
        <f t="shared" si="185"/>
        <v>0</v>
      </c>
      <c r="AJ2308" s="25">
        <f t="shared" si="186"/>
        <v>0</v>
      </c>
      <c r="AL2308" s="25">
        <v>21</v>
      </c>
      <c r="AM2308" s="25">
        <f>H2308*0.066163522</f>
        <v>0</v>
      </c>
      <c r="AN2308" s="25">
        <f>H2308*(1-0.066163522)</f>
        <v>0</v>
      </c>
      <c r="AO2308" s="27" t="s">
        <v>61</v>
      </c>
      <c r="AT2308" s="25">
        <f t="shared" si="187"/>
        <v>0</v>
      </c>
      <c r="AU2308" s="25">
        <f t="shared" si="188"/>
        <v>0</v>
      </c>
      <c r="AV2308" s="25">
        <f t="shared" si="189"/>
        <v>0</v>
      </c>
      <c r="AW2308" s="27" t="s">
        <v>2261</v>
      </c>
      <c r="AX2308" s="27" t="s">
        <v>2735</v>
      </c>
      <c r="AY2308" s="10" t="s">
        <v>2661</v>
      </c>
      <c r="BA2308" s="25">
        <f t="shared" si="190"/>
        <v>0</v>
      </c>
      <c r="BB2308" s="25">
        <f t="shared" si="191"/>
        <v>0</v>
      </c>
      <c r="BC2308" s="25">
        <v>0</v>
      </c>
      <c r="BD2308" s="25">
        <f t="shared" si="192"/>
        <v>0</v>
      </c>
      <c r="BF2308" s="25">
        <f t="shared" si="193"/>
        <v>0</v>
      </c>
      <c r="BG2308" s="25">
        <f t="shared" si="194"/>
        <v>0</v>
      </c>
      <c r="BH2308" s="25">
        <f t="shared" si="195"/>
        <v>0</v>
      </c>
      <c r="BI2308" s="27" t="s">
        <v>65</v>
      </c>
      <c r="BJ2308" s="25">
        <v>734</v>
      </c>
      <c r="BU2308" s="25" t="e">
        <f>#REF!</f>
        <v>#REF!</v>
      </c>
      <c r="BV2308" s="4" t="s">
        <v>2835</v>
      </c>
    </row>
    <row r="2309" spans="1:74" ht="14.4" x14ac:dyDescent="0.3">
      <c r="A2309" s="2" t="s">
        <v>2836</v>
      </c>
      <c r="B2309" s="3" t="s">
        <v>2657</v>
      </c>
      <c r="C2309" s="3" t="s">
        <v>2837</v>
      </c>
      <c r="D2309" s="112" t="s">
        <v>2838</v>
      </c>
      <c r="E2309" s="109"/>
      <c r="F2309" s="3" t="s">
        <v>122</v>
      </c>
      <c r="G2309" s="25">
        <v>7</v>
      </c>
      <c r="H2309" s="62"/>
      <c r="I2309" s="25">
        <f t="shared" si="172"/>
        <v>0</v>
      </c>
      <c r="J2309" s="25">
        <f t="shared" si="173"/>
        <v>0</v>
      </c>
      <c r="K2309" s="25">
        <f t="shared" si="174"/>
        <v>0</v>
      </c>
      <c r="L2309" s="25">
        <v>0</v>
      </c>
      <c r="M2309" s="25">
        <f t="shared" si="175"/>
        <v>0</v>
      </c>
      <c r="N2309" s="26"/>
      <c r="X2309" s="25">
        <f t="shared" si="176"/>
        <v>0</v>
      </c>
      <c r="Z2309" s="25">
        <f t="shared" si="177"/>
        <v>0</v>
      </c>
      <c r="AA2309" s="25">
        <f t="shared" si="178"/>
        <v>0</v>
      </c>
      <c r="AB2309" s="25">
        <f t="shared" si="179"/>
        <v>0</v>
      </c>
      <c r="AC2309" s="25">
        <f t="shared" si="180"/>
        <v>0</v>
      </c>
      <c r="AD2309" s="25">
        <f t="shared" si="181"/>
        <v>0</v>
      </c>
      <c r="AE2309" s="25">
        <f t="shared" si="182"/>
        <v>0</v>
      </c>
      <c r="AF2309" s="25">
        <f t="shared" si="183"/>
        <v>0</v>
      </c>
      <c r="AG2309" s="10" t="s">
        <v>2657</v>
      </c>
      <c r="AH2309" s="25">
        <f t="shared" si="184"/>
        <v>0</v>
      </c>
      <c r="AI2309" s="25">
        <f t="shared" si="185"/>
        <v>0</v>
      </c>
      <c r="AJ2309" s="25">
        <f t="shared" si="186"/>
        <v>0</v>
      </c>
      <c r="AL2309" s="25">
        <v>21</v>
      </c>
      <c r="AM2309" s="25">
        <f>H2309*0.092094595</f>
        <v>0</v>
      </c>
      <c r="AN2309" s="25">
        <f>H2309*(1-0.092094595)</f>
        <v>0</v>
      </c>
      <c r="AO2309" s="27" t="s">
        <v>61</v>
      </c>
      <c r="AT2309" s="25">
        <f t="shared" si="187"/>
        <v>0</v>
      </c>
      <c r="AU2309" s="25">
        <f t="shared" si="188"/>
        <v>0</v>
      </c>
      <c r="AV2309" s="25">
        <f t="shared" si="189"/>
        <v>0</v>
      </c>
      <c r="AW2309" s="27" t="s">
        <v>2261</v>
      </c>
      <c r="AX2309" s="27" t="s">
        <v>2735</v>
      </c>
      <c r="AY2309" s="10" t="s">
        <v>2661</v>
      </c>
      <c r="BA2309" s="25">
        <f t="shared" si="190"/>
        <v>0</v>
      </c>
      <c r="BB2309" s="25">
        <f t="shared" si="191"/>
        <v>0</v>
      </c>
      <c r="BC2309" s="25">
        <v>0</v>
      </c>
      <c r="BD2309" s="25">
        <f t="shared" si="192"/>
        <v>0</v>
      </c>
      <c r="BF2309" s="25">
        <f t="shared" si="193"/>
        <v>0</v>
      </c>
      <c r="BG2309" s="25">
        <f t="shared" si="194"/>
        <v>0</v>
      </c>
      <c r="BH2309" s="25">
        <f t="shared" si="195"/>
        <v>0</v>
      </c>
      <c r="BI2309" s="27" t="s">
        <v>65</v>
      </c>
      <c r="BJ2309" s="25">
        <v>734</v>
      </c>
      <c r="BU2309" s="25" t="e">
        <f>#REF!</f>
        <v>#REF!</v>
      </c>
      <c r="BV2309" s="4" t="s">
        <v>2838</v>
      </c>
    </row>
    <row r="2310" spans="1:74" ht="14.4" x14ac:dyDescent="0.3">
      <c r="A2310" s="2" t="s">
        <v>2839</v>
      </c>
      <c r="B2310" s="3" t="s">
        <v>2657</v>
      </c>
      <c r="C2310" s="3" t="s">
        <v>2306</v>
      </c>
      <c r="D2310" s="112" t="s">
        <v>2307</v>
      </c>
      <c r="E2310" s="109"/>
      <c r="F2310" s="3" t="s">
        <v>278</v>
      </c>
      <c r="G2310" s="25">
        <v>0.51200000000000001</v>
      </c>
      <c r="H2310" s="62"/>
      <c r="I2310" s="25">
        <f t="shared" si="172"/>
        <v>0</v>
      </c>
      <c r="J2310" s="25">
        <f t="shared" si="173"/>
        <v>0</v>
      </c>
      <c r="K2310" s="25">
        <f t="shared" si="174"/>
        <v>0</v>
      </c>
      <c r="L2310" s="25">
        <v>0</v>
      </c>
      <c r="M2310" s="25">
        <f t="shared" si="175"/>
        <v>0</v>
      </c>
      <c r="N2310" s="26"/>
      <c r="X2310" s="25">
        <f t="shared" si="176"/>
        <v>0</v>
      </c>
      <c r="Z2310" s="25">
        <f t="shared" si="177"/>
        <v>0</v>
      </c>
      <c r="AA2310" s="25">
        <f t="shared" si="178"/>
        <v>0</v>
      </c>
      <c r="AB2310" s="25">
        <f t="shared" si="179"/>
        <v>0</v>
      </c>
      <c r="AC2310" s="25">
        <f t="shared" si="180"/>
        <v>0</v>
      </c>
      <c r="AD2310" s="25">
        <f t="shared" si="181"/>
        <v>0</v>
      </c>
      <c r="AE2310" s="25">
        <f t="shared" si="182"/>
        <v>0</v>
      </c>
      <c r="AF2310" s="25">
        <f t="shared" si="183"/>
        <v>0</v>
      </c>
      <c r="AG2310" s="10" t="s">
        <v>2657</v>
      </c>
      <c r="AH2310" s="25">
        <f t="shared" si="184"/>
        <v>0</v>
      </c>
      <c r="AI2310" s="25">
        <f t="shared" si="185"/>
        <v>0</v>
      </c>
      <c r="AJ2310" s="25">
        <f t="shared" si="186"/>
        <v>0</v>
      </c>
      <c r="AL2310" s="25">
        <v>21</v>
      </c>
      <c r="AM2310" s="25">
        <f>H2310*0</f>
        <v>0</v>
      </c>
      <c r="AN2310" s="25">
        <f>H2310*(1-0)</f>
        <v>0</v>
      </c>
      <c r="AO2310" s="27" t="s">
        <v>97</v>
      </c>
      <c r="AT2310" s="25">
        <f t="shared" si="187"/>
        <v>0</v>
      </c>
      <c r="AU2310" s="25">
        <f t="shared" si="188"/>
        <v>0</v>
      </c>
      <c r="AV2310" s="25">
        <f t="shared" si="189"/>
        <v>0</v>
      </c>
      <c r="AW2310" s="27" t="s">
        <v>2261</v>
      </c>
      <c r="AX2310" s="27" t="s">
        <v>2735</v>
      </c>
      <c r="AY2310" s="10" t="s">
        <v>2661</v>
      </c>
      <c r="BA2310" s="25">
        <f t="shared" si="190"/>
        <v>0</v>
      </c>
      <c r="BB2310" s="25">
        <f t="shared" si="191"/>
        <v>0</v>
      </c>
      <c r="BC2310" s="25">
        <v>0</v>
      </c>
      <c r="BD2310" s="25">
        <f t="shared" si="192"/>
        <v>0</v>
      </c>
      <c r="BF2310" s="25">
        <f t="shared" si="193"/>
        <v>0</v>
      </c>
      <c r="BG2310" s="25">
        <f t="shared" si="194"/>
        <v>0</v>
      </c>
      <c r="BH2310" s="25">
        <f t="shared" si="195"/>
        <v>0</v>
      </c>
      <c r="BI2310" s="27" t="s">
        <v>65</v>
      </c>
      <c r="BJ2310" s="25">
        <v>734</v>
      </c>
      <c r="BU2310" s="25" t="e">
        <f>#REF!</f>
        <v>#REF!</v>
      </c>
      <c r="BV2310" s="4" t="s">
        <v>2307</v>
      </c>
    </row>
    <row r="2311" spans="1:74" ht="14.4" x14ac:dyDescent="0.3">
      <c r="A2311" s="28"/>
      <c r="D2311" s="29" t="s">
        <v>2840</v>
      </c>
      <c r="E2311" s="29" t="s">
        <v>52</v>
      </c>
      <c r="G2311" s="30">
        <v>0.51200000000000001</v>
      </c>
      <c r="H2311" s="63"/>
      <c r="N2311" s="31"/>
    </row>
    <row r="2312" spans="1:74" ht="14.4" x14ac:dyDescent="0.3">
      <c r="A2312" s="2" t="s">
        <v>2841</v>
      </c>
      <c r="B2312" s="3" t="s">
        <v>2657</v>
      </c>
      <c r="C2312" s="3" t="s">
        <v>2842</v>
      </c>
      <c r="D2312" s="112" t="s">
        <v>2843</v>
      </c>
      <c r="E2312" s="109"/>
      <c r="F2312" s="3" t="s">
        <v>122</v>
      </c>
      <c r="G2312" s="25">
        <v>1</v>
      </c>
      <c r="H2312" s="62"/>
      <c r="I2312" s="25">
        <f>ROUND(G2312*AM2312,2)</f>
        <v>0</v>
      </c>
      <c r="J2312" s="25">
        <f>ROUND(G2312*AN2312,2)</f>
        <v>0</v>
      </c>
      <c r="K2312" s="25">
        <f>ROUND(G2312*H2312,2)</f>
        <v>0</v>
      </c>
      <c r="L2312" s="25">
        <v>6.0000000000000002E-5</v>
      </c>
      <c r="M2312" s="25">
        <f>G2312*L2312</f>
        <v>6.0000000000000002E-5</v>
      </c>
      <c r="N2312" s="26"/>
      <c r="X2312" s="25">
        <f>ROUND(IF(AO2312="5",BH2312,0),2)</f>
        <v>0</v>
      </c>
      <c r="Z2312" s="25">
        <f>ROUND(IF(AO2312="1",BF2312,0),2)</f>
        <v>0</v>
      </c>
      <c r="AA2312" s="25">
        <f>ROUND(IF(AO2312="1",BG2312,0),2)</f>
        <v>0</v>
      </c>
      <c r="AB2312" s="25">
        <f>ROUND(IF(AO2312="7",BF2312,0),2)</f>
        <v>0</v>
      </c>
      <c r="AC2312" s="25">
        <f>ROUND(IF(AO2312="7",BG2312,0),2)</f>
        <v>0</v>
      </c>
      <c r="AD2312" s="25">
        <f>ROUND(IF(AO2312="2",BF2312,0),2)</f>
        <v>0</v>
      </c>
      <c r="AE2312" s="25">
        <f>ROUND(IF(AO2312="2",BG2312,0),2)</f>
        <v>0</v>
      </c>
      <c r="AF2312" s="25">
        <f>ROUND(IF(AO2312="0",BH2312,0),2)</f>
        <v>0</v>
      </c>
      <c r="AG2312" s="10" t="s">
        <v>2657</v>
      </c>
      <c r="AH2312" s="25">
        <f>IF(AL2312=0,K2312,0)</f>
        <v>0</v>
      </c>
      <c r="AI2312" s="25">
        <f>IF(AL2312=12,K2312,0)</f>
        <v>0</v>
      </c>
      <c r="AJ2312" s="25">
        <f>IF(AL2312=21,K2312,0)</f>
        <v>0</v>
      </c>
      <c r="AL2312" s="25">
        <v>21</v>
      </c>
      <c r="AM2312" s="25">
        <f>H2312*1</f>
        <v>0</v>
      </c>
      <c r="AN2312" s="25">
        <f>H2312*(1-1)</f>
        <v>0</v>
      </c>
      <c r="AO2312" s="27" t="s">
        <v>61</v>
      </c>
      <c r="AT2312" s="25">
        <f>ROUND(AU2312+AV2312,2)</f>
        <v>0</v>
      </c>
      <c r="AU2312" s="25">
        <f>ROUND(G2312*AM2312,2)</f>
        <v>0</v>
      </c>
      <c r="AV2312" s="25">
        <f>ROUND(G2312*AN2312,2)</f>
        <v>0</v>
      </c>
      <c r="AW2312" s="27" t="s">
        <v>2261</v>
      </c>
      <c r="AX2312" s="27" t="s">
        <v>2735</v>
      </c>
      <c r="AY2312" s="10" t="s">
        <v>2661</v>
      </c>
      <c r="BA2312" s="25">
        <f>AU2312+AV2312</f>
        <v>0</v>
      </c>
      <c r="BB2312" s="25">
        <f>H2312/(100-BC2312)*100</f>
        <v>0</v>
      </c>
      <c r="BC2312" s="25">
        <v>0</v>
      </c>
      <c r="BD2312" s="25">
        <f>M2312</f>
        <v>6.0000000000000002E-5</v>
      </c>
      <c r="BF2312" s="25">
        <f>G2312*AM2312</f>
        <v>0</v>
      </c>
      <c r="BG2312" s="25">
        <f>G2312*AN2312</f>
        <v>0</v>
      </c>
      <c r="BH2312" s="25">
        <f>G2312*H2312</f>
        <v>0</v>
      </c>
      <c r="BI2312" s="27" t="s">
        <v>576</v>
      </c>
      <c r="BJ2312" s="25">
        <v>734</v>
      </c>
      <c r="BU2312" s="25" t="e">
        <f>#REF!</f>
        <v>#REF!</v>
      </c>
      <c r="BV2312" s="4" t="s">
        <v>2843</v>
      </c>
    </row>
    <row r="2313" spans="1:74" ht="14.4" x14ac:dyDescent="0.3">
      <c r="A2313" s="21" t="s">
        <v>52</v>
      </c>
      <c r="B2313" s="22" t="s">
        <v>2657</v>
      </c>
      <c r="C2313" s="22" t="s">
        <v>2790</v>
      </c>
      <c r="D2313" s="170" t="s">
        <v>2844</v>
      </c>
      <c r="E2313" s="171"/>
      <c r="F2313" s="23" t="s">
        <v>32</v>
      </c>
      <c r="G2313" s="23" t="s">
        <v>32</v>
      </c>
      <c r="H2313" s="64"/>
      <c r="I2313" s="1">
        <f>SUM(I2314:I2349)</f>
        <v>0</v>
      </c>
      <c r="J2313" s="1">
        <f>SUM(J2314:J2349)</f>
        <v>0</v>
      </c>
      <c r="K2313" s="1">
        <f>SUM(K2314:K2349)</f>
        <v>0</v>
      </c>
      <c r="L2313" s="10" t="s">
        <v>52</v>
      </c>
      <c r="M2313" s="1">
        <f>SUM(M2314:M2349)</f>
        <v>1.1970600000000002</v>
      </c>
      <c r="N2313" s="24"/>
      <c r="AG2313" s="10" t="s">
        <v>2657</v>
      </c>
      <c r="AQ2313" s="1">
        <f>SUM(AH2314:AH2349)</f>
        <v>0</v>
      </c>
      <c r="AR2313" s="1">
        <f>SUM(AI2314:AI2349)</f>
        <v>0</v>
      </c>
      <c r="AS2313" s="1">
        <f>SUM(AJ2314:AJ2349)</f>
        <v>0</v>
      </c>
    </row>
    <row r="2314" spans="1:74" ht="26.4" x14ac:dyDescent="0.3">
      <c r="A2314" s="2" t="s">
        <v>2845</v>
      </c>
      <c r="B2314" s="3" t="s">
        <v>2657</v>
      </c>
      <c r="C2314" s="3" t="s">
        <v>2509</v>
      </c>
      <c r="D2314" s="112" t="s">
        <v>2846</v>
      </c>
      <c r="E2314" s="109"/>
      <c r="F2314" s="3" t="s">
        <v>122</v>
      </c>
      <c r="G2314" s="25">
        <v>1</v>
      </c>
      <c r="H2314" s="62"/>
      <c r="I2314" s="25">
        <f>ROUND(G2314*AM2314,2)</f>
        <v>0</v>
      </c>
      <c r="J2314" s="25">
        <f>ROUND(G2314*AN2314,2)</f>
        <v>0</v>
      </c>
      <c r="K2314" s="25">
        <f>ROUND(G2314*H2314,2)</f>
        <v>0</v>
      </c>
      <c r="L2314" s="25">
        <v>3.9410000000000001E-2</v>
      </c>
      <c r="M2314" s="25">
        <f>G2314*L2314</f>
        <v>3.9410000000000001E-2</v>
      </c>
      <c r="N2314" s="102"/>
      <c r="X2314" s="25">
        <f>ROUND(IF(AO2314="5",BH2314,0),2)</f>
        <v>0</v>
      </c>
      <c r="Z2314" s="25">
        <f>ROUND(IF(AO2314="1",BF2314,0),2)</f>
        <v>0</v>
      </c>
      <c r="AA2314" s="25">
        <f>ROUND(IF(AO2314="1",BG2314,0),2)</f>
        <v>0</v>
      </c>
      <c r="AB2314" s="25">
        <f>ROUND(IF(AO2314="7",BF2314,0),2)</f>
        <v>0</v>
      </c>
      <c r="AC2314" s="25">
        <f>ROUND(IF(AO2314="7",BG2314,0),2)</f>
        <v>0</v>
      </c>
      <c r="AD2314" s="25">
        <f>ROUND(IF(AO2314="2",BF2314,0),2)</f>
        <v>0</v>
      </c>
      <c r="AE2314" s="25">
        <f>ROUND(IF(AO2314="2",BG2314,0),2)</f>
        <v>0</v>
      </c>
      <c r="AF2314" s="25">
        <f>ROUND(IF(AO2314="0",BH2314,0),2)</f>
        <v>0</v>
      </c>
      <c r="AG2314" s="10" t="s">
        <v>2657</v>
      </c>
      <c r="AH2314" s="25">
        <f>IF(AL2314=0,K2314,0)</f>
        <v>0</v>
      </c>
      <c r="AI2314" s="25">
        <f>IF(AL2314=12,K2314,0)</f>
        <v>0</v>
      </c>
      <c r="AJ2314" s="25">
        <f>IF(AL2314=21,K2314,0)</f>
        <v>0</v>
      </c>
      <c r="AL2314" s="25">
        <v>21</v>
      </c>
      <c r="AM2314" s="25">
        <f>H2314*1</f>
        <v>0</v>
      </c>
      <c r="AN2314" s="25">
        <f>H2314*(1-1)</f>
        <v>0</v>
      </c>
      <c r="AO2314" s="27" t="s">
        <v>61</v>
      </c>
      <c r="AT2314" s="25">
        <f>ROUND(AU2314+AV2314,2)</f>
        <v>0</v>
      </c>
      <c r="AU2314" s="25">
        <f>ROUND(G2314*AM2314,2)</f>
        <v>0</v>
      </c>
      <c r="AV2314" s="25">
        <f>ROUND(G2314*AN2314,2)</f>
        <v>0</v>
      </c>
      <c r="AW2314" s="27" t="s">
        <v>2847</v>
      </c>
      <c r="AX2314" s="27" t="s">
        <v>2735</v>
      </c>
      <c r="AY2314" s="10" t="s">
        <v>2661</v>
      </c>
      <c r="BA2314" s="25">
        <f>AU2314+AV2314</f>
        <v>0</v>
      </c>
      <c r="BB2314" s="25">
        <f>H2314/(100-BC2314)*100</f>
        <v>0</v>
      </c>
      <c r="BC2314" s="25">
        <v>0</v>
      </c>
      <c r="BD2314" s="25">
        <f>M2314</f>
        <v>3.9410000000000001E-2</v>
      </c>
      <c r="BF2314" s="25">
        <f>G2314*AM2314</f>
        <v>0</v>
      </c>
      <c r="BG2314" s="25">
        <f>G2314*AN2314</f>
        <v>0</v>
      </c>
      <c r="BH2314" s="25">
        <f>G2314*H2314</f>
        <v>0</v>
      </c>
      <c r="BI2314" s="27" t="s">
        <v>65</v>
      </c>
      <c r="BJ2314" s="25">
        <v>735</v>
      </c>
      <c r="BU2314" s="25" t="e">
        <f>#REF!</f>
        <v>#REF!</v>
      </c>
      <c r="BV2314" s="4" t="s">
        <v>2846</v>
      </c>
    </row>
    <row r="2315" spans="1:74" ht="14.4" x14ac:dyDescent="0.3">
      <c r="A2315" s="28"/>
      <c r="D2315" s="29" t="s">
        <v>57</v>
      </c>
      <c r="E2315" s="29" t="s">
        <v>52</v>
      </c>
      <c r="G2315" s="30">
        <v>1</v>
      </c>
      <c r="H2315" s="63"/>
      <c r="N2315" s="31"/>
    </row>
    <row r="2316" spans="1:74" ht="26.4" x14ac:dyDescent="0.3">
      <c r="A2316" s="2" t="s">
        <v>2848</v>
      </c>
      <c r="B2316" s="3" t="s">
        <v>2657</v>
      </c>
      <c r="C2316" s="3" t="s">
        <v>2849</v>
      </c>
      <c r="D2316" s="112" t="s">
        <v>2850</v>
      </c>
      <c r="E2316" s="109"/>
      <c r="F2316" s="3" t="s">
        <v>122</v>
      </c>
      <c r="G2316" s="25">
        <v>1</v>
      </c>
      <c r="H2316" s="62"/>
      <c r="I2316" s="25">
        <f>ROUND(G2316*AM2316,2)</f>
        <v>0</v>
      </c>
      <c r="J2316" s="25">
        <f>ROUND(G2316*AN2316,2)</f>
        <v>0</v>
      </c>
      <c r="K2316" s="25">
        <f>ROUND(G2316*H2316,2)</f>
        <v>0</v>
      </c>
      <c r="L2316" s="25">
        <v>6.1929999999999999E-2</v>
      </c>
      <c r="M2316" s="25">
        <f>G2316*L2316</f>
        <v>6.1929999999999999E-2</v>
      </c>
      <c r="N2316" s="102"/>
      <c r="X2316" s="25">
        <f>ROUND(IF(AO2316="5",BH2316,0),2)</f>
        <v>0</v>
      </c>
      <c r="Z2316" s="25">
        <f>ROUND(IF(AO2316="1",BF2316,0),2)</f>
        <v>0</v>
      </c>
      <c r="AA2316" s="25">
        <f>ROUND(IF(AO2316="1",BG2316,0),2)</f>
        <v>0</v>
      </c>
      <c r="AB2316" s="25">
        <f>ROUND(IF(AO2316="7",BF2316,0),2)</f>
        <v>0</v>
      </c>
      <c r="AC2316" s="25">
        <f>ROUND(IF(AO2316="7",BG2316,0),2)</f>
        <v>0</v>
      </c>
      <c r="AD2316" s="25">
        <f>ROUND(IF(AO2316="2",BF2316,0),2)</f>
        <v>0</v>
      </c>
      <c r="AE2316" s="25">
        <f>ROUND(IF(AO2316="2",BG2316,0),2)</f>
        <v>0</v>
      </c>
      <c r="AF2316" s="25">
        <f>ROUND(IF(AO2316="0",BH2316,0),2)</f>
        <v>0</v>
      </c>
      <c r="AG2316" s="10" t="s">
        <v>2657</v>
      </c>
      <c r="AH2316" s="25">
        <f>IF(AL2316=0,K2316,0)</f>
        <v>0</v>
      </c>
      <c r="AI2316" s="25">
        <f>IF(AL2316=12,K2316,0)</f>
        <v>0</v>
      </c>
      <c r="AJ2316" s="25">
        <f>IF(AL2316=21,K2316,0)</f>
        <v>0</v>
      </c>
      <c r="AL2316" s="25">
        <v>21</v>
      </c>
      <c r="AM2316" s="25">
        <f>H2316*1</f>
        <v>0</v>
      </c>
      <c r="AN2316" s="25">
        <f>H2316*(1-1)</f>
        <v>0</v>
      </c>
      <c r="AO2316" s="27" t="s">
        <v>61</v>
      </c>
      <c r="AT2316" s="25">
        <f>ROUND(AU2316+AV2316,2)</f>
        <v>0</v>
      </c>
      <c r="AU2316" s="25">
        <f>ROUND(G2316*AM2316,2)</f>
        <v>0</v>
      </c>
      <c r="AV2316" s="25">
        <f>ROUND(G2316*AN2316,2)</f>
        <v>0</v>
      </c>
      <c r="AW2316" s="27" t="s">
        <v>2847</v>
      </c>
      <c r="AX2316" s="27" t="s">
        <v>2735</v>
      </c>
      <c r="AY2316" s="10" t="s">
        <v>2661</v>
      </c>
      <c r="BA2316" s="25">
        <f>AU2316+AV2316</f>
        <v>0</v>
      </c>
      <c r="BB2316" s="25">
        <f>H2316/(100-BC2316)*100</f>
        <v>0</v>
      </c>
      <c r="BC2316" s="25">
        <v>0</v>
      </c>
      <c r="BD2316" s="25">
        <f>M2316</f>
        <v>6.1929999999999999E-2</v>
      </c>
      <c r="BF2316" s="25">
        <f>G2316*AM2316</f>
        <v>0</v>
      </c>
      <c r="BG2316" s="25">
        <f>G2316*AN2316</f>
        <v>0</v>
      </c>
      <c r="BH2316" s="25">
        <f>G2316*H2316</f>
        <v>0</v>
      </c>
      <c r="BI2316" s="27" t="s">
        <v>65</v>
      </c>
      <c r="BJ2316" s="25">
        <v>735</v>
      </c>
      <c r="BU2316" s="25" t="e">
        <f>#REF!</f>
        <v>#REF!</v>
      </c>
      <c r="BV2316" s="4" t="s">
        <v>2850</v>
      </c>
    </row>
    <row r="2317" spans="1:74" ht="14.4" x14ac:dyDescent="0.3">
      <c r="A2317" s="28"/>
      <c r="D2317" s="29" t="s">
        <v>57</v>
      </c>
      <c r="E2317" s="29" t="s">
        <v>52</v>
      </c>
      <c r="G2317" s="30">
        <v>1</v>
      </c>
      <c r="H2317" s="63"/>
      <c r="N2317" s="31"/>
    </row>
    <row r="2318" spans="1:74" ht="26.4" x14ac:dyDescent="0.3">
      <c r="A2318" s="2" t="s">
        <v>2851</v>
      </c>
      <c r="B2318" s="3" t="s">
        <v>2657</v>
      </c>
      <c r="C2318" s="3" t="s">
        <v>2852</v>
      </c>
      <c r="D2318" s="112" t="s">
        <v>2853</v>
      </c>
      <c r="E2318" s="109"/>
      <c r="F2318" s="3" t="s">
        <v>122</v>
      </c>
      <c r="G2318" s="25">
        <v>1</v>
      </c>
      <c r="H2318" s="62"/>
      <c r="I2318" s="25">
        <f>ROUND(G2318*AM2318,2)</f>
        <v>0</v>
      </c>
      <c r="J2318" s="25">
        <f>ROUND(G2318*AN2318,2)</f>
        <v>0</v>
      </c>
      <c r="K2318" s="25">
        <f>ROUND(G2318*H2318,2)</f>
        <v>0</v>
      </c>
      <c r="L2318" s="25">
        <v>6.1929999999999999E-2</v>
      </c>
      <c r="M2318" s="25">
        <f>G2318*L2318</f>
        <v>6.1929999999999999E-2</v>
      </c>
      <c r="N2318" s="102"/>
      <c r="X2318" s="25">
        <f>ROUND(IF(AO2318="5",BH2318,0),2)</f>
        <v>0</v>
      </c>
      <c r="Z2318" s="25">
        <f>ROUND(IF(AO2318="1",BF2318,0),2)</f>
        <v>0</v>
      </c>
      <c r="AA2318" s="25">
        <f>ROUND(IF(AO2318="1",BG2318,0),2)</f>
        <v>0</v>
      </c>
      <c r="AB2318" s="25">
        <f>ROUND(IF(AO2318="7",BF2318,0),2)</f>
        <v>0</v>
      </c>
      <c r="AC2318" s="25">
        <f>ROUND(IF(AO2318="7",BG2318,0),2)</f>
        <v>0</v>
      </c>
      <c r="AD2318" s="25">
        <f>ROUND(IF(AO2318="2",BF2318,0),2)</f>
        <v>0</v>
      </c>
      <c r="AE2318" s="25">
        <f>ROUND(IF(AO2318="2",BG2318,0),2)</f>
        <v>0</v>
      </c>
      <c r="AF2318" s="25">
        <f>ROUND(IF(AO2318="0",BH2318,0),2)</f>
        <v>0</v>
      </c>
      <c r="AG2318" s="10" t="s">
        <v>2657</v>
      </c>
      <c r="AH2318" s="25">
        <f>IF(AL2318=0,K2318,0)</f>
        <v>0</v>
      </c>
      <c r="AI2318" s="25">
        <f>IF(AL2318=12,K2318,0)</f>
        <v>0</v>
      </c>
      <c r="AJ2318" s="25">
        <f>IF(AL2318=21,K2318,0)</f>
        <v>0</v>
      </c>
      <c r="AL2318" s="25">
        <v>21</v>
      </c>
      <c r="AM2318" s="25">
        <f>H2318*1</f>
        <v>0</v>
      </c>
      <c r="AN2318" s="25">
        <f>H2318*(1-1)</f>
        <v>0</v>
      </c>
      <c r="AO2318" s="27" t="s">
        <v>61</v>
      </c>
      <c r="AT2318" s="25">
        <f>ROUND(AU2318+AV2318,2)</f>
        <v>0</v>
      </c>
      <c r="AU2318" s="25">
        <f>ROUND(G2318*AM2318,2)</f>
        <v>0</v>
      </c>
      <c r="AV2318" s="25">
        <f>ROUND(G2318*AN2318,2)</f>
        <v>0</v>
      </c>
      <c r="AW2318" s="27" t="s">
        <v>2847</v>
      </c>
      <c r="AX2318" s="27" t="s">
        <v>2735</v>
      </c>
      <c r="AY2318" s="10" t="s">
        <v>2661</v>
      </c>
      <c r="BA2318" s="25">
        <f>AU2318+AV2318</f>
        <v>0</v>
      </c>
      <c r="BB2318" s="25">
        <f>H2318/(100-BC2318)*100</f>
        <v>0</v>
      </c>
      <c r="BC2318" s="25">
        <v>0</v>
      </c>
      <c r="BD2318" s="25">
        <f>M2318</f>
        <v>6.1929999999999999E-2</v>
      </c>
      <c r="BF2318" s="25">
        <f>G2318*AM2318</f>
        <v>0</v>
      </c>
      <c r="BG2318" s="25">
        <f>G2318*AN2318</f>
        <v>0</v>
      </c>
      <c r="BH2318" s="25">
        <f>G2318*H2318</f>
        <v>0</v>
      </c>
      <c r="BI2318" s="27" t="s">
        <v>65</v>
      </c>
      <c r="BJ2318" s="25">
        <v>735</v>
      </c>
      <c r="BU2318" s="25" t="e">
        <f>#REF!</f>
        <v>#REF!</v>
      </c>
      <c r="BV2318" s="4" t="s">
        <v>2853</v>
      </c>
    </row>
    <row r="2319" spans="1:74" ht="14.4" x14ac:dyDescent="0.3">
      <c r="A2319" s="28"/>
      <c r="D2319" s="29" t="s">
        <v>57</v>
      </c>
      <c r="E2319" s="29" t="s">
        <v>52</v>
      </c>
      <c r="G2319" s="30">
        <v>1</v>
      </c>
      <c r="H2319" s="63"/>
      <c r="N2319" s="31"/>
    </row>
    <row r="2320" spans="1:74" ht="26.4" x14ac:dyDescent="0.3">
      <c r="A2320" s="2" t="s">
        <v>2854</v>
      </c>
      <c r="B2320" s="3" t="s">
        <v>2657</v>
      </c>
      <c r="C2320" s="3" t="s">
        <v>2635</v>
      </c>
      <c r="D2320" s="112" t="s">
        <v>2855</v>
      </c>
      <c r="E2320" s="109"/>
      <c r="F2320" s="3" t="s">
        <v>122</v>
      </c>
      <c r="G2320" s="25">
        <v>1</v>
      </c>
      <c r="H2320" s="62"/>
      <c r="I2320" s="25">
        <f>ROUND(G2320*AM2320,2)</f>
        <v>0</v>
      </c>
      <c r="J2320" s="25">
        <f>ROUND(G2320*AN2320,2)</f>
        <v>0</v>
      </c>
      <c r="K2320" s="25">
        <f>ROUND(G2320*H2320,2)</f>
        <v>0</v>
      </c>
      <c r="L2320" s="25">
        <v>6.7599999999999993E-2</v>
      </c>
      <c r="M2320" s="25">
        <f>G2320*L2320</f>
        <v>6.7599999999999993E-2</v>
      </c>
      <c r="N2320" s="102"/>
      <c r="X2320" s="25">
        <f>ROUND(IF(AO2320="5",BH2320,0),2)</f>
        <v>0</v>
      </c>
      <c r="Z2320" s="25">
        <f>ROUND(IF(AO2320="1",BF2320,0),2)</f>
        <v>0</v>
      </c>
      <c r="AA2320" s="25">
        <f>ROUND(IF(AO2320="1",BG2320,0),2)</f>
        <v>0</v>
      </c>
      <c r="AB2320" s="25">
        <f>ROUND(IF(AO2320="7",BF2320,0),2)</f>
        <v>0</v>
      </c>
      <c r="AC2320" s="25">
        <f>ROUND(IF(AO2320="7",BG2320,0),2)</f>
        <v>0</v>
      </c>
      <c r="AD2320" s="25">
        <f>ROUND(IF(AO2320="2",BF2320,0),2)</f>
        <v>0</v>
      </c>
      <c r="AE2320" s="25">
        <f>ROUND(IF(AO2320="2",BG2320,0),2)</f>
        <v>0</v>
      </c>
      <c r="AF2320" s="25">
        <f>ROUND(IF(AO2320="0",BH2320,0),2)</f>
        <v>0</v>
      </c>
      <c r="AG2320" s="10" t="s">
        <v>2657</v>
      </c>
      <c r="AH2320" s="25">
        <f>IF(AL2320=0,K2320,0)</f>
        <v>0</v>
      </c>
      <c r="AI2320" s="25">
        <f>IF(AL2320=12,K2320,0)</f>
        <v>0</v>
      </c>
      <c r="AJ2320" s="25">
        <f>IF(AL2320=21,K2320,0)</f>
        <v>0</v>
      </c>
      <c r="AL2320" s="25">
        <v>21</v>
      </c>
      <c r="AM2320" s="25">
        <f>H2320*1</f>
        <v>0</v>
      </c>
      <c r="AN2320" s="25">
        <f>H2320*(1-1)</f>
        <v>0</v>
      </c>
      <c r="AO2320" s="27" t="s">
        <v>61</v>
      </c>
      <c r="AT2320" s="25">
        <f>ROUND(AU2320+AV2320,2)</f>
        <v>0</v>
      </c>
      <c r="AU2320" s="25">
        <f>ROUND(G2320*AM2320,2)</f>
        <v>0</v>
      </c>
      <c r="AV2320" s="25">
        <f>ROUND(G2320*AN2320,2)</f>
        <v>0</v>
      </c>
      <c r="AW2320" s="27" t="s">
        <v>2847</v>
      </c>
      <c r="AX2320" s="27" t="s">
        <v>2735</v>
      </c>
      <c r="AY2320" s="10" t="s">
        <v>2661</v>
      </c>
      <c r="BA2320" s="25">
        <f>AU2320+AV2320</f>
        <v>0</v>
      </c>
      <c r="BB2320" s="25">
        <f>H2320/(100-BC2320)*100</f>
        <v>0</v>
      </c>
      <c r="BC2320" s="25">
        <v>0</v>
      </c>
      <c r="BD2320" s="25">
        <f>M2320</f>
        <v>6.7599999999999993E-2</v>
      </c>
      <c r="BF2320" s="25">
        <f>G2320*AM2320</f>
        <v>0</v>
      </c>
      <c r="BG2320" s="25">
        <f>G2320*AN2320</f>
        <v>0</v>
      </c>
      <c r="BH2320" s="25">
        <f>G2320*H2320</f>
        <v>0</v>
      </c>
      <c r="BI2320" s="27" t="s">
        <v>65</v>
      </c>
      <c r="BJ2320" s="25">
        <v>735</v>
      </c>
      <c r="BU2320" s="25" t="e">
        <f>#REF!</f>
        <v>#REF!</v>
      </c>
      <c r="BV2320" s="4" t="s">
        <v>2855</v>
      </c>
    </row>
    <row r="2321" spans="1:74" ht="14.4" x14ac:dyDescent="0.3">
      <c r="A2321" s="28"/>
      <c r="D2321" s="29" t="s">
        <v>57</v>
      </c>
      <c r="E2321" s="29" t="s">
        <v>52</v>
      </c>
      <c r="G2321" s="30">
        <v>1</v>
      </c>
      <c r="H2321" s="63"/>
      <c r="N2321" s="31"/>
    </row>
    <row r="2322" spans="1:74" ht="26.4" x14ac:dyDescent="0.3">
      <c r="A2322" s="2" t="s">
        <v>2856</v>
      </c>
      <c r="B2322" s="3" t="s">
        <v>2657</v>
      </c>
      <c r="C2322" s="3" t="s">
        <v>2390</v>
      </c>
      <c r="D2322" s="112" t="s">
        <v>2857</v>
      </c>
      <c r="E2322" s="109"/>
      <c r="F2322" s="3" t="s">
        <v>122</v>
      </c>
      <c r="G2322" s="25">
        <v>1</v>
      </c>
      <c r="H2322" s="62"/>
      <c r="I2322" s="25">
        <f>ROUND(G2322*AM2322,2)</f>
        <v>0</v>
      </c>
      <c r="J2322" s="25">
        <f>ROUND(G2322*AN2322,2)</f>
        <v>0</v>
      </c>
      <c r="K2322" s="25">
        <f>ROUND(G2322*H2322,2)</f>
        <v>0</v>
      </c>
      <c r="L2322" s="25">
        <v>0.1183</v>
      </c>
      <c r="M2322" s="25">
        <f>G2322*L2322</f>
        <v>0.1183</v>
      </c>
      <c r="N2322" s="102"/>
      <c r="X2322" s="25">
        <f>ROUND(IF(AO2322="5",BH2322,0),2)</f>
        <v>0</v>
      </c>
      <c r="Z2322" s="25">
        <f>ROUND(IF(AO2322="1",BF2322,0),2)</f>
        <v>0</v>
      </c>
      <c r="AA2322" s="25">
        <f>ROUND(IF(AO2322="1",BG2322,0),2)</f>
        <v>0</v>
      </c>
      <c r="AB2322" s="25">
        <f>ROUND(IF(AO2322="7",BF2322,0),2)</f>
        <v>0</v>
      </c>
      <c r="AC2322" s="25">
        <f>ROUND(IF(AO2322="7",BG2322,0),2)</f>
        <v>0</v>
      </c>
      <c r="AD2322" s="25">
        <f>ROUND(IF(AO2322="2",BF2322,0),2)</f>
        <v>0</v>
      </c>
      <c r="AE2322" s="25">
        <f>ROUND(IF(AO2322="2",BG2322,0),2)</f>
        <v>0</v>
      </c>
      <c r="AF2322" s="25">
        <f>ROUND(IF(AO2322="0",BH2322,0),2)</f>
        <v>0</v>
      </c>
      <c r="AG2322" s="10" t="s">
        <v>2657</v>
      </c>
      <c r="AH2322" s="25">
        <f>IF(AL2322=0,K2322,0)</f>
        <v>0</v>
      </c>
      <c r="AI2322" s="25">
        <f>IF(AL2322=12,K2322,0)</f>
        <v>0</v>
      </c>
      <c r="AJ2322" s="25">
        <f>IF(AL2322=21,K2322,0)</f>
        <v>0</v>
      </c>
      <c r="AL2322" s="25">
        <v>21</v>
      </c>
      <c r="AM2322" s="25">
        <f>H2322*1</f>
        <v>0</v>
      </c>
      <c r="AN2322" s="25">
        <f>H2322*(1-1)</f>
        <v>0</v>
      </c>
      <c r="AO2322" s="27" t="s">
        <v>61</v>
      </c>
      <c r="AT2322" s="25">
        <f>ROUND(AU2322+AV2322,2)</f>
        <v>0</v>
      </c>
      <c r="AU2322" s="25">
        <f>ROUND(G2322*AM2322,2)</f>
        <v>0</v>
      </c>
      <c r="AV2322" s="25">
        <f>ROUND(G2322*AN2322,2)</f>
        <v>0</v>
      </c>
      <c r="AW2322" s="27" t="s">
        <v>2847</v>
      </c>
      <c r="AX2322" s="27" t="s">
        <v>2735</v>
      </c>
      <c r="AY2322" s="10" t="s">
        <v>2661</v>
      </c>
      <c r="BA2322" s="25">
        <f>AU2322+AV2322</f>
        <v>0</v>
      </c>
      <c r="BB2322" s="25">
        <f>H2322/(100-BC2322)*100</f>
        <v>0</v>
      </c>
      <c r="BC2322" s="25">
        <v>0</v>
      </c>
      <c r="BD2322" s="25">
        <f>M2322</f>
        <v>0.1183</v>
      </c>
      <c r="BF2322" s="25">
        <f>G2322*AM2322</f>
        <v>0</v>
      </c>
      <c r="BG2322" s="25">
        <f>G2322*AN2322</f>
        <v>0</v>
      </c>
      <c r="BH2322" s="25">
        <f>G2322*H2322</f>
        <v>0</v>
      </c>
      <c r="BI2322" s="27" t="s">
        <v>65</v>
      </c>
      <c r="BJ2322" s="25">
        <v>735</v>
      </c>
      <c r="BU2322" s="25" t="e">
        <f>#REF!</f>
        <v>#REF!</v>
      </c>
      <c r="BV2322" s="4" t="s">
        <v>2857</v>
      </c>
    </row>
    <row r="2323" spans="1:74" ht="14.4" x14ac:dyDescent="0.3">
      <c r="A2323" s="28"/>
      <c r="D2323" s="29" t="s">
        <v>57</v>
      </c>
      <c r="E2323" s="29" t="s">
        <v>52</v>
      </c>
      <c r="G2323" s="30">
        <v>1</v>
      </c>
      <c r="H2323" s="63"/>
      <c r="N2323" s="31"/>
    </row>
    <row r="2324" spans="1:74" ht="26.4" x14ac:dyDescent="0.3">
      <c r="A2324" s="2" t="s">
        <v>2858</v>
      </c>
      <c r="B2324" s="3" t="s">
        <v>2657</v>
      </c>
      <c r="C2324" s="3" t="s">
        <v>1758</v>
      </c>
      <c r="D2324" s="112" t="s">
        <v>2859</v>
      </c>
      <c r="E2324" s="109"/>
      <c r="F2324" s="3" t="s">
        <v>122</v>
      </c>
      <c r="G2324" s="25">
        <v>1</v>
      </c>
      <c r="H2324" s="62"/>
      <c r="I2324" s="25">
        <f>ROUND(G2324*AM2324,2)</f>
        <v>0</v>
      </c>
      <c r="J2324" s="25">
        <f>ROUND(G2324*AN2324,2)</f>
        <v>0</v>
      </c>
      <c r="K2324" s="25">
        <f>ROUND(G2324*H2324,2)</f>
        <v>0</v>
      </c>
      <c r="L2324" s="25">
        <v>0.1183</v>
      </c>
      <c r="M2324" s="25">
        <f>G2324*L2324</f>
        <v>0.1183</v>
      </c>
      <c r="N2324" s="102"/>
      <c r="X2324" s="25">
        <f>ROUND(IF(AO2324="5",BH2324,0),2)</f>
        <v>0</v>
      </c>
      <c r="Z2324" s="25">
        <f>ROUND(IF(AO2324="1",BF2324,0),2)</f>
        <v>0</v>
      </c>
      <c r="AA2324" s="25">
        <f>ROUND(IF(AO2324="1",BG2324,0),2)</f>
        <v>0</v>
      </c>
      <c r="AB2324" s="25">
        <f>ROUND(IF(AO2324="7",BF2324,0),2)</f>
        <v>0</v>
      </c>
      <c r="AC2324" s="25">
        <f>ROUND(IF(AO2324="7",BG2324,0),2)</f>
        <v>0</v>
      </c>
      <c r="AD2324" s="25">
        <f>ROUND(IF(AO2324="2",BF2324,0),2)</f>
        <v>0</v>
      </c>
      <c r="AE2324" s="25">
        <f>ROUND(IF(AO2324="2",BG2324,0),2)</f>
        <v>0</v>
      </c>
      <c r="AF2324" s="25">
        <f>ROUND(IF(AO2324="0",BH2324,0),2)</f>
        <v>0</v>
      </c>
      <c r="AG2324" s="10" t="s">
        <v>2657</v>
      </c>
      <c r="AH2324" s="25">
        <f>IF(AL2324=0,K2324,0)</f>
        <v>0</v>
      </c>
      <c r="AI2324" s="25">
        <f>IF(AL2324=12,K2324,0)</f>
        <v>0</v>
      </c>
      <c r="AJ2324" s="25">
        <f>IF(AL2324=21,K2324,0)</f>
        <v>0</v>
      </c>
      <c r="AL2324" s="25">
        <v>21</v>
      </c>
      <c r="AM2324" s="25">
        <f>H2324*1</f>
        <v>0</v>
      </c>
      <c r="AN2324" s="25">
        <f>H2324*(1-1)</f>
        <v>0</v>
      </c>
      <c r="AO2324" s="27" t="s">
        <v>61</v>
      </c>
      <c r="AT2324" s="25">
        <f>ROUND(AU2324+AV2324,2)</f>
        <v>0</v>
      </c>
      <c r="AU2324" s="25">
        <f>ROUND(G2324*AM2324,2)</f>
        <v>0</v>
      </c>
      <c r="AV2324" s="25">
        <f>ROUND(G2324*AN2324,2)</f>
        <v>0</v>
      </c>
      <c r="AW2324" s="27" t="s">
        <v>2847</v>
      </c>
      <c r="AX2324" s="27" t="s">
        <v>2735</v>
      </c>
      <c r="AY2324" s="10" t="s">
        <v>2661</v>
      </c>
      <c r="BA2324" s="25">
        <f>AU2324+AV2324</f>
        <v>0</v>
      </c>
      <c r="BB2324" s="25">
        <f>H2324/(100-BC2324)*100</f>
        <v>0</v>
      </c>
      <c r="BC2324" s="25">
        <v>0</v>
      </c>
      <c r="BD2324" s="25">
        <f>M2324</f>
        <v>0.1183</v>
      </c>
      <c r="BF2324" s="25">
        <f>G2324*AM2324</f>
        <v>0</v>
      </c>
      <c r="BG2324" s="25">
        <f>G2324*AN2324</f>
        <v>0</v>
      </c>
      <c r="BH2324" s="25">
        <f>G2324*H2324</f>
        <v>0</v>
      </c>
      <c r="BI2324" s="27" t="s">
        <v>65</v>
      </c>
      <c r="BJ2324" s="25">
        <v>735</v>
      </c>
      <c r="BU2324" s="25" t="e">
        <f>#REF!</f>
        <v>#REF!</v>
      </c>
      <c r="BV2324" s="4" t="s">
        <v>2859</v>
      </c>
    </row>
    <row r="2325" spans="1:74" ht="14.4" x14ac:dyDescent="0.3">
      <c r="A2325" s="28"/>
      <c r="D2325" s="29" t="s">
        <v>57</v>
      </c>
      <c r="E2325" s="29" t="s">
        <v>52</v>
      </c>
      <c r="G2325" s="30">
        <v>1</v>
      </c>
      <c r="H2325" s="63"/>
      <c r="N2325" s="31"/>
    </row>
    <row r="2326" spans="1:74" ht="26.4" x14ac:dyDescent="0.3">
      <c r="A2326" s="2" t="s">
        <v>2860</v>
      </c>
      <c r="B2326" s="3" t="s">
        <v>2657</v>
      </c>
      <c r="C2326" s="3" t="s">
        <v>2394</v>
      </c>
      <c r="D2326" s="112" t="s">
        <v>2861</v>
      </c>
      <c r="E2326" s="109"/>
      <c r="F2326" s="3" t="s">
        <v>122</v>
      </c>
      <c r="G2326" s="25">
        <v>1</v>
      </c>
      <c r="H2326" s="62"/>
      <c r="I2326" s="25">
        <f>ROUND(G2326*AM2326,2)</f>
        <v>0</v>
      </c>
      <c r="J2326" s="25">
        <f>ROUND(G2326*AN2326,2)</f>
        <v>0</v>
      </c>
      <c r="K2326" s="25">
        <f>ROUND(G2326*H2326,2)</f>
        <v>0</v>
      </c>
      <c r="L2326" s="25">
        <v>0.1014</v>
      </c>
      <c r="M2326" s="25">
        <f>G2326*L2326</f>
        <v>0.1014</v>
      </c>
      <c r="N2326" s="102"/>
      <c r="X2326" s="25">
        <f>ROUND(IF(AO2326="5",BH2326,0),2)</f>
        <v>0</v>
      </c>
      <c r="Z2326" s="25">
        <f>ROUND(IF(AO2326="1",BF2326,0),2)</f>
        <v>0</v>
      </c>
      <c r="AA2326" s="25">
        <f>ROUND(IF(AO2326="1",BG2326,0),2)</f>
        <v>0</v>
      </c>
      <c r="AB2326" s="25">
        <f>ROUND(IF(AO2326="7",BF2326,0),2)</f>
        <v>0</v>
      </c>
      <c r="AC2326" s="25">
        <f>ROUND(IF(AO2326="7",BG2326,0),2)</f>
        <v>0</v>
      </c>
      <c r="AD2326" s="25">
        <f>ROUND(IF(AO2326="2",BF2326,0),2)</f>
        <v>0</v>
      </c>
      <c r="AE2326" s="25">
        <f>ROUND(IF(AO2326="2",BG2326,0),2)</f>
        <v>0</v>
      </c>
      <c r="AF2326" s="25">
        <f>ROUND(IF(AO2326="0",BH2326,0),2)</f>
        <v>0</v>
      </c>
      <c r="AG2326" s="10" t="s">
        <v>2657</v>
      </c>
      <c r="AH2326" s="25">
        <f>IF(AL2326=0,K2326,0)</f>
        <v>0</v>
      </c>
      <c r="AI2326" s="25">
        <f>IF(AL2326=12,K2326,0)</f>
        <v>0</v>
      </c>
      <c r="AJ2326" s="25">
        <f>IF(AL2326=21,K2326,0)</f>
        <v>0</v>
      </c>
      <c r="AL2326" s="25">
        <v>21</v>
      </c>
      <c r="AM2326" s="25">
        <f>H2326*1</f>
        <v>0</v>
      </c>
      <c r="AN2326" s="25">
        <f>H2326*(1-1)</f>
        <v>0</v>
      </c>
      <c r="AO2326" s="27" t="s">
        <v>61</v>
      </c>
      <c r="AT2326" s="25">
        <f>ROUND(AU2326+AV2326,2)</f>
        <v>0</v>
      </c>
      <c r="AU2326" s="25">
        <f>ROUND(G2326*AM2326,2)</f>
        <v>0</v>
      </c>
      <c r="AV2326" s="25">
        <f>ROUND(G2326*AN2326,2)</f>
        <v>0</v>
      </c>
      <c r="AW2326" s="27" t="s">
        <v>2847</v>
      </c>
      <c r="AX2326" s="27" t="s">
        <v>2735</v>
      </c>
      <c r="AY2326" s="10" t="s">
        <v>2661</v>
      </c>
      <c r="BA2326" s="25">
        <f>AU2326+AV2326</f>
        <v>0</v>
      </c>
      <c r="BB2326" s="25">
        <f>H2326/(100-BC2326)*100</f>
        <v>0</v>
      </c>
      <c r="BC2326" s="25">
        <v>0</v>
      </c>
      <c r="BD2326" s="25">
        <f>M2326</f>
        <v>0.1014</v>
      </c>
      <c r="BF2326" s="25">
        <f>G2326*AM2326</f>
        <v>0</v>
      </c>
      <c r="BG2326" s="25">
        <f>G2326*AN2326</f>
        <v>0</v>
      </c>
      <c r="BH2326" s="25">
        <f>G2326*H2326</f>
        <v>0</v>
      </c>
      <c r="BI2326" s="27" t="s">
        <v>65</v>
      </c>
      <c r="BJ2326" s="25">
        <v>735</v>
      </c>
      <c r="BU2326" s="25" t="e">
        <f>#REF!</f>
        <v>#REF!</v>
      </c>
      <c r="BV2326" s="4" t="s">
        <v>2861</v>
      </c>
    </row>
    <row r="2327" spans="1:74" ht="14.4" x14ac:dyDescent="0.3">
      <c r="A2327" s="28"/>
      <c r="D2327" s="29" t="s">
        <v>57</v>
      </c>
      <c r="E2327" s="29" t="s">
        <v>52</v>
      </c>
      <c r="G2327" s="30">
        <v>1</v>
      </c>
      <c r="H2327" s="63"/>
      <c r="N2327" s="31"/>
    </row>
    <row r="2328" spans="1:74" ht="26.4" x14ac:dyDescent="0.3">
      <c r="A2328" s="2" t="s">
        <v>1443</v>
      </c>
      <c r="B2328" s="3" t="s">
        <v>2657</v>
      </c>
      <c r="C2328" s="3" t="s">
        <v>2397</v>
      </c>
      <c r="D2328" s="112" t="s">
        <v>2862</v>
      </c>
      <c r="E2328" s="109"/>
      <c r="F2328" s="3" t="s">
        <v>122</v>
      </c>
      <c r="G2328" s="25">
        <v>1</v>
      </c>
      <c r="H2328" s="62"/>
      <c r="I2328" s="25">
        <f>ROUND(G2328*AM2328,2)</f>
        <v>0</v>
      </c>
      <c r="J2328" s="25">
        <f>ROUND(G2328*AN2328,2)</f>
        <v>0</v>
      </c>
      <c r="K2328" s="25">
        <f>ROUND(G2328*H2328,2)</f>
        <v>0</v>
      </c>
      <c r="L2328" s="25">
        <v>0.1014</v>
      </c>
      <c r="M2328" s="25">
        <f>G2328*L2328</f>
        <v>0.1014</v>
      </c>
      <c r="N2328" s="102"/>
      <c r="X2328" s="25">
        <f>ROUND(IF(AO2328="5",BH2328,0),2)</f>
        <v>0</v>
      </c>
      <c r="Z2328" s="25">
        <f>ROUND(IF(AO2328="1",BF2328,0),2)</f>
        <v>0</v>
      </c>
      <c r="AA2328" s="25">
        <f>ROUND(IF(AO2328="1",BG2328,0),2)</f>
        <v>0</v>
      </c>
      <c r="AB2328" s="25">
        <f>ROUND(IF(AO2328="7",BF2328,0),2)</f>
        <v>0</v>
      </c>
      <c r="AC2328" s="25">
        <f>ROUND(IF(AO2328="7",BG2328,0),2)</f>
        <v>0</v>
      </c>
      <c r="AD2328" s="25">
        <f>ROUND(IF(AO2328="2",BF2328,0),2)</f>
        <v>0</v>
      </c>
      <c r="AE2328" s="25">
        <f>ROUND(IF(AO2328="2",BG2328,0),2)</f>
        <v>0</v>
      </c>
      <c r="AF2328" s="25">
        <f>ROUND(IF(AO2328="0",BH2328,0),2)</f>
        <v>0</v>
      </c>
      <c r="AG2328" s="10" t="s">
        <v>2657</v>
      </c>
      <c r="AH2328" s="25">
        <f>IF(AL2328=0,K2328,0)</f>
        <v>0</v>
      </c>
      <c r="AI2328" s="25">
        <f>IF(AL2328=12,K2328,0)</f>
        <v>0</v>
      </c>
      <c r="AJ2328" s="25">
        <f>IF(AL2328=21,K2328,0)</f>
        <v>0</v>
      </c>
      <c r="AL2328" s="25">
        <v>21</v>
      </c>
      <c r="AM2328" s="25">
        <f>H2328*1</f>
        <v>0</v>
      </c>
      <c r="AN2328" s="25">
        <f>H2328*(1-1)</f>
        <v>0</v>
      </c>
      <c r="AO2328" s="27" t="s">
        <v>61</v>
      </c>
      <c r="AT2328" s="25">
        <f>ROUND(AU2328+AV2328,2)</f>
        <v>0</v>
      </c>
      <c r="AU2328" s="25">
        <f>ROUND(G2328*AM2328,2)</f>
        <v>0</v>
      </c>
      <c r="AV2328" s="25">
        <f>ROUND(G2328*AN2328,2)</f>
        <v>0</v>
      </c>
      <c r="AW2328" s="27" t="s">
        <v>2847</v>
      </c>
      <c r="AX2328" s="27" t="s">
        <v>2735</v>
      </c>
      <c r="AY2328" s="10" t="s">
        <v>2661</v>
      </c>
      <c r="BA2328" s="25">
        <f>AU2328+AV2328</f>
        <v>0</v>
      </c>
      <c r="BB2328" s="25">
        <f>H2328/(100-BC2328)*100</f>
        <v>0</v>
      </c>
      <c r="BC2328" s="25">
        <v>0</v>
      </c>
      <c r="BD2328" s="25">
        <f>M2328</f>
        <v>0.1014</v>
      </c>
      <c r="BF2328" s="25">
        <f>G2328*AM2328</f>
        <v>0</v>
      </c>
      <c r="BG2328" s="25">
        <f>G2328*AN2328</f>
        <v>0</v>
      </c>
      <c r="BH2328" s="25">
        <f>G2328*H2328</f>
        <v>0</v>
      </c>
      <c r="BI2328" s="27" t="s">
        <v>65</v>
      </c>
      <c r="BJ2328" s="25">
        <v>735</v>
      </c>
      <c r="BU2328" s="25" t="e">
        <f>#REF!</f>
        <v>#REF!</v>
      </c>
      <c r="BV2328" s="4" t="s">
        <v>2862</v>
      </c>
    </row>
    <row r="2329" spans="1:74" ht="14.4" x14ac:dyDescent="0.3">
      <c r="A2329" s="28"/>
      <c r="D2329" s="29" t="s">
        <v>57</v>
      </c>
      <c r="E2329" s="29" t="s">
        <v>52</v>
      </c>
      <c r="G2329" s="30">
        <v>1</v>
      </c>
      <c r="H2329" s="63"/>
      <c r="N2329" s="31"/>
    </row>
    <row r="2330" spans="1:74" ht="26.4" x14ac:dyDescent="0.3">
      <c r="A2330" s="2" t="s">
        <v>1454</v>
      </c>
      <c r="B2330" s="3" t="s">
        <v>2657</v>
      </c>
      <c r="C2330" s="3" t="s">
        <v>1761</v>
      </c>
      <c r="D2330" s="112" t="s">
        <v>2863</v>
      </c>
      <c r="E2330" s="109"/>
      <c r="F2330" s="3" t="s">
        <v>122</v>
      </c>
      <c r="G2330" s="25">
        <v>1</v>
      </c>
      <c r="H2330" s="62"/>
      <c r="I2330" s="25">
        <f>ROUND(G2330*AM2330,2)</f>
        <v>0</v>
      </c>
      <c r="J2330" s="25">
        <f>ROUND(G2330*AN2330,2)</f>
        <v>0</v>
      </c>
      <c r="K2330" s="25">
        <f>ROUND(G2330*H2330,2)</f>
        <v>0</v>
      </c>
      <c r="L2330" s="25">
        <v>0.1014</v>
      </c>
      <c r="M2330" s="25">
        <f>G2330*L2330</f>
        <v>0.1014</v>
      </c>
      <c r="N2330" s="102"/>
      <c r="X2330" s="25">
        <f>ROUND(IF(AO2330="5",BH2330,0),2)</f>
        <v>0</v>
      </c>
      <c r="Z2330" s="25">
        <f>ROUND(IF(AO2330="1",BF2330,0),2)</f>
        <v>0</v>
      </c>
      <c r="AA2330" s="25">
        <f>ROUND(IF(AO2330="1",BG2330,0),2)</f>
        <v>0</v>
      </c>
      <c r="AB2330" s="25">
        <f>ROUND(IF(AO2330="7",BF2330,0),2)</f>
        <v>0</v>
      </c>
      <c r="AC2330" s="25">
        <f>ROUND(IF(AO2330="7",BG2330,0),2)</f>
        <v>0</v>
      </c>
      <c r="AD2330" s="25">
        <f>ROUND(IF(AO2330="2",BF2330,0),2)</f>
        <v>0</v>
      </c>
      <c r="AE2330" s="25">
        <f>ROUND(IF(AO2330="2",BG2330,0),2)</f>
        <v>0</v>
      </c>
      <c r="AF2330" s="25">
        <f>ROUND(IF(AO2330="0",BH2330,0),2)</f>
        <v>0</v>
      </c>
      <c r="AG2330" s="10" t="s">
        <v>2657</v>
      </c>
      <c r="AH2330" s="25">
        <f>IF(AL2330=0,K2330,0)</f>
        <v>0</v>
      </c>
      <c r="AI2330" s="25">
        <f>IF(AL2330=12,K2330,0)</f>
        <v>0</v>
      </c>
      <c r="AJ2330" s="25">
        <f>IF(AL2330=21,K2330,0)</f>
        <v>0</v>
      </c>
      <c r="AL2330" s="25">
        <v>21</v>
      </c>
      <c r="AM2330" s="25">
        <f>H2330*1</f>
        <v>0</v>
      </c>
      <c r="AN2330" s="25">
        <f>H2330*(1-1)</f>
        <v>0</v>
      </c>
      <c r="AO2330" s="27" t="s">
        <v>61</v>
      </c>
      <c r="AT2330" s="25">
        <f>ROUND(AU2330+AV2330,2)</f>
        <v>0</v>
      </c>
      <c r="AU2330" s="25">
        <f>ROUND(G2330*AM2330,2)</f>
        <v>0</v>
      </c>
      <c r="AV2330" s="25">
        <f>ROUND(G2330*AN2330,2)</f>
        <v>0</v>
      </c>
      <c r="AW2330" s="27" t="s">
        <v>2847</v>
      </c>
      <c r="AX2330" s="27" t="s">
        <v>2735</v>
      </c>
      <c r="AY2330" s="10" t="s">
        <v>2661</v>
      </c>
      <c r="BA2330" s="25">
        <f>AU2330+AV2330</f>
        <v>0</v>
      </c>
      <c r="BB2330" s="25">
        <f>H2330/(100-BC2330)*100</f>
        <v>0</v>
      </c>
      <c r="BC2330" s="25">
        <v>0</v>
      </c>
      <c r="BD2330" s="25">
        <f>M2330</f>
        <v>0.1014</v>
      </c>
      <c r="BF2330" s="25">
        <f>G2330*AM2330</f>
        <v>0</v>
      </c>
      <c r="BG2330" s="25">
        <f>G2330*AN2330</f>
        <v>0</v>
      </c>
      <c r="BH2330" s="25">
        <f>G2330*H2330</f>
        <v>0</v>
      </c>
      <c r="BI2330" s="27" t="s">
        <v>65</v>
      </c>
      <c r="BJ2330" s="25">
        <v>735</v>
      </c>
      <c r="BU2330" s="25" t="e">
        <f>#REF!</f>
        <v>#REF!</v>
      </c>
      <c r="BV2330" s="4" t="s">
        <v>2863</v>
      </c>
    </row>
    <row r="2331" spans="1:74" ht="14.4" x14ac:dyDescent="0.3">
      <c r="A2331" s="28"/>
      <c r="D2331" s="29" t="s">
        <v>57</v>
      </c>
      <c r="E2331" s="29" t="s">
        <v>52</v>
      </c>
      <c r="G2331" s="30">
        <v>1</v>
      </c>
      <c r="H2331" s="63"/>
      <c r="N2331" s="31"/>
    </row>
    <row r="2332" spans="1:74" ht="26.4" x14ac:dyDescent="0.3">
      <c r="A2332" s="2" t="s">
        <v>2864</v>
      </c>
      <c r="B2332" s="3" t="s">
        <v>2657</v>
      </c>
      <c r="C2332" s="3" t="s">
        <v>2137</v>
      </c>
      <c r="D2332" s="112" t="s">
        <v>2865</v>
      </c>
      <c r="E2332" s="109"/>
      <c r="F2332" s="3" t="s">
        <v>122</v>
      </c>
      <c r="G2332" s="25">
        <v>1</v>
      </c>
      <c r="H2332" s="62"/>
      <c r="I2332" s="25">
        <f>ROUND(G2332*AM2332,2)</f>
        <v>0</v>
      </c>
      <c r="J2332" s="25">
        <f>ROUND(G2332*AN2332,2)</f>
        <v>0</v>
      </c>
      <c r="K2332" s="25">
        <f>ROUND(G2332*H2332,2)</f>
        <v>0</v>
      </c>
      <c r="L2332" s="25">
        <v>0.16900000000000001</v>
      </c>
      <c r="M2332" s="25">
        <f>G2332*L2332</f>
        <v>0.16900000000000001</v>
      </c>
      <c r="N2332" s="102"/>
      <c r="X2332" s="25">
        <f>ROUND(IF(AO2332="5",BH2332,0),2)</f>
        <v>0</v>
      </c>
      <c r="Z2332" s="25">
        <f>ROUND(IF(AO2332="1",BF2332,0),2)</f>
        <v>0</v>
      </c>
      <c r="AA2332" s="25">
        <f>ROUND(IF(AO2332="1",BG2332,0),2)</f>
        <v>0</v>
      </c>
      <c r="AB2332" s="25">
        <f>ROUND(IF(AO2332="7",BF2332,0),2)</f>
        <v>0</v>
      </c>
      <c r="AC2332" s="25">
        <f>ROUND(IF(AO2332="7",BG2332,0),2)</f>
        <v>0</v>
      </c>
      <c r="AD2332" s="25">
        <f>ROUND(IF(AO2332="2",BF2332,0),2)</f>
        <v>0</v>
      </c>
      <c r="AE2332" s="25">
        <f>ROUND(IF(AO2332="2",BG2332,0),2)</f>
        <v>0</v>
      </c>
      <c r="AF2332" s="25">
        <f>ROUND(IF(AO2332="0",BH2332,0),2)</f>
        <v>0</v>
      </c>
      <c r="AG2332" s="10" t="s">
        <v>2657</v>
      </c>
      <c r="AH2332" s="25">
        <f>IF(AL2332=0,K2332,0)</f>
        <v>0</v>
      </c>
      <c r="AI2332" s="25">
        <f>IF(AL2332=12,K2332,0)</f>
        <v>0</v>
      </c>
      <c r="AJ2332" s="25">
        <f>IF(AL2332=21,K2332,0)</f>
        <v>0</v>
      </c>
      <c r="AL2332" s="25">
        <v>21</v>
      </c>
      <c r="AM2332" s="25">
        <f>H2332*1</f>
        <v>0</v>
      </c>
      <c r="AN2332" s="25">
        <f>H2332*(1-1)</f>
        <v>0</v>
      </c>
      <c r="AO2332" s="27" t="s">
        <v>61</v>
      </c>
      <c r="AT2332" s="25">
        <f>ROUND(AU2332+AV2332,2)</f>
        <v>0</v>
      </c>
      <c r="AU2332" s="25">
        <f>ROUND(G2332*AM2332,2)</f>
        <v>0</v>
      </c>
      <c r="AV2332" s="25">
        <f>ROUND(G2332*AN2332,2)</f>
        <v>0</v>
      </c>
      <c r="AW2332" s="27" t="s">
        <v>2847</v>
      </c>
      <c r="AX2332" s="27" t="s">
        <v>2735</v>
      </c>
      <c r="AY2332" s="10" t="s">
        <v>2661</v>
      </c>
      <c r="BA2332" s="25">
        <f>AU2332+AV2332</f>
        <v>0</v>
      </c>
      <c r="BB2332" s="25">
        <f>H2332/(100-BC2332)*100</f>
        <v>0</v>
      </c>
      <c r="BC2332" s="25">
        <v>0</v>
      </c>
      <c r="BD2332" s="25">
        <f>M2332</f>
        <v>0.16900000000000001</v>
      </c>
      <c r="BF2332" s="25">
        <f>G2332*AM2332</f>
        <v>0</v>
      </c>
      <c r="BG2332" s="25">
        <f>G2332*AN2332</f>
        <v>0</v>
      </c>
      <c r="BH2332" s="25">
        <f>G2332*H2332</f>
        <v>0</v>
      </c>
      <c r="BI2332" s="27" t="s">
        <v>65</v>
      </c>
      <c r="BJ2332" s="25">
        <v>735</v>
      </c>
      <c r="BU2332" s="25" t="e">
        <f>#REF!</f>
        <v>#REF!</v>
      </c>
      <c r="BV2332" s="4" t="s">
        <v>2865</v>
      </c>
    </row>
    <row r="2333" spans="1:74" ht="14.4" x14ac:dyDescent="0.3">
      <c r="A2333" s="28"/>
      <c r="D2333" s="29" t="s">
        <v>57</v>
      </c>
      <c r="E2333" s="29" t="s">
        <v>52</v>
      </c>
      <c r="G2333" s="30">
        <v>1</v>
      </c>
      <c r="H2333" s="63"/>
      <c r="N2333" s="31"/>
    </row>
    <row r="2334" spans="1:74" ht="26.4" x14ac:dyDescent="0.3">
      <c r="A2334" s="2" t="s">
        <v>2866</v>
      </c>
      <c r="B2334" s="3" t="s">
        <v>2657</v>
      </c>
      <c r="C2334" s="3" t="s">
        <v>1764</v>
      </c>
      <c r="D2334" s="112" t="s">
        <v>2867</v>
      </c>
      <c r="E2334" s="109"/>
      <c r="F2334" s="3" t="s">
        <v>122</v>
      </c>
      <c r="G2334" s="25">
        <v>1</v>
      </c>
      <c r="H2334" s="62"/>
      <c r="I2334" s="25">
        <f>ROUND(G2334*AM2334,2)</f>
        <v>0</v>
      </c>
      <c r="J2334" s="25">
        <f>ROUND(G2334*AN2334,2)</f>
        <v>0</v>
      </c>
      <c r="K2334" s="25">
        <f>ROUND(G2334*H2334,2)</f>
        <v>0</v>
      </c>
      <c r="L2334" s="25">
        <v>0.16900000000000001</v>
      </c>
      <c r="M2334" s="25">
        <f>G2334*L2334</f>
        <v>0.16900000000000001</v>
      </c>
      <c r="N2334" s="102"/>
      <c r="X2334" s="25">
        <f>ROUND(IF(AO2334="5",BH2334,0),2)</f>
        <v>0</v>
      </c>
      <c r="Z2334" s="25">
        <f>ROUND(IF(AO2334="1",BF2334,0),2)</f>
        <v>0</v>
      </c>
      <c r="AA2334" s="25">
        <f>ROUND(IF(AO2334="1",BG2334,0),2)</f>
        <v>0</v>
      </c>
      <c r="AB2334" s="25">
        <f>ROUND(IF(AO2334="7",BF2334,0),2)</f>
        <v>0</v>
      </c>
      <c r="AC2334" s="25">
        <f>ROUND(IF(AO2334="7",BG2334,0),2)</f>
        <v>0</v>
      </c>
      <c r="AD2334" s="25">
        <f>ROUND(IF(AO2334="2",BF2334,0),2)</f>
        <v>0</v>
      </c>
      <c r="AE2334" s="25">
        <f>ROUND(IF(AO2334="2",BG2334,0),2)</f>
        <v>0</v>
      </c>
      <c r="AF2334" s="25">
        <f>ROUND(IF(AO2334="0",BH2334,0),2)</f>
        <v>0</v>
      </c>
      <c r="AG2334" s="10" t="s">
        <v>2657</v>
      </c>
      <c r="AH2334" s="25">
        <f>IF(AL2334=0,K2334,0)</f>
        <v>0</v>
      </c>
      <c r="AI2334" s="25">
        <f>IF(AL2334=12,K2334,0)</f>
        <v>0</v>
      </c>
      <c r="AJ2334" s="25">
        <f>IF(AL2334=21,K2334,0)</f>
        <v>0</v>
      </c>
      <c r="AL2334" s="25">
        <v>21</v>
      </c>
      <c r="AM2334" s="25">
        <f>H2334*1</f>
        <v>0</v>
      </c>
      <c r="AN2334" s="25">
        <f>H2334*(1-1)</f>
        <v>0</v>
      </c>
      <c r="AO2334" s="27" t="s">
        <v>61</v>
      </c>
      <c r="AT2334" s="25">
        <f>ROUND(AU2334+AV2334,2)</f>
        <v>0</v>
      </c>
      <c r="AU2334" s="25">
        <f>ROUND(G2334*AM2334,2)</f>
        <v>0</v>
      </c>
      <c r="AV2334" s="25">
        <f>ROUND(G2334*AN2334,2)</f>
        <v>0</v>
      </c>
      <c r="AW2334" s="27" t="s">
        <v>2847</v>
      </c>
      <c r="AX2334" s="27" t="s">
        <v>2735</v>
      </c>
      <c r="AY2334" s="10" t="s">
        <v>2661</v>
      </c>
      <c r="BA2334" s="25">
        <f>AU2334+AV2334</f>
        <v>0</v>
      </c>
      <c r="BB2334" s="25">
        <f>H2334/(100-BC2334)*100</f>
        <v>0</v>
      </c>
      <c r="BC2334" s="25">
        <v>0</v>
      </c>
      <c r="BD2334" s="25">
        <f>M2334</f>
        <v>0.16900000000000001</v>
      </c>
      <c r="BF2334" s="25">
        <f>G2334*AM2334</f>
        <v>0</v>
      </c>
      <c r="BG2334" s="25">
        <f>G2334*AN2334</f>
        <v>0</v>
      </c>
      <c r="BH2334" s="25">
        <f>G2334*H2334</f>
        <v>0</v>
      </c>
      <c r="BI2334" s="27" t="s">
        <v>65</v>
      </c>
      <c r="BJ2334" s="25">
        <v>735</v>
      </c>
      <c r="BU2334" s="25" t="e">
        <f>#REF!</f>
        <v>#REF!</v>
      </c>
      <c r="BV2334" s="4" t="s">
        <v>2867</v>
      </c>
    </row>
    <row r="2335" spans="1:74" ht="14.4" x14ac:dyDescent="0.3">
      <c r="A2335" s="28"/>
      <c r="D2335" s="29" t="s">
        <v>57</v>
      </c>
      <c r="E2335" s="29" t="s">
        <v>52</v>
      </c>
      <c r="G2335" s="30">
        <v>1</v>
      </c>
      <c r="H2335" s="63"/>
      <c r="N2335" s="31"/>
    </row>
    <row r="2336" spans="1:74" ht="14.4" x14ac:dyDescent="0.3">
      <c r="A2336" s="2" t="s">
        <v>2868</v>
      </c>
      <c r="B2336" s="3" t="s">
        <v>2657</v>
      </c>
      <c r="C2336" s="3" t="s">
        <v>2869</v>
      </c>
      <c r="D2336" s="112" t="s">
        <v>2870</v>
      </c>
      <c r="E2336" s="109"/>
      <c r="F2336" s="3" t="s">
        <v>122</v>
      </c>
      <c r="G2336" s="25">
        <v>11</v>
      </c>
      <c r="H2336" s="62"/>
      <c r="I2336" s="25">
        <f>ROUND(G2336*AM2336,2)</f>
        <v>0</v>
      </c>
      <c r="J2336" s="25">
        <f>ROUND(G2336*AN2336,2)</f>
        <v>0</v>
      </c>
      <c r="K2336" s="25">
        <f>ROUND(G2336*H2336,2)</f>
        <v>0</v>
      </c>
      <c r="L2336" s="25">
        <v>0</v>
      </c>
      <c r="M2336" s="25">
        <f>G2336*L2336</f>
        <v>0</v>
      </c>
      <c r="N2336" s="26"/>
      <c r="X2336" s="25">
        <f>ROUND(IF(AO2336="5",BH2336,0),2)</f>
        <v>0</v>
      </c>
      <c r="Z2336" s="25">
        <f>ROUND(IF(AO2336="1",BF2336,0),2)</f>
        <v>0</v>
      </c>
      <c r="AA2336" s="25">
        <f>ROUND(IF(AO2336="1",BG2336,0),2)</f>
        <v>0</v>
      </c>
      <c r="AB2336" s="25">
        <f>ROUND(IF(AO2336="7",BF2336,0),2)</f>
        <v>0</v>
      </c>
      <c r="AC2336" s="25">
        <f>ROUND(IF(AO2336="7",BG2336,0),2)</f>
        <v>0</v>
      </c>
      <c r="AD2336" s="25">
        <f>ROUND(IF(AO2336="2",BF2336,0),2)</f>
        <v>0</v>
      </c>
      <c r="AE2336" s="25">
        <f>ROUND(IF(AO2336="2",BG2336,0),2)</f>
        <v>0</v>
      </c>
      <c r="AF2336" s="25">
        <f>ROUND(IF(AO2336="0",BH2336,0),2)</f>
        <v>0</v>
      </c>
      <c r="AG2336" s="10" t="s">
        <v>2657</v>
      </c>
      <c r="AH2336" s="25">
        <f>IF(AL2336=0,K2336,0)</f>
        <v>0</v>
      </c>
      <c r="AI2336" s="25">
        <f>IF(AL2336=12,K2336,0)</f>
        <v>0</v>
      </c>
      <c r="AJ2336" s="25">
        <f>IF(AL2336=21,K2336,0)</f>
        <v>0</v>
      </c>
      <c r="AL2336" s="25">
        <v>21</v>
      </c>
      <c r="AM2336" s="25">
        <f>H2336*0</f>
        <v>0</v>
      </c>
      <c r="AN2336" s="25">
        <f>H2336*(1-0)</f>
        <v>0</v>
      </c>
      <c r="AO2336" s="27" t="s">
        <v>61</v>
      </c>
      <c r="AT2336" s="25">
        <f>ROUND(AU2336+AV2336,2)</f>
        <v>0</v>
      </c>
      <c r="AU2336" s="25">
        <f>ROUND(G2336*AM2336,2)</f>
        <v>0</v>
      </c>
      <c r="AV2336" s="25">
        <f>ROUND(G2336*AN2336,2)</f>
        <v>0</v>
      </c>
      <c r="AW2336" s="27" t="s">
        <v>2847</v>
      </c>
      <c r="AX2336" s="27" t="s">
        <v>2735</v>
      </c>
      <c r="AY2336" s="10" t="s">
        <v>2661</v>
      </c>
      <c r="BA2336" s="25">
        <f>AU2336+AV2336</f>
        <v>0</v>
      </c>
      <c r="BB2336" s="25">
        <f>H2336/(100-BC2336)*100</f>
        <v>0</v>
      </c>
      <c r="BC2336" s="25">
        <v>0</v>
      </c>
      <c r="BD2336" s="25">
        <f>M2336</f>
        <v>0</v>
      </c>
      <c r="BF2336" s="25">
        <f>G2336*AM2336</f>
        <v>0</v>
      </c>
      <c r="BG2336" s="25">
        <f>G2336*AN2336</f>
        <v>0</v>
      </c>
      <c r="BH2336" s="25">
        <f>G2336*H2336</f>
        <v>0</v>
      </c>
      <c r="BI2336" s="27" t="s">
        <v>65</v>
      </c>
      <c r="BJ2336" s="25">
        <v>735</v>
      </c>
      <c r="BU2336" s="25" t="e">
        <f>#REF!</f>
        <v>#REF!</v>
      </c>
      <c r="BV2336" s="4" t="s">
        <v>2870</v>
      </c>
    </row>
    <row r="2337" spans="1:74" ht="14.4" x14ac:dyDescent="0.3">
      <c r="A2337" s="28"/>
      <c r="D2337" s="29" t="s">
        <v>140</v>
      </c>
      <c r="E2337" s="29" t="s">
        <v>52</v>
      </c>
      <c r="G2337" s="30">
        <v>11</v>
      </c>
      <c r="H2337" s="63"/>
      <c r="N2337" s="31"/>
    </row>
    <row r="2338" spans="1:74" ht="14.4" x14ac:dyDescent="0.3">
      <c r="A2338" s="2" t="s">
        <v>324</v>
      </c>
      <c r="B2338" s="3" t="s">
        <v>2657</v>
      </c>
      <c r="C2338" s="3" t="s">
        <v>2402</v>
      </c>
      <c r="D2338" s="112" t="s">
        <v>2871</v>
      </c>
      <c r="E2338" s="109"/>
      <c r="F2338" s="3" t="s">
        <v>122</v>
      </c>
      <c r="G2338" s="25">
        <v>4</v>
      </c>
      <c r="H2338" s="62"/>
      <c r="I2338" s="25">
        <f>ROUND(G2338*AM2338,2)</f>
        <v>0</v>
      </c>
      <c r="J2338" s="25">
        <f>ROUND(G2338*AN2338,2)</f>
        <v>0</v>
      </c>
      <c r="K2338" s="25">
        <f>ROUND(G2338*H2338,2)</f>
        <v>0</v>
      </c>
      <c r="L2338" s="25">
        <v>1.09E-2</v>
      </c>
      <c r="M2338" s="25">
        <f>G2338*L2338</f>
        <v>4.36E-2</v>
      </c>
      <c r="N2338" s="102"/>
      <c r="X2338" s="25">
        <f>ROUND(IF(AO2338="5",BH2338,0),2)</f>
        <v>0</v>
      </c>
      <c r="Z2338" s="25">
        <f>ROUND(IF(AO2338="1",BF2338,0),2)</f>
        <v>0</v>
      </c>
      <c r="AA2338" s="25">
        <f>ROUND(IF(AO2338="1",BG2338,0),2)</f>
        <v>0</v>
      </c>
      <c r="AB2338" s="25">
        <f>ROUND(IF(AO2338="7",BF2338,0),2)</f>
        <v>0</v>
      </c>
      <c r="AC2338" s="25">
        <f>ROUND(IF(AO2338="7",BG2338,0),2)</f>
        <v>0</v>
      </c>
      <c r="AD2338" s="25">
        <f>ROUND(IF(AO2338="2",BF2338,0),2)</f>
        <v>0</v>
      </c>
      <c r="AE2338" s="25">
        <f>ROUND(IF(AO2338="2",BG2338,0),2)</f>
        <v>0</v>
      </c>
      <c r="AF2338" s="25">
        <f>ROUND(IF(AO2338="0",BH2338,0),2)</f>
        <v>0</v>
      </c>
      <c r="AG2338" s="10" t="s">
        <v>2657</v>
      </c>
      <c r="AH2338" s="25">
        <f>IF(AL2338=0,K2338,0)</f>
        <v>0</v>
      </c>
      <c r="AI2338" s="25">
        <f>IF(AL2338=12,K2338,0)</f>
        <v>0</v>
      </c>
      <c r="AJ2338" s="25">
        <f>IF(AL2338=21,K2338,0)</f>
        <v>0</v>
      </c>
      <c r="AL2338" s="25">
        <v>21</v>
      </c>
      <c r="AM2338" s="25">
        <f>H2338*1</f>
        <v>0</v>
      </c>
      <c r="AN2338" s="25">
        <f>H2338*(1-1)</f>
        <v>0</v>
      </c>
      <c r="AO2338" s="27" t="s">
        <v>61</v>
      </c>
      <c r="AT2338" s="25">
        <f>ROUND(AU2338+AV2338,2)</f>
        <v>0</v>
      </c>
      <c r="AU2338" s="25">
        <f>ROUND(G2338*AM2338,2)</f>
        <v>0</v>
      </c>
      <c r="AV2338" s="25">
        <f>ROUND(G2338*AN2338,2)</f>
        <v>0</v>
      </c>
      <c r="AW2338" s="27" t="s">
        <v>2847</v>
      </c>
      <c r="AX2338" s="27" t="s">
        <v>2735</v>
      </c>
      <c r="AY2338" s="10" t="s">
        <v>2661</v>
      </c>
      <c r="BA2338" s="25">
        <f>AU2338+AV2338</f>
        <v>0</v>
      </c>
      <c r="BB2338" s="25">
        <f>H2338/(100-BC2338)*100</f>
        <v>0</v>
      </c>
      <c r="BC2338" s="25">
        <v>0</v>
      </c>
      <c r="BD2338" s="25">
        <f>M2338</f>
        <v>4.36E-2</v>
      </c>
      <c r="BF2338" s="25">
        <f>G2338*AM2338</f>
        <v>0</v>
      </c>
      <c r="BG2338" s="25">
        <f>G2338*AN2338</f>
        <v>0</v>
      </c>
      <c r="BH2338" s="25">
        <f>G2338*H2338</f>
        <v>0</v>
      </c>
      <c r="BI2338" s="27" t="s">
        <v>65</v>
      </c>
      <c r="BJ2338" s="25">
        <v>735</v>
      </c>
      <c r="BU2338" s="25" t="e">
        <f>#REF!</f>
        <v>#REF!</v>
      </c>
      <c r="BV2338" s="4" t="s">
        <v>2871</v>
      </c>
    </row>
    <row r="2339" spans="1:74" ht="14.4" x14ac:dyDescent="0.3">
      <c r="A2339" s="28"/>
      <c r="D2339" s="29" t="s">
        <v>90</v>
      </c>
      <c r="E2339" s="29" t="s">
        <v>52</v>
      </c>
      <c r="G2339" s="30">
        <v>4</v>
      </c>
      <c r="H2339" s="63"/>
      <c r="N2339" s="31"/>
    </row>
    <row r="2340" spans="1:74" ht="14.4" x14ac:dyDescent="0.3">
      <c r="A2340" s="2" t="s">
        <v>921</v>
      </c>
      <c r="B2340" s="3" t="s">
        <v>2657</v>
      </c>
      <c r="C2340" s="3" t="s">
        <v>2872</v>
      </c>
      <c r="D2340" s="112" t="s">
        <v>2873</v>
      </c>
      <c r="E2340" s="109"/>
      <c r="F2340" s="3" t="s">
        <v>122</v>
      </c>
      <c r="G2340" s="25">
        <v>4</v>
      </c>
      <c r="H2340" s="62"/>
      <c r="I2340" s="25">
        <f>ROUND(G2340*AM2340,2)</f>
        <v>0</v>
      </c>
      <c r="J2340" s="25">
        <f>ROUND(G2340*AN2340,2)</f>
        <v>0</v>
      </c>
      <c r="K2340" s="25">
        <f>ROUND(G2340*H2340,2)</f>
        <v>0</v>
      </c>
      <c r="L2340" s="25">
        <v>1.3999999999999999E-4</v>
      </c>
      <c r="M2340" s="25">
        <f>G2340*L2340</f>
        <v>5.5999999999999995E-4</v>
      </c>
      <c r="N2340" s="26"/>
      <c r="X2340" s="25">
        <f>ROUND(IF(AO2340="5",BH2340,0),2)</f>
        <v>0</v>
      </c>
      <c r="Z2340" s="25">
        <f>ROUND(IF(AO2340="1",BF2340,0),2)</f>
        <v>0</v>
      </c>
      <c r="AA2340" s="25">
        <f>ROUND(IF(AO2340="1",BG2340,0),2)</f>
        <v>0</v>
      </c>
      <c r="AB2340" s="25">
        <f>ROUND(IF(AO2340="7",BF2340,0),2)</f>
        <v>0</v>
      </c>
      <c r="AC2340" s="25">
        <f>ROUND(IF(AO2340="7",BG2340,0),2)</f>
        <v>0</v>
      </c>
      <c r="AD2340" s="25">
        <f>ROUND(IF(AO2340="2",BF2340,0),2)</f>
        <v>0</v>
      </c>
      <c r="AE2340" s="25">
        <f>ROUND(IF(AO2340="2",BG2340,0),2)</f>
        <v>0</v>
      </c>
      <c r="AF2340" s="25">
        <f>ROUND(IF(AO2340="0",BH2340,0),2)</f>
        <v>0</v>
      </c>
      <c r="AG2340" s="10" t="s">
        <v>2657</v>
      </c>
      <c r="AH2340" s="25">
        <f>IF(AL2340=0,K2340,0)</f>
        <v>0</v>
      </c>
      <c r="AI2340" s="25">
        <f>IF(AL2340=12,K2340,0)</f>
        <v>0</v>
      </c>
      <c r="AJ2340" s="25">
        <f>IF(AL2340=21,K2340,0)</f>
        <v>0</v>
      </c>
      <c r="AL2340" s="25">
        <v>21</v>
      </c>
      <c r="AM2340" s="25">
        <f>H2340*0</f>
        <v>0</v>
      </c>
      <c r="AN2340" s="25">
        <f>H2340*(1-0)</f>
        <v>0</v>
      </c>
      <c r="AO2340" s="27" t="s">
        <v>61</v>
      </c>
      <c r="AT2340" s="25">
        <f>ROUND(AU2340+AV2340,2)</f>
        <v>0</v>
      </c>
      <c r="AU2340" s="25">
        <f>ROUND(G2340*AM2340,2)</f>
        <v>0</v>
      </c>
      <c r="AV2340" s="25">
        <f>ROUND(G2340*AN2340,2)</f>
        <v>0</v>
      </c>
      <c r="AW2340" s="27" t="s">
        <v>2847</v>
      </c>
      <c r="AX2340" s="27" t="s">
        <v>2735</v>
      </c>
      <c r="AY2340" s="10" t="s">
        <v>2661</v>
      </c>
      <c r="BA2340" s="25">
        <f>AU2340+AV2340</f>
        <v>0</v>
      </c>
      <c r="BB2340" s="25">
        <f>H2340/(100-BC2340)*100</f>
        <v>0</v>
      </c>
      <c r="BC2340" s="25">
        <v>0</v>
      </c>
      <c r="BD2340" s="25">
        <f>M2340</f>
        <v>5.5999999999999995E-4</v>
      </c>
      <c r="BF2340" s="25">
        <f>G2340*AM2340</f>
        <v>0</v>
      </c>
      <c r="BG2340" s="25">
        <f>G2340*AN2340</f>
        <v>0</v>
      </c>
      <c r="BH2340" s="25">
        <f>G2340*H2340</f>
        <v>0</v>
      </c>
      <c r="BI2340" s="27" t="s">
        <v>65</v>
      </c>
      <c r="BJ2340" s="25">
        <v>735</v>
      </c>
      <c r="BU2340" s="25" t="e">
        <f>#REF!</f>
        <v>#REF!</v>
      </c>
      <c r="BV2340" s="4" t="s">
        <v>2873</v>
      </c>
    </row>
    <row r="2341" spans="1:74" ht="14.4" x14ac:dyDescent="0.3">
      <c r="A2341" s="28"/>
      <c r="D2341" s="29" t="s">
        <v>90</v>
      </c>
      <c r="E2341" s="29" t="s">
        <v>52</v>
      </c>
      <c r="G2341" s="30">
        <v>4</v>
      </c>
      <c r="H2341" s="63"/>
      <c r="N2341" s="31"/>
    </row>
    <row r="2342" spans="1:74" ht="26.4" x14ac:dyDescent="0.3">
      <c r="A2342" s="2" t="s">
        <v>2874</v>
      </c>
      <c r="B2342" s="3" t="s">
        <v>2657</v>
      </c>
      <c r="C2342" s="3" t="s">
        <v>2405</v>
      </c>
      <c r="D2342" s="112" t="s">
        <v>2875</v>
      </c>
      <c r="E2342" s="109"/>
      <c r="F2342" s="3" t="s">
        <v>122</v>
      </c>
      <c r="G2342" s="25">
        <v>11</v>
      </c>
      <c r="H2342" s="62"/>
      <c r="I2342" s="25">
        <f>ROUND(G2342*AM2342,2)</f>
        <v>0</v>
      </c>
      <c r="J2342" s="25">
        <f>ROUND(G2342*AN2342,2)</f>
        <v>0</v>
      </c>
      <c r="K2342" s="25">
        <f>ROUND(G2342*H2342,2)</f>
        <v>0</v>
      </c>
      <c r="L2342" s="25">
        <v>1.9000000000000001E-4</v>
      </c>
      <c r="M2342" s="25">
        <f>G2342*L2342</f>
        <v>2.0900000000000003E-3</v>
      </c>
      <c r="N2342" s="102"/>
      <c r="X2342" s="25">
        <f>ROUND(IF(AO2342="5",BH2342,0),2)</f>
        <v>0</v>
      </c>
      <c r="Z2342" s="25">
        <f>ROUND(IF(AO2342="1",BF2342,0),2)</f>
        <v>0</v>
      </c>
      <c r="AA2342" s="25">
        <f>ROUND(IF(AO2342="1",BG2342,0),2)</f>
        <v>0</v>
      </c>
      <c r="AB2342" s="25">
        <f>ROUND(IF(AO2342="7",BF2342,0),2)</f>
        <v>0</v>
      </c>
      <c r="AC2342" s="25">
        <f>ROUND(IF(AO2342="7",BG2342,0),2)</f>
        <v>0</v>
      </c>
      <c r="AD2342" s="25">
        <f>ROUND(IF(AO2342="2",BF2342,0),2)</f>
        <v>0</v>
      </c>
      <c r="AE2342" s="25">
        <f>ROUND(IF(AO2342="2",BG2342,0),2)</f>
        <v>0</v>
      </c>
      <c r="AF2342" s="25">
        <f>ROUND(IF(AO2342="0",BH2342,0),2)</f>
        <v>0</v>
      </c>
      <c r="AG2342" s="10" t="s">
        <v>2657</v>
      </c>
      <c r="AH2342" s="25">
        <f>IF(AL2342=0,K2342,0)</f>
        <v>0</v>
      </c>
      <c r="AI2342" s="25">
        <f>IF(AL2342=12,K2342,0)</f>
        <v>0</v>
      </c>
      <c r="AJ2342" s="25">
        <f>IF(AL2342=21,K2342,0)</f>
        <v>0</v>
      </c>
      <c r="AL2342" s="25">
        <v>21</v>
      </c>
      <c r="AM2342" s="25">
        <f>H2342*0.840915698</f>
        <v>0</v>
      </c>
      <c r="AN2342" s="25">
        <f>H2342*(1-0.840915698)</f>
        <v>0</v>
      </c>
      <c r="AO2342" s="27" t="s">
        <v>61</v>
      </c>
      <c r="AT2342" s="25">
        <f>ROUND(AU2342+AV2342,2)</f>
        <v>0</v>
      </c>
      <c r="AU2342" s="25">
        <f>ROUND(G2342*AM2342,2)</f>
        <v>0</v>
      </c>
      <c r="AV2342" s="25">
        <f>ROUND(G2342*AN2342,2)</f>
        <v>0</v>
      </c>
      <c r="AW2342" s="27" t="s">
        <v>2847</v>
      </c>
      <c r="AX2342" s="27" t="s">
        <v>2735</v>
      </c>
      <c r="AY2342" s="10" t="s">
        <v>2661</v>
      </c>
      <c r="BA2342" s="25">
        <f>AU2342+AV2342</f>
        <v>0</v>
      </c>
      <c r="BB2342" s="25">
        <f>H2342/(100-BC2342)*100</f>
        <v>0</v>
      </c>
      <c r="BC2342" s="25">
        <v>0</v>
      </c>
      <c r="BD2342" s="25">
        <f>M2342</f>
        <v>2.0900000000000003E-3</v>
      </c>
      <c r="BF2342" s="25">
        <f>G2342*AM2342</f>
        <v>0</v>
      </c>
      <c r="BG2342" s="25">
        <f>G2342*AN2342</f>
        <v>0</v>
      </c>
      <c r="BH2342" s="25">
        <f>G2342*H2342</f>
        <v>0</v>
      </c>
      <c r="BI2342" s="27" t="s">
        <v>65</v>
      </c>
      <c r="BJ2342" s="25">
        <v>735</v>
      </c>
      <c r="BU2342" s="25" t="e">
        <f>#REF!</f>
        <v>#REF!</v>
      </c>
      <c r="BV2342" s="4" t="s">
        <v>2875</v>
      </c>
    </row>
    <row r="2343" spans="1:74" ht="14.4" x14ac:dyDescent="0.3">
      <c r="A2343" s="28"/>
      <c r="D2343" s="29" t="s">
        <v>140</v>
      </c>
      <c r="E2343" s="29" t="s">
        <v>52</v>
      </c>
      <c r="G2343" s="30">
        <v>11</v>
      </c>
      <c r="H2343" s="63"/>
      <c r="N2343" s="31"/>
    </row>
    <row r="2344" spans="1:74" ht="26.4" x14ac:dyDescent="0.3">
      <c r="A2344" s="2" t="s">
        <v>2876</v>
      </c>
      <c r="B2344" s="3" t="s">
        <v>2657</v>
      </c>
      <c r="C2344" s="3" t="s">
        <v>2193</v>
      </c>
      <c r="D2344" s="112" t="s">
        <v>2877</v>
      </c>
      <c r="E2344" s="109"/>
      <c r="F2344" s="3" t="s">
        <v>122</v>
      </c>
      <c r="G2344" s="25">
        <v>11</v>
      </c>
      <c r="H2344" s="62"/>
      <c r="I2344" s="25">
        <f>ROUND(G2344*AM2344,2)</f>
        <v>0</v>
      </c>
      <c r="J2344" s="25">
        <f>ROUND(G2344*AN2344,2)</f>
        <v>0</v>
      </c>
      <c r="K2344" s="25">
        <f>ROUND(G2344*H2344,2)</f>
        <v>0</v>
      </c>
      <c r="L2344" s="25">
        <v>1.1999999999999999E-3</v>
      </c>
      <c r="M2344" s="25">
        <f>G2344*L2344</f>
        <v>1.3199999999999998E-2</v>
      </c>
      <c r="N2344" s="102"/>
      <c r="X2344" s="25">
        <f>ROUND(IF(AO2344="5",BH2344,0),2)</f>
        <v>0</v>
      </c>
      <c r="Z2344" s="25">
        <f>ROUND(IF(AO2344="1",BF2344,0),2)</f>
        <v>0</v>
      </c>
      <c r="AA2344" s="25">
        <f>ROUND(IF(AO2344="1",BG2344,0),2)</f>
        <v>0</v>
      </c>
      <c r="AB2344" s="25">
        <f>ROUND(IF(AO2344="7",BF2344,0),2)</f>
        <v>0</v>
      </c>
      <c r="AC2344" s="25">
        <f>ROUND(IF(AO2344="7",BG2344,0),2)</f>
        <v>0</v>
      </c>
      <c r="AD2344" s="25">
        <f>ROUND(IF(AO2344="2",BF2344,0),2)</f>
        <v>0</v>
      </c>
      <c r="AE2344" s="25">
        <f>ROUND(IF(AO2344="2",BG2344,0),2)</f>
        <v>0</v>
      </c>
      <c r="AF2344" s="25">
        <f>ROUND(IF(AO2344="0",BH2344,0),2)</f>
        <v>0</v>
      </c>
      <c r="AG2344" s="10" t="s">
        <v>2657</v>
      </c>
      <c r="AH2344" s="25">
        <f>IF(AL2344=0,K2344,0)</f>
        <v>0</v>
      </c>
      <c r="AI2344" s="25">
        <f>IF(AL2344=12,K2344,0)</f>
        <v>0</v>
      </c>
      <c r="AJ2344" s="25">
        <f>IF(AL2344=21,K2344,0)</f>
        <v>0</v>
      </c>
      <c r="AL2344" s="25">
        <v>21</v>
      </c>
      <c r="AM2344" s="25">
        <f>H2344*0.818927973</f>
        <v>0</v>
      </c>
      <c r="AN2344" s="25">
        <f>H2344*(1-0.818927973)</f>
        <v>0</v>
      </c>
      <c r="AO2344" s="27" t="s">
        <v>61</v>
      </c>
      <c r="AT2344" s="25">
        <f>ROUND(AU2344+AV2344,2)</f>
        <v>0</v>
      </c>
      <c r="AU2344" s="25">
        <f>ROUND(G2344*AM2344,2)</f>
        <v>0</v>
      </c>
      <c r="AV2344" s="25">
        <f>ROUND(G2344*AN2344,2)</f>
        <v>0</v>
      </c>
      <c r="AW2344" s="27" t="s">
        <v>2847</v>
      </c>
      <c r="AX2344" s="27" t="s">
        <v>2735</v>
      </c>
      <c r="AY2344" s="10" t="s">
        <v>2661</v>
      </c>
      <c r="BA2344" s="25">
        <f>AU2344+AV2344</f>
        <v>0</v>
      </c>
      <c r="BB2344" s="25">
        <f>H2344/(100-BC2344)*100</f>
        <v>0</v>
      </c>
      <c r="BC2344" s="25">
        <v>0</v>
      </c>
      <c r="BD2344" s="25">
        <f>M2344</f>
        <v>1.3199999999999998E-2</v>
      </c>
      <c r="BF2344" s="25">
        <f>G2344*AM2344</f>
        <v>0</v>
      </c>
      <c r="BG2344" s="25">
        <f>G2344*AN2344</f>
        <v>0</v>
      </c>
      <c r="BH2344" s="25">
        <f>G2344*H2344</f>
        <v>0</v>
      </c>
      <c r="BI2344" s="27" t="s">
        <v>65</v>
      </c>
      <c r="BJ2344" s="25">
        <v>735</v>
      </c>
      <c r="BU2344" s="25" t="e">
        <f>#REF!</f>
        <v>#REF!</v>
      </c>
      <c r="BV2344" s="4" t="s">
        <v>2877</v>
      </c>
    </row>
    <row r="2345" spans="1:74" ht="14.4" x14ac:dyDescent="0.3">
      <c r="A2345" s="2" t="s">
        <v>2878</v>
      </c>
      <c r="B2345" s="3" t="s">
        <v>2657</v>
      </c>
      <c r="C2345" s="3" t="s">
        <v>2879</v>
      </c>
      <c r="D2345" s="112" t="s">
        <v>2880</v>
      </c>
      <c r="E2345" s="109"/>
      <c r="F2345" s="3" t="s">
        <v>122</v>
      </c>
      <c r="G2345" s="25">
        <v>11</v>
      </c>
      <c r="H2345" s="62"/>
      <c r="I2345" s="25">
        <f>ROUND(G2345*AM2345,2)</f>
        <v>0</v>
      </c>
      <c r="J2345" s="25">
        <f>ROUND(G2345*AN2345,2)</f>
        <v>0</v>
      </c>
      <c r="K2345" s="25">
        <f>ROUND(G2345*H2345,2)</f>
        <v>0</v>
      </c>
      <c r="L2345" s="25">
        <v>1.3999999999999999E-4</v>
      </c>
      <c r="M2345" s="25">
        <f>G2345*L2345</f>
        <v>1.5399999999999999E-3</v>
      </c>
      <c r="N2345" s="26"/>
      <c r="X2345" s="25">
        <f>ROUND(IF(AO2345="5",BH2345,0),2)</f>
        <v>0</v>
      </c>
      <c r="Z2345" s="25">
        <f>ROUND(IF(AO2345="1",BF2345,0),2)</f>
        <v>0</v>
      </c>
      <c r="AA2345" s="25">
        <f>ROUND(IF(AO2345="1",BG2345,0),2)</f>
        <v>0</v>
      </c>
      <c r="AB2345" s="25">
        <f>ROUND(IF(AO2345="7",BF2345,0),2)</f>
        <v>0</v>
      </c>
      <c r="AC2345" s="25">
        <f>ROUND(IF(AO2345="7",BG2345,0),2)</f>
        <v>0</v>
      </c>
      <c r="AD2345" s="25">
        <f>ROUND(IF(AO2345="2",BF2345,0),2)</f>
        <v>0</v>
      </c>
      <c r="AE2345" s="25">
        <f>ROUND(IF(AO2345="2",BG2345,0),2)</f>
        <v>0</v>
      </c>
      <c r="AF2345" s="25">
        <f>ROUND(IF(AO2345="0",BH2345,0),2)</f>
        <v>0</v>
      </c>
      <c r="AG2345" s="10" t="s">
        <v>2657</v>
      </c>
      <c r="AH2345" s="25">
        <f>IF(AL2345=0,K2345,0)</f>
        <v>0</v>
      </c>
      <c r="AI2345" s="25">
        <f>IF(AL2345=12,K2345,0)</f>
        <v>0</v>
      </c>
      <c r="AJ2345" s="25">
        <f>IF(AL2345=21,K2345,0)</f>
        <v>0</v>
      </c>
      <c r="AL2345" s="25">
        <v>21</v>
      </c>
      <c r="AM2345" s="25">
        <f>H2345*1</f>
        <v>0</v>
      </c>
      <c r="AN2345" s="25">
        <f>H2345*(1-1)</f>
        <v>0</v>
      </c>
      <c r="AO2345" s="27" t="s">
        <v>61</v>
      </c>
      <c r="AT2345" s="25">
        <f>ROUND(AU2345+AV2345,2)</f>
        <v>0</v>
      </c>
      <c r="AU2345" s="25">
        <f>ROUND(G2345*AM2345,2)</f>
        <v>0</v>
      </c>
      <c r="AV2345" s="25">
        <f>ROUND(G2345*AN2345,2)</f>
        <v>0</v>
      </c>
      <c r="AW2345" s="27" t="s">
        <v>2847</v>
      </c>
      <c r="AX2345" s="27" t="s">
        <v>2735</v>
      </c>
      <c r="AY2345" s="10" t="s">
        <v>2661</v>
      </c>
      <c r="BA2345" s="25">
        <f>AU2345+AV2345</f>
        <v>0</v>
      </c>
      <c r="BB2345" s="25">
        <f>H2345/(100-BC2345)*100</f>
        <v>0</v>
      </c>
      <c r="BC2345" s="25">
        <v>0</v>
      </c>
      <c r="BD2345" s="25">
        <f>M2345</f>
        <v>1.5399999999999999E-3</v>
      </c>
      <c r="BF2345" s="25">
        <f>G2345*AM2345</f>
        <v>0</v>
      </c>
      <c r="BG2345" s="25">
        <f>G2345*AN2345</f>
        <v>0</v>
      </c>
      <c r="BH2345" s="25">
        <f>G2345*H2345</f>
        <v>0</v>
      </c>
      <c r="BI2345" s="27" t="s">
        <v>65</v>
      </c>
      <c r="BJ2345" s="25">
        <v>735</v>
      </c>
      <c r="BU2345" s="25" t="e">
        <f>#REF!</f>
        <v>#REF!</v>
      </c>
      <c r="BV2345" s="4" t="s">
        <v>2880</v>
      </c>
    </row>
    <row r="2346" spans="1:74" ht="14.4" x14ac:dyDescent="0.3">
      <c r="A2346" s="28"/>
      <c r="D2346" s="29" t="s">
        <v>140</v>
      </c>
      <c r="E2346" s="29" t="s">
        <v>52</v>
      </c>
      <c r="G2346" s="30">
        <v>11</v>
      </c>
      <c r="H2346" s="63"/>
      <c r="N2346" s="31"/>
    </row>
    <row r="2347" spans="1:74" ht="14.4" x14ac:dyDescent="0.3">
      <c r="A2347" s="2" t="s">
        <v>932</v>
      </c>
      <c r="B2347" s="3" t="s">
        <v>2657</v>
      </c>
      <c r="C2347" s="3" t="s">
        <v>2175</v>
      </c>
      <c r="D2347" s="112" t="s">
        <v>2881</v>
      </c>
      <c r="E2347" s="109"/>
      <c r="F2347" s="3" t="s">
        <v>122</v>
      </c>
      <c r="G2347" s="25">
        <v>22</v>
      </c>
      <c r="H2347" s="62"/>
      <c r="I2347" s="25">
        <f>ROUND(G2347*AM2347,2)</f>
        <v>0</v>
      </c>
      <c r="J2347" s="25">
        <f>ROUND(G2347*AN2347,2)</f>
        <v>0</v>
      </c>
      <c r="K2347" s="25">
        <f>ROUND(G2347*H2347,2)</f>
        <v>0</v>
      </c>
      <c r="L2347" s="25">
        <v>1.1999999999999999E-3</v>
      </c>
      <c r="M2347" s="25">
        <f>G2347*L2347</f>
        <v>2.6399999999999996E-2</v>
      </c>
      <c r="N2347" s="102"/>
      <c r="X2347" s="25">
        <f>ROUND(IF(AO2347="5",BH2347,0),2)</f>
        <v>0</v>
      </c>
      <c r="Z2347" s="25">
        <f>ROUND(IF(AO2347="1",BF2347,0),2)</f>
        <v>0</v>
      </c>
      <c r="AA2347" s="25">
        <f>ROUND(IF(AO2347="1",BG2347,0),2)</f>
        <v>0</v>
      </c>
      <c r="AB2347" s="25">
        <f>ROUND(IF(AO2347="7",BF2347,0),2)</f>
        <v>0</v>
      </c>
      <c r="AC2347" s="25">
        <f>ROUND(IF(AO2347="7",BG2347,0),2)</f>
        <v>0</v>
      </c>
      <c r="AD2347" s="25">
        <f>ROUND(IF(AO2347="2",BF2347,0),2)</f>
        <v>0</v>
      </c>
      <c r="AE2347" s="25">
        <f>ROUND(IF(AO2347="2",BG2347,0),2)</f>
        <v>0</v>
      </c>
      <c r="AF2347" s="25">
        <f>ROUND(IF(AO2347="0",BH2347,0),2)</f>
        <v>0</v>
      </c>
      <c r="AG2347" s="10" t="s">
        <v>2657</v>
      </c>
      <c r="AH2347" s="25">
        <f>IF(AL2347=0,K2347,0)</f>
        <v>0</v>
      </c>
      <c r="AI2347" s="25">
        <f>IF(AL2347=12,K2347,0)</f>
        <v>0</v>
      </c>
      <c r="AJ2347" s="25">
        <f>IF(AL2347=21,K2347,0)</f>
        <v>0</v>
      </c>
      <c r="AL2347" s="25">
        <v>21</v>
      </c>
      <c r="AM2347" s="25">
        <f>H2347*1</f>
        <v>0</v>
      </c>
      <c r="AN2347" s="25">
        <f>H2347*(1-1)</f>
        <v>0</v>
      </c>
      <c r="AO2347" s="27" t="s">
        <v>61</v>
      </c>
      <c r="AT2347" s="25">
        <f>ROUND(AU2347+AV2347,2)</f>
        <v>0</v>
      </c>
      <c r="AU2347" s="25">
        <f>ROUND(G2347*AM2347,2)</f>
        <v>0</v>
      </c>
      <c r="AV2347" s="25">
        <f>ROUND(G2347*AN2347,2)</f>
        <v>0</v>
      </c>
      <c r="AW2347" s="27" t="s">
        <v>2847</v>
      </c>
      <c r="AX2347" s="27" t="s">
        <v>2735</v>
      </c>
      <c r="AY2347" s="10" t="s">
        <v>2661</v>
      </c>
      <c r="BA2347" s="25">
        <f>AU2347+AV2347</f>
        <v>0</v>
      </c>
      <c r="BB2347" s="25">
        <f>H2347/(100-BC2347)*100</f>
        <v>0</v>
      </c>
      <c r="BC2347" s="25">
        <v>0</v>
      </c>
      <c r="BD2347" s="25">
        <f>M2347</f>
        <v>2.6399999999999996E-2</v>
      </c>
      <c r="BF2347" s="25">
        <f>G2347*AM2347</f>
        <v>0</v>
      </c>
      <c r="BG2347" s="25">
        <f>G2347*AN2347</f>
        <v>0</v>
      </c>
      <c r="BH2347" s="25">
        <f>G2347*H2347</f>
        <v>0</v>
      </c>
      <c r="BI2347" s="27" t="s">
        <v>65</v>
      </c>
      <c r="BJ2347" s="25">
        <v>735</v>
      </c>
      <c r="BU2347" s="25" t="e">
        <f>#REF!</f>
        <v>#REF!</v>
      </c>
      <c r="BV2347" s="4" t="s">
        <v>2881</v>
      </c>
    </row>
    <row r="2348" spans="1:74" ht="14.4" x14ac:dyDescent="0.3">
      <c r="A2348" s="28"/>
      <c r="D2348" s="29" t="s">
        <v>219</v>
      </c>
      <c r="E2348" s="29" t="s">
        <v>52</v>
      </c>
      <c r="G2348" s="30">
        <v>22</v>
      </c>
      <c r="H2348" s="63"/>
      <c r="N2348" s="31"/>
    </row>
    <row r="2349" spans="1:74" ht="14.4" x14ac:dyDescent="0.3">
      <c r="A2349" s="2" t="s">
        <v>2882</v>
      </c>
      <c r="B2349" s="3" t="s">
        <v>2657</v>
      </c>
      <c r="C2349" s="3" t="s">
        <v>2883</v>
      </c>
      <c r="D2349" s="112" t="s">
        <v>2884</v>
      </c>
      <c r="E2349" s="109"/>
      <c r="F2349" s="3" t="s">
        <v>122</v>
      </c>
      <c r="G2349" s="25">
        <v>44</v>
      </c>
      <c r="H2349" s="62"/>
      <c r="I2349" s="25">
        <f>ROUND(G2349*AM2349,2)</f>
        <v>0</v>
      </c>
      <c r="J2349" s="25">
        <f>ROUND(G2349*AN2349,2)</f>
        <v>0</v>
      </c>
      <c r="K2349" s="25">
        <f>ROUND(G2349*H2349,2)</f>
        <v>0</v>
      </c>
      <c r="L2349" s="25">
        <v>0</v>
      </c>
      <c r="M2349" s="25">
        <f>G2349*L2349</f>
        <v>0</v>
      </c>
      <c r="N2349" s="26"/>
      <c r="X2349" s="25">
        <f>ROUND(IF(AO2349="5",BH2349,0),2)</f>
        <v>0</v>
      </c>
      <c r="Z2349" s="25">
        <f>ROUND(IF(AO2349="1",BF2349,0),2)</f>
        <v>0</v>
      </c>
      <c r="AA2349" s="25">
        <f>ROUND(IF(AO2349="1",BG2349,0),2)</f>
        <v>0</v>
      </c>
      <c r="AB2349" s="25">
        <f>ROUND(IF(AO2349="7",BF2349,0),2)</f>
        <v>0</v>
      </c>
      <c r="AC2349" s="25">
        <f>ROUND(IF(AO2349="7",BG2349,0),2)</f>
        <v>0</v>
      </c>
      <c r="AD2349" s="25">
        <f>ROUND(IF(AO2349="2",BF2349,0),2)</f>
        <v>0</v>
      </c>
      <c r="AE2349" s="25">
        <f>ROUND(IF(AO2349="2",BG2349,0),2)</f>
        <v>0</v>
      </c>
      <c r="AF2349" s="25">
        <f>ROUND(IF(AO2349="0",BH2349,0),2)</f>
        <v>0</v>
      </c>
      <c r="AG2349" s="10" t="s">
        <v>2657</v>
      </c>
      <c r="AH2349" s="25">
        <f>IF(AL2349=0,K2349,0)</f>
        <v>0</v>
      </c>
      <c r="AI2349" s="25">
        <f>IF(AL2349=12,K2349,0)</f>
        <v>0</v>
      </c>
      <c r="AJ2349" s="25">
        <f>IF(AL2349=21,K2349,0)</f>
        <v>0</v>
      </c>
      <c r="AL2349" s="25">
        <v>21</v>
      </c>
      <c r="AM2349" s="25">
        <f>H2349*0</f>
        <v>0</v>
      </c>
      <c r="AN2349" s="25">
        <f>H2349*(1-0)</f>
        <v>0</v>
      </c>
      <c r="AO2349" s="27" t="s">
        <v>61</v>
      </c>
      <c r="AT2349" s="25">
        <f>ROUND(AU2349+AV2349,2)</f>
        <v>0</v>
      </c>
      <c r="AU2349" s="25">
        <f>ROUND(G2349*AM2349,2)</f>
        <v>0</v>
      </c>
      <c r="AV2349" s="25">
        <f>ROUND(G2349*AN2349,2)</f>
        <v>0</v>
      </c>
      <c r="AW2349" s="27" t="s">
        <v>2847</v>
      </c>
      <c r="AX2349" s="27" t="s">
        <v>2735</v>
      </c>
      <c r="AY2349" s="10" t="s">
        <v>2661</v>
      </c>
      <c r="BA2349" s="25">
        <f>AU2349+AV2349</f>
        <v>0</v>
      </c>
      <c r="BB2349" s="25">
        <f>H2349/(100-BC2349)*100</f>
        <v>0</v>
      </c>
      <c r="BC2349" s="25">
        <v>0</v>
      </c>
      <c r="BD2349" s="25">
        <f>M2349</f>
        <v>0</v>
      </c>
      <c r="BF2349" s="25">
        <f>G2349*AM2349</f>
        <v>0</v>
      </c>
      <c r="BG2349" s="25">
        <f>G2349*AN2349</f>
        <v>0</v>
      </c>
      <c r="BH2349" s="25">
        <f>G2349*H2349</f>
        <v>0</v>
      </c>
      <c r="BI2349" s="27" t="s">
        <v>65</v>
      </c>
      <c r="BJ2349" s="25">
        <v>735</v>
      </c>
      <c r="BU2349" s="25" t="e">
        <f>#REF!</f>
        <v>#REF!</v>
      </c>
      <c r="BV2349" s="4" t="s">
        <v>2884</v>
      </c>
    </row>
    <row r="2350" spans="1:74" ht="14.4" x14ac:dyDescent="0.3">
      <c r="A2350" s="28"/>
      <c r="D2350" s="29" t="s">
        <v>338</v>
      </c>
      <c r="E2350" s="29" t="s">
        <v>52</v>
      </c>
      <c r="G2350" s="30">
        <v>44</v>
      </c>
      <c r="H2350" s="63"/>
      <c r="N2350" s="31"/>
    </row>
    <row r="2351" spans="1:74" ht="14.4" x14ac:dyDescent="0.3">
      <c r="A2351" s="21" t="s">
        <v>52</v>
      </c>
      <c r="B2351" s="22" t="s">
        <v>2657</v>
      </c>
      <c r="C2351" s="22" t="s">
        <v>555</v>
      </c>
      <c r="D2351" s="170" t="s">
        <v>1675</v>
      </c>
      <c r="E2351" s="171"/>
      <c r="F2351" s="23" t="s">
        <v>32</v>
      </c>
      <c r="G2351" s="23" t="s">
        <v>32</v>
      </c>
      <c r="H2351" s="64"/>
      <c r="I2351" s="1">
        <f>SUM(I2352:I2354)</f>
        <v>0</v>
      </c>
      <c r="J2351" s="1">
        <f>SUM(J2352:J2354)</f>
        <v>0</v>
      </c>
      <c r="K2351" s="1">
        <f>SUM(K2352:K2354)</f>
        <v>0</v>
      </c>
      <c r="L2351" s="10" t="s">
        <v>52</v>
      </c>
      <c r="M2351" s="1">
        <f>SUM(M2352:M2354)</f>
        <v>0</v>
      </c>
      <c r="N2351" s="24"/>
      <c r="AG2351" s="10" t="s">
        <v>2657</v>
      </c>
      <c r="AQ2351" s="1">
        <f>SUM(AH2352:AH2354)</f>
        <v>0</v>
      </c>
      <c r="AR2351" s="1">
        <f>SUM(AI2352:AI2354)</f>
        <v>0</v>
      </c>
      <c r="AS2351" s="1">
        <f>SUM(AJ2352:AJ2354)</f>
        <v>0</v>
      </c>
    </row>
    <row r="2352" spans="1:74" ht="14.4" x14ac:dyDescent="0.3">
      <c r="A2352" s="2" t="s">
        <v>2885</v>
      </c>
      <c r="B2352" s="3" t="s">
        <v>2657</v>
      </c>
      <c r="C2352" s="3" t="s">
        <v>1682</v>
      </c>
      <c r="D2352" s="112" t="s">
        <v>2886</v>
      </c>
      <c r="E2352" s="109"/>
      <c r="F2352" s="3" t="s">
        <v>100</v>
      </c>
      <c r="G2352" s="25">
        <v>16</v>
      </c>
      <c r="H2352" s="62"/>
      <c r="I2352" s="25">
        <f>ROUND(G2352*AM2352,2)</f>
        <v>0</v>
      </c>
      <c r="J2352" s="25">
        <f>ROUND(G2352*AN2352,2)</f>
        <v>0</v>
      </c>
      <c r="K2352" s="25">
        <f>ROUND(G2352*H2352,2)</f>
        <v>0</v>
      </c>
      <c r="L2352" s="25">
        <v>0</v>
      </c>
      <c r="M2352" s="25">
        <f>G2352*L2352</f>
        <v>0</v>
      </c>
      <c r="N2352" s="26"/>
      <c r="X2352" s="25">
        <f>ROUND(IF(AO2352="5",BH2352,0),2)</f>
        <v>0</v>
      </c>
      <c r="Z2352" s="25">
        <f>ROUND(IF(AO2352="1",BF2352,0),2)</f>
        <v>0</v>
      </c>
      <c r="AA2352" s="25">
        <f>ROUND(IF(AO2352="1",BG2352,0),2)</f>
        <v>0</v>
      </c>
      <c r="AB2352" s="25">
        <f>ROUND(IF(AO2352="7",BF2352,0),2)</f>
        <v>0</v>
      </c>
      <c r="AC2352" s="25">
        <f>ROUND(IF(AO2352="7",BG2352,0),2)</f>
        <v>0</v>
      </c>
      <c r="AD2352" s="25">
        <f>ROUND(IF(AO2352="2",BF2352,0),2)</f>
        <v>0</v>
      </c>
      <c r="AE2352" s="25">
        <f>ROUND(IF(AO2352="2",BG2352,0),2)</f>
        <v>0</v>
      </c>
      <c r="AF2352" s="25">
        <f>ROUND(IF(AO2352="0",BH2352,0),2)</f>
        <v>0</v>
      </c>
      <c r="AG2352" s="10" t="s">
        <v>2657</v>
      </c>
      <c r="AH2352" s="25">
        <f>IF(AL2352=0,K2352,0)</f>
        <v>0</v>
      </c>
      <c r="AI2352" s="25">
        <f>IF(AL2352=12,K2352,0)</f>
        <v>0</v>
      </c>
      <c r="AJ2352" s="25">
        <f>IF(AL2352=21,K2352,0)</f>
        <v>0</v>
      </c>
      <c r="AL2352" s="25">
        <v>21</v>
      </c>
      <c r="AM2352" s="25">
        <f>H2352*0</f>
        <v>0</v>
      </c>
      <c r="AN2352" s="25">
        <f>H2352*(1-0)</f>
        <v>0</v>
      </c>
      <c r="AO2352" s="27" t="s">
        <v>57</v>
      </c>
      <c r="AT2352" s="25">
        <f>ROUND(AU2352+AV2352,2)</f>
        <v>0</v>
      </c>
      <c r="AU2352" s="25">
        <f>ROUND(G2352*AM2352,2)</f>
        <v>0</v>
      </c>
      <c r="AV2352" s="25">
        <f>ROUND(G2352*AN2352,2)</f>
        <v>0</v>
      </c>
      <c r="AW2352" s="27" t="s">
        <v>1679</v>
      </c>
      <c r="AX2352" s="27" t="s">
        <v>2887</v>
      </c>
      <c r="AY2352" s="10" t="s">
        <v>2661</v>
      </c>
      <c r="BA2352" s="25">
        <f>AU2352+AV2352</f>
        <v>0</v>
      </c>
      <c r="BB2352" s="25">
        <f>H2352/(100-BC2352)*100</f>
        <v>0</v>
      </c>
      <c r="BC2352" s="25">
        <v>0</v>
      </c>
      <c r="BD2352" s="25">
        <f>M2352</f>
        <v>0</v>
      </c>
      <c r="BF2352" s="25">
        <f>G2352*AM2352</f>
        <v>0</v>
      </c>
      <c r="BG2352" s="25">
        <f>G2352*AN2352</f>
        <v>0</v>
      </c>
      <c r="BH2352" s="25">
        <f>G2352*H2352</f>
        <v>0</v>
      </c>
      <c r="BI2352" s="27" t="s">
        <v>65</v>
      </c>
      <c r="BJ2352" s="25">
        <v>90</v>
      </c>
      <c r="BU2352" s="25" t="e">
        <f>#REF!</f>
        <v>#REF!</v>
      </c>
      <c r="BV2352" s="4" t="s">
        <v>2886</v>
      </c>
    </row>
    <row r="2353" spans="1:74" ht="14.4" x14ac:dyDescent="0.3">
      <c r="A2353" s="28"/>
      <c r="D2353" s="29" t="s">
        <v>1907</v>
      </c>
      <c r="E2353" s="29" t="s">
        <v>52</v>
      </c>
      <c r="G2353" s="30">
        <v>16</v>
      </c>
      <c r="H2353" s="63"/>
      <c r="N2353" s="31"/>
    </row>
    <row r="2354" spans="1:74" ht="26.4" x14ac:dyDescent="0.3">
      <c r="A2354" s="2" t="s">
        <v>2888</v>
      </c>
      <c r="B2354" s="3" t="s">
        <v>2657</v>
      </c>
      <c r="C2354" s="3" t="s">
        <v>2310</v>
      </c>
      <c r="D2354" s="112" t="s">
        <v>2311</v>
      </c>
      <c r="E2354" s="109"/>
      <c r="F2354" s="3" t="s">
        <v>100</v>
      </c>
      <c r="G2354" s="25">
        <v>16</v>
      </c>
      <c r="H2354" s="62"/>
      <c r="I2354" s="25">
        <f>ROUND(G2354*AM2354,2)</f>
        <v>0</v>
      </c>
      <c r="J2354" s="25">
        <f>ROUND(G2354*AN2354,2)</f>
        <v>0</v>
      </c>
      <c r="K2354" s="25">
        <f>ROUND(G2354*H2354,2)</f>
        <v>0</v>
      </c>
      <c r="L2354" s="25">
        <v>0</v>
      </c>
      <c r="M2354" s="25">
        <f>G2354*L2354</f>
        <v>0</v>
      </c>
      <c r="N2354" s="26"/>
      <c r="X2354" s="25">
        <f>ROUND(IF(AO2354="5",BH2354,0),2)</f>
        <v>0</v>
      </c>
      <c r="Z2354" s="25">
        <f>ROUND(IF(AO2354="1",BF2354,0),2)</f>
        <v>0</v>
      </c>
      <c r="AA2354" s="25">
        <f>ROUND(IF(AO2354="1",BG2354,0),2)</f>
        <v>0</v>
      </c>
      <c r="AB2354" s="25">
        <f>ROUND(IF(AO2354="7",BF2354,0),2)</f>
        <v>0</v>
      </c>
      <c r="AC2354" s="25">
        <f>ROUND(IF(AO2354="7",BG2354,0),2)</f>
        <v>0</v>
      </c>
      <c r="AD2354" s="25">
        <f>ROUND(IF(AO2354="2",BF2354,0),2)</f>
        <v>0</v>
      </c>
      <c r="AE2354" s="25">
        <f>ROUND(IF(AO2354="2",BG2354,0),2)</f>
        <v>0</v>
      </c>
      <c r="AF2354" s="25">
        <f>ROUND(IF(AO2354="0",BH2354,0),2)</f>
        <v>0</v>
      </c>
      <c r="AG2354" s="10" t="s">
        <v>2657</v>
      </c>
      <c r="AH2354" s="25">
        <f>IF(AL2354=0,K2354,0)</f>
        <v>0</v>
      </c>
      <c r="AI2354" s="25">
        <f>IF(AL2354=12,K2354,0)</f>
        <v>0</v>
      </c>
      <c r="AJ2354" s="25">
        <f>IF(AL2354=21,K2354,0)</f>
        <v>0</v>
      </c>
      <c r="AL2354" s="25">
        <v>21</v>
      </c>
      <c r="AM2354" s="25">
        <f>H2354*0</f>
        <v>0</v>
      </c>
      <c r="AN2354" s="25">
        <f>H2354*(1-0)</f>
        <v>0</v>
      </c>
      <c r="AO2354" s="27" t="s">
        <v>57</v>
      </c>
      <c r="AT2354" s="25">
        <f>ROUND(AU2354+AV2354,2)</f>
        <v>0</v>
      </c>
      <c r="AU2354" s="25">
        <f>ROUND(G2354*AM2354,2)</f>
        <v>0</v>
      </c>
      <c r="AV2354" s="25">
        <f>ROUND(G2354*AN2354,2)</f>
        <v>0</v>
      </c>
      <c r="AW2354" s="27" t="s">
        <v>1679</v>
      </c>
      <c r="AX2354" s="27" t="s">
        <v>2887</v>
      </c>
      <c r="AY2354" s="10" t="s">
        <v>2661</v>
      </c>
      <c r="BA2354" s="25">
        <f>AU2354+AV2354</f>
        <v>0</v>
      </c>
      <c r="BB2354" s="25">
        <f>H2354/(100-BC2354)*100</f>
        <v>0</v>
      </c>
      <c r="BC2354" s="25">
        <v>0</v>
      </c>
      <c r="BD2354" s="25">
        <f>M2354</f>
        <v>0</v>
      </c>
      <c r="BF2354" s="25">
        <f>G2354*AM2354</f>
        <v>0</v>
      </c>
      <c r="BG2354" s="25">
        <f>G2354*AN2354</f>
        <v>0</v>
      </c>
      <c r="BH2354" s="25">
        <f>G2354*H2354</f>
        <v>0</v>
      </c>
      <c r="BI2354" s="27" t="s">
        <v>65</v>
      </c>
      <c r="BJ2354" s="25">
        <v>90</v>
      </c>
      <c r="BU2354" s="25" t="e">
        <f>#REF!</f>
        <v>#REF!</v>
      </c>
      <c r="BV2354" s="4" t="s">
        <v>2311</v>
      </c>
    </row>
    <row r="2355" spans="1:74" ht="14.4" x14ac:dyDescent="0.3">
      <c r="A2355" s="28"/>
      <c r="D2355" s="29" t="s">
        <v>1907</v>
      </c>
      <c r="E2355" s="29" t="s">
        <v>52</v>
      </c>
      <c r="G2355" s="30">
        <v>16</v>
      </c>
      <c r="H2355" s="63"/>
      <c r="N2355" s="31"/>
    </row>
    <row r="2356" spans="1:74" ht="14.4" x14ac:dyDescent="0.3">
      <c r="A2356" s="21" t="s">
        <v>52</v>
      </c>
      <c r="B2356" s="22" t="s">
        <v>2657</v>
      </c>
      <c r="C2356" s="22" t="s">
        <v>209</v>
      </c>
      <c r="D2356" s="170" t="s">
        <v>210</v>
      </c>
      <c r="E2356" s="171"/>
      <c r="F2356" s="23" t="s">
        <v>32</v>
      </c>
      <c r="G2356" s="23" t="s">
        <v>32</v>
      </c>
      <c r="H2356" s="64"/>
      <c r="I2356" s="1">
        <f>SUM(I2357:I2357)</f>
        <v>0</v>
      </c>
      <c r="J2356" s="1">
        <f>SUM(J2357:J2357)</f>
        <v>0</v>
      </c>
      <c r="K2356" s="1">
        <f>SUM(K2357:K2357)</f>
        <v>0</v>
      </c>
      <c r="L2356" s="10" t="s">
        <v>52</v>
      </c>
      <c r="M2356" s="1">
        <f>SUM(M2357:M2357)</f>
        <v>1.354E-2</v>
      </c>
      <c r="N2356" s="24"/>
      <c r="AG2356" s="10" t="s">
        <v>2657</v>
      </c>
      <c r="AQ2356" s="1">
        <f>SUM(AH2357:AH2357)</f>
        <v>0</v>
      </c>
      <c r="AR2356" s="1">
        <f>SUM(AI2357:AI2357)</f>
        <v>0</v>
      </c>
      <c r="AS2356" s="1">
        <f>SUM(AJ2357:AJ2357)</f>
        <v>0</v>
      </c>
    </row>
    <row r="2357" spans="1:74" ht="14.4" x14ac:dyDescent="0.3">
      <c r="A2357" s="2" t="s">
        <v>2889</v>
      </c>
      <c r="B2357" s="3" t="s">
        <v>2657</v>
      </c>
      <c r="C2357" s="3" t="s">
        <v>2890</v>
      </c>
      <c r="D2357" s="112" t="s">
        <v>2891</v>
      </c>
      <c r="E2357" s="109"/>
      <c r="F2357" s="3" t="s">
        <v>115</v>
      </c>
      <c r="G2357" s="25">
        <v>1</v>
      </c>
      <c r="H2357" s="62"/>
      <c r="I2357" s="25">
        <f>ROUND(G2357*AM2357,2)</f>
        <v>0</v>
      </c>
      <c r="J2357" s="25">
        <f>ROUND(G2357*AN2357,2)</f>
        <v>0</v>
      </c>
      <c r="K2357" s="25">
        <f>ROUND(G2357*H2357,2)</f>
        <v>0</v>
      </c>
      <c r="L2357" s="25">
        <v>1.354E-2</v>
      </c>
      <c r="M2357" s="25">
        <f>G2357*L2357</f>
        <v>1.354E-2</v>
      </c>
      <c r="N2357" s="26"/>
      <c r="X2357" s="25">
        <f>ROUND(IF(AO2357="5",BH2357,0),2)</f>
        <v>0</v>
      </c>
      <c r="Z2357" s="25">
        <f>ROUND(IF(AO2357="1",BF2357,0),2)</f>
        <v>0</v>
      </c>
      <c r="AA2357" s="25">
        <f>ROUND(IF(AO2357="1",BG2357,0),2)</f>
        <v>0</v>
      </c>
      <c r="AB2357" s="25">
        <f>ROUND(IF(AO2357="7",BF2357,0),2)</f>
        <v>0</v>
      </c>
      <c r="AC2357" s="25">
        <f>ROUND(IF(AO2357="7",BG2357,0),2)</f>
        <v>0</v>
      </c>
      <c r="AD2357" s="25">
        <f>ROUND(IF(AO2357="2",BF2357,0),2)</f>
        <v>0</v>
      </c>
      <c r="AE2357" s="25">
        <f>ROUND(IF(AO2357="2",BG2357,0),2)</f>
        <v>0</v>
      </c>
      <c r="AF2357" s="25">
        <f>ROUND(IF(AO2357="0",BH2357,0),2)</f>
        <v>0</v>
      </c>
      <c r="AG2357" s="10" t="s">
        <v>2657</v>
      </c>
      <c r="AH2357" s="25">
        <f>IF(AL2357=0,K2357,0)</f>
        <v>0</v>
      </c>
      <c r="AI2357" s="25">
        <f>IF(AL2357=12,K2357,0)</f>
        <v>0</v>
      </c>
      <c r="AJ2357" s="25">
        <f>IF(AL2357=21,K2357,0)</f>
        <v>0</v>
      </c>
      <c r="AL2357" s="25">
        <v>21</v>
      </c>
      <c r="AM2357" s="25">
        <f>H2357*0.324125899</f>
        <v>0</v>
      </c>
      <c r="AN2357" s="25">
        <f>H2357*(1-0.324125899)</f>
        <v>0</v>
      </c>
      <c r="AO2357" s="27" t="s">
        <v>57</v>
      </c>
      <c r="AT2357" s="25">
        <f>ROUND(AU2357+AV2357,2)</f>
        <v>0</v>
      </c>
      <c r="AU2357" s="25">
        <f>ROUND(G2357*AM2357,2)</f>
        <v>0</v>
      </c>
      <c r="AV2357" s="25">
        <f>ROUND(G2357*AN2357,2)</f>
        <v>0</v>
      </c>
      <c r="AW2357" s="27" t="s">
        <v>214</v>
      </c>
      <c r="AX2357" s="27" t="s">
        <v>2887</v>
      </c>
      <c r="AY2357" s="10" t="s">
        <v>2661</v>
      </c>
      <c r="BA2357" s="25">
        <f>AU2357+AV2357</f>
        <v>0</v>
      </c>
      <c r="BB2357" s="25">
        <f>H2357/(100-BC2357)*100</f>
        <v>0</v>
      </c>
      <c r="BC2357" s="25">
        <v>0</v>
      </c>
      <c r="BD2357" s="25">
        <f>M2357</f>
        <v>1.354E-2</v>
      </c>
      <c r="BF2357" s="25">
        <f>G2357*AM2357</f>
        <v>0</v>
      </c>
      <c r="BG2357" s="25">
        <f>G2357*AN2357</f>
        <v>0</v>
      </c>
      <c r="BH2357" s="25">
        <f>G2357*H2357</f>
        <v>0</v>
      </c>
      <c r="BI2357" s="27" t="s">
        <v>65</v>
      </c>
      <c r="BJ2357" s="25">
        <v>97</v>
      </c>
      <c r="BU2357" s="25" t="e">
        <f>#REF!</f>
        <v>#REF!</v>
      </c>
      <c r="BV2357" s="4" t="s">
        <v>2891</v>
      </c>
    </row>
    <row r="2358" spans="1:74" ht="14.4" x14ac:dyDescent="0.3">
      <c r="A2358" s="28"/>
      <c r="D2358" s="29" t="s">
        <v>1171</v>
      </c>
      <c r="E2358" s="29" t="s">
        <v>52</v>
      </c>
      <c r="G2358" s="30">
        <v>1</v>
      </c>
      <c r="H2358" s="63"/>
      <c r="N2358" s="31"/>
    </row>
    <row r="2359" spans="1:74" ht="14.4" x14ac:dyDescent="0.3">
      <c r="A2359" s="21" t="s">
        <v>52</v>
      </c>
      <c r="B2359" s="22" t="s">
        <v>2657</v>
      </c>
      <c r="C2359" s="22" t="s">
        <v>273</v>
      </c>
      <c r="D2359" s="170" t="s">
        <v>274</v>
      </c>
      <c r="E2359" s="171"/>
      <c r="F2359" s="23" t="s">
        <v>32</v>
      </c>
      <c r="G2359" s="23" t="s">
        <v>32</v>
      </c>
      <c r="H2359" s="64"/>
      <c r="I2359" s="1">
        <f>SUM(I2360:I2372)</f>
        <v>0</v>
      </c>
      <c r="J2359" s="1">
        <f>SUM(J2360:J2372)</f>
        <v>0</v>
      </c>
      <c r="K2359" s="1">
        <f>SUM(K2360:K2372)</f>
        <v>0</v>
      </c>
      <c r="L2359" s="10" t="s">
        <v>52</v>
      </c>
      <c r="M2359" s="1">
        <f>SUM(M2360:M2372)</f>
        <v>0</v>
      </c>
      <c r="N2359" s="24"/>
      <c r="AG2359" s="10" t="s">
        <v>2657</v>
      </c>
      <c r="AQ2359" s="1">
        <f>SUM(AH2360:AH2372)</f>
        <v>0</v>
      </c>
      <c r="AR2359" s="1">
        <f>SUM(AI2360:AI2372)</f>
        <v>0</v>
      </c>
      <c r="AS2359" s="1">
        <f>SUM(AJ2360:AJ2372)</f>
        <v>0</v>
      </c>
    </row>
    <row r="2360" spans="1:74" ht="14.4" x14ac:dyDescent="0.3">
      <c r="A2360" s="2" t="s">
        <v>104</v>
      </c>
      <c r="B2360" s="3" t="s">
        <v>2657</v>
      </c>
      <c r="C2360" s="3" t="s">
        <v>276</v>
      </c>
      <c r="D2360" s="112" t="s">
        <v>277</v>
      </c>
      <c r="E2360" s="109"/>
      <c r="F2360" s="3" t="s">
        <v>278</v>
      </c>
      <c r="G2360" s="25">
        <v>0.85</v>
      </c>
      <c r="H2360" s="62"/>
      <c r="I2360" s="25">
        <f>ROUND(G2360*AM2360,2)</f>
        <v>0</v>
      </c>
      <c r="J2360" s="25">
        <f>ROUND(G2360*AN2360,2)</f>
        <v>0</v>
      </c>
      <c r="K2360" s="25">
        <f>ROUND(G2360*H2360,2)</f>
        <v>0</v>
      </c>
      <c r="L2360" s="25">
        <v>0</v>
      </c>
      <c r="M2360" s="25">
        <f>G2360*L2360</f>
        <v>0</v>
      </c>
      <c r="N2360" s="26"/>
      <c r="X2360" s="25">
        <f>ROUND(IF(AO2360="5",BH2360,0),2)</f>
        <v>0</v>
      </c>
      <c r="Z2360" s="25">
        <f>ROUND(IF(AO2360="1",BF2360,0),2)</f>
        <v>0</v>
      </c>
      <c r="AA2360" s="25">
        <f>ROUND(IF(AO2360="1",BG2360,0),2)</f>
        <v>0</v>
      </c>
      <c r="AB2360" s="25">
        <f>ROUND(IF(AO2360="7",BF2360,0),2)</f>
        <v>0</v>
      </c>
      <c r="AC2360" s="25">
        <f>ROUND(IF(AO2360="7",BG2360,0),2)</f>
        <v>0</v>
      </c>
      <c r="AD2360" s="25">
        <f>ROUND(IF(AO2360="2",BF2360,0),2)</f>
        <v>0</v>
      </c>
      <c r="AE2360" s="25">
        <f>ROUND(IF(AO2360="2",BG2360,0),2)</f>
        <v>0</v>
      </c>
      <c r="AF2360" s="25">
        <f>ROUND(IF(AO2360="0",BH2360,0),2)</f>
        <v>0</v>
      </c>
      <c r="AG2360" s="10" t="s">
        <v>2657</v>
      </c>
      <c r="AH2360" s="25">
        <f>IF(AL2360=0,K2360,0)</f>
        <v>0</v>
      </c>
      <c r="AI2360" s="25">
        <f>IF(AL2360=12,K2360,0)</f>
        <v>0</v>
      </c>
      <c r="AJ2360" s="25">
        <f>IF(AL2360=21,K2360,0)</f>
        <v>0</v>
      </c>
      <c r="AL2360" s="25">
        <v>21</v>
      </c>
      <c r="AM2360" s="25">
        <f>H2360*0</f>
        <v>0</v>
      </c>
      <c r="AN2360" s="25">
        <f>H2360*(1-0)</f>
        <v>0</v>
      </c>
      <c r="AO2360" s="27" t="s">
        <v>97</v>
      </c>
      <c r="AT2360" s="25">
        <f>ROUND(AU2360+AV2360,2)</f>
        <v>0</v>
      </c>
      <c r="AU2360" s="25">
        <f>ROUND(G2360*AM2360,2)</f>
        <v>0</v>
      </c>
      <c r="AV2360" s="25">
        <f>ROUND(G2360*AN2360,2)</f>
        <v>0</v>
      </c>
      <c r="AW2360" s="27" t="s">
        <v>279</v>
      </c>
      <c r="AX2360" s="27" t="s">
        <v>2887</v>
      </c>
      <c r="AY2360" s="10" t="s">
        <v>2661</v>
      </c>
      <c r="BA2360" s="25">
        <f>AU2360+AV2360</f>
        <v>0</v>
      </c>
      <c r="BB2360" s="25">
        <f>H2360/(100-BC2360)*100</f>
        <v>0</v>
      </c>
      <c r="BC2360" s="25">
        <v>0</v>
      </c>
      <c r="BD2360" s="25">
        <f>M2360</f>
        <v>0</v>
      </c>
      <c r="BF2360" s="25">
        <f>G2360*AM2360</f>
        <v>0</v>
      </c>
      <c r="BG2360" s="25">
        <f>G2360*AN2360</f>
        <v>0</v>
      </c>
      <c r="BH2360" s="25">
        <f>G2360*H2360</f>
        <v>0</v>
      </c>
      <c r="BI2360" s="27" t="s">
        <v>65</v>
      </c>
      <c r="BJ2360" s="25"/>
      <c r="BU2360" s="25" t="e">
        <f>#REF!</f>
        <v>#REF!</v>
      </c>
      <c r="BV2360" s="4" t="s">
        <v>277</v>
      </c>
    </row>
    <row r="2361" spans="1:74" ht="14.4" x14ac:dyDescent="0.3">
      <c r="A2361" s="28"/>
      <c r="D2361" s="29" t="s">
        <v>2892</v>
      </c>
      <c r="E2361" s="29" t="s">
        <v>52</v>
      </c>
      <c r="G2361" s="30">
        <v>0.85</v>
      </c>
      <c r="H2361" s="63"/>
      <c r="N2361" s="31"/>
    </row>
    <row r="2362" spans="1:74" ht="14.4" x14ac:dyDescent="0.3">
      <c r="A2362" s="2" t="s">
        <v>997</v>
      </c>
      <c r="B2362" s="3" t="s">
        <v>2657</v>
      </c>
      <c r="C2362" s="3" t="s">
        <v>295</v>
      </c>
      <c r="D2362" s="112" t="s">
        <v>296</v>
      </c>
      <c r="E2362" s="109"/>
      <c r="F2362" s="3" t="s">
        <v>278</v>
      </c>
      <c r="G2362" s="25">
        <v>8.5</v>
      </c>
      <c r="H2362" s="62"/>
      <c r="I2362" s="25">
        <f>ROUND(G2362*AM2362,2)</f>
        <v>0</v>
      </c>
      <c r="J2362" s="25">
        <f>ROUND(G2362*AN2362,2)</f>
        <v>0</v>
      </c>
      <c r="K2362" s="25">
        <f>ROUND(G2362*H2362,2)</f>
        <v>0</v>
      </c>
      <c r="L2362" s="25">
        <v>0</v>
      </c>
      <c r="M2362" s="25">
        <f>G2362*L2362</f>
        <v>0</v>
      </c>
      <c r="N2362" s="26"/>
      <c r="X2362" s="25">
        <f>ROUND(IF(AO2362="5",BH2362,0),2)</f>
        <v>0</v>
      </c>
      <c r="Z2362" s="25">
        <f>ROUND(IF(AO2362="1",BF2362,0),2)</f>
        <v>0</v>
      </c>
      <c r="AA2362" s="25">
        <f>ROUND(IF(AO2362="1",BG2362,0),2)</f>
        <v>0</v>
      </c>
      <c r="AB2362" s="25">
        <f>ROUND(IF(AO2362="7",BF2362,0),2)</f>
        <v>0</v>
      </c>
      <c r="AC2362" s="25">
        <f>ROUND(IF(AO2362="7",BG2362,0),2)</f>
        <v>0</v>
      </c>
      <c r="AD2362" s="25">
        <f>ROUND(IF(AO2362="2",BF2362,0),2)</f>
        <v>0</v>
      </c>
      <c r="AE2362" s="25">
        <f>ROUND(IF(AO2362="2",BG2362,0),2)</f>
        <v>0</v>
      </c>
      <c r="AF2362" s="25">
        <f>ROUND(IF(AO2362="0",BH2362,0),2)</f>
        <v>0</v>
      </c>
      <c r="AG2362" s="10" t="s">
        <v>2657</v>
      </c>
      <c r="AH2362" s="25">
        <f>IF(AL2362=0,K2362,0)</f>
        <v>0</v>
      </c>
      <c r="AI2362" s="25">
        <f>IF(AL2362=12,K2362,0)</f>
        <v>0</v>
      </c>
      <c r="AJ2362" s="25">
        <f>IF(AL2362=21,K2362,0)</f>
        <v>0</v>
      </c>
      <c r="AL2362" s="25">
        <v>21</v>
      </c>
      <c r="AM2362" s="25">
        <f>H2362*0</f>
        <v>0</v>
      </c>
      <c r="AN2362" s="25">
        <f>H2362*(1-0)</f>
        <v>0</v>
      </c>
      <c r="AO2362" s="27" t="s">
        <v>97</v>
      </c>
      <c r="AT2362" s="25">
        <f>ROUND(AU2362+AV2362,2)</f>
        <v>0</v>
      </c>
      <c r="AU2362" s="25">
        <f>ROUND(G2362*AM2362,2)</f>
        <v>0</v>
      </c>
      <c r="AV2362" s="25">
        <f>ROUND(G2362*AN2362,2)</f>
        <v>0</v>
      </c>
      <c r="AW2362" s="27" t="s">
        <v>279</v>
      </c>
      <c r="AX2362" s="27" t="s">
        <v>2887</v>
      </c>
      <c r="AY2362" s="10" t="s">
        <v>2661</v>
      </c>
      <c r="BA2362" s="25">
        <f>AU2362+AV2362</f>
        <v>0</v>
      </c>
      <c r="BB2362" s="25">
        <f>H2362/(100-BC2362)*100</f>
        <v>0</v>
      </c>
      <c r="BC2362" s="25">
        <v>0</v>
      </c>
      <c r="BD2362" s="25">
        <f>M2362</f>
        <v>0</v>
      </c>
      <c r="BF2362" s="25">
        <f>G2362*AM2362</f>
        <v>0</v>
      </c>
      <c r="BG2362" s="25">
        <f>G2362*AN2362</f>
        <v>0</v>
      </c>
      <c r="BH2362" s="25">
        <f>G2362*H2362</f>
        <v>0</v>
      </c>
      <c r="BI2362" s="27" t="s">
        <v>65</v>
      </c>
      <c r="BJ2362" s="25"/>
      <c r="BU2362" s="25" t="e">
        <f>#REF!</f>
        <v>#REF!</v>
      </c>
      <c r="BV2362" s="4" t="s">
        <v>296</v>
      </c>
    </row>
    <row r="2363" spans="1:74" ht="14.4" x14ac:dyDescent="0.3">
      <c r="A2363" s="28"/>
      <c r="D2363" s="29" t="s">
        <v>2893</v>
      </c>
      <c r="E2363" s="29" t="s">
        <v>52</v>
      </c>
      <c r="G2363" s="30">
        <v>8.5</v>
      </c>
      <c r="H2363" s="63"/>
      <c r="N2363" s="31"/>
    </row>
    <row r="2364" spans="1:74" ht="14.4" x14ac:dyDescent="0.3">
      <c r="A2364" s="2" t="s">
        <v>2894</v>
      </c>
      <c r="B2364" s="3" t="s">
        <v>2657</v>
      </c>
      <c r="C2364" s="3" t="s">
        <v>292</v>
      </c>
      <c r="D2364" s="112" t="s">
        <v>293</v>
      </c>
      <c r="E2364" s="109"/>
      <c r="F2364" s="3" t="s">
        <v>278</v>
      </c>
      <c r="G2364" s="25">
        <v>0.85</v>
      </c>
      <c r="H2364" s="62"/>
      <c r="I2364" s="25">
        <f>ROUND(G2364*AM2364,2)</f>
        <v>0</v>
      </c>
      <c r="J2364" s="25">
        <f>ROUND(G2364*AN2364,2)</f>
        <v>0</v>
      </c>
      <c r="K2364" s="25">
        <f>ROUND(G2364*H2364,2)</f>
        <v>0</v>
      </c>
      <c r="L2364" s="25">
        <v>0</v>
      </c>
      <c r="M2364" s="25">
        <f>G2364*L2364</f>
        <v>0</v>
      </c>
      <c r="N2364" s="26"/>
      <c r="X2364" s="25">
        <f>ROUND(IF(AO2364="5",BH2364,0),2)</f>
        <v>0</v>
      </c>
      <c r="Z2364" s="25">
        <f>ROUND(IF(AO2364="1",BF2364,0),2)</f>
        <v>0</v>
      </c>
      <c r="AA2364" s="25">
        <f>ROUND(IF(AO2364="1",BG2364,0),2)</f>
        <v>0</v>
      </c>
      <c r="AB2364" s="25">
        <f>ROUND(IF(AO2364="7",BF2364,0),2)</f>
        <v>0</v>
      </c>
      <c r="AC2364" s="25">
        <f>ROUND(IF(AO2364="7",BG2364,0),2)</f>
        <v>0</v>
      </c>
      <c r="AD2364" s="25">
        <f>ROUND(IF(AO2364="2",BF2364,0),2)</f>
        <v>0</v>
      </c>
      <c r="AE2364" s="25">
        <f>ROUND(IF(AO2364="2",BG2364,0),2)</f>
        <v>0</v>
      </c>
      <c r="AF2364" s="25">
        <f>ROUND(IF(AO2364="0",BH2364,0),2)</f>
        <v>0</v>
      </c>
      <c r="AG2364" s="10" t="s">
        <v>2657</v>
      </c>
      <c r="AH2364" s="25">
        <f>IF(AL2364=0,K2364,0)</f>
        <v>0</v>
      </c>
      <c r="AI2364" s="25">
        <f>IF(AL2364=12,K2364,0)</f>
        <v>0</v>
      </c>
      <c r="AJ2364" s="25">
        <f>IF(AL2364=21,K2364,0)</f>
        <v>0</v>
      </c>
      <c r="AL2364" s="25">
        <v>21</v>
      </c>
      <c r="AM2364" s="25">
        <f>H2364*0</f>
        <v>0</v>
      </c>
      <c r="AN2364" s="25">
        <f>H2364*(1-0)</f>
        <v>0</v>
      </c>
      <c r="AO2364" s="27" t="s">
        <v>97</v>
      </c>
      <c r="AT2364" s="25">
        <f>ROUND(AU2364+AV2364,2)</f>
        <v>0</v>
      </c>
      <c r="AU2364" s="25">
        <f>ROUND(G2364*AM2364,2)</f>
        <v>0</v>
      </c>
      <c r="AV2364" s="25">
        <f>ROUND(G2364*AN2364,2)</f>
        <v>0</v>
      </c>
      <c r="AW2364" s="27" t="s">
        <v>279</v>
      </c>
      <c r="AX2364" s="27" t="s">
        <v>2887</v>
      </c>
      <c r="AY2364" s="10" t="s">
        <v>2661</v>
      </c>
      <c r="BA2364" s="25">
        <f>AU2364+AV2364</f>
        <v>0</v>
      </c>
      <c r="BB2364" s="25">
        <f>H2364/(100-BC2364)*100</f>
        <v>0</v>
      </c>
      <c r="BC2364" s="25">
        <v>0</v>
      </c>
      <c r="BD2364" s="25">
        <f>M2364</f>
        <v>0</v>
      </c>
      <c r="BF2364" s="25">
        <f>G2364*AM2364</f>
        <v>0</v>
      </c>
      <c r="BG2364" s="25">
        <f>G2364*AN2364</f>
        <v>0</v>
      </c>
      <c r="BH2364" s="25">
        <f>G2364*H2364</f>
        <v>0</v>
      </c>
      <c r="BI2364" s="27" t="s">
        <v>65</v>
      </c>
      <c r="BJ2364" s="25"/>
      <c r="BU2364" s="25" t="e">
        <f>#REF!</f>
        <v>#REF!</v>
      </c>
      <c r="BV2364" s="4" t="s">
        <v>293</v>
      </c>
    </row>
    <row r="2365" spans="1:74" ht="14.4" x14ac:dyDescent="0.3">
      <c r="A2365" s="28"/>
      <c r="D2365" s="29" t="s">
        <v>2895</v>
      </c>
      <c r="E2365" s="29" t="s">
        <v>52</v>
      </c>
      <c r="G2365" s="30">
        <v>0.85</v>
      </c>
      <c r="H2365" s="63"/>
      <c r="N2365" s="31"/>
    </row>
    <row r="2366" spans="1:74" ht="14.4" x14ac:dyDescent="0.3">
      <c r="A2366" s="2" t="s">
        <v>2896</v>
      </c>
      <c r="B2366" s="3" t="s">
        <v>2657</v>
      </c>
      <c r="C2366" s="3" t="s">
        <v>289</v>
      </c>
      <c r="D2366" s="112" t="s">
        <v>290</v>
      </c>
      <c r="E2366" s="109"/>
      <c r="F2366" s="3" t="s">
        <v>278</v>
      </c>
      <c r="G2366" s="25">
        <v>0.85</v>
      </c>
      <c r="H2366" s="62"/>
      <c r="I2366" s="25">
        <f>ROUND(G2366*AM2366,2)</f>
        <v>0</v>
      </c>
      <c r="J2366" s="25">
        <f>ROUND(G2366*AN2366,2)</f>
        <v>0</v>
      </c>
      <c r="K2366" s="25">
        <f>ROUND(G2366*H2366,2)</f>
        <v>0</v>
      </c>
      <c r="L2366" s="25">
        <v>0</v>
      </c>
      <c r="M2366" s="25">
        <f>G2366*L2366</f>
        <v>0</v>
      </c>
      <c r="N2366" s="26"/>
      <c r="X2366" s="25">
        <f>ROUND(IF(AO2366="5",BH2366,0),2)</f>
        <v>0</v>
      </c>
      <c r="Z2366" s="25">
        <f>ROUND(IF(AO2366="1",BF2366,0),2)</f>
        <v>0</v>
      </c>
      <c r="AA2366" s="25">
        <f>ROUND(IF(AO2366="1",BG2366,0),2)</f>
        <v>0</v>
      </c>
      <c r="AB2366" s="25">
        <f>ROUND(IF(AO2366="7",BF2366,0),2)</f>
        <v>0</v>
      </c>
      <c r="AC2366" s="25">
        <f>ROUND(IF(AO2366="7",BG2366,0),2)</f>
        <v>0</v>
      </c>
      <c r="AD2366" s="25">
        <f>ROUND(IF(AO2366="2",BF2366,0),2)</f>
        <v>0</v>
      </c>
      <c r="AE2366" s="25">
        <f>ROUND(IF(AO2366="2",BG2366,0),2)</f>
        <v>0</v>
      </c>
      <c r="AF2366" s="25">
        <f>ROUND(IF(AO2366="0",BH2366,0),2)</f>
        <v>0</v>
      </c>
      <c r="AG2366" s="10" t="s">
        <v>2657</v>
      </c>
      <c r="AH2366" s="25">
        <f>IF(AL2366=0,K2366,0)</f>
        <v>0</v>
      </c>
      <c r="AI2366" s="25">
        <f>IF(AL2366=12,K2366,0)</f>
        <v>0</v>
      </c>
      <c r="AJ2366" s="25">
        <f>IF(AL2366=21,K2366,0)</f>
        <v>0</v>
      </c>
      <c r="AL2366" s="25">
        <v>21</v>
      </c>
      <c r="AM2366" s="25">
        <f>H2366*0</f>
        <v>0</v>
      </c>
      <c r="AN2366" s="25">
        <f>H2366*(1-0)</f>
        <v>0</v>
      </c>
      <c r="AO2366" s="27" t="s">
        <v>97</v>
      </c>
      <c r="AT2366" s="25">
        <f>ROUND(AU2366+AV2366,2)</f>
        <v>0</v>
      </c>
      <c r="AU2366" s="25">
        <f>ROUND(G2366*AM2366,2)</f>
        <v>0</v>
      </c>
      <c r="AV2366" s="25">
        <f>ROUND(G2366*AN2366,2)</f>
        <v>0</v>
      </c>
      <c r="AW2366" s="27" t="s">
        <v>279</v>
      </c>
      <c r="AX2366" s="27" t="s">
        <v>2887</v>
      </c>
      <c r="AY2366" s="10" t="s">
        <v>2661</v>
      </c>
      <c r="BA2366" s="25">
        <f>AU2366+AV2366</f>
        <v>0</v>
      </c>
      <c r="BB2366" s="25">
        <f>H2366/(100-BC2366)*100</f>
        <v>0</v>
      </c>
      <c r="BC2366" s="25">
        <v>0</v>
      </c>
      <c r="BD2366" s="25">
        <f>M2366</f>
        <v>0</v>
      </c>
      <c r="BF2366" s="25">
        <f>G2366*AM2366</f>
        <v>0</v>
      </c>
      <c r="BG2366" s="25">
        <f>G2366*AN2366</f>
        <v>0</v>
      </c>
      <c r="BH2366" s="25">
        <f>G2366*H2366</f>
        <v>0</v>
      </c>
      <c r="BI2366" s="27" t="s">
        <v>65</v>
      </c>
      <c r="BJ2366" s="25"/>
      <c r="BU2366" s="25" t="e">
        <f>#REF!</f>
        <v>#REF!</v>
      </c>
      <c r="BV2366" s="4" t="s">
        <v>290</v>
      </c>
    </row>
    <row r="2367" spans="1:74" ht="14.4" x14ac:dyDescent="0.3">
      <c r="A2367" s="28"/>
      <c r="D2367" s="29" t="s">
        <v>2895</v>
      </c>
      <c r="E2367" s="29" t="s">
        <v>52</v>
      </c>
      <c r="G2367" s="30">
        <v>0.85</v>
      </c>
      <c r="H2367" s="63"/>
      <c r="N2367" s="31"/>
    </row>
    <row r="2368" spans="1:74" ht="14.4" x14ac:dyDescent="0.3">
      <c r="A2368" s="2" t="s">
        <v>2897</v>
      </c>
      <c r="B2368" s="3" t="s">
        <v>2657</v>
      </c>
      <c r="C2368" s="3" t="s">
        <v>286</v>
      </c>
      <c r="D2368" s="112" t="s">
        <v>287</v>
      </c>
      <c r="E2368" s="109"/>
      <c r="F2368" s="3" t="s">
        <v>278</v>
      </c>
      <c r="G2368" s="25">
        <v>0.85</v>
      </c>
      <c r="H2368" s="62"/>
      <c r="I2368" s="25">
        <f>ROUND(G2368*AM2368,2)</f>
        <v>0</v>
      </c>
      <c r="J2368" s="25">
        <f>ROUND(G2368*AN2368,2)</f>
        <v>0</v>
      </c>
      <c r="K2368" s="25">
        <f>ROUND(G2368*H2368,2)</f>
        <v>0</v>
      </c>
      <c r="L2368" s="25">
        <v>0</v>
      </c>
      <c r="M2368" s="25">
        <f>G2368*L2368</f>
        <v>0</v>
      </c>
      <c r="N2368" s="26"/>
      <c r="X2368" s="25">
        <f>ROUND(IF(AO2368="5",BH2368,0),2)</f>
        <v>0</v>
      </c>
      <c r="Z2368" s="25">
        <f>ROUND(IF(AO2368="1",BF2368,0),2)</f>
        <v>0</v>
      </c>
      <c r="AA2368" s="25">
        <f>ROUND(IF(AO2368="1",BG2368,0),2)</f>
        <v>0</v>
      </c>
      <c r="AB2368" s="25">
        <f>ROUND(IF(AO2368="7",BF2368,0),2)</f>
        <v>0</v>
      </c>
      <c r="AC2368" s="25">
        <f>ROUND(IF(AO2368="7",BG2368,0),2)</f>
        <v>0</v>
      </c>
      <c r="AD2368" s="25">
        <f>ROUND(IF(AO2368="2",BF2368,0),2)</f>
        <v>0</v>
      </c>
      <c r="AE2368" s="25">
        <f>ROUND(IF(AO2368="2",BG2368,0),2)</f>
        <v>0</v>
      </c>
      <c r="AF2368" s="25">
        <f>ROUND(IF(AO2368="0",BH2368,0),2)</f>
        <v>0</v>
      </c>
      <c r="AG2368" s="10" t="s">
        <v>2657</v>
      </c>
      <c r="AH2368" s="25">
        <f>IF(AL2368=0,K2368,0)</f>
        <v>0</v>
      </c>
      <c r="AI2368" s="25">
        <f>IF(AL2368=12,K2368,0)</f>
        <v>0</v>
      </c>
      <c r="AJ2368" s="25">
        <f>IF(AL2368=21,K2368,0)</f>
        <v>0</v>
      </c>
      <c r="AL2368" s="25">
        <v>21</v>
      </c>
      <c r="AM2368" s="25">
        <f>H2368*0</f>
        <v>0</v>
      </c>
      <c r="AN2368" s="25">
        <f>H2368*(1-0)</f>
        <v>0</v>
      </c>
      <c r="AO2368" s="27" t="s">
        <v>97</v>
      </c>
      <c r="AT2368" s="25">
        <f>ROUND(AU2368+AV2368,2)</f>
        <v>0</v>
      </c>
      <c r="AU2368" s="25">
        <f>ROUND(G2368*AM2368,2)</f>
        <v>0</v>
      </c>
      <c r="AV2368" s="25">
        <f>ROUND(G2368*AN2368,2)</f>
        <v>0</v>
      </c>
      <c r="AW2368" s="27" t="s">
        <v>279</v>
      </c>
      <c r="AX2368" s="27" t="s">
        <v>2887</v>
      </c>
      <c r="AY2368" s="10" t="s">
        <v>2661</v>
      </c>
      <c r="BA2368" s="25">
        <f>AU2368+AV2368</f>
        <v>0</v>
      </c>
      <c r="BB2368" s="25">
        <f>H2368/(100-BC2368)*100</f>
        <v>0</v>
      </c>
      <c r="BC2368" s="25">
        <v>0</v>
      </c>
      <c r="BD2368" s="25">
        <f>M2368</f>
        <v>0</v>
      </c>
      <c r="BF2368" s="25">
        <f>G2368*AM2368</f>
        <v>0</v>
      </c>
      <c r="BG2368" s="25">
        <f>G2368*AN2368</f>
        <v>0</v>
      </c>
      <c r="BH2368" s="25">
        <f>G2368*H2368</f>
        <v>0</v>
      </c>
      <c r="BI2368" s="27" t="s">
        <v>65</v>
      </c>
      <c r="BJ2368" s="25"/>
      <c r="BU2368" s="25" t="e">
        <f>#REF!</f>
        <v>#REF!</v>
      </c>
      <c r="BV2368" s="4" t="s">
        <v>287</v>
      </c>
    </row>
    <row r="2369" spans="1:74" ht="14.4" x14ac:dyDescent="0.3">
      <c r="A2369" s="28"/>
      <c r="D2369" s="29" t="s">
        <v>2895</v>
      </c>
      <c r="E2369" s="29" t="s">
        <v>52</v>
      </c>
      <c r="G2369" s="30">
        <v>0.85</v>
      </c>
      <c r="H2369" s="63"/>
      <c r="N2369" s="31"/>
    </row>
    <row r="2370" spans="1:74" ht="14.4" x14ac:dyDescent="0.3">
      <c r="A2370" s="2" t="s">
        <v>1009</v>
      </c>
      <c r="B2370" s="3" t="s">
        <v>2657</v>
      </c>
      <c r="C2370" s="3" t="s">
        <v>282</v>
      </c>
      <c r="D2370" s="112" t="s">
        <v>283</v>
      </c>
      <c r="E2370" s="109"/>
      <c r="F2370" s="3" t="s">
        <v>278</v>
      </c>
      <c r="G2370" s="25">
        <v>4.25</v>
      </c>
      <c r="H2370" s="62"/>
      <c r="I2370" s="25">
        <f>ROUND(G2370*AM2370,2)</f>
        <v>0</v>
      </c>
      <c r="J2370" s="25">
        <f>ROUND(G2370*AN2370,2)</f>
        <v>0</v>
      </c>
      <c r="K2370" s="25">
        <f>ROUND(G2370*H2370,2)</f>
        <v>0</v>
      </c>
      <c r="L2370" s="25">
        <v>0</v>
      </c>
      <c r="M2370" s="25">
        <f>G2370*L2370</f>
        <v>0</v>
      </c>
      <c r="N2370" s="26"/>
      <c r="X2370" s="25">
        <f>ROUND(IF(AO2370="5",BH2370,0),2)</f>
        <v>0</v>
      </c>
      <c r="Z2370" s="25">
        <f>ROUND(IF(AO2370="1",BF2370,0),2)</f>
        <v>0</v>
      </c>
      <c r="AA2370" s="25">
        <f>ROUND(IF(AO2370="1",BG2370,0),2)</f>
        <v>0</v>
      </c>
      <c r="AB2370" s="25">
        <f>ROUND(IF(AO2370="7",BF2370,0),2)</f>
        <v>0</v>
      </c>
      <c r="AC2370" s="25">
        <f>ROUND(IF(AO2370="7",BG2370,0),2)</f>
        <v>0</v>
      </c>
      <c r="AD2370" s="25">
        <f>ROUND(IF(AO2370="2",BF2370,0),2)</f>
        <v>0</v>
      </c>
      <c r="AE2370" s="25">
        <f>ROUND(IF(AO2370="2",BG2370,0),2)</f>
        <v>0</v>
      </c>
      <c r="AF2370" s="25">
        <f>ROUND(IF(AO2370="0",BH2370,0),2)</f>
        <v>0</v>
      </c>
      <c r="AG2370" s="10" t="s">
        <v>2657</v>
      </c>
      <c r="AH2370" s="25">
        <f>IF(AL2370=0,K2370,0)</f>
        <v>0</v>
      </c>
      <c r="AI2370" s="25">
        <f>IF(AL2370=12,K2370,0)</f>
        <v>0</v>
      </c>
      <c r="AJ2370" s="25">
        <f>IF(AL2370=21,K2370,0)</f>
        <v>0</v>
      </c>
      <c r="AL2370" s="25">
        <v>21</v>
      </c>
      <c r="AM2370" s="25">
        <f>H2370*0</f>
        <v>0</v>
      </c>
      <c r="AN2370" s="25">
        <f>H2370*(1-0)</f>
        <v>0</v>
      </c>
      <c r="AO2370" s="27" t="s">
        <v>97</v>
      </c>
      <c r="AT2370" s="25">
        <f>ROUND(AU2370+AV2370,2)</f>
        <v>0</v>
      </c>
      <c r="AU2370" s="25">
        <f>ROUND(G2370*AM2370,2)</f>
        <v>0</v>
      </c>
      <c r="AV2370" s="25">
        <f>ROUND(G2370*AN2370,2)</f>
        <v>0</v>
      </c>
      <c r="AW2370" s="27" t="s">
        <v>279</v>
      </c>
      <c r="AX2370" s="27" t="s">
        <v>2887</v>
      </c>
      <c r="AY2370" s="10" t="s">
        <v>2661</v>
      </c>
      <c r="BA2370" s="25">
        <f>AU2370+AV2370</f>
        <v>0</v>
      </c>
      <c r="BB2370" s="25">
        <f>H2370/(100-BC2370)*100</f>
        <v>0</v>
      </c>
      <c r="BC2370" s="25">
        <v>0</v>
      </c>
      <c r="BD2370" s="25">
        <f>M2370</f>
        <v>0</v>
      </c>
      <c r="BF2370" s="25">
        <f>G2370*AM2370</f>
        <v>0</v>
      </c>
      <c r="BG2370" s="25">
        <f>G2370*AN2370</f>
        <v>0</v>
      </c>
      <c r="BH2370" s="25">
        <f>G2370*H2370</f>
        <v>0</v>
      </c>
      <c r="BI2370" s="27" t="s">
        <v>65</v>
      </c>
      <c r="BJ2370" s="25"/>
      <c r="BU2370" s="25" t="e">
        <f>#REF!</f>
        <v>#REF!</v>
      </c>
      <c r="BV2370" s="4" t="s">
        <v>283</v>
      </c>
    </row>
    <row r="2371" spans="1:74" ht="14.4" x14ac:dyDescent="0.3">
      <c r="A2371" s="28"/>
      <c r="D2371" s="29" t="s">
        <v>2898</v>
      </c>
      <c r="E2371" s="29" t="s">
        <v>52</v>
      </c>
      <c r="G2371" s="30">
        <v>4.25</v>
      </c>
      <c r="H2371" s="63"/>
      <c r="N2371" s="31"/>
    </row>
    <row r="2372" spans="1:74" ht="14.4" x14ac:dyDescent="0.3">
      <c r="A2372" s="2" t="s">
        <v>2899</v>
      </c>
      <c r="B2372" s="3" t="s">
        <v>2657</v>
      </c>
      <c r="C2372" s="3" t="s">
        <v>299</v>
      </c>
      <c r="D2372" s="112" t="s">
        <v>300</v>
      </c>
      <c r="E2372" s="109"/>
      <c r="F2372" s="3" t="s">
        <v>278</v>
      </c>
      <c r="G2372" s="25">
        <v>0.85</v>
      </c>
      <c r="H2372" s="62"/>
      <c r="I2372" s="25">
        <f>ROUND(G2372*AM2372,2)</f>
        <v>0</v>
      </c>
      <c r="J2372" s="25">
        <f>ROUND(G2372*AN2372,2)</f>
        <v>0</v>
      </c>
      <c r="K2372" s="25">
        <f>ROUND(G2372*H2372,2)</f>
        <v>0</v>
      </c>
      <c r="L2372" s="25">
        <v>0</v>
      </c>
      <c r="M2372" s="25">
        <f>G2372*L2372</f>
        <v>0</v>
      </c>
      <c r="N2372" s="26"/>
      <c r="X2372" s="25">
        <f>ROUND(IF(AO2372="5",BH2372,0),2)</f>
        <v>0</v>
      </c>
      <c r="Z2372" s="25">
        <f>ROUND(IF(AO2372="1",BF2372,0),2)</f>
        <v>0</v>
      </c>
      <c r="AA2372" s="25">
        <f>ROUND(IF(AO2372="1",BG2372,0),2)</f>
        <v>0</v>
      </c>
      <c r="AB2372" s="25">
        <f>ROUND(IF(AO2372="7",BF2372,0),2)</f>
        <v>0</v>
      </c>
      <c r="AC2372" s="25">
        <f>ROUND(IF(AO2372="7",BG2372,0),2)</f>
        <v>0</v>
      </c>
      <c r="AD2372" s="25">
        <f>ROUND(IF(AO2372="2",BF2372,0),2)</f>
        <v>0</v>
      </c>
      <c r="AE2372" s="25">
        <f>ROUND(IF(AO2372="2",BG2372,0),2)</f>
        <v>0</v>
      </c>
      <c r="AF2372" s="25">
        <f>ROUND(IF(AO2372="0",BH2372,0),2)</f>
        <v>0</v>
      </c>
      <c r="AG2372" s="10" t="s">
        <v>2657</v>
      </c>
      <c r="AH2372" s="25">
        <f>IF(AL2372=0,K2372,0)</f>
        <v>0</v>
      </c>
      <c r="AI2372" s="25">
        <f>IF(AL2372=12,K2372,0)</f>
        <v>0</v>
      </c>
      <c r="AJ2372" s="25">
        <f>IF(AL2372=21,K2372,0)</f>
        <v>0</v>
      </c>
      <c r="AL2372" s="25">
        <v>21</v>
      </c>
      <c r="AM2372" s="25">
        <f>H2372*0</f>
        <v>0</v>
      </c>
      <c r="AN2372" s="25">
        <f>H2372*(1-0)</f>
        <v>0</v>
      </c>
      <c r="AO2372" s="27" t="s">
        <v>97</v>
      </c>
      <c r="AT2372" s="25">
        <f>ROUND(AU2372+AV2372,2)</f>
        <v>0</v>
      </c>
      <c r="AU2372" s="25">
        <f>ROUND(G2372*AM2372,2)</f>
        <v>0</v>
      </c>
      <c r="AV2372" s="25">
        <f>ROUND(G2372*AN2372,2)</f>
        <v>0</v>
      </c>
      <c r="AW2372" s="27" t="s">
        <v>279</v>
      </c>
      <c r="AX2372" s="27" t="s">
        <v>2887</v>
      </c>
      <c r="AY2372" s="10" t="s">
        <v>2661</v>
      </c>
      <c r="BA2372" s="25">
        <f>AU2372+AV2372</f>
        <v>0</v>
      </c>
      <c r="BB2372" s="25">
        <f>H2372/(100-BC2372)*100</f>
        <v>0</v>
      </c>
      <c r="BC2372" s="25">
        <v>0</v>
      </c>
      <c r="BD2372" s="25">
        <f>M2372</f>
        <v>0</v>
      </c>
      <c r="BF2372" s="25">
        <f>G2372*AM2372</f>
        <v>0</v>
      </c>
      <c r="BG2372" s="25">
        <f>G2372*AN2372</f>
        <v>0</v>
      </c>
      <c r="BH2372" s="25">
        <f>G2372*H2372</f>
        <v>0</v>
      </c>
      <c r="BI2372" s="27" t="s">
        <v>65</v>
      </c>
      <c r="BJ2372" s="25"/>
      <c r="BU2372" s="25" t="e">
        <f>#REF!</f>
        <v>#REF!</v>
      </c>
      <c r="BV2372" s="4" t="s">
        <v>300</v>
      </c>
    </row>
    <row r="2373" spans="1:74" ht="14.4" x14ac:dyDescent="0.3">
      <c r="A2373" s="28"/>
      <c r="D2373" s="29" t="s">
        <v>2892</v>
      </c>
      <c r="E2373" s="29" t="s">
        <v>52</v>
      </c>
      <c r="G2373" s="30">
        <v>0.85</v>
      </c>
      <c r="H2373" s="63"/>
      <c r="N2373" s="31"/>
    </row>
    <row r="2374" spans="1:74" ht="14.4" x14ac:dyDescent="0.3">
      <c r="A2374" s="95" t="s">
        <v>52</v>
      </c>
      <c r="B2374" s="96" t="s">
        <v>2900</v>
      </c>
      <c r="C2374" s="96" t="s">
        <v>52</v>
      </c>
      <c r="D2374" s="179" t="s">
        <v>2901</v>
      </c>
      <c r="E2374" s="180"/>
      <c r="F2374" s="97" t="s">
        <v>32</v>
      </c>
      <c r="G2374" s="97" t="s">
        <v>32</v>
      </c>
      <c r="H2374" s="98"/>
      <c r="I2374" s="99">
        <f>I2375+I2378+I2395+I2402+I2413+I2428+I2435+I2438+I2451+I2572</f>
        <v>0</v>
      </c>
      <c r="J2374" s="99">
        <f>J2375+J2378+J2395+J2402+J2413+J2428+J2435+J2438+J2451+J2572</f>
        <v>0</v>
      </c>
      <c r="K2374" s="99">
        <f>K2375+K2378+K2395+K2402+K2413+K2428+K2435+K2438+K2451+K2572</f>
        <v>0</v>
      </c>
      <c r="L2374" s="100" t="s">
        <v>52</v>
      </c>
      <c r="M2374" s="99">
        <f>M2375+M2378+M2395+M2402+M2413+M2428+M2435+M2438+M2451+M2572</f>
        <v>6.8914819999999999</v>
      </c>
      <c r="N2374" s="101"/>
    </row>
    <row r="2375" spans="1:74" ht="14.4" x14ac:dyDescent="0.3">
      <c r="A2375" s="21" t="s">
        <v>52</v>
      </c>
      <c r="B2375" s="22" t="s">
        <v>2900</v>
      </c>
      <c r="C2375" s="22" t="s">
        <v>320</v>
      </c>
      <c r="D2375" s="170" t="s">
        <v>617</v>
      </c>
      <c r="E2375" s="171"/>
      <c r="F2375" s="23" t="s">
        <v>32</v>
      </c>
      <c r="G2375" s="23" t="s">
        <v>32</v>
      </c>
      <c r="H2375" s="64"/>
      <c r="I2375" s="1">
        <f>SUM(I2376:I2376)</f>
        <v>0</v>
      </c>
      <c r="J2375" s="1">
        <f>SUM(J2376:J2376)</f>
        <v>0</v>
      </c>
      <c r="K2375" s="1">
        <f>SUM(K2376:K2376)</f>
        <v>0</v>
      </c>
      <c r="L2375" s="10" t="s">
        <v>52</v>
      </c>
      <c r="M2375" s="1">
        <f>SUM(M2376:M2376)</f>
        <v>0.26975199999999999</v>
      </c>
      <c r="N2375" s="24"/>
      <c r="AG2375" s="10" t="s">
        <v>2900</v>
      </c>
      <c r="AQ2375" s="1">
        <f>SUM(AH2376:AH2376)</f>
        <v>0</v>
      </c>
      <c r="AR2375" s="1">
        <f>SUM(AI2376:AI2376)</f>
        <v>0</v>
      </c>
      <c r="AS2375" s="1">
        <f>SUM(AJ2376:AJ2376)</f>
        <v>0</v>
      </c>
    </row>
    <row r="2376" spans="1:74" ht="14.4" x14ac:dyDescent="0.3">
      <c r="A2376" s="2" t="s">
        <v>341</v>
      </c>
      <c r="B2376" s="3" t="s">
        <v>2900</v>
      </c>
      <c r="C2376" s="3" t="s">
        <v>1894</v>
      </c>
      <c r="D2376" s="112" t="s">
        <v>1895</v>
      </c>
      <c r="E2376" s="109"/>
      <c r="F2376" s="3" t="s">
        <v>60</v>
      </c>
      <c r="G2376" s="25">
        <v>0.4</v>
      </c>
      <c r="H2376" s="62"/>
      <c r="I2376" s="25">
        <f>ROUND(G2376*AM2376,2)</f>
        <v>0</v>
      </c>
      <c r="J2376" s="25">
        <f>ROUND(G2376*AN2376,2)</f>
        <v>0</v>
      </c>
      <c r="K2376" s="25">
        <f>ROUND(G2376*H2376,2)</f>
        <v>0</v>
      </c>
      <c r="L2376" s="25">
        <v>0.67437999999999998</v>
      </c>
      <c r="M2376" s="25">
        <f>G2376*L2376</f>
        <v>0.26975199999999999</v>
      </c>
      <c r="N2376" s="26"/>
      <c r="X2376" s="25">
        <f>ROUND(IF(AO2376="5",BH2376,0),2)</f>
        <v>0</v>
      </c>
      <c r="Z2376" s="25">
        <f>ROUND(IF(AO2376="1",BF2376,0),2)</f>
        <v>0</v>
      </c>
      <c r="AA2376" s="25">
        <f>ROUND(IF(AO2376="1",BG2376,0),2)</f>
        <v>0</v>
      </c>
      <c r="AB2376" s="25">
        <f>ROUND(IF(AO2376="7",BF2376,0),2)</f>
        <v>0</v>
      </c>
      <c r="AC2376" s="25">
        <f>ROUND(IF(AO2376="7",BG2376,0),2)</f>
        <v>0</v>
      </c>
      <c r="AD2376" s="25">
        <f>ROUND(IF(AO2376="2",BF2376,0),2)</f>
        <v>0</v>
      </c>
      <c r="AE2376" s="25">
        <f>ROUND(IF(AO2376="2",BG2376,0),2)</f>
        <v>0</v>
      </c>
      <c r="AF2376" s="25">
        <f>ROUND(IF(AO2376="0",BH2376,0),2)</f>
        <v>0</v>
      </c>
      <c r="AG2376" s="10" t="s">
        <v>2900</v>
      </c>
      <c r="AH2376" s="25">
        <f>IF(AL2376=0,K2376,0)</f>
        <v>0</v>
      </c>
      <c r="AI2376" s="25">
        <f>IF(AL2376=12,K2376,0)</f>
        <v>0</v>
      </c>
      <c r="AJ2376" s="25">
        <f>IF(AL2376=21,K2376,0)</f>
        <v>0</v>
      </c>
      <c r="AL2376" s="25">
        <v>21</v>
      </c>
      <c r="AM2376" s="25">
        <f>H2376*0.314212538</f>
        <v>0</v>
      </c>
      <c r="AN2376" s="25">
        <f>H2376*(1-0.314212538)</f>
        <v>0</v>
      </c>
      <c r="AO2376" s="27" t="s">
        <v>57</v>
      </c>
      <c r="AT2376" s="25">
        <f>ROUND(AU2376+AV2376,2)</f>
        <v>0</v>
      </c>
      <c r="AU2376" s="25">
        <f>ROUND(G2376*AM2376,2)</f>
        <v>0</v>
      </c>
      <c r="AV2376" s="25">
        <f>ROUND(G2376*AN2376,2)</f>
        <v>0</v>
      </c>
      <c r="AW2376" s="27" t="s">
        <v>621</v>
      </c>
      <c r="AX2376" s="27" t="s">
        <v>2902</v>
      </c>
      <c r="AY2376" s="10" t="s">
        <v>2903</v>
      </c>
      <c r="BA2376" s="25">
        <f>AU2376+AV2376</f>
        <v>0</v>
      </c>
      <c r="BB2376" s="25">
        <f>H2376/(100-BC2376)*100</f>
        <v>0</v>
      </c>
      <c r="BC2376" s="25">
        <v>0</v>
      </c>
      <c r="BD2376" s="25">
        <f>M2376</f>
        <v>0.26975199999999999</v>
      </c>
      <c r="BF2376" s="25">
        <f>G2376*AM2376</f>
        <v>0</v>
      </c>
      <c r="BG2376" s="25">
        <f>G2376*AN2376</f>
        <v>0</v>
      </c>
      <c r="BH2376" s="25">
        <f>G2376*H2376</f>
        <v>0</v>
      </c>
      <c r="BI2376" s="27" t="s">
        <v>65</v>
      </c>
      <c r="BJ2376" s="25">
        <v>41</v>
      </c>
      <c r="BU2376" s="25" t="e">
        <f>#REF!</f>
        <v>#REF!</v>
      </c>
      <c r="BV2376" s="4" t="s">
        <v>1895</v>
      </c>
    </row>
    <row r="2377" spans="1:74" ht="14.4" x14ac:dyDescent="0.3">
      <c r="A2377" s="28"/>
      <c r="D2377" s="29" t="s">
        <v>2904</v>
      </c>
      <c r="E2377" s="29" t="s">
        <v>52</v>
      </c>
      <c r="G2377" s="30">
        <v>0.4</v>
      </c>
      <c r="H2377" s="63"/>
      <c r="N2377" s="31"/>
    </row>
    <row r="2378" spans="1:74" ht="14.4" x14ac:dyDescent="0.3">
      <c r="A2378" s="21" t="s">
        <v>52</v>
      </c>
      <c r="B2378" s="22" t="s">
        <v>2900</v>
      </c>
      <c r="C2378" s="22" t="s">
        <v>429</v>
      </c>
      <c r="D2378" s="170" t="s">
        <v>1898</v>
      </c>
      <c r="E2378" s="171"/>
      <c r="F2378" s="23" t="s">
        <v>32</v>
      </c>
      <c r="G2378" s="23" t="s">
        <v>32</v>
      </c>
      <c r="H2378" s="64"/>
      <c r="I2378" s="1">
        <f>SUM(I2379:I2393)</f>
        <v>0</v>
      </c>
      <c r="J2378" s="1">
        <f>SUM(J2379:J2393)</f>
        <v>0</v>
      </c>
      <c r="K2378" s="1">
        <f>SUM(K2379:K2393)</f>
        <v>0</v>
      </c>
      <c r="L2378" s="10" t="s">
        <v>52</v>
      </c>
      <c r="M2378" s="1">
        <f>SUM(M2379:M2393)</f>
        <v>9.7400000000000004E-3</v>
      </c>
      <c r="N2378" s="24"/>
      <c r="AG2378" s="10" t="s">
        <v>2900</v>
      </c>
      <c r="AQ2378" s="1">
        <f>SUM(AH2379:AH2393)</f>
        <v>0</v>
      </c>
      <c r="AR2378" s="1">
        <f>SUM(AI2379:AI2393)</f>
        <v>0</v>
      </c>
      <c r="AS2378" s="1">
        <f>SUM(AJ2379:AJ2393)</f>
        <v>0</v>
      </c>
    </row>
    <row r="2379" spans="1:74" ht="26.4" x14ac:dyDescent="0.3">
      <c r="A2379" s="2" t="s">
        <v>349</v>
      </c>
      <c r="B2379" s="3" t="s">
        <v>2900</v>
      </c>
      <c r="C2379" s="3" t="s">
        <v>2905</v>
      </c>
      <c r="D2379" s="112" t="s">
        <v>2906</v>
      </c>
      <c r="E2379" s="109"/>
      <c r="F2379" s="3" t="s">
        <v>860</v>
      </c>
      <c r="G2379" s="25">
        <v>1</v>
      </c>
      <c r="H2379" s="62"/>
      <c r="I2379" s="25">
        <f>ROUND(G2379*AM2379,2)</f>
        <v>0</v>
      </c>
      <c r="J2379" s="25">
        <f>ROUND(G2379*AN2379,2)</f>
        <v>0</v>
      </c>
      <c r="K2379" s="25">
        <f>ROUND(G2379*H2379,2)</f>
        <v>0</v>
      </c>
      <c r="L2379" s="25">
        <v>4.8700000000000002E-3</v>
      </c>
      <c r="M2379" s="25">
        <f>G2379*L2379</f>
        <v>4.8700000000000002E-3</v>
      </c>
      <c r="N2379" s="102"/>
      <c r="X2379" s="25">
        <f>ROUND(IF(AO2379="5",BH2379,0),2)</f>
        <v>0</v>
      </c>
      <c r="Z2379" s="25">
        <f>ROUND(IF(AO2379="1",BF2379,0),2)</f>
        <v>0</v>
      </c>
      <c r="AA2379" s="25">
        <f>ROUND(IF(AO2379="1",BG2379,0),2)</f>
        <v>0</v>
      </c>
      <c r="AB2379" s="25">
        <f>ROUND(IF(AO2379="7",BF2379,0),2)</f>
        <v>0</v>
      </c>
      <c r="AC2379" s="25">
        <f>ROUND(IF(AO2379="7",BG2379,0),2)</f>
        <v>0</v>
      </c>
      <c r="AD2379" s="25">
        <f>ROUND(IF(AO2379="2",BF2379,0),2)</f>
        <v>0</v>
      </c>
      <c r="AE2379" s="25">
        <f>ROUND(IF(AO2379="2",BG2379,0),2)</f>
        <v>0</v>
      </c>
      <c r="AF2379" s="25">
        <f>ROUND(IF(AO2379="0",BH2379,0),2)</f>
        <v>0</v>
      </c>
      <c r="AG2379" s="10" t="s">
        <v>2900</v>
      </c>
      <c r="AH2379" s="25">
        <f>IF(AL2379=0,K2379,0)</f>
        <v>0</v>
      </c>
      <c r="AI2379" s="25">
        <f>IF(AL2379=12,K2379,0)</f>
        <v>0</v>
      </c>
      <c r="AJ2379" s="25">
        <f>IF(AL2379=21,K2379,0)</f>
        <v>0</v>
      </c>
      <c r="AL2379" s="25">
        <v>21</v>
      </c>
      <c r="AM2379" s="25">
        <f>H2379*0</f>
        <v>0</v>
      </c>
      <c r="AN2379" s="25">
        <f>H2379*(1-0)</f>
        <v>0</v>
      </c>
      <c r="AO2379" s="27" t="s">
        <v>57</v>
      </c>
      <c r="AT2379" s="25">
        <f>ROUND(AU2379+AV2379,2)</f>
        <v>0</v>
      </c>
      <c r="AU2379" s="25">
        <f>ROUND(G2379*AM2379,2)</f>
        <v>0</v>
      </c>
      <c r="AV2379" s="25">
        <f>ROUND(G2379*AN2379,2)</f>
        <v>0</v>
      </c>
      <c r="AW2379" s="27" t="s">
        <v>1902</v>
      </c>
      <c r="AX2379" s="27" t="s">
        <v>2907</v>
      </c>
      <c r="AY2379" s="10" t="s">
        <v>2903</v>
      </c>
      <c r="BA2379" s="25">
        <f>AU2379+AV2379</f>
        <v>0</v>
      </c>
      <c r="BB2379" s="25">
        <f>H2379/(100-BC2379)*100</f>
        <v>0</v>
      </c>
      <c r="BC2379" s="25">
        <v>0</v>
      </c>
      <c r="BD2379" s="25">
        <f>M2379</f>
        <v>4.8700000000000002E-3</v>
      </c>
      <c r="BF2379" s="25">
        <f>G2379*AM2379</f>
        <v>0</v>
      </c>
      <c r="BG2379" s="25">
        <f>G2379*AN2379</f>
        <v>0</v>
      </c>
      <c r="BH2379" s="25">
        <f>G2379*H2379</f>
        <v>0</v>
      </c>
      <c r="BI2379" s="27" t="s">
        <v>65</v>
      </c>
      <c r="BJ2379" s="25">
        <v>60</v>
      </c>
      <c r="BU2379" s="25" t="e">
        <f>#REF!</f>
        <v>#REF!</v>
      </c>
      <c r="BV2379" s="4" t="s">
        <v>2906</v>
      </c>
    </row>
    <row r="2380" spans="1:74" ht="14.4" x14ac:dyDescent="0.3">
      <c r="A2380" s="28"/>
      <c r="D2380" s="29" t="s">
        <v>57</v>
      </c>
      <c r="E2380" s="29" t="s">
        <v>52</v>
      </c>
      <c r="G2380" s="30">
        <v>1</v>
      </c>
      <c r="H2380" s="63"/>
      <c r="N2380" s="31"/>
    </row>
    <row r="2381" spans="1:74" ht="14.4" x14ac:dyDescent="0.3">
      <c r="A2381" s="2" t="s">
        <v>2908</v>
      </c>
      <c r="B2381" s="3" t="s">
        <v>2900</v>
      </c>
      <c r="C2381" s="3" t="s">
        <v>2909</v>
      </c>
      <c r="D2381" s="112" t="s">
        <v>2910</v>
      </c>
      <c r="E2381" s="109"/>
      <c r="F2381" s="3" t="s">
        <v>860</v>
      </c>
      <c r="G2381" s="25">
        <v>1</v>
      </c>
      <c r="H2381" s="62"/>
      <c r="I2381" s="25">
        <f>ROUND(G2381*AM2381,2)</f>
        <v>0</v>
      </c>
      <c r="J2381" s="25">
        <f>ROUND(G2381*AN2381,2)</f>
        <v>0</v>
      </c>
      <c r="K2381" s="25">
        <f>ROUND(G2381*H2381,2)</f>
        <v>0</v>
      </c>
      <c r="L2381" s="25">
        <v>4.8700000000000002E-3</v>
      </c>
      <c r="M2381" s="25">
        <f>G2381*L2381</f>
        <v>4.8700000000000002E-3</v>
      </c>
      <c r="N2381" s="102"/>
      <c r="X2381" s="25">
        <f>ROUND(IF(AO2381="5",BH2381,0),2)</f>
        <v>0</v>
      </c>
      <c r="Z2381" s="25">
        <f>ROUND(IF(AO2381="1",BF2381,0),2)</f>
        <v>0</v>
      </c>
      <c r="AA2381" s="25">
        <f>ROUND(IF(AO2381="1",BG2381,0),2)</f>
        <v>0</v>
      </c>
      <c r="AB2381" s="25">
        <f>ROUND(IF(AO2381="7",BF2381,0),2)</f>
        <v>0</v>
      </c>
      <c r="AC2381" s="25">
        <f>ROUND(IF(AO2381="7",BG2381,0),2)</f>
        <v>0</v>
      </c>
      <c r="AD2381" s="25">
        <f>ROUND(IF(AO2381="2",BF2381,0),2)</f>
        <v>0</v>
      </c>
      <c r="AE2381" s="25">
        <f>ROUND(IF(AO2381="2",BG2381,0),2)</f>
        <v>0</v>
      </c>
      <c r="AF2381" s="25">
        <f>ROUND(IF(AO2381="0",BH2381,0),2)</f>
        <v>0</v>
      </c>
      <c r="AG2381" s="10" t="s">
        <v>2900</v>
      </c>
      <c r="AH2381" s="25">
        <f>IF(AL2381=0,K2381,0)</f>
        <v>0</v>
      </c>
      <c r="AI2381" s="25">
        <f>IF(AL2381=12,K2381,0)</f>
        <v>0</v>
      </c>
      <c r="AJ2381" s="25">
        <f>IF(AL2381=21,K2381,0)</f>
        <v>0</v>
      </c>
      <c r="AL2381" s="25">
        <v>21</v>
      </c>
      <c r="AM2381" s="25">
        <f>H2381*0</f>
        <v>0</v>
      </c>
      <c r="AN2381" s="25">
        <f>H2381*(1-0)</f>
        <v>0</v>
      </c>
      <c r="AO2381" s="27" t="s">
        <v>57</v>
      </c>
      <c r="AT2381" s="25">
        <f>ROUND(AU2381+AV2381,2)</f>
        <v>0</v>
      </c>
      <c r="AU2381" s="25">
        <f>ROUND(G2381*AM2381,2)</f>
        <v>0</v>
      </c>
      <c r="AV2381" s="25">
        <f>ROUND(G2381*AN2381,2)</f>
        <v>0</v>
      </c>
      <c r="AW2381" s="27" t="s">
        <v>1902</v>
      </c>
      <c r="AX2381" s="27" t="s">
        <v>2907</v>
      </c>
      <c r="AY2381" s="10" t="s">
        <v>2903</v>
      </c>
      <c r="BA2381" s="25">
        <f>AU2381+AV2381</f>
        <v>0</v>
      </c>
      <c r="BB2381" s="25">
        <f>H2381/(100-BC2381)*100</f>
        <v>0</v>
      </c>
      <c r="BC2381" s="25">
        <v>0</v>
      </c>
      <c r="BD2381" s="25">
        <f>M2381</f>
        <v>4.8700000000000002E-3</v>
      </c>
      <c r="BF2381" s="25">
        <f>G2381*AM2381</f>
        <v>0</v>
      </c>
      <c r="BG2381" s="25">
        <f>G2381*AN2381</f>
        <v>0</v>
      </c>
      <c r="BH2381" s="25">
        <f>G2381*H2381</f>
        <v>0</v>
      </c>
      <c r="BI2381" s="27" t="s">
        <v>65</v>
      </c>
      <c r="BJ2381" s="25">
        <v>60</v>
      </c>
      <c r="BU2381" s="25" t="e">
        <f>#REF!</f>
        <v>#REF!</v>
      </c>
      <c r="BV2381" s="4" t="s">
        <v>2910</v>
      </c>
    </row>
    <row r="2382" spans="1:74" ht="14.4" x14ac:dyDescent="0.3">
      <c r="A2382" s="28"/>
      <c r="D2382" s="29" t="s">
        <v>57</v>
      </c>
      <c r="E2382" s="29" t="s">
        <v>52</v>
      </c>
      <c r="G2382" s="30">
        <v>1</v>
      </c>
      <c r="H2382" s="63"/>
      <c r="N2382" s="31"/>
    </row>
    <row r="2383" spans="1:74" ht="26.4" x14ac:dyDescent="0.3">
      <c r="A2383" s="2" t="s">
        <v>2911</v>
      </c>
      <c r="B2383" s="3" t="s">
        <v>2900</v>
      </c>
      <c r="C2383" s="3" t="s">
        <v>2912</v>
      </c>
      <c r="D2383" s="112" t="s">
        <v>2913</v>
      </c>
      <c r="E2383" s="109"/>
      <c r="F2383" s="3" t="s">
        <v>860</v>
      </c>
      <c r="G2383" s="25">
        <v>1</v>
      </c>
      <c r="H2383" s="62"/>
      <c r="I2383" s="25">
        <f>ROUND(G2383*AM2383,2)</f>
        <v>0</v>
      </c>
      <c r="J2383" s="25">
        <f>ROUND(G2383*AN2383,2)</f>
        <v>0</v>
      </c>
      <c r="K2383" s="25">
        <f>ROUND(G2383*H2383,2)</f>
        <v>0</v>
      </c>
      <c r="L2383" s="25">
        <v>0</v>
      </c>
      <c r="M2383" s="25">
        <f>G2383*L2383</f>
        <v>0</v>
      </c>
      <c r="N2383" s="102"/>
      <c r="X2383" s="25">
        <f>ROUND(IF(AO2383="5",BH2383,0),2)</f>
        <v>0</v>
      </c>
      <c r="Z2383" s="25">
        <f>ROUND(IF(AO2383="1",BF2383,0),2)</f>
        <v>0</v>
      </c>
      <c r="AA2383" s="25">
        <f>ROUND(IF(AO2383="1",BG2383,0),2)</f>
        <v>0</v>
      </c>
      <c r="AB2383" s="25">
        <f>ROUND(IF(AO2383="7",BF2383,0),2)</f>
        <v>0</v>
      </c>
      <c r="AC2383" s="25">
        <f>ROUND(IF(AO2383="7",BG2383,0),2)</f>
        <v>0</v>
      </c>
      <c r="AD2383" s="25">
        <f>ROUND(IF(AO2383="2",BF2383,0),2)</f>
        <v>0</v>
      </c>
      <c r="AE2383" s="25">
        <f>ROUND(IF(AO2383="2",BG2383,0),2)</f>
        <v>0</v>
      </c>
      <c r="AF2383" s="25">
        <f>ROUND(IF(AO2383="0",BH2383,0),2)</f>
        <v>0</v>
      </c>
      <c r="AG2383" s="10" t="s">
        <v>2900</v>
      </c>
      <c r="AH2383" s="25">
        <f>IF(AL2383=0,K2383,0)</f>
        <v>0</v>
      </c>
      <c r="AI2383" s="25">
        <f>IF(AL2383=12,K2383,0)</f>
        <v>0</v>
      </c>
      <c r="AJ2383" s="25">
        <f>IF(AL2383=21,K2383,0)</f>
        <v>0</v>
      </c>
      <c r="AL2383" s="25">
        <v>21</v>
      </c>
      <c r="AM2383" s="25">
        <f>H2383*0</f>
        <v>0</v>
      </c>
      <c r="AN2383" s="25">
        <f>H2383*(1-0)</f>
        <v>0</v>
      </c>
      <c r="AO2383" s="27" t="s">
        <v>57</v>
      </c>
      <c r="AT2383" s="25">
        <f>ROUND(AU2383+AV2383,2)</f>
        <v>0</v>
      </c>
      <c r="AU2383" s="25">
        <f>ROUND(G2383*AM2383,2)</f>
        <v>0</v>
      </c>
      <c r="AV2383" s="25">
        <f>ROUND(G2383*AN2383,2)</f>
        <v>0</v>
      </c>
      <c r="AW2383" s="27" t="s">
        <v>1902</v>
      </c>
      <c r="AX2383" s="27" t="s">
        <v>2907</v>
      </c>
      <c r="AY2383" s="10" t="s">
        <v>2903</v>
      </c>
      <c r="BA2383" s="25">
        <f>AU2383+AV2383</f>
        <v>0</v>
      </c>
      <c r="BB2383" s="25">
        <f>H2383/(100-BC2383)*100</f>
        <v>0</v>
      </c>
      <c r="BC2383" s="25">
        <v>0</v>
      </c>
      <c r="BD2383" s="25">
        <f>M2383</f>
        <v>0</v>
      </c>
      <c r="BF2383" s="25">
        <f>G2383*AM2383</f>
        <v>0</v>
      </c>
      <c r="BG2383" s="25">
        <f>G2383*AN2383</f>
        <v>0</v>
      </c>
      <c r="BH2383" s="25">
        <f>G2383*H2383</f>
        <v>0</v>
      </c>
      <c r="BI2383" s="27" t="s">
        <v>65</v>
      </c>
      <c r="BJ2383" s="25">
        <v>60</v>
      </c>
      <c r="BU2383" s="25" t="e">
        <f>#REF!</f>
        <v>#REF!</v>
      </c>
      <c r="BV2383" s="4" t="s">
        <v>2913</v>
      </c>
    </row>
    <row r="2384" spans="1:74" ht="14.4" x14ac:dyDescent="0.3">
      <c r="A2384" s="28"/>
      <c r="D2384" s="29" t="s">
        <v>57</v>
      </c>
      <c r="E2384" s="29" t="s">
        <v>52</v>
      </c>
      <c r="G2384" s="30">
        <v>1</v>
      </c>
      <c r="H2384" s="63"/>
      <c r="N2384" s="31"/>
    </row>
    <row r="2385" spans="1:74" ht="26.4" x14ac:dyDescent="0.3">
      <c r="A2385" s="2" t="s">
        <v>2914</v>
      </c>
      <c r="B2385" s="3" t="s">
        <v>2900</v>
      </c>
      <c r="C2385" s="3" t="s">
        <v>2915</v>
      </c>
      <c r="D2385" s="112" t="s">
        <v>2916</v>
      </c>
      <c r="E2385" s="109"/>
      <c r="F2385" s="3" t="s">
        <v>860</v>
      </c>
      <c r="G2385" s="25">
        <v>1</v>
      </c>
      <c r="H2385" s="62"/>
      <c r="I2385" s="25">
        <f>ROUND(G2385*AM2385,2)</f>
        <v>0</v>
      </c>
      <c r="J2385" s="25">
        <f>ROUND(G2385*AN2385,2)</f>
        <v>0</v>
      </c>
      <c r="K2385" s="25">
        <f>ROUND(G2385*H2385,2)</f>
        <v>0</v>
      </c>
      <c r="L2385" s="25">
        <v>0</v>
      </c>
      <c r="M2385" s="25">
        <f>G2385*L2385</f>
        <v>0</v>
      </c>
      <c r="N2385" s="102"/>
      <c r="X2385" s="25">
        <f>ROUND(IF(AO2385="5",BH2385,0),2)</f>
        <v>0</v>
      </c>
      <c r="Z2385" s="25">
        <f>ROUND(IF(AO2385="1",BF2385,0),2)</f>
        <v>0</v>
      </c>
      <c r="AA2385" s="25">
        <f>ROUND(IF(AO2385="1",BG2385,0),2)</f>
        <v>0</v>
      </c>
      <c r="AB2385" s="25">
        <f>ROUND(IF(AO2385="7",BF2385,0),2)</f>
        <v>0</v>
      </c>
      <c r="AC2385" s="25">
        <f>ROUND(IF(AO2385="7",BG2385,0),2)</f>
        <v>0</v>
      </c>
      <c r="AD2385" s="25">
        <f>ROUND(IF(AO2385="2",BF2385,0),2)</f>
        <v>0</v>
      </c>
      <c r="AE2385" s="25">
        <f>ROUND(IF(AO2385="2",BG2385,0),2)</f>
        <v>0</v>
      </c>
      <c r="AF2385" s="25">
        <f>ROUND(IF(AO2385="0",BH2385,0),2)</f>
        <v>0</v>
      </c>
      <c r="AG2385" s="10" t="s">
        <v>2900</v>
      </c>
      <c r="AH2385" s="25">
        <f>IF(AL2385=0,K2385,0)</f>
        <v>0</v>
      </c>
      <c r="AI2385" s="25">
        <f>IF(AL2385=12,K2385,0)</f>
        <v>0</v>
      </c>
      <c r="AJ2385" s="25">
        <f>IF(AL2385=21,K2385,0)</f>
        <v>0</v>
      </c>
      <c r="AL2385" s="25">
        <v>21</v>
      </c>
      <c r="AM2385" s="25">
        <f>H2385*0</f>
        <v>0</v>
      </c>
      <c r="AN2385" s="25">
        <f>H2385*(1-0)</f>
        <v>0</v>
      </c>
      <c r="AO2385" s="27" t="s">
        <v>57</v>
      </c>
      <c r="AT2385" s="25">
        <f>ROUND(AU2385+AV2385,2)</f>
        <v>0</v>
      </c>
      <c r="AU2385" s="25">
        <f>ROUND(G2385*AM2385,2)</f>
        <v>0</v>
      </c>
      <c r="AV2385" s="25">
        <f>ROUND(G2385*AN2385,2)</f>
        <v>0</v>
      </c>
      <c r="AW2385" s="27" t="s">
        <v>1902</v>
      </c>
      <c r="AX2385" s="27" t="s">
        <v>2907</v>
      </c>
      <c r="AY2385" s="10" t="s">
        <v>2903</v>
      </c>
      <c r="BA2385" s="25">
        <f>AU2385+AV2385</f>
        <v>0</v>
      </c>
      <c r="BB2385" s="25">
        <f>H2385/(100-BC2385)*100</f>
        <v>0</v>
      </c>
      <c r="BC2385" s="25">
        <v>0</v>
      </c>
      <c r="BD2385" s="25">
        <f>M2385</f>
        <v>0</v>
      </c>
      <c r="BF2385" s="25">
        <f>G2385*AM2385</f>
        <v>0</v>
      </c>
      <c r="BG2385" s="25">
        <f>G2385*AN2385</f>
        <v>0</v>
      </c>
      <c r="BH2385" s="25">
        <f>G2385*H2385</f>
        <v>0</v>
      </c>
      <c r="BI2385" s="27" t="s">
        <v>65</v>
      </c>
      <c r="BJ2385" s="25">
        <v>60</v>
      </c>
      <c r="BU2385" s="25" t="e">
        <f>#REF!</f>
        <v>#REF!</v>
      </c>
      <c r="BV2385" s="4" t="s">
        <v>2916</v>
      </c>
    </row>
    <row r="2386" spans="1:74" ht="14.4" x14ac:dyDescent="0.3">
      <c r="A2386" s="28"/>
      <c r="D2386" s="29" t="s">
        <v>57</v>
      </c>
      <c r="E2386" s="29" t="s">
        <v>52</v>
      </c>
      <c r="G2386" s="30">
        <v>1</v>
      </c>
      <c r="H2386" s="63"/>
      <c r="N2386" s="31"/>
    </row>
    <row r="2387" spans="1:74" ht="26.4" x14ac:dyDescent="0.3">
      <c r="A2387" s="2" t="s">
        <v>2917</v>
      </c>
      <c r="B2387" s="3" t="s">
        <v>2900</v>
      </c>
      <c r="C2387" s="3" t="s">
        <v>2918</v>
      </c>
      <c r="D2387" s="112" t="s">
        <v>2919</v>
      </c>
      <c r="E2387" s="109"/>
      <c r="F2387" s="3" t="s">
        <v>860</v>
      </c>
      <c r="G2387" s="25">
        <v>1</v>
      </c>
      <c r="H2387" s="62"/>
      <c r="I2387" s="25">
        <f>ROUND(G2387*AM2387,2)</f>
        <v>0</v>
      </c>
      <c r="J2387" s="25">
        <f>ROUND(G2387*AN2387,2)</f>
        <v>0</v>
      </c>
      <c r="K2387" s="25">
        <f>ROUND(G2387*H2387,2)</f>
        <v>0</v>
      </c>
      <c r="L2387" s="25">
        <v>0</v>
      </c>
      <c r="M2387" s="25">
        <f>G2387*L2387</f>
        <v>0</v>
      </c>
      <c r="N2387" s="102"/>
      <c r="X2387" s="25">
        <f>ROUND(IF(AO2387="5",BH2387,0),2)</f>
        <v>0</v>
      </c>
      <c r="Z2387" s="25">
        <f>ROUND(IF(AO2387="1",BF2387,0),2)</f>
        <v>0</v>
      </c>
      <c r="AA2387" s="25">
        <f>ROUND(IF(AO2387="1",BG2387,0),2)</f>
        <v>0</v>
      </c>
      <c r="AB2387" s="25">
        <f>ROUND(IF(AO2387="7",BF2387,0),2)</f>
        <v>0</v>
      </c>
      <c r="AC2387" s="25">
        <f>ROUND(IF(AO2387="7",BG2387,0),2)</f>
        <v>0</v>
      </c>
      <c r="AD2387" s="25">
        <f>ROUND(IF(AO2387="2",BF2387,0),2)</f>
        <v>0</v>
      </c>
      <c r="AE2387" s="25">
        <f>ROUND(IF(AO2387="2",BG2387,0),2)</f>
        <v>0</v>
      </c>
      <c r="AF2387" s="25">
        <f>ROUND(IF(AO2387="0",BH2387,0),2)</f>
        <v>0</v>
      </c>
      <c r="AG2387" s="10" t="s">
        <v>2900</v>
      </c>
      <c r="AH2387" s="25">
        <f>IF(AL2387=0,K2387,0)</f>
        <v>0</v>
      </c>
      <c r="AI2387" s="25">
        <f>IF(AL2387=12,K2387,0)</f>
        <v>0</v>
      </c>
      <c r="AJ2387" s="25">
        <f>IF(AL2387=21,K2387,0)</f>
        <v>0</v>
      </c>
      <c r="AL2387" s="25">
        <v>21</v>
      </c>
      <c r="AM2387" s="25">
        <f>H2387*0.432434</f>
        <v>0</v>
      </c>
      <c r="AN2387" s="25">
        <f>H2387*(1-0.432434)</f>
        <v>0</v>
      </c>
      <c r="AO2387" s="27" t="s">
        <v>57</v>
      </c>
      <c r="AT2387" s="25">
        <f>ROUND(AU2387+AV2387,2)</f>
        <v>0</v>
      </c>
      <c r="AU2387" s="25">
        <f>ROUND(G2387*AM2387,2)</f>
        <v>0</v>
      </c>
      <c r="AV2387" s="25">
        <f>ROUND(G2387*AN2387,2)</f>
        <v>0</v>
      </c>
      <c r="AW2387" s="27" t="s">
        <v>1902</v>
      </c>
      <c r="AX2387" s="27" t="s">
        <v>2907</v>
      </c>
      <c r="AY2387" s="10" t="s">
        <v>2903</v>
      </c>
      <c r="BA2387" s="25">
        <f>AU2387+AV2387</f>
        <v>0</v>
      </c>
      <c r="BB2387" s="25">
        <f>H2387/(100-BC2387)*100</f>
        <v>0</v>
      </c>
      <c r="BC2387" s="25">
        <v>0</v>
      </c>
      <c r="BD2387" s="25">
        <f>M2387</f>
        <v>0</v>
      </c>
      <c r="BF2387" s="25">
        <f>G2387*AM2387</f>
        <v>0</v>
      </c>
      <c r="BG2387" s="25">
        <f>G2387*AN2387</f>
        <v>0</v>
      </c>
      <c r="BH2387" s="25">
        <f>G2387*H2387</f>
        <v>0</v>
      </c>
      <c r="BI2387" s="27" t="s">
        <v>65</v>
      </c>
      <c r="BJ2387" s="25">
        <v>60</v>
      </c>
      <c r="BU2387" s="25" t="e">
        <f>#REF!</f>
        <v>#REF!</v>
      </c>
      <c r="BV2387" s="4" t="s">
        <v>2919</v>
      </c>
    </row>
    <row r="2388" spans="1:74" ht="14.4" x14ac:dyDescent="0.3">
      <c r="A2388" s="28"/>
      <c r="D2388" s="29" t="s">
        <v>57</v>
      </c>
      <c r="E2388" s="29" t="s">
        <v>52</v>
      </c>
      <c r="G2388" s="30">
        <v>1</v>
      </c>
      <c r="H2388" s="63"/>
      <c r="N2388" s="31"/>
    </row>
    <row r="2389" spans="1:74" ht="26.4" x14ac:dyDescent="0.3">
      <c r="A2389" s="2" t="s">
        <v>2920</v>
      </c>
      <c r="B2389" s="3" t="s">
        <v>2900</v>
      </c>
      <c r="C2389" s="3" t="s">
        <v>1912</v>
      </c>
      <c r="D2389" s="112" t="s">
        <v>2921</v>
      </c>
      <c r="E2389" s="109"/>
      <c r="F2389" s="3" t="s">
        <v>100</v>
      </c>
      <c r="G2389" s="25">
        <v>24</v>
      </c>
      <c r="H2389" s="62"/>
      <c r="I2389" s="25">
        <f>ROUND(G2389*AM2389,2)</f>
        <v>0</v>
      </c>
      <c r="J2389" s="25">
        <f>ROUND(G2389*AN2389,2)</f>
        <v>0</v>
      </c>
      <c r="K2389" s="25">
        <f>ROUND(G2389*H2389,2)</f>
        <v>0</v>
      </c>
      <c r="L2389" s="25">
        <v>0</v>
      </c>
      <c r="M2389" s="25">
        <f>G2389*L2389</f>
        <v>0</v>
      </c>
      <c r="N2389" s="26"/>
      <c r="X2389" s="25">
        <f>ROUND(IF(AO2389="5",BH2389,0),2)</f>
        <v>0</v>
      </c>
      <c r="Z2389" s="25">
        <f>ROUND(IF(AO2389="1",BF2389,0),2)</f>
        <v>0</v>
      </c>
      <c r="AA2389" s="25">
        <f>ROUND(IF(AO2389="1",BG2389,0),2)</f>
        <v>0</v>
      </c>
      <c r="AB2389" s="25">
        <f>ROUND(IF(AO2389="7",BF2389,0),2)</f>
        <v>0</v>
      </c>
      <c r="AC2389" s="25">
        <f>ROUND(IF(AO2389="7",BG2389,0),2)</f>
        <v>0</v>
      </c>
      <c r="AD2389" s="25">
        <f>ROUND(IF(AO2389="2",BF2389,0),2)</f>
        <v>0</v>
      </c>
      <c r="AE2389" s="25">
        <f>ROUND(IF(AO2389="2",BG2389,0),2)</f>
        <v>0</v>
      </c>
      <c r="AF2389" s="25">
        <f>ROUND(IF(AO2389="0",BH2389,0),2)</f>
        <v>0</v>
      </c>
      <c r="AG2389" s="10" t="s">
        <v>2900</v>
      </c>
      <c r="AH2389" s="25">
        <f>IF(AL2389=0,K2389,0)</f>
        <v>0</v>
      </c>
      <c r="AI2389" s="25">
        <f>IF(AL2389=12,K2389,0)</f>
        <v>0</v>
      </c>
      <c r="AJ2389" s="25">
        <f>IF(AL2389=21,K2389,0)</f>
        <v>0</v>
      </c>
      <c r="AL2389" s="25">
        <v>21</v>
      </c>
      <c r="AM2389" s="25">
        <f>H2389*0</f>
        <v>0</v>
      </c>
      <c r="AN2389" s="25">
        <f>H2389*(1-0)</f>
        <v>0</v>
      </c>
      <c r="AO2389" s="27" t="s">
        <v>57</v>
      </c>
      <c r="AT2389" s="25">
        <f>ROUND(AU2389+AV2389,2)</f>
        <v>0</v>
      </c>
      <c r="AU2389" s="25">
        <f>ROUND(G2389*AM2389,2)</f>
        <v>0</v>
      </c>
      <c r="AV2389" s="25">
        <f>ROUND(G2389*AN2389,2)</f>
        <v>0</v>
      </c>
      <c r="AW2389" s="27" t="s">
        <v>1902</v>
      </c>
      <c r="AX2389" s="27" t="s">
        <v>2907</v>
      </c>
      <c r="AY2389" s="10" t="s">
        <v>2903</v>
      </c>
      <c r="BA2389" s="25">
        <f>AU2389+AV2389</f>
        <v>0</v>
      </c>
      <c r="BB2389" s="25">
        <f>H2389/(100-BC2389)*100</f>
        <v>0</v>
      </c>
      <c r="BC2389" s="25">
        <v>0</v>
      </c>
      <c r="BD2389" s="25">
        <f>M2389</f>
        <v>0</v>
      </c>
      <c r="BF2389" s="25">
        <f>G2389*AM2389</f>
        <v>0</v>
      </c>
      <c r="BG2389" s="25">
        <f>G2389*AN2389</f>
        <v>0</v>
      </c>
      <c r="BH2389" s="25">
        <f>G2389*H2389</f>
        <v>0</v>
      </c>
      <c r="BI2389" s="27" t="s">
        <v>65</v>
      </c>
      <c r="BJ2389" s="25">
        <v>60</v>
      </c>
      <c r="BU2389" s="25" t="e">
        <f>#REF!</f>
        <v>#REF!</v>
      </c>
      <c r="BV2389" s="4" t="s">
        <v>2921</v>
      </c>
    </row>
    <row r="2390" spans="1:74" ht="14.4" x14ac:dyDescent="0.3">
      <c r="A2390" s="28"/>
      <c r="D2390" s="29" t="s">
        <v>103</v>
      </c>
      <c r="E2390" s="29" t="s">
        <v>52</v>
      </c>
      <c r="G2390" s="30">
        <v>24</v>
      </c>
      <c r="H2390" s="63"/>
      <c r="N2390" s="31"/>
    </row>
    <row r="2391" spans="1:74" ht="14.4" x14ac:dyDescent="0.3">
      <c r="A2391" s="2" t="s">
        <v>2922</v>
      </c>
      <c r="B2391" s="3" t="s">
        <v>2900</v>
      </c>
      <c r="C2391" s="3" t="s">
        <v>1682</v>
      </c>
      <c r="D2391" s="112" t="s">
        <v>2923</v>
      </c>
      <c r="E2391" s="109"/>
      <c r="F2391" s="3" t="s">
        <v>100</v>
      </c>
      <c r="G2391" s="25">
        <v>8</v>
      </c>
      <c r="H2391" s="62"/>
      <c r="I2391" s="25">
        <f>ROUND(G2391*AM2391,2)</f>
        <v>0</v>
      </c>
      <c r="J2391" s="25">
        <f>ROUND(G2391*AN2391,2)</f>
        <v>0</v>
      </c>
      <c r="K2391" s="25">
        <f>ROUND(G2391*H2391,2)</f>
        <v>0</v>
      </c>
      <c r="L2391" s="25">
        <v>0</v>
      </c>
      <c r="M2391" s="25">
        <f>G2391*L2391</f>
        <v>0</v>
      </c>
      <c r="N2391" s="26"/>
      <c r="X2391" s="25">
        <f>ROUND(IF(AO2391="5",BH2391,0),2)</f>
        <v>0</v>
      </c>
      <c r="Z2391" s="25">
        <f>ROUND(IF(AO2391="1",BF2391,0),2)</f>
        <v>0</v>
      </c>
      <c r="AA2391" s="25">
        <f>ROUND(IF(AO2391="1",BG2391,0),2)</f>
        <v>0</v>
      </c>
      <c r="AB2391" s="25">
        <f>ROUND(IF(AO2391="7",BF2391,0),2)</f>
        <v>0</v>
      </c>
      <c r="AC2391" s="25">
        <f>ROUND(IF(AO2391="7",BG2391,0),2)</f>
        <v>0</v>
      </c>
      <c r="AD2391" s="25">
        <f>ROUND(IF(AO2391="2",BF2391,0),2)</f>
        <v>0</v>
      </c>
      <c r="AE2391" s="25">
        <f>ROUND(IF(AO2391="2",BG2391,0),2)</f>
        <v>0</v>
      </c>
      <c r="AF2391" s="25">
        <f>ROUND(IF(AO2391="0",BH2391,0),2)</f>
        <v>0</v>
      </c>
      <c r="AG2391" s="10" t="s">
        <v>2900</v>
      </c>
      <c r="AH2391" s="25">
        <f>IF(AL2391=0,K2391,0)</f>
        <v>0</v>
      </c>
      <c r="AI2391" s="25">
        <f>IF(AL2391=12,K2391,0)</f>
        <v>0</v>
      </c>
      <c r="AJ2391" s="25">
        <f>IF(AL2391=21,K2391,0)</f>
        <v>0</v>
      </c>
      <c r="AL2391" s="25">
        <v>21</v>
      </c>
      <c r="AM2391" s="25">
        <f>H2391*0</f>
        <v>0</v>
      </c>
      <c r="AN2391" s="25">
        <f>H2391*(1-0)</f>
        <v>0</v>
      </c>
      <c r="AO2391" s="27" t="s">
        <v>57</v>
      </c>
      <c r="AT2391" s="25">
        <f>ROUND(AU2391+AV2391,2)</f>
        <v>0</v>
      </c>
      <c r="AU2391" s="25">
        <f>ROUND(G2391*AM2391,2)</f>
        <v>0</v>
      </c>
      <c r="AV2391" s="25">
        <f>ROUND(G2391*AN2391,2)</f>
        <v>0</v>
      </c>
      <c r="AW2391" s="27" t="s">
        <v>1902</v>
      </c>
      <c r="AX2391" s="27" t="s">
        <v>2907</v>
      </c>
      <c r="AY2391" s="10" t="s">
        <v>2903</v>
      </c>
      <c r="BA2391" s="25">
        <f>AU2391+AV2391</f>
        <v>0</v>
      </c>
      <c r="BB2391" s="25">
        <f>H2391/(100-BC2391)*100</f>
        <v>0</v>
      </c>
      <c r="BC2391" s="25">
        <v>0</v>
      </c>
      <c r="BD2391" s="25">
        <f>M2391</f>
        <v>0</v>
      </c>
      <c r="BF2391" s="25">
        <f>G2391*AM2391</f>
        <v>0</v>
      </c>
      <c r="BG2391" s="25">
        <f>G2391*AN2391</f>
        <v>0</v>
      </c>
      <c r="BH2391" s="25">
        <f>G2391*H2391</f>
        <v>0</v>
      </c>
      <c r="BI2391" s="27" t="s">
        <v>65</v>
      </c>
      <c r="BJ2391" s="25">
        <v>60</v>
      </c>
      <c r="BU2391" s="25" t="e">
        <f>#REF!</f>
        <v>#REF!</v>
      </c>
      <c r="BV2391" s="4" t="s">
        <v>2923</v>
      </c>
    </row>
    <row r="2392" spans="1:74" ht="14.4" x14ac:dyDescent="0.3">
      <c r="A2392" s="28"/>
      <c r="D2392" s="29" t="s">
        <v>119</v>
      </c>
      <c r="E2392" s="29" t="s">
        <v>52</v>
      </c>
      <c r="G2392" s="30">
        <v>8</v>
      </c>
      <c r="H2392" s="63"/>
      <c r="N2392" s="31"/>
    </row>
    <row r="2393" spans="1:74" ht="26.4" x14ac:dyDescent="0.3">
      <c r="A2393" s="2" t="s">
        <v>2924</v>
      </c>
      <c r="B2393" s="3" t="s">
        <v>2900</v>
      </c>
      <c r="C2393" s="3" t="s">
        <v>2925</v>
      </c>
      <c r="D2393" s="112" t="s">
        <v>2926</v>
      </c>
      <c r="E2393" s="109"/>
      <c r="F2393" s="3" t="s">
        <v>100</v>
      </c>
      <c r="G2393" s="25">
        <v>24</v>
      </c>
      <c r="H2393" s="62"/>
      <c r="I2393" s="25">
        <f>ROUND(G2393*AM2393,2)</f>
        <v>0</v>
      </c>
      <c r="J2393" s="25">
        <f>ROUND(G2393*AN2393,2)</f>
        <v>0</v>
      </c>
      <c r="K2393" s="25">
        <f>ROUND(G2393*H2393,2)</f>
        <v>0</v>
      </c>
      <c r="L2393" s="25">
        <v>0</v>
      </c>
      <c r="M2393" s="25">
        <f>G2393*L2393</f>
        <v>0</v>
      </c>
      <c r="N2393" s="102"/>
      <c r="X2393" s="25">
        <f>ROUND(IF(AO2393="5",BH2393,0),2)</f>
        <v>0</v>
      </c>
      <c r="Z2393" s="25">
        <f>ROUND(IF(AO2393="1",BF2393,0),2)</f>
        <v>0</v>
      </c>
      <c r="AA2393" s="25">
        <f>ROUND(IF(AO2393="1",BG2393,0),2)</f>
        <v>0</v>
      </c>
      <c r="AB2393" s="25">
        <f>ROUND(IF(AO2393="7",BF2393,0),2)</f>
        <v>0</v>
      </c>
      <c r="AC2393" s="25">
        <f>ROUND(IF(AO2393="7",BG2393,0),2)</f>
        <v>0</v>
      </c>
      <c r="AD2393" s="25">
        <f>ROUND(IF(AO2393="2",BF2393,0),2)</f>
        <v>0</v>
      </c>
      <c r="AE2393" s="25">
        <f>ROUND(IF(AO2393="2",BG2393,0),2)</f>
        <v>0</v>
      </c>
      <c r="AF2393" s="25">
        <f>ROUND(IF(AO2393="0",BH2393,0),2)</f>
        <v>0</v>
      </c>
      <c r="AG2393" s="10" t="s">
        <v>2900</v>
      </c>
      <c r="AH2393" s="25">
        <f>IF(AL2393=0,K2393,0)</f>
        <v>0</v>
      </c>
      <c r="AI2393" s="25">
        <f>IF(AL2393=12,K2393,0)</f>
        <v>0</v>
      </c>
      <c r="AJ2393" s="25">
        <f>IF(AL2393=21,K2393,0)</f>
        <v>0</v>
      </c>
      <c r="AL2393" s="25">
        <v>21</v>
      </c>
      <c r="AM2393" s="25">
        <f>H2393*0</f>
        <v>0</v>
      </c>
      <c r="AN2393" s="25">
        <f>H2393*(1-0)</f>
        <v>0</v>
      </c>
      <c r="AO2393" s="27" t="s">
        <v>57</v>
      </c>
      <c r="AT2393" s="25">
        <f>ROUND(AU2393+AV2393,2)</f>
        <v>0</v>
      </c>
      <c r="AU2393" s="25">
        <f>ROUND(G2393*AM2393,2)</f>
        <v>0</v>
      </c>
      <c r="AV2393" s="25">
        <f>ROUND(G2393*AN2393,2)</f>
        <v>0</v>
      </c>
      <c r="AW2393" s="27" t="s">
        <v>1902</v>
      </c>
      <c r="AX2393" s="27" t="s">
        <v>2907</v>
      </c>
      <c r="AY2393" s="10" t="s">
        <v>2903</v>
      </c>
      <c r="BA2393" s="25">
        <f>AU2393+AV2393</f>
        <v>0</v>
      </c>
      <c r="BB2393" s="25">
        <f>H2393/(100-BC2393)*100</f>
        <v>0</v>
      </c>
      <c r="BC2393" s="25">
        <v>0</v>
      </c>
      <c r="BD2393" s="25">
        <f>M2393</f>
        <v>0</v>
      </c>
      <c r="BF2393" s="25">
        <f>G2393*AM2393</f>
        <v>0</v>
      </c>
      <c r="BG2393" s="25">
        <f>G2393*AN2393</f>
        <v>0</v>
      </c>
      <c r="BH2393" s="25">
        <f>G2393*H2393</f>
        <v>0</v>
      </c>
      <c r="BI2393" s="27" t="s">
        <v>65</v>
      </c>
      <c r="BJ2393" s="25">
        <v>60</v>
      </c>
      <c r="BU2393" s="25" t="e">
        <f>#REF!</f>
        <v>#REF!</v>
      </c>
      <c r="BV2393" s="4" t="s">
        <v>2926</v>
      </c>
    </row>
    <row r="2394" spans="1:74" ht="14.4" x14ac:dyDescent="0.3">
      <c r="A2394" s="28"/>
      <c r="D2394" s="29" t="s">
        <v>103</v>
      </c>
      <c r="E2394" s="29" t="s">
        <v>52</v>
      </c>
      <c r="G2394" s="30">
        <v>24</v>
      </c>
      <c r="H2394" s="63"/>
      <c r="N2394" s="31"/>
    </row>
    <row r="2395" spans="1:74" ht="14.4" x14ac:dyDescent="0.3">
      <c r="A2395" s="21" t="s">
        <v>52</v>
      </c>
      <c r="B2395" s="22" t="s">
        <v>2900</v>
      </c>
      <c r="C2395" s="22" t="s">
        <v>434</v>
      </c>
      <c r="D2395" s="170" t="s">
        <v>661</v>
      </c>
      <c r="E2395" s="171"/>
      <c r="F2395" s="23" t="s">
        <v>32</v>
      </c>
      <c r="G2395" s="23" t="s">
        <v>32</v>
      </c>
      <c r="H2395" s="64"/>
      <c r="I2395" s="1">
        <f>SUM(I2396:I2400)</f>
        <v>0</v>
      </c>
      <c r="J2395" s="1">
        <f>SUM(J2396:J2400)</f>
        <v>0</v>
      </c>
      <c r="K2395" s="1">
        <f>SUM(K2396:K2400)</f>
        <v>0</v>
      </c>
      <c r="L2395" s="10" t="s">
        <v>52</v>
      </c>
      <c r="M2395" s="1">
        <f>SUM(M2396:M2400)</f>
        <v>2.8858900000000003</v>
      </c>
      <c r="N2395" s="24"/>
      <c r="AG2395" s="10" t="s">
        <v>2900</v>
      </c>
      <c r="AQ2395" s="1">
        <f>SUM(AH2396:AH2400)</f>
        <v>0</v>
      </c>
      <c r="AR2395" s="1">
        <f>SUM(AI2396:AI2400)</f>
        <v>0</v>
      </c>
      <c r="AS2395" s="1">
        <f>SUM(AJ2396:AJ2400)</f>
        <v>0</v>
      </c>
    </row>
    <row r="2396" spans="1:74" ht="14.4" x14ac:dyDescent="0.3">
      <c r="A2396" s="2" t="s">
        <v>2927</v>
      </c>
      <c r="B2396" s="3" t="s">
        <v>2900</v>
      </c>
      <c r="C2396" s="3" t="s">
        <v>2928</v>
      </c>
      <c r="D2396" s="112" t="s">
        <v>2929</v>
      </c>
      <c r="E2396" s="109"/>
      <c r="F2396" s="3" t="s">
        <v>115</v>
      </c>
      <c r="G2396" s="25">
        <v>105</v>
      </c>
      <c r="H2396" s="62"/>
      <c r="I2396" s="25">
        <f>ROUND(G2396*AM2396,2)</f>
        <v>0</v>
      </c>
      <c r="J2396" s="25">
        <f>ROUND(G2396*AN2396,2)</f>
        <v>0</v>
      </c>
      <c r="K2396" s="25">
        <f>ROUND(G2396*H2396,2)</f>
        <v>0</v>
      </c>
      <c r="L2396" s="25">
        <v>1.7330000000000002E-2</v>
      </c>
      <c r="M2396" s="25">
        <f>G2396*L2396</f>
        <v>1.8196500000000002</v>
      </c>
      <c r="N2396" s="26"/>
      <c r="X2396" s="25">
        <f>ROUND(IF(AO2396="5",BH2396,0),2)</f>
        <v>0</v>
      </c>
      <c r="Z2396" s="25">
        <f>ROUND(IF(AO2396="1",BF2396,0),2)</f>
        <v>0</v>
      </c>
      <c r="AA2396" s="25">
        <f>ROUND(IF(AO2396="1",BG2396,0),2)</f>
        <v>0</v>
      </c>
      <c r="AB2396" s="25">
        <f>ROUND(IF(AO2396="7",BF2396,0),2)</f>
        <v>0</v>
      </c>
      <c r="AC2396" s="25">
        <f>ROUND(IF(AO2396="7",BG2396,0),2)</f>
        <v>0</v>
      </c>
      <c r="AD2396" s="25">
        <f>ROUND(IF(AO2396="2",BF2396,0),2)</f>
        <v>0</v>
      </c>
      <c r="AE2396" s="25">
        <f>ROUND(IF(AO2396="2",BG2396,0),2)</f>
        <v>0</v>
      </c>
      <c r="AF2396" s="25">
        <f>ROUND(IF(AO2396="0",BH2396,0),2)</f>
        <v>0</v>
      </c>
      <c r="AG2396" s="10" t="s">
        <v>2900</v>
      </c>
      <c r="AH2396" s="25">
        <f>IF(AL2396=0,K2396,0)</f>
        <v>0</v>
      </c>
      <c r="AI2396" s="25">
        <f>IF(AL2396=12,K2396,0)</f>
        <v>0</v>
      </c>
      <c r="AJ2396" s="25">
        <f>IF(AL2396=21,K2396,0)</f>
        <v>0</v>
      </c>
      <c r="AL2396" s="25">
        <v>21</v>
      </c>
      <c r="AM2396" s="25">
        <f>H2396*0.442589286</f>
        <v>0</v>
      </c>
      <c r="AN2396" s="25">
        <f>H2396*(1-0.442589286)</f>
        <v>0</v>
      </c>
      <c r="AO2396" s="27" t="s">
        <v>57</v>
      </c>
      <c r="AT2396" s="25">
        <f>ROUND(AU2396+AV2396,2)</f>
        <v>0</v>
      </c>
      <c r="AU2396" s="25">
        <f>ROUND(G2396*AM2396,2)</f>
        <v>0</v>
      </c>
      <c r="AV2396" s="25">
        <f>ROUND(G2396*AN2396,2)</f>
        <v>0</v>
      </c>
      <c r="AW2396" s="27" t="s">
        <v>665</v>
      </c>
      <c r="AX2396" s="27" t="s">
        <v>2907</v>
      </c>
      <c r="AY2396" s="10" t="s">
        <v>2903</v>
      </c>
      <c r="BA2396" s="25">
        <f>AU2396+AV2396</f>
        <v>0</v>
      </c>
      <c r="BB2396" s="25">
        <f>H2396/(100-BC2396)*100</f>
        <v>0</v>
      </c>
      <c r="BC2396" s="25">
        <v>0</v>
      </c>
      <c r="BD2396" s="25">
        <f>M2396</f>
        <v>1.8196500000000002</v>
      </c>
      <c r="BF2396" s="25">
        <f>G2396*AM2396</f>
        <v>0</v>
      </c>
      <c r="BG2396" s="25">
        <f>G2396*AN2396</f>
        <v>0</v>
      </c>
      <c r="BH2396" s="25">
        <f>G2396*H2396</f>
        <v>0</v>
      </c>
      <c r="BI2396" s="27" t="s">
        <v>65</v>
      </c>
      <c r="BJ2396" s="25">
        <v>61</v>
      </c>
      <c r="BU2396" s="25" t="e">
        <f>#REF!</f>
        <v>#REF!</v>
      </c>
      <c r="BV2396" s="4" t="s">
        <v>2929</v>
      </c>
    </row>
    <row r="2397" spans="1:74" ht="14.4" x14ac:dyDescent="0.3">
      <c r="A2397" s="28"/>
      <c r="D2397" s="29" t="s">
        <v>2930</v>
      </c>
      <c r="E2397" s="29" t="s">
        <v>52</v>
      </c>
      <c r="G2397" s="30">
        <v>105</v>
      </c>
      <c r="H2397" s="63"/>
      <c r="N2397" s="31"/>
    </row>
    <row r="2398" spans="1:74" ht="14.4" x14ac:dyDescent="0.3">
      <c r="A2398" s="2" t="s">
        <v>2931</v>
      </c>
      <c r="B2398" s="3" t="s">
        <v>2900</v>
      </c>
      <c r="C2398" s="3" t="s">
        <v>2932</v>
      </c>
      <c r="D2398" s="112" t="s">
        <v>2933</v>
      </c>
      <c r="E2398" s="109"/>
      <c r="F2398" s="3" t="s">
        <v>60</v>
      </c>
      <c r="G2398" s="25">
        <v>15.68</v>
      </c>
      <c r="H2398" s="62"/>
      <c r="I2398" s="25">
        <f>ROUND(G2398*AM2398,2)</f>
        <v>0</v>
      </c>
      <c r="J2398" s="25">
        <f>ROUND(G2398*AN2398,2)</f>
        <v>0</v>
      </c>
      <c r="K2398" s="25">
        <f>ROUND(G2398*H2398,2)</f>
        <v>0</v>
      </c>
      <c r="L2398" s="25">
        <v>6.8000000000000005E-2</v>
      </c>
      <c r="M2398" s="25">
        <f>G2398*L2398</f>
        <v>1.0662400000000001</v>
      </c>
      <c r="N2398" s="26"/>
      <c r="X2398" s="25">
        <f>ROUND(IF(AO2398="5",BH2398,0),2)</f>
        <v>0</v>
      </c>
      <c r="Z2398" s="25">
        <f>ROUND(IF(AO2398="1",BF2398,0),2)</f>
        <v>0</v>
      </c>
      <c r="AA2398" s="25">
        <f>ROUND(IF(AO2398="1",BG2398,0),2)</f>
        <v>0</v>
      </c>
      <c r="AB2398" s="25">
        <f>ROUND(IF(AO2398="7",BF2398,0),2)</f>
        <v>0</v>
      </c>
      <c r="AC2398" s="25">
        <f>ROUND(IF(AO2398="7",BG2398,0),2)</f>
        <v>0</v>
      </c>
      <c r="AD2398" s="25">
        <f>ROUND(IF(AO2398="2",BF2398,0),2)</f>
        <v>0</v>
      </c>
      <c r="AE2398" s="25">
        <f>ROUND(IF(AO2398="2",BG2398,0),2)</f>
        <v>0</v>
      </c>
      <c r="AF2398" s="25">
        <f>ROUND(IF(AO2398="0",BH2398,0),2)</f>
        <v>0</v>
      </c>
      <c r="AG2398" s="10" t="s">
        <v>2900</v>
      </c>
      <c r="AH2398" s="25">
        <f>IF(AL2398=0,K2398,0)</f>
        <v>0</v>
      </c>
      <c r="AI2398" s="25">
        <f>IF(AL2398=12,K2398,0)</f>
        <v>0</v>
      </c>
      <c r="AJ2398" s="25">
        <f>IF(AL2398=21,K2398,0)</f>
        <v>0</v>
      </c>
      <c r="AL2398" s="25">
        <v>21</v>
      </c>
      <c r="AM2398" s="25">
        <f>H2398*0.539399093</f>
        <v>0</v>
      </c>
      <c r="AN2398" s="25">
        <f>H2398*(1-0.539399093)</f>
        <v>0</v>
      </c>
      <c r="AO2398" s="27" t="s">
        <v>57</v>
      </c>
      <c r="AT2398" s="25">
        <f>ROUND(AU2398+AV2398,2)</f>
        <v>0</v>
      </c>
      <c r="AU2398" s="25">
        <f>ROUND(G2398*AM2398,2)</f>
        <v>0</v>
      </c>
      <c r="AV2398" s="25">
        <f>ROUND(G2398*AN2398,2)</f>
        <v>0</v>
      </c>
      <c r="AW2398" s="27" t="s">
        <v>665</v>
      </c>
      <c r="AX2398" s="27" t="s">
        <v>2907</v>
      </c>
      <c r="AY2398" s="10" t="s">
        <v>2903</v>
      </c>
      <c r="BA2398" s="25">
        <f>AU2398+AV2398</f>
        <v>0</v>
      </c>
      <c r="BB2398" s="25">
        <f>H2398/(100-BC2398)*100</f>
        <v>0</v>
      </c>
      <c r="BC2398" s="25">
        <v>0</v>
      </c>
      <c r="BD2398" s="25">
        <f>M2398</f>
        <v>1.0662400000000001</v>
      </c>
      <c r="BF2398" s="25">
        <f>G2398*AM2398</f>
        <v>0</v>
      </c>
      <c r="BG2398" s="25">
        <f>G2398*AN2398</f>
        <v>0</v>
      </c>
      <c r="BH2398" s="25">
        <f>G2398*H2398</f>
        <v>0</v>
      </c>
      <c r="BI2398" s="27" t="s">
        <v>65</v>
      </c>
      <c r="BJ2398" s="25">
        <v>61</v>
      </c>
      <c r="BU2398" s="25" t="e">
        <f>#REF!</f>
        <v>#REF!</v>
      </c>
      <c r="BV2398" s="4" t="s">
        <v>2933</v>
      </c>
    </row>
    <row r="2399" spans="1:74" ht="14.4" x14ac:dyDescent="0.3">
      <c r="A2399" s="28"/>
      <c r="D2399" s="29" t="s">
        <v>2934</v>
      </c>
      <c r="E2399" s="29" t="s">
        <v>52</v>
      </c>
      <c r="G2399" s="30">
        <v>15.68</v>
      </c>
      <c r="H2399" s="63"/>
      <c r="N2399" s="31"/>
    </row>
    <row r="2400" spans="1:74" ht="14.4" x14ac:dyDescent="0.3">
      <c r="A2400" s="2" t="s">
        <v>2935</v>
      </c>
      <c r="B2400" s="3" t="s">
        <v>2900</v>
      </c>
      <c r="C2400" s="3" t="s">
        <v>1081</v>
      </c>
      <c r="D2400" s="112" t="s">
        <v>1082</v>
      </c>
      <c r="E2400" s="109"/>
      <c r="F2400" s="3" t="s">
        <v>278</v>
      </c>
      <c r="G2400" s="25">
        <v>9.1157599999999999</v>
      </c>
      <c r="H2400" s="62"/>
      <c r="I2400" s="25">
        <f>ROUND(G2400*AM2400,2)</f>
        <v>0</v>
      </c>
      <c r="J2400" s="25">
        <f>ROUND(G2400*AN2400,2)</f>
        <v>0</v>
      </c>
      <c r="K2400" s="25">
        <f>ROUND(G2400*H2400,2)</f>
        <v>0</v>
      </c>
      <c r="L2400" s="25">
        <v>0</v>
      </c>
      <c r="M2400" s="25">
        <f>G2400*L2400</f>
        <v>0</v>
      </c>
      <c r="N2400" s="26"/>
      <c r="X2400" s="25">
        <f>ROUND(IF(AO2400="5",BH2400,0),2)</f>
        <v>0</v>
      </c>
      <c r="Z2400" s="25">
        <f>ROUND(IF(AO2400="1",BF2400,0),2)</f>
        <v>0</v>
      </c>
      <c r="AA2400" s="25">
        <f>ROUND(IF(AO2400="1",BG2400,0),2)</f>
        <v>0</v>
      </c>
      <c r="AB2400" s="25">
        <f>ROUND(IF(AO2400="7",BF2400,0),2)</f>
        <v>0</v>
      </c>
      <c r="AC2400" s="25">
        <f>ROUND(IF(AO2400="7",BG2400,0),2)</f>
        <v>0</v>
      </c>
      <c r="AD2400" s="25">
        <f>ROUND(IF(AO2400="2",BF2400,0),2)</f>
        <v>0</v>
      </c>
      <c r="AE2400" s="25">
        <f>ROUND(IF(AO2400="2",BG2400,0),2)</f>
        <v>0</v>
      </c>
      <c r="AF2400" s="25">
        <f>ROUND(IF(AO2400="0",BH2400,0),2)</f>
        <v>0</v>
      </c>
      <c r="AG2400" s="10" t="s">
        <v>2900</v>
      </c>
      <c r="AH2400" s="25">
        <f>IF(AL2400=0,K2400,0)</f>
        <v>0</v>
      </c>
      <c r="AI2400" s="25">
        <f>IF(AL2400=12,K2400,0)</f>
        <v>0</v>
      </c>
      <c r="AJ2400" s="25">
        <f>IF(AL2400=21,K2400,0)</f>
        <v>0</v>
      </c>
      <c r="AL2400" s="25">
        <v>21</v>
      </c>
      <c r="AM2400" s="25">
        <f>H2400*0</f>
        <v>0</v>
      </c>
      <c r="AN2400" s="25">
        <f>H2400*(1-0)</f>
        <v>0</v>
      </c>
      <c r="AO2400" s="27" t="s">
        <v>97</v>
      </c>
      <c r="AT2400" s="25">
        <f>ROUND(AU2400+AV2400,2)</f>
        <v>0</v>
      </c>
      <c r="AU2400" s="25">
        <f>ROUND(G2400*AM2400,2)</f>
        <v>0</v>
      </c>
      <c r="AV2400" s="25">
        <f>ROUND(G2400*AN2400,2)</f>
        <v>0</v>
      </c>
      <c r="AW2400" s="27" t="s">
        <v>665</v>
      </c>
      <c r="AX2400" s="27" t="s">
        <v>2907</v>
      </c>
      <c r="AY2400" s="10" t="s">
        <v>2903</v>
      </c>
      <c r="BA2400" s="25">
        <f>AU2400+AV2400</f>
        <v>0</v>
      </c>
      <c r="BB2400" s="25">
        <f>H2400/(100-BC2400)*100</f>
        <v>0</v>
      </c>
      <c r="BC2400" s="25">
        <v>0</v>
      </c>
      <c r="BD2400" s="25">
        <f>M2400</f>
        <v>0</v>
      </c>
      <c r="BF2400" s="25">
        <f>G2400*AM2400</f>
        <v>0</v>
      </c>
      <c r="BG2400" s="25">
        <f>G2400*AN2400</f>
        <v>0</v>
      </c>
      <c r="BH2400" s="25">
        <f>G2400*H2400</f>
        <v>0</v>
      </c>
      <c r="BI2400" s="27" t="s">
        <v>65</v>
      </c>
      <c r="BJ2400" s="25">
        <v>61</v>
      </c>
      <c r="BU2400" s="25" t="e">
        <f>#REF!</f>
        <v>#REF!</v>
      </c>
      <c r="BV2400" s="4" t="s">
        <v>1082</v>
      </c>
    </row>
    <row r="2401" spans="1:74" ht="14.4" x14ac:dyDescent="0.3">
      <c r="A2401" s="28"/>
      <c r="D2401" s="29" t="s">
        <v>2936</v>
      </c>
      <c r="E2401" s="29" t="s">
        <v>52</v>
      </c>
      <c r="G2401" s="30">
        <v>7.383</v>
      </c>
      <c r="H2401" s="63"/>
      <c r="N2401" s="31"/>
    </row>
    <row r="2402" spans="1:74" ht="14.4" x14ac:dyDescent="0.3">
      <c r="A2402" s="21" t="s">
        <v>52</v>
      </c>
      <c r="B2402" s="22" t="s">
        <v>2900</v>
      </c>
      <c r="C2402" s="22" t="s">
        <v>1362</v>
      </c>
      <c r="D2402" s="170" t="s">
        <v>1363</v>
      </c>
      <c r="E2402" s="171"/>
      <c r="F2402" s="23" t="s">
        <v>32</v>
      </c>
      <c r="G2402" s="23" t="s">
        <v>32</v>
      </c>
      <c r="H2402" s="64"/>
      <c r="I2402" s="1">
        <f>SUM(I2403:I2411)</f>
        <v>0</v>
      </c>
      <c r="J2402" s="1">
        <f>SUM(J2403:J2411)</f>
        <v>0</v>
      </c>
      <c r="K2402" s="1">
        <f>SUM(K2403:K2411)</f>
        <v>0</v>
      </c>
      <c r="L2402" s="10" t="s">
        <v>52</v>
      </c>
      <c r="M2402" s="1">
        <f>SUM(M2403:M2411)</f>
        <v>8.0999999999999996E-3</v>
      </c>
      <c r="N2402" s="24"/>
      <c r="AG2402" s="10" t="s">
        <v>2900</v>
      </c>
      <c r="AQ2402" s="1">
        <f>SUM(AH2403:AH2411)</f>
        <v>0</v>
      </c>
      <c r="AR2402" s="1">
        <f>SUM(AI2403:AI2411)</f>
        <v>0</v>
      </c>
      <c r="AS2402" s="1">
        <f>SUM(AJ2403:AJ2411)</f>
        <v>0</v>
      </c>
    </row>
    <row r="2403" spans="1:74" ht="14.4" x14ac:dyDescent="0.3">
      <c r="A2403" s="2" t="s">
        <v>2937</v>
      </c>
      <c r="B2403" s="3" t="s">
        <v>2900</v>
      </c>
      <c r="C2403" s="3" t="s">
        <v>1397</v>
      </c>
      <c r="D2403" s="112" t="s">
        <v>1398</v>
      </c>
      <c r="E2403" s="109"/>
      <c r="F2403" s="3" t="s">
        <v>122</v>
      </c>
      <c r="G2403" s="25">
        <v>1</v>
      </c>
      <c r="H2403" s="62"/>
      <c r="I2403" s="25">
        <f>ROUND(G2403*AM2403,2)</f>
        <v>0</v>
      </c>
      <c r="J2403" s="25">
        <f>ROUND(G2403*AN2403,2)</f>
        <v>0</v>
      </c>
      <c r="K2403" s="25">
        <f>ROUND(G2403*H2403,2)</f>
        <v>0</v>
      </c>
      <c r="L2403" s="25">
        <v>1E-3</v>
      </c>
      <c r="M2403" s="25">
        <f>G2403*L2403</f>
        <v>1E-3</v>
      </c>
      <c r="N2403" s="26"/>
      <c r="X2403" s="25">
        <f>ROUND(IF(AO2403="5",BH2403,0),2)</f>
        <v>0</v>
      </c>
      <c r="Z2403" s="25">
        <f>ROUND(IF(AO2403="1",BF2403,0),2)</f>
        <v>0</v>
      </c>
      <c r="AA2403" s="25">
        <f>ROUND(IF(AO2403="1",BG2403,0),2)</f>
        <v>0</v>
      </c>
      <c r="AB2403" s="25">
        <f>ROUND(IF(AO2403="7",BF2403,0),2)</f>
        <v>0</v>
      </c>
      <c r="AC2403" s="25">
        <f>ROUND(IF(AO2403="7",BG2403,0),2)</f>
        <v>0</v>
      </c>
      <c r="AD2403" s="25">
        <f>ROUND(IF(AO2403="2",BF2403,0),2)</f>
        <v>0</v>
      </c>
      <c r="AE2403" s="25">
        <f>ROUND(IF(AO2403="2",BG2403,0),2)</f>
        <v>0</v>
      </c>
      <c r="AF2403" s="25">
        <f>ROUND(IF(AO2403="0",BH2403,0),2)</f>
        <v>0</v>
      </c>
      <c r="AG2403" s="10" t="s">
        <v>2900</v>
      </c>
      <c r="AH2403" s="25">
        <f>IF(AL2403=0,K2403,0)</f>
        <v>0</v>
      </c>
      <c r="AI2403" s="25">
        <f>IF(AL2403=12,K2403,0)</f>
        <v>0</v>
      </c>
      <c r="AJ2403" s="25">
        <f>IF(AL2403=21,K2403,0)</f>
        <v>0</v>
      </c>
      <c r="AL2403" s="25">
        <v>21</v>
      </c>
      <c r="AM2403" s="25">
        <f>H2403*0</f>
        <v>0</v>
      </c>
      <c r="AN2403" s="25">
        <f>H2403*(1-0)</f>
        <v>0</v>
      </c>
      <c r="AO2403" s="27" t="s">
        <v>61</v>
      </c>
      <c r="AT2403" s="25">
        <f>ROUND(AU2403+AV2403,2)</f>
        <v>0</v>
      </c>
      <c r="AU2403" s="25">
        <f>ROUND(G2403*AM2403,2)</f>
        <v>0</v>
      </c>
      <c r="AV2403" s="25">
        <f>ROUND(G2403*AN2403,2)</f>
        <v>0</v>
      </c>
      <c r="AW2403" s="27" t="s">
        <v>1367</v>
      </c>
      <c r="AX2403" s="27" t="s">
        <v>2938</v>
      </c>
      <c r="AY2403" s="10" t="s">
        <v>2903</v>
      </c>
      <c r="BA2403" s="25">
        <f>AU2403+AV2403</f>
        <v>0</v>
      </c>
      <c r="BB2403" s="25">
        <f>H2403/(100-BC2403)*100</f>
        <v>0</v>
      </c>
      <c r="BC2403" s="25">
        <v>0</v>
      </c>
      <c r="BD2403" s="25">
        <f>M2403</f>
        <v>1E-3</v>
      </c>
      <c r="BF2403" s="25">
        <f>G2403*AM2403</f>
        <v>0</v>
      </c>
      <c r="BG2403" s="25">
        <f>G2403*AN2403</f>
        <v>0</v>
      </c>
      <c r="BH2403" s="25">
        <f>G2403*H2403</f>
        <v>0</v>
      </c>
      <c r="BI2403" s="27" t="s">
        <v>65</v>
      </c>
      <c r="BJ2403" s="25">
        <v>712</v>
      </c>
      <c r="BU2403" s="25" t="e">
        <f>#REF!</f>
        <v>#REF!</v>
      </c>
      <c r="BV2403" s="4" t="s">
        <v>1398</v>
      </c>
    </row>
    <row r="2404" spans="1:74" ht="14.4" x14ac:dyDescent="0.3">
      <c r="A2404" s="28"/>
      <c r="D2404" s="29" t="s">
        <v>57</v>
      </c>
      <c r="E2404" s="29" t="s">
        <v>52</v>
      </c>
      <c r="G2404" s="30">
        <v>1</v>
      </c>
      <c r="H2404" s="63"/>
      <c r="N2404" s="31"/>
    </row>
    <row r="2405" spans="1:74" ht="14.4" x14ac:dyDescent="0.3">
      <c r="A2405" s="2" t="s">
        <v>2939</v>
      </c>
      <c r="B2405" s="3" t="s">
        <v>2900</v>
      </c>
      <c r="C2405" s="3" t="s">
        <v>1394</v>
      </c>
      <c r="D2405" s="112" t="s">
        <v>1395</v>
      </c>
      <c r="E2405" s="109"/>
      <c r="F2405" s="3" t="s">
        <v>122</v>
      </c>
      <c r="G2405" s="25">
        <v>1</v>
      </c>
      <c r="H2405" s="62"/>
      <c r="I2405" s="25">
        <f>ROUND(G2405*AM2405,2)</f>
        <v>0</v>
      </c>
      <c r="J2405" s="25">
        <f>ROUND(G2405*AN2405,2)</f>
        <v>0</v>
      </c>
      <c r="K2405" s="25">
        <f>ROUND(G2405*H2405,2)</f>
        <v>0</v>
      </c>
      <c r="L2405" s="25">
        <v>3.7499999999999999E-3</v>
      </c>
      <c r="M2405" s="25">
        <f>G2405*L2405</f>
        <v>3.7499999999999999E-3</v>
      </c>
      <c r="N2405" s="26"/>
      <c r="X2405" s="25">
        <f>ROUND(IF(AO2405="5",BH2405,0),2)</f>
        <v>0</v>
      </c>
      <c r="Z2405" s="25">
        <f>ROUND(IF(AO2405="1",BF2405,0),2)</f>
        <v>0</v>
      </c>
      <c r="AA2405" s="25">
        <f>ROUND(IF(AO2405="1",BG2405,0),2)</f>
        <v>0</v>
      </c>
      <c r="AB2405" s="25">
        <f>ROUND(IF(AO2405="7",BF2405,0),2)</f>
        <v>0</v>
      </c>
      <c r="AC2405" s="25">
        <f>ROUND(IF(AO2405="7",BG2405,0),2)</f>
        <v>0</v>
      </c>
      <c r="AD2405" s="25">
        <f>ROUND(IF(AO2405="2",BF2405,0),2)</f>
        <v>0</v>
      </c>
      <c r="AE2405" s="25">
        <f>ROUND(IF(AO2405="2",BG2405,0),2)</f>
        <v>0</v>
      </c>
      <c r="AF2405" s="25">
        <f>ROUND(IF(AO2405="0",BH2405,0),2)</f>
        <v>0</v>
      </c>
      <c r="AG2405" s="10" t="s">
        <v>2900</v>
      </c>
      <c r="AH2405" s="25">
        <f>IF(AL2405=0,K2405,0)</f>
        <v>0</v>
      </c>
      <c r="AI2405" s="25">
        <f>IF(AL2405=12,K2405,0)</f>
        <v>0</v>
      </c>
      <c r="AJ2405" s="25">
        <f>IF(AL2405=21,K2405,0)</f>
        <v>0</v>
      </c>
      <c r="AL2405" s="25">
        <v>21</v>
      </c>
      <c r="AM2405" s="25">
        <f>H2405*1</f>
        <v>0</v>
      </c>
      <c r="AN2405" s="25">
        <f>H2405*(1-1)</f>
        <v>0</v>
      </c>
      <c r="AO2405" s="27" t="s">
        <v>61</v>
      </c>
      <c r="AT2405" s="25">
        <f>ROUND(AU2405+AV2405,2)</f>
        <v>0</v>
      </c>
      <c r="AU2405" s="25">
        <f>ROUND(G2405*AM2405,2)</f>
        <v>0</v>
      </c>
      <c r="AV2405" s="25">
        <f>ROUND(G2405*AN2405,2)</f>
        <v>0</v>
      </c>
      <c r="AW2405" s="27" t="s">
        <v>1367</v>
      </c>
      <c r="AX2405" s="27" t="s">
        <v>2938</v>
      </c>
      <c r="AY2405" s="10" t="s">
        <v>2903</v>
      </c>
      <c r="BA2405" s="25">
        <f>AU2405+AV2405</f>
        <v>0</v>
      </c>
      <c r="BB2405" s="25">
        <f>H2405/(100-BC2405)*100</f>
        <v>0</v>
      </c>
      <c r="BC2405" s="25">
        <v>0</v>
      </c>
      <c r="BD2405" s="25">
        <f>M2405</f>
        <v>3.7499999999999999E-3</v>
      </c>
      <c r="BF2405" s="25">
        <f>G2405*AM2405</f>
        <v>0</v>
      </c>
      <c r="BG2405" s="25">
        <f>G2405*AN2405</f>
        <v>0</v>
      </c>
      <c r="BH2405" s="25">
        <f>G2405*H2405</f>
        <v>0</v>
      </c>
      <c r="BI2405" s="27" t="s">
        <v>65</v>
      </c>
      <c r="BJ2405" s="25">
        <v>712</v>
      </c>
      <c r="BU2405" s="25" t="e">
        <f>#REF!</f>
        <v>#REF!</v>
      </c>
      <c r="BV2405" s="4" t="s">
        <v>1395</v>
      </c>
    </row>
    <row r="2406" spans="1:74" ht="14.4" x14ac:dyDescent="0.3">
      <c r="A2406" s="28"/>
      <c r="D2406" s="29" t="s">
        <v>57</v>
      </c>
      <c r="E2406" s="29" t="s">
        <v>52</v>
      </c>
      <c r="G2406" s="30">
        <v>1</v>
      </c>
      <c r="H2406" s="63"/>
      <c r="N2406" s="31"/>
    </row>
    <row r="2407" spans="1:74" ht="14.4" x14ac:dyDescent="0.3">
      <c r="A2407" s="2" t="s">
        <v>2940</v>
      </c>
      <c r="B2407" s="3" t="s">
        <v>2900</v>
      </c>
      <c r="C2407" s="3" t="s">
        <v>1388</v>
      </c>
      <c r="D2407" s="112" t="s">
        <v>1389</v>
      </c>
      <c r="E2407" s="109"/>
      <c r="F2407" s="3" t="s">
        <v>122</v>
      </c>
      <c r="G2407" s="25">
        <v>1</v>
      </c>
      <c r="H2407" s="62"/>
      <c r="I2407" s="25">
        <f>ROUND(G2407*AM2407,2)</f>
        <v>0</v>
      </c>
      <c r="J2407" s="25">
        <f>ROUND(G2407*AN2407,2)</f>
        <v>0</v>
      </c>
      <c r="K2407" s="25">
        <f>ROUND(G2407*H2407,2)</f>
        <v>0</v>
      </c>
      <c r="L2407" s="25">
        <v>1.25E-3</v>
      </c>
      <c r="M2407" s="25">
        <f>G2407*L2407</f>
        <v>1.25E-3</v>
      </c>
      <c r="N2407" s="26"/>
      <c r="X2407" s="25">
        <f>ROUND(IF(AO2407="5",BH2407,0),2)</f>
        <v>0</v>
      </c>
      <c r="Z2407" s="25">
        <f>ROUND(IF(AO2407="1",BF2407,0),2)</f>
        <v>0</v>
      </c>
      <c r="AA2407" s="25">
        <f>ROUND(IF(AO2407="1",BG2407,0),2)</f>
        <v>0</v>
      </c>
      <c r="AB2407" s="25">
        <f>ROUND(IF(AO2407="7",BF2407,0),2)</f>
        <v>0</v>
      </c>
      <c r="AC2407" s="25">
        <f>ROUND(IF(AO2407="7",BG2407,0),2)</f>
        <v>0</v>
      </c>
      <c r="AD2407" s="25">
        <f>ROUND(IF(AO2407="2",BF2407,0),2)</f>
        <v>0</v>
      </c>
      <c r="AE2407" s="25">
        <f>ROUND(IF(AO2407="2",BG2407,0),2)</f>
        <v>0</v>
      </c>
      <c r="AF2407" s="25">
        <f>ROUND(IF(AO2407="0",BH2407,0),2)</f>
        <v>0</v>
      </c>
      <c r="AG2407" s="10" t="s">
        <v>2900</v>
      </c>
      <c r="AH2407" s="25">
        <f>IF(AL2407=0,K2407,0)</f>
        <v>0</v>
      </c>
      <c r="AI2407" s="25">
        <f>IF(AL2407=12,K2407,0)</f>
        <v>0</v>
      </c>
      <c r="AJ2407" s="25">
        <f>IF(AL2407=21,K2407,0)</f>
        <v>0</v>
      </c>
      <c r="AL2407" s="25">
        <v>21</v>
      </c>
      <c r="AM2407" s="25">
        <f>H2407*0</f>
        <v>0</v>
      </c>
      <c r="AN2407" s="25">
        <f>H2407*(1-0)</f>
        <v>0</v>
      </c>
      <c r="AO2407" s="27" t="s">
        <v>61</v>
      </c>
      <c r="AT2407" s="25">
        <f>ROUND(AU2407+AV2407,2)</f>
        <v>0</v>
      </c>
      <c r="AU2407" s="25">
        <f>ROUND(G2407*AM2407,2)</f>
        <v>0</v>
      </c>
      <c r="AV2407" s="25">
        <f>ROUND(G2407*AN2407,2)</f>
        <v>0</v>
      </c>
      <c r="AW2407" s="27" t="s">
        <v>1367</v>
      </c>
      <c r="AX2407" s="27" t="s">
        <v>2938</v>
      </c>
      <c r="AY2407" s="10" t="s">
        <v>2903</v>
      </c>
      <c r="BA2407" s="25">
        <f>AU2407+AV2407</f>
        <v>0</v>
      </c>
      <c r="BB2407" s="25">
        <f>H2407/(100-BC2407)*100</f>
        <v>0</v>
      </c>
      <c r="BC2407" s="25">
        <v>0</v>
      </c>
      <c r="BD2407" s="25">
        <f>M2407</f>
        <v>1.25E-3</v>
      </c>
      <c r="BF2407" s="25">
        <f>G2407*AM2407</f>
        <v>0</v>
      </c>
      <c r="BG2407" s="25">
        <f>G2407*AN2407</f>
        <v>0</v>
      </c>
      <c r="BH2407" s="25">
        <f>G2407*H2407</f>
        <v>0</v>
      </c>
      <c r="BI2407" s="27" t="s">
        <v>65</v>
      </c>
      <c r="BJ2407" s="25">
        <v>712</v>
      </c>
      <c r="BU2407" s="25" t="e">
        <f>#REF!</f>
        <v>#REF!</v>
      </c>
      <c r="BV2407" s="4" t="s">
        <v>1389</v>
      </c>
    </row>
    <row r="2408" spans="1:74" ht="14.4" x14ac:dyDescent="0.3">
      <c r="A2408" s="28"/>
      <c r="D2408" s="29" t="s">
        <v>57</v>
      </c>
      <c r="E2408" s="29" t="s">
        <v>52</v>
      </c>
      <c r="G2408" s="30">
        <v>1</v>
      </c>
      <c r="H2408" s="63"/>
      <c r="N2408" s="31"/>
    </row>
    <row r="2409" spans="1:74" ht="14.4" x14ac:dyDescent="0.3">
      <c r="A2409" s="2" t="s">
        <v>2941</v>
      </c>
      <c r="B2409" s="3" t="s">
        <v>2900</v>
      </c>
      <c r="C2409" s="3" t="s">
        <v>1400</v>
      </c>
      <c r="D2409" s="112" t="s">
        <v>1401</v>
      </c>
      <c r="E2409" s="109"/>
      <c r="F2409" s="3" t="s">
        <v>278</v>
      </c>
      <c r="G2409" s="25">
        <v>1.6750000000000001E-2</v>
      </c>
      <c r="H2409" s="62"/>
      <c r="I2409" s="25">
        <f>ROUND(G2409*AM2409,2)</f>
        <v>0</v>
      </c>
      <c r="J2409" s="25">
        <f>ROUND(G2409*AN2409,2)</f>
        <v>0</v>
      </c>
      <c r="K2409" s="25">
        <f>ROUND(G2409*H2409,2)</f>
        <v>0</v>
      </c>
      <c r="L2409" s="25">
        <v>0</v>
      </c>
      <c r="M2409" s="25">
        <f>G2409*L2409</f>
        <v>0</v>
      </c>
      <c r="N2409" s="26"/>
      <c r="X2409" s="25">
        <f>ROUND(IF(AO2409="5",BH2409,0),2)</f>
        <v>0</v>
      </c>
      <c r="Z2409" s="25">
        <f>ROUND(IF(AO2409="1",BF2409,0),2)</f>
        <v>0</v>
      </c>
      <c r="AA2409" s="25">
        <f>ROUND(IF(AO2409="1",BG2409,0),2)</f>
        <v>0</v>
      </c>
      <c r="AB2409" s="25">
        <f>ROUND(IF(AO2409="7",BF2409,0),2)</f>
        <v>0</v>
      </c>
      <c r="AC2409" s="25">
        <f>ROUND(IF(AO2409="7",BG2409,0),2)</f>
        <v>0</v>
      </c>
      <c r="AD2409" s="25">
        <f>ROUND(IF(AO2409="2",BF2409,0),2)</f>
        <v>0</v>
      </c>
      <c r="AE2409" s="25">
        <f>ROUND(IF(AO2409="2",BG2409,0),2)</f>
        <v>0</v>
      </c>
      <c r="AF2409" s="25">
        <f>ROUND(IF(AO2409="0",BH2409,0),2)</f>
        <v>0</v>
      </c>
      <c r="AG2409" s="10" t="s">
        <v>2900</v>
      </c>
      <c r="AH2409" s="25">
        <f>IF(AL2409=0,K2409,0)</f>
        <v>0</v>
      </c>
      <c r="AI2409" s="25">
        <f>IF(AL2409=12,K2409,0)</f>
        <v>0</v>
      </c>
      <c r="AJ2409" s="25">
        <f>IF(AL2409=21,K2409,0)</f>
        <v>0</v>
      </c>
      <c r="AL2409" s="25">
        <v>21</v>
      </c>
      <c r="AM2409" s="25">
        <f>H2409*0</f>
        <v>0</v>
      </c>
      <c r="AN2409" s="25">
        <f>H2409*(1-0)</f>
        <v>0</v>
      </c>
      <c r="AO2409" s="27" t="s">
        <v>97</v>
      </c>
      <c r="AT2409" s="25">
        <f>ROUND(AU2409+AV2409,2)</f>
        <v>0</v>
      </c>
      <c r="AU2409" s="25">
        <f>ROUND(G2409*AM2409,2)</f>
        <v>0</v>
      </c>
      <c r="AV2409" s="25">
        <f>ROUND(G2409*AN2409,2)</f>
        <v>0</v>
      </c>
      <c r="AW2409" s="27" t="s">
        <v>1367</v>
      </c>
      <c r="AX2409" s="27" t="s">
        <v>2938</v>
      </c>
      <c r="AY2409" s="10" t="s">
        <v>2903</v>
      </c>
      <c r="BA2409" s="25">
        <f>AU2409+AV2409</f>
        <v>0</v>
      </c>
      <c r="BB2409" s="25">
        <f>H2409/(100-BC2409)*100</f>
        <v>0</v>
      </c>
      <c r="BC2409" s="25">
        <v>0</v>
      </c>
      <c r="BD2409" s="25">
        <f>M2409</f>
        <v>0</v>
      </c>
      <c r="BF2409" s="25">
        <f>G2409*AM2409</f>
        <v>0</v>
      </c>
      <c r="BG2409" s="25">
        <f>G2409*AN2409</f>
        <v>0</v>
      </c>
      <c r="BH2409" s="25">
        <f>G2409*H2409</f>
        <v>0</v>
      </c>
      <c r="BI2409" s="27" t="s">
        <v>65</v>
      </c>
      <c r="BJ2409" s="25">
        <v>712</v>
      </c>
      <c r="BU2409" s="25" t="e">
        <f>#REF!</f>
        <v>#REF!</v>
      </c>
      <c r="BV2409" s="4" t="s">
        <v>1401</v>
      </c>
    </row>
    <row r="2410" spans="1:74" ht="14.4" x14ac:dyDescent="0.3">
      <c r="A2410" s="28"/>
      <c r="D2410" s="29" t="s">
        <v>57</v>
      </c>
      <c r="E2410" s="29" t="s">
        <v>52</v>
      </c>
      <c r="G2410" s="30">
        <v>1</v>
      </c>
      <c r="H2410" s="63"/>
      <c r="N2410" s="31"/>
    </row>
    <row r="2411" spans="1:74" ht="14.4" x14ac:dyDescent="0.3">
      <c r="A2411" s="2" t="s">
        <v>2942</v>
      </c>
      <c r="B2411" s="3" t="s">
        <v>2900</v>
      </c>
      <c r="C2411" s="3" t="s">
        <v>1391</v>
      </c>
      <c r="D2411" s="112" t="s">
        <v>1392</v>
      </c>
      <c r="E2411" s="109"/>
      <c r="F2411" s="3" t="s">
        <v>122</v>
      </c>
      <c r="G2411" s="25">
        <v>1</v>
      </c>
      <c r="H2411" s="62"/>
      <c r="I2411" s="25">
        <f>ROUND(G2411*AM2411,2)</f>
        <v>0</v>
      </c>
      <c r="J2411" s="25">
        <f>ROUND(G2411*AN2411,2)</f>
        <v>0</v>
      </c>
      <c r="K2411" s="25">
        <f>ROUND(G2411*H2411,2)</f>
        <v>0</v>
      </c>
      <c r="L2411" s="25">
        <v>2.0999999999999999E-3</v>
      </c>
      <c r="M2411" s="25">
        <f>G2411*L2411</f>
        <v>2.0999999999999999E-3</v>
      </c>
      <c r="N2411" s="26"/>
      <c r="X2411" s="25">
        <f>ROUND(IF(AO2411="5",BH2411,0),2)</f>
        <v>0</v>
      </c>
      <c r="Z2411" s="25">
        <f>ROUND(IF(AO2411="1",BF2411,0),2)</f>
        <v>0</v>
      </c>
      <c r="AA2411" s="25">
        <f>ROUND(IF(AO2411="1",BG2411,0),2)</f>
        <v>0</v>
      </c>
      <c r="AB2411" s="25">
        <f>ROUND(IF(AO2411="7",BF2411,0),2)</f>
        <v>0</v>
      </c>
      <c r="AC2411" s="25">
        <f>ROUND(IF(AO2411="7",BG2411,0),2)</f>
        <v>0</v>
      </c>
      <c r="AD2411" s="25">
        <f>ROUND(IF(AO2411="2",BF2411,0),2)</f>
        <v>0</v>
      </c>
      <c r="AE2411" s="25">
        <f>ROUND(IF(AO2411="2",BG2411,0),2)</f>
        <v>0</v>
      </c>
      <c r="AF2411" s="25">
        <f>ROUND(IF(AO2411="0",BH2411,0),2)</f>
        <v>0</v>
      </c>
      <c r="AG2411" s="10" t="s">
        <v>2900</v>
      </c>
      <c r="AH2411" s="25">
        <f>IF(AL2411=0,K2411,0)</f>
        <v>0</v>
      </c>
      <c r="AI2411" s="25">
        <f>IF(AL2411=12,K2411,0)</f>
        <v>0</v>
      </c>
      <c r="AJ2411" s="25">
        <f>IF(AL2411=21,K2411,0)</f>
        <v>0</v>
      </c>
      <c r="AL2411" s="25">
        <v>21</v>
      </c>
      <c r="AM2411" s="25">
        <f>H2411*1</f>
        <v>0</v>
      </c>
      <c r="AN2411" s="25">
        <f>H2411*(1-1)</f>
        <v>0</v>
      </c>
      <c r="AO2411" s="27" t="s">
        <v>61</v>
      </c>
      <c r="AT2411" s="25">
        <f>ROUND(AU2411+AV2411,2)</f>
        <v>0</v>
      </c>
      <c r="AU2411" s="25">
        <f>ROUND(G2411*AM2411,2)</f>
        <v>0</v>
      </c>
      <c r="AV2411" s="25">
        <f>ROUND(G2411*AN2411,2)</f>
        <v>0</v>
      </c>
      <c r="AW2411" s="27" t="s">
        <v>1367</v>
      </c>
      <c r="AX2411" s="27" t="s">
        <v>2938</v>
      </c>
      <c r="AY2411" s="10" t="s">
        <v>2903</v>
      </c>
      <c r="BA2411" s="25">
        <f>AU2411+AV2411</f>
        <v>0</v>
      </c>
      <c r="BB2411" s="25">
        <f>H2411/(100-BC2411)*100</f>
        <v>0</v>
      </c>
      <c r="BC2411" s="25">
        <v>0</v>
      </c>
      <c r="BD2411" s="25">
        <f>M2411</f>
        <v>2.0999999999999999E-3</v>
      </c>
      <c r="BF2411" s="25">
        <f>G2411*AM2411</f>
        <v>0</v>
      </c>
      <c r="BG2411" s="25">
        <f>G2411*AN2411</f>
        <v>0</v>
      </c>
      <c r="BH2411" s="25">
        <f>G2411*H2411</f>
        <v>0</v>
      </c>
      <c r="BI2411" s="27" t="s">
        <v>576</v>
      </c>
      <c r="BJ2411" s="25">
        <v>712</v>
      </c>
      <c r="BU2411" s="25" t="e">
        <f>#REF!</f>
        <v>#REF!</v>
      </c>
      <c r="BV2411" s="4" t="s">
        <v>1392</v>
      </c>
    </row>
    <row r="2412" spans="1:74" ht="14.4" x14ac:dyDescent="0.3">
      <c r="A2412" s="28"/>
      <c r="D2412" s="29" t="s">
        <v>57</v>
      </c>
      <c r="E2412" s="29" t="s">
        <v>52</v>
      </c>
      <c r="G2412" s="30">
        <v>1</v>
      </c>
      <c r="H2412" s="63"/>
      <c r="N2412" s="31"/>
    </row>
    <row r="2413" spans="1:74" ht="14.4" x14ac:dyDescent="0.3">
      <c r="A2413" s="21" t="s">
        <v>52</v>
      </c>
      <c r="B2413" s="22" t="s">
        <v>2900</v>
      </c>
      <c r="C2413" s="22" t="s">
        <v>555</v>
      </c>
      <c r="D2413" s="170" t="s">
        <v>1675</v>
      </c>
      <c r="E2413" s="171"/>
      <c r="F2413" s="23" t="s">
        <v>32</v>
      </c>
      <c r="G2413" s="23" t="s">
        <v>32</v>
      </c>
      <c r="H2413" s="64"/>
      <c r="I2413" s="1">
        <f>SUM(I2414:I2426)</f>
        <v>0</v>
      </c>
      <c r="J2413" s="1">
        <f>SUM(J2414:J2426)</f>
        <v>0</v>
      </c>
      <c r="K2413" s="1">
        <f>SUM(K2414:K2426)</f>
        <v>0</v>
      </c>
      <c r="L2413" s="10" t="s">
        <v>52</v>
      </c>
      <c r="M2413" s="1">
        <f>SUM(M2414:M2426)</f>
        <v>0</v>
      </c>
      <c r="N2413" s="24"/>
      <c r="AG2413" s="10" t="s">
        <v>2900</v>
      </c>
      <c r="AQ2413" s="1">
        <f>SUM(AH2414:AH2426)</f>
        <v>0</v>
      </c>
      <c r="AR2413" s="1">
        <f>SUM(AI2414:AI2426)</f>
        <v>0</v>
      </c>
      <c r="AS2413" s="1">
        <f>SUM(AJ2414:AJ2426)</f>
        <v>0</v>
      </c>
    </row>
    <row r="2414" spans="1:74" ht="14.4" x14ac:dyDescent="0.3">
      <c r="A2414" s="2" t="s">
        <v>2943</v>
      </c>
      <c r="B2414" s="3" t="s">
        <v>2900</v>
      </c>
      <c r="C2414" s="3" t="s">
        <v>1677</v>
      </c>
      <c r="D2414" s="112" t="s">
        <v>2944</v>
      </c>
      <c r="E2414" s="109"/>
      <c r="F2414" s="3" t="s">
        <v>100</v>
      </c>
      <c r="G2414" s="25">
        <v>16</v>
      </c>
      <c r="H2414" s="62"/>
      <c r="I2414" s="25">
        <f>ROUND(G2414*AM2414,2)</f>
        <v>0</v>
      </c>
      <c r="J2414" s="25">
        <f>ROUND(G2414*AN2414,2)</f>
        <v>0</v>
      </c>
      <c r="K2414" s="25">
        <f>ROUND(G2414*H2414,2)</f>
        <v>0</v>
      </c>
      <c r="L2414" s="25">
        <v>0</v>
      </c>
      <c r="M2414" s="25">
        <f>G2414*L2414</f>
        <v>0</v>
      </c>
      <c r="N2414" s="26"/>
      <c r="X2414" s="25">
        <f>ROUND(IF(AO2414="5",BH2414,0),2)</f>
        <v>0</v>
      </c>
      <c r="Z2414" s="25">
        <f>ROUND(IF(AO2414="1",BF2414,0),2)</f>
        <v>0</v>
      </c>
      <c r="AA2414" s="25">
        <f>ROUND(IF(AO2414="1",BG2414,0),2)</f>
        <v>0</v>
      </c>
      <c r="AB2414" s="25">
        <f>ROUND(IF(AO2414="7",BF2414,0),2)</f>
        <v>0</v>
      </c>
      <c r="AC2414" s="25">
        <f>ROUND(IF(AO2414="7",BG2414,0),2)</f>
        <v>0</v>
      </c>
      <c r="AD2414" s="25">
        <f>ROUND(IF(AO2414="2",BF2414,0),2)</f>
        <v>0</v>
      </c>
      <c r="AE2414" s="25">
        <f>ROUND(IF(AO2414="2",BG2414,0),2)</f>
        <v>0</v>
      </c>
      <c r="AF2414" s="25">
        <f>ROUND(IF(AO2414="0",BH2414,0),2)</f>
        <v>0</v>
      </c>
      <c r="AG2414" s="10" t="s">
        <v>2900</v>
      </c>
      <c r="AH2414" s="25">
        <f>IF(AL2414=0,K2414,0)</f>
        <v>0</v>
      </c>
      <c r="AI2414" s="25">
        <f>IF(AL2414=12,K2414,0)</f>
        <v>0</v>
      </c>
      <c r="AJ2414" s="25">
        <f>IF(AL2414=21,K2414,0)</f>
        <v>0</v>
      </c>
      <c r="AL2414" s="25">
        <v>21</v>
      </c>
      <c r="AM2414" s="25">
        <f>H2414*0</f>
        <v>0</v>
      </c>
      <c r="AN2414" s="25">
        <f>H2414*(1-0)</f>
        <v>0</v>
      </c>
      <c r="AO2414" s="27" t="s">
        <v>57</v>
      </c>
      <c r="AT2414" s="25">
        <f>ROUND(AU2414+AV2414,2)</f>
        <v>0</v>
      </c>
      <c r="AU2414" s="25">
        <f>ROUND(G2414*AM2414,2)</f>
        <v>0</v>
      </c>
      <c r="AV2414" s="25">
        <f>ROUND(G2414*AN2414,2)</f>
        <v>0</v>
      </c>
      <c r="AW2414" s="27" t="s">
        <v>1679</v>
      </c>
      <c r="AX2414" s="27" t="s">
        <v>2945</v>
      </c>
      <c r="AY2414" s="10" t="s">
        <v>2903</v>
      </c>
      <c r="BA2414" s="25">
        <f>AU2414+AV2414</f>
        <v>0</v>
      </c>
      <c r="BB2414" s="25">
        <f>H2414/(100-BC2414)*100</f>
        <v>0</v>
      </c>
      <c r="BC2414" s="25">
        <v>0</v>
      </c>
      <c r="BD2414" s="25">
        <f>M2414</f>
        <v>0</v>
      </c>
      <c r="BF2414" s="25">
        <f>G2414*AM2414</f>
        <v>0</v>
      </c>
      <c r="BG2414" s="25">
        <f>G2414*AN2414</f>
        <v>0</v>
      </c>
      <c r="BH2414" s="25">
        <f>G2414*H2414</f>
        <v>0</v>
      </c>
      <c r="BI2414" s="27" t="s">
        <v>65</v>
      </c>
      <c r="BJ2414" s="25">
        <v>90</v>
      </c>
      <c r="BU2414" s="25" t="e">
        <f>#REF!</f>
        <v>#REF!</v>
      </c>
      <c r="BV2414" s="4" t="s">
        <v>2944</v>
      </c>
    </row>
    <row r="2415" spans="1:74" ht="14.4" x14ac:dyDescent="0.3">
      <c r="A2415" s="28"/>
      <c r="D2415" s="29" t="s">
        <v>1907</v>
      </c>
      <c r="E2415" s="29" t="s">
        <v>52</v>
      </c>
      <c r="G2415" s="30">
        <v>16</v>
      </c>
      <c r="H2415" s="63"/>
      <c r="N2415" s="31"/>
    </row>
    <row r="2416" spans="1:74" ht="14.4" x14ac:dyDescent="0.3">
      <c r="A2416" s="2" t="s">
        <v>16</v>
      </c>
      <c r="B2416" s="3" t="s">
        <v>2900</v>
      </c>
      <c r="C2416" s="3" t="s">
        <v>1677</v>
      </c>
      <c r="D2416" s="112" t="s">
        <v>2946</v>
      </c>
      <c r="E2416" s="109"/>
      <c r="F2416" s="3" t="s">
        <v>100</v>
      </c>
      <c r="G2416" s="25">
        <v>24</v>
      </c>
      <c r="H2416" s="62"/>
      <c r="I2416" s="25">
        <f>ROUND(G2416*AM2416,2)</f>
        <v>0</v>
      </c>
      <c r="J2416" s="25">
        <f>ROUND(G2416*AN2416,2)</f>
        <v>0</v>
      </c>
      <c r="K2416" s="25">
        <f>ROUND(G2416*H2416,2)</f>
        <v>0</v>
      </c>
      <c r="L2416" s="25">
        <v>0</v>
      </c>
      <c r="M2416" s="25">
        <f>G2416*L2416</f>
        <v>0</v>
      </c>
      <c r="N2416" s="26"/>
      <c r="X2416" s="25">
        <f>ROUND(IF(AO2416="5",BH2416,0),2)</f>
        <v>0</v>
      </c>
      <c r="Z2416" s="25">
        <f>ROUND(IF(AO2416="1",BF2416,0),2)</f>
        <v>0</v>
      </c>
      <c r="AA2416" s="25">
        <f>ROUND(IF(AO2416="1",BG2416,0),2)</f>
        <v>0</v>
      </c>
      <c r="AB2416" s="25">
        <f>ROUND(IF(AO2416="7",BF2416,0),2)</f>
        <v>0</v>
      </c>
      <c r="AC2416" s="25">
        <f>ROUND(IF(AO2416="7",BG2416,0),2)</f>
        <v>0</v>
      </c>
      <c r="AD2416" s="25">
        <f>ROUND(IF(AO2416="2",BF2416,0),2)</f>
        <v>0</v>
      </c>
      <c r="AE2416" s="25">
        <f>ROUND(IF(AO2416="2",BG2416,0),2)</f>
        <v>0</v>
      </c>
      <c r="AF2416" s="25">
        <f>ROUND(IF(AO2416="0",BH2416,0),2)</f>
        <v>0</v>
      </c>
      <c r="AG2416" s="10" t="s">
        <v>2900</v>
      </c>
      <c r="AH2416" s="25">
        <f>IF(AL2416=0,K2416,0)</f>
        <v>0</v>
      </c>
      <c r="AI2416" s="25">
        <f>IF(AL2416=12,K2416,0)</f>
        <v>0</v>
      </c>
      <c r="AJ2416" s="25">
        <f>IF(AL2416=21,K2416,0)</f>
        <v>0</v>
      </c>
      <c r="AL2416" s="25">
        <v>21</v>
      </c>
      <c r="AM2416" s="25">
        <f>H2416*0</f>
        <v>0</v>
      </c>
      <c r="AN2416" s="25">
        <f>H2416*(1-0)</f>
        <v>0</v>
      </c>
      <c r="AO2416" s="27" t="s">
        <v>57</v>
      </c>
      <c r="AT2416" s="25">
        <f>ROUND(AU2416+AV2416,2)</f>
        <v>0</v>
      </c>
      <c r="AU2416" s="25">
        <f>ROUND(G2416*AM2416,2)</f>
        <v>0</v>
      </c>
      <c r="AV2416" s="25">
        <f>ROUND(G2416*AN2416,2)</f>
        <v>0</v>
      </c>
      <c r="AW2416" s="27" t="s">
        <v>1679</v>
      </c>
      <c r="AX2416" s="27" t="s">
        <v>2945</v>
      </c>
      <c r="AY2416" s="10" t="s">
        <v>2903</v>
      </c>
      <c r="BA2416" s="25">
        <f>AU2416+AV2416</f>
        <v>0</v>
      </c>
      <c r="BB2416" s="25">
        <f>H2416/(100-BC2416)*100</f>
        <v>0</v>
      </c>
      <c r="BC2416" s="25">
        <v>0</v>
      </c>
      <c r="BD2416" s="25">
        <f>M2416</f>
        <v>0</v>
      </c>
      <c r="BF2416" s="25">
        <f>G2416*AM2416</f>
        <v>0</v>
      </c>
      <c r="BG2416" s="25">
        <f>G2416*AN2416</f>
        <v>0</v>
      </c>
      <c r="BH2416" s="25">
        <f>G2416*H2416</f>
        <v>0</v>
      </c>
      <c r="BI2416" s="27" t="s">
        <v>65</v>
      </c>
      <c r="BJ2416" s="25">
        <v>90</v>
      </c>
      <c r="BU2416" s="25" t="e">
        <f>#REF!</f>
        <v>#REF!</v>
      </c>
      <c r="BV2416" s="4" t="s">
        <v>2946</v>
      </c>
    </row>
    <row r="2417" spans="1:74" ht="14.4" x14ac:dyDescent="0.3">
      <c r="A2417" s="28"/>
      <c r="D2417" s="29" t="s">
        <v>103</v>
      </c>
      <c r="E2417" s="29" t="s">
        <v>52</v>
      </c>
      <c r="G2417" s="30">
        <v>24</v>
      </c>
      <c r="H2417" s="63"/>
      <c r="N2417" s="31"/>
    </row>
    <row r="2418" spans="1:74" ht="14.4" x14ac:dyDescent="0.3">
      <c r="A2418" s="2" t="s">
        <v>2947</v>
      </c>
      <c r="B2418" s="3" t="s">
        <v>2900</v>
      </c>
      <c r="C2418" s="3" t="s">
        <v>1682</v>
      </c>
      <c r="D2418" s="112" t="s">
        <v>1683</v>
      </c>
      <c r="E2418" s="109"/>
      <c r="F2418" s="3" t="s">
        <v>100</v>
      </c>
      <c r="G2418" s="25">
        <v>32</v>
      </c>
      <c r="H2418" s="62"/>
      <c r="I2418" s="25">
        <f>ROUND(G2418*AM2418,2)</f>
        <v>0</v>
      </c>
      <c r="J2418" s="25">
        <f>ROUND(G2418*AN2418,2)</f>
        <v>0</v>
      </c>
      <c r="K2418" s="25">
        <f>ROUND(G2418*H2418,2)</f>
        <v>0</v>
      </c>
      <c r="L2418" s="25">
        <v>0</v>
      </c>
      <c r="M2418" s="25">
        <f>G2418*L2418</f>
        <v>0</v>
      </c>
      <c r="N2418" s="26"/>
      <c r="X2418" s="25">
        <f>ROUND(IF(AO2418="5",BH2418,0),2)</f>
        <v>0</v>
      </c>
      <c r="Z2418" s="25">
        <f>ROUND(IF(AO2418="1",BF2418,0),2)</f>
        <v>0</v>
      </c>
      <c r="AA2418" s="25">
        <f>ROUND(IF(AO2418="1",BG2418,0),2)</f>
        <v>0</v>
      </c>
      <c r="AB2418" s="25">
        <f>ROUND(IF(AO2418="7",BF2418,0),2)</f>
        <v>0</v>
      </c>
      <c r="AC2418" s="25">
        <f>ROUND(IF(AO2418="7",BG2418,0),2)</f>
        <v>0</v>
      </c>
      <c r="AD2418" s="25">
        <f>ROUND(IF(AO2418="2",BF2418,0),2)</f>
        <v>0</v>
      </c>
      <c r="AE2418" s="25">
        <f>ROUND(IF(AO2418="2",BG2418,0),2)</f>
        <v>0</v>
      </c>
      <c r="AF2418" s="25">
        <f>ROUND(IF(AO2418="0",BH2418,0),2)</f>
        <v>0</v>
      </c>
      <c r="AG2418" s="10" t="s">
        <v>2900</v>
      </c>
      <c r="AH2418" s="25">
        <f>IF(AL2418=0,K2418,0)</f>
        <v>0</v>
      </c>
      <c r="AI2418" s="25">
        <f>IF(AL2418=12,K2418,0)</f>
        <v>0</v>
      </c>
      <c r="AJ2418" s="25">
        <f>IF(AL2418=21,K2418,0)</f>
        <v>0</v>
      </c>
      <c r="AL2418" s="25">
        <v>21</v>
      </c>
      <c r="AM2418" s="25">
        <f>H2418*0</f>
        <v>0</v>
      </c>
      <c r="AN2418" s="25">
        <f>H2418*(1-0)</f>
        <v>0</v>
      </c>
      <c r="AO2418" s="27" t="s">
        <v>57</v>
      </c>
      <c r="AT2418" s="25">
        <f>ROUND(AU2418+AV2418,2)</f>
        <v>0</v>
      </c>
      <c r="AU2418" s="25">
        <f>ROUND(G2418*AM2418,2)</f>
        <v>0</v>
      </c>
      <c r="AV2418" s="25">
        <f>ROUND(G2418*AN2418,2)</f>
        <v>0</v>
      </c>
      <c r="AW2418" s="27" t="s">
        <v>1679</v>
      </c>
      <c r="AX2418" s="27" t="s">
        <v>2945</v>
      </c>
      <c r="AY2418" s="10" t="s">
        <v>2903</v>
      </c>
      <c r="BA2418" s="25">
        <f>AU2418+AV2418</f>
        <v>0</v>
      </c>
      <c r="BB2418" s="25">
        <f>H2418/(100-BC2418)*100</f>
        <v>0</v>
      </c>
      <c r="BC2418" s="25">
        <v>0</v>
      </c>
      <c r="BD2418" s="25">
        <f>M2418</f>
        <v>0</v>
      </c>
      <c r="BF2418" s="25">
        <f>G2418*AM2418</f>
        <v>0</v>
      </c>
      <c r="BG2418" s="25">
        <f>G2418*AN2418</f>
        <v>0</v>
      </c>
      <c r="BH2418" s="25">
        <f>G2418*H2418</f>
        <v>0</v>
      </c>
      <c r="BI2418" s="27" t="s">
        <v>65</v>
      </c>
      <c r="BJ2418" s="25">
        <v>90</v>
      </c>
      <c r="BU2418" s="25" t="e">
        <f>#REF!</f>
        <v>#REF!</v>
      </c>
      <c r="BV2418" s="4" t="s">
        <v>1683</v>
      </c>
    </row>
    <row r="2419" spans="1:74" ht="14.4" x14ac:dyDescent="0.3">
      <c r="A2419" s="28"/>
      <c r="D2419" s="29" t="s">
        <v>2625</v>
      </c>
      <c r="E2419" s="29" t="s">
        <v>52</v>
      </c>
      <c r="G2419" s="30">
        <v>32</v>
      </c>
      <c r="H2419" s="63"/>
      <c r="N2419" s="31"/>
    </row>
    <row r="2420" spans="1:74" ht="14.4" x14ac:dyDescent="0.3">
      <c r="A2420" s="2" t="s">
        <v>2948</v>
      </c>
      <c r="B2420" s="3" t="s">
        <v>2900</v>
      </c>
      <c r="C2420" s="3" t="s">
        <v>2949</v>
      </c>
      <c r="D2420" s="112" t="s">
        <v>2950</v>
      </c>
      <c r="E2420" s="109"/>
      <c r="F2420" s="3" t="s">
        <v>100</v>
      </c>
      <c r="G2420" s="25">
        <v>8</v>
      </c>
      <c r="H2420" s="62"/>
      <c r="I2420" s="25">
        <f>ROUND(G2420*AM2420,2)</f>
        <v>0</v>
      </c>
      <c r="J2420" s="25">
        <f>ROUND(G2420*AN2420,2)</f>
        <v>0</v>
      </c>
      <c r="K2420" s="25">
        <f>ROUND(G2420*H2420,2)</f>
        <v>0</v>
      </c>
      <c r="L2420" s="25">
        <v>0</v>
      </c>
      <c r="M2420" s="25">
        <f>G2420*L2420</f>
        <v>0</v>
      </c>
      <c r="N2420" s="26"/>
      <c r="X2420" s="25">
        <f>ROUND(IF(AO2420="5",BH2420,0),2)</f>
        <v>0</v>
      </c>
      <c r="Z2420" s="25">
        <f>ROUND(IF(AO2420="1",BF2420,0),2)</f>
        <v>0</v>
      </c>
      <c r="AA2420" s="25">
        <f>ROUND(IF(AO2420="1",BG2420,0),2)</f>
        <v>0</v>
      </c>
      <c r="AB2420" s="25">
        <f>ROUND(IF(AO2420="7",BF2420,0),2)</f>
        <v>0</v>
      </c>
      <c r="AC2420" s="25">
        <f>ROUND(IF(AO2420="7",BG2420,0),2)</f>
        <v>0</v>
      </c>
      <c r="AD2420" s="25">
        <f>ROUND(IF(AO2420="2",BF2420,0),2)</f>
        <v>0</v>
      </c>
      <c r="AE2420" s="25">
        <f>ROUND(IF(AO2420="2",BG2420,0),2)</f>
        <v>0</v>
      </c>
      <c r="AF2420" s="25">
        <f>ROUND(IF(AO2420="0",BH2420,0),2)</f>
        <v>0</v>
      </c>
      <c r="AG2420" s="10" t="s">
        <v>2900</v>
      </c>
      <c r="AH2420" s="25">
        <f>IF(AL2420=0,K2420,0)</f>
        <v>0</v>
      </c>
      <c r="AI2420" s="25">
        <f>IF(AL2420=12,K2420,0)</f>
        <v>0</v>
      </c>
      <c r="AJ2420" s="25">
        <f>IF(AL2420=21,K2420,0)</f>
        <v>0</v>
      </c>
      <c r="AL2420" s="25">
        <v>21</v>
      </c>
      <c r="AM2420" s="25">
        <f>H2420*0</f>
        <v>0</v>
      </c>
      <c r="AN2420" s="25">
        <f>H2420*(1-0)</f>
        <v>0</v>
      </c>
      <c r="AO2420" s="27" t="s">
        <v>57</v>
      </c>
      <c r="AT2420" s="25">
        <f>ROUND(AU2420+AV2420,2)</f>
        <v>0</v>
      </c>
      <c r="AU2420" s="25">
        <f>ROUND(G2420*AM2420,2)</f>
        <v>0</v>
      </c>
      <c r="AV2420" s="25">
        <f>ROUND(G2420*AN2420,2)</f>
        <v>0</v>
      </c>
      <c r="AW2420" s="27" t="s">
        <v>1679</v>
      </c>
      <c r="AX2420" s="27" t="s">
        <v>2945</v>
      </c>
      <c r="AY2420" s="10" t="s">
        <v>2903</v>
      </c>
      <c r="BA2420" s="25">
        <f>AU2420+AV2420</f>
        <v>0</v>
      </c>
      <c r="BB2420" s="25">
        <f>H2420/(100-BC2420)*100</f>
        <v>0</v>
      </c>
      <c r="BC2420" s="25">
        <v>0</v>
      </c>
      <c r="BD2420" s="25">
        <f>M2420</f>
        <v>0</v>
      </c>
      <c r="BF2420" s="25">
        <f>G2420*AM2420</f>
        <v>0</v>
      </c>
      <c r="BG2420" s="25">
        <f>G2420*AN2420</f>
        <v>0</v>
      </c>
      <c r="BH2420" s="25">
        <f>G2420*H2420</f>
        <v>0</v>
      </c>
      <c r="BI2420" s="27" t="s">
        <v>65</v>
      </c>
      <c r="BJ2420" s="25">
        <v>90</v>
      </c>
      <c r="BU2420" s="25" t="e">
        <f>#REF!</f>
        <v>#REF!</v>
      </c>
      <c r="BV2420" s="4" t="s">
        <v>2950</v>
      </c>
    </row>
    <row r="2421" spans="1:74" ht="14.4" x14ac:dyDescent="0.3">
      <c r="A2421" s="28"/>
      <c r="D2421" s="29" t="s">
        <v>2951</v>
      </c>
      <c r="E2421" s="29" t="s">
        <v>52</v>
      </c>
      <c r="G2421" s="30">
        <v>8</v>
      </c>
      <c r="H2421" s="63"/>
      <c r="N2421" s="31"/>
    </row>
    <row r="2422" spans="1:74" ht="14.4" x14ac:dyDescent="0.3">
      <c r="A2422" s="2" t="s">
        <v>2952</v>
      </c>
      <c r="B2422" s="3" t="s">
        <v>2900</v>
      </c>
      <c r="C2422" s="3" t="s">
        <v>98</v>
      </c>
      <c r="D2422" s="112" t="s">
        <v>2953</v>
      </c>
      <c r="E2422" s="109"/>
      <c r="F2422" s="3" t="s">
        <v>100</v>
      </c>
      <c r="G2422" s="25">
        <v>8</v>
      </c>
      <c r="H2422" s="62"/>
      <c r="I2422" s="25">
        <f>ROUND(G2422*AM2422,2)</f>
        <v>0</v>
      </c>
      <c r="J2422" s="25">
        <f>ROUND(G2422*AN2422,2)</f>
        <v>0</v>
      </c>
      <c r="K2422" s="25">
        <f>ROUND(G2422*H2422,2)</f>
        <v>0</v>
      </c>
      <c r="L2422" s="25">
        <v>0</v>
      </c>
      <c r="M2422" s="25">
        <f>G2422*L2422</f>
        <v>0</v>
      </c>
      <c r="N2422" s="26"/>
      <c r="X2422" s="25">
        <f>ROUND(IF(AO2422="5",BH2422,0),2)</f>
        <v>0</v>
      </c>
      <c r="Z2422" s="25">
        <f>ROUND(IF(AO2422="1",BF2422,0),2)</f>
        <v>0</v>
      </c>
      <c r="AA2422" s="25">
        <f>ROUND(IF(AO2422="1",BG2422,0),2)</f>
        <v>0</v>
      </c>
      <c r="AB2422" s="25">
        <f>ROUND(IF(AO2422="7",BF2422,0),2)</f>
        <v>0</v>
      </c>
      <c r="AC2422" s="25">
        <f>ROUND(IF(AO2422="7",BG2422,0),2)</f>
        <v>0</v>
      </c>
      <c r="AD2422" s="25">
        <f>ROUND(IF(AO2422="2",BF2422,0),2)</f>
        <v>0</v>
      </c>
      <c r="AE2422" s="25">
        <f>ROUND(IF(AO2422="2",BG2422,0),2)</f>
        <v>0</v>
      </c>
      <c r="AF2422" s="25">
        <f>ROUND(IF(AO2422="0",BH2422,0),2)</f>
        <v>0</v>
      </c>
      <c r="AG2422" s="10" t="s">
        <v>2900</v>
      </c>
      <c r="AH2422" s="25">
        <f>IF(AL2422=0,K2422,0)</f>
        <v>0</v>
      </c>
      <c r="AI2422" s="25">
        <f>IF(AL2422=12,K2422,0)</f>
        <v>0</v>
      </c>
      <c r="AJ2422" s="25">
        <f>IF(AL2422=21,K2422,0)</f>
        <v>0</v>
      </c>
      <c r="AL2422" s="25">
        <v>21</v>
      </c>
      <c r="AM2422" s="25">
        <f>H2422*0</f>
        <v>0</v>
      </c>
      <c r="AN2422" s="25">
        <f>H2422*(1-0)</f>
        <v>0</v>
      </c>
      <c r="AO2422" s="27" t="s">
        <v>57</v>
      </c>
      <c r="AT2422" s="25">
        <f>ROUND(AU2422+AV2422,2)</f>
        <v>0</v>
      </c>
      <c r="AU2422" s="25">
        <f>ROUND(G2422*AM2422,2)</f>
        <v>0</v>
      </c>
      <c r="AV2422" s="25">
        <f>ROUND(G2422*AN2422,2)</f>
        <v>0</v>
      </c>
      <c r="AW2422" s="27" t="s">
        <v>1679</v>
      </c>
      <c r="AX2422" s="27" t="s">
        <v>2945</v>
      </c>
      <c r="AY2422" s="10" t="s">
        <v>2903</v>
      </c>
      <c r="BA2422" s="25">
        <f>AU2422+AV2422</f>
        <v>0</v>
      </c>
      <c r="BB2422" s="25">
        <f>H2422/(100-BC2422)*100</f>
        <v>0</v>
      </c>
      <c r="BC2422" s="25">
        <v>0</v>
      </c>
      <c r="BD2422" s="25">
        <f>M2422</f>
        <v>0</v>
      </c>
      <c r="BF2422" s="25">
        <f>G2422*AM2422</f>
        <v>0</v>
      </c>
      <c r="BG2422" s="25">
        <f>G2422*AN2422</f>
        <v>0</v>
      </c>
      <c r="BH2422" s="25">
        <f>G2422*H2422</f>
        <v>0</v>
      </c>
      <c r="BI2422" s="27" t="s">
        <v>65</v>
      </c>
      <c r="BJ2422" s="25">
        <v>90</v>
      </c>
      <c r="BU2422" s="25" t="e">
        <f>#REF!</f>
        <v>#REF!</v>
      </c>
      <c r="BV2422" s="4" t="s">
        <v>2953</v>
      </c>
    </row>
    <row r="2423" spans="1:74" ht="14.4" x14ac:dyDescent="0.3">
      <c r="A2423" s="28"/>
      <c r="D2423" s="29" t="s">
        <v>119</v>
      </c>
      <c r="E2423" s="29" t="s">
        <v>52</v>
      </c>
      <c r="G2423" s="30">
        <v>8</v>
      </c>
      <c r="H2423" s="63"/>
      <c r="N2423" s="31"/>
    </row>
    <row r="2424" spans="1:74" ht="14.4" x14ac:dyDescent="0.3">
      <c r="A2424" s="2" t="s">
        <v>2954</v>
      </c>
      <c r="B2424" s="3" t="s">
        <v>2900</v>
      </c>
      <c r="C2424" s="3" t="s">
        <v>2955</v>
      </c>
      <c r="D2424" s="112" t="s">
        <v>2956</v>
      </c>
      <c r="E2424" s="109"/>
      <c r="F2424" s="3" t="s">
        <v>100</v>
      </c>
      <c r="G2424" s="25">
        <v>16</v>
      </c>
      <c r="H2424" s="62"/>
      <c r="I2424" s="25">
        <f>ROUND(G2424*AM2424,2)</f>
        <v>0</v>
      </c>
      <c r="J2424" s="25">
        <f>ROUND(G2424*AN2424,2)</f>
        <v>0</v>
      </c>
      <c r="K2424" s="25">
        <f>ROUND(G2424*H2424,2)</f>
        <v>0</v>
      </c>
      <c r="L2424" s="25">
        <v>0</v>
      </c>
      <c r="M2424" s="25">
        <f>G2424*L2424</f>
        <v>0</v>
      </c>
      <c r="N2424" s="26"/>
      <c r="X2424" s="25">
        <f>ROUND(IF(AO2424="5",BH2424,0),2)</f>
        <v>0</v>
      </c>
      <c r="Z2424" s="25">
        <f>ROUND(IF(AO2424="1",BF2424,0),2)</f>
        <v>0</v>
      </c>
      <c r="AA2424" s="25">
        <f>ROUND(IF(AO2424="1",BG2424,0),2)</f>
        <v>0</v>
      </c>
      <c r="AB2424" s="25">
        <f>ROUND(IF(AO2424="7",BF2424,0),2)</f>
        <v>0</v>
      </c>
      <c r="AC2424" s="25">
        <f>ROUND(IF(AO2424="7",BG2424,0),2)</f>
        <v>0</v>
      </c>
      <c r="AD2424" s="25">
        <f>ROUND(IF(AO2424="2",BF2424,0),2)</f>
        <v>0</v>
      </c>
      <c r="AE2424" s="25">
        <f>ROUND(IF(AO2424="2",BG2424,0),2)</f>
        <v>0</v>
      </c>
      <c r="AF2424" s="25">
        <f>ROUND(IF(AO2424="0",BH2424,0),2)</f>
        <v>0</v>
      </c>
      <c r="AG2424" s="10" t="s">
        <v>2900</v>
      </c>
      <c r="AH2424" s="25">
        <f>IF(AL2424=0,K2424,0)</f>
        <v>0</v>
      </c>
      <c r="AI2424" s="25">
        <f>IF(AL2424=12,K2424,0)</f>
        <v>0</v>
      </c>
      <c r="AJ2424" s="25">
        <f>IF(AL2424=21,K2424,0)</f>
        <v>0</v>
      </c>
      <c r="AL2424" s="25">
        <v>21</v>
      </c>
      <c r="AM2424" s="25">
        <f>H2424*0</f>
        <v>0</v>
      </c>
      <c r="AN2424" s="25">
        <f>H2424*(1-0)</f>
        <v>0</v>
      </c>
      <c r="AO2424" s="27" t="s">
        <v>57</v>
      </c>
      <c r="AT2424" s="25">
        <f>ROUND(AU2424+AV2424,2)</f>
        <v>0</v>
      </c>
      <c r="AU2424" s="25">
        <f>ROUND(G2424*AM2424,2)</f>
        <v>0</v>
      </c>
      <c r="AV2424" s="25">
        <f>ROUND(G2424*AN2424,2)</f>
        <v>0</v>
      </c>
      <c r="AW2424" s="27" t="s">
        <v>1679</v>
      </c>
      <c r="AX2424" s="27" t="s">
        <v>2945</v>
      </c>
      <c r="AY2424" s="10" t="s">
        <v>2903</v>
      </c>
      <c r="BA2424" s="25">
        <f>AU2424+AV2424</f>
        <v>0</v>
      </c>
      <c r="BB2424" s="25">
        <f>H2424/(100-BC2424)*100</f>
        <v>0</v>
      </c>
      <c r="BC2424" s="25">
        <v>0</v>
      </c>
      <c r="BD2424" s="25">
        <f>M2424</f>
        <v>0</v>
      </c>
      <c r="BF2424" s="25">
        <f>G2424*AM2424</f>
        <v>0</v>
      </c>
      <c r="BG2424" s="25">
        <f>G2424*AN2424</f>
        <v>0</v>
      </c>
      <c r="BH2424" s="25">
        <f>G2424*H2424</f>
        <v>0</v>
      </c>
      <c r="BI2424" s="27" t="s">
        <v>65</v>
      </c>
      <c r="BJ2424" s="25">
        <v>90</v>
      </c>
      <c r="BU2424" s="25" t="e">
        <f>#REF!</f>
        <v>#REF!</v>
      </c>
      <c r="BV2424" s="4" t="s">
        <v>2956</v>
      </c>
    </row>
    <row r="2425" spans="1:74" ht="14.4" x14ac:dyDescent="0.3">
      <c r="A2425" s="28"/>
      <c r="D2425" s="29" t="s">
        <v>1907</v>
      </c>
      <c r="E2425" s="29" t="s">
        <v>52</v>
      </c>
      <c r="G2425" s="30">
        <v>16</v>
      </c>
      <c r="H2425" s="63"/>
      <c r="N2425" s="31"/>
    </row>
    <row r="2426" spans="1:74" ht="14.4" x14ac:dyDescent="0.3">
      <c r="A2426" s="2" t="s">
        <v>2957</v>
      </c>
      <c r="B2426" s="3" t="s">
        <v>2900</v>
      </c>
      <c r="C2426" s="3" t="s">
        <v>2958</v>
      </c>
      <c r="D2426" s="112" t="s">
        <v>2959</v>
      </c>
      <c r="E2426" s="109"/>
      <c r="F2426" s="3" t="s">
        <v>100</v>
      </c>
      <c r="G2426" s="25">
        <v>8</v>
      </c>
      <c r="H2426" s="62"/>
      <c r="I2426" s="25">
        <f>ROUND(G2426*AM2426,2)</f>
        <v>0</v>
      </c>
      <c r="J2426" s="25">
        <f>ROUND(G2426*AN2426,2)</f>
        <v>0</v>
      </c>
      <c r="K2426" s="25">
        <f>ROUND(G2426*H2426,2)</f>
        <v>0</v>
      </c>
      <c r="L2426" s="25">
        <v>0</v>
      </c>
      <c r="M2426" s="25">
        <f>G2426*L2426</f>
        <v>0</v>
      </c>
      <c r="N2426" s="26"/>
      <c r="X2426" s="25">
        <f>ROUND(IF(AO2426="5",BH2426,0),2)</f>
        <v>0</v>
      </c>
      <c r="Z2426" s="25">
        <f>ROUND(IF(AO2426="1",BF2426,0),2)</f>
        <v>0</v>
      </c>
      <c r="AA2426" s="25">
        <f>ROUND(IF(AO2426="1",BG2426,0),2)</f>
        <v>0</v>
      </c>
      <c r="AB2426" s="25">
        <f>ROUND(IF(AO2426="7",BF2426,0),2)</f>
        <v>0</v>
      </c>
      <c r="AC2426" s="25">
        <f>ROUND(IF(AO2426="7",BG2426,0),2)</f>
        <v>0</v>
      </c>
      <c r="AD2426" s="25">
        <f>ROUND(IF(AO2426="2",BF2426,0),2)</f>
        <v>0</v>
      </c>
      <c r="AE2426" s="25">
        <f>ROUND(IF(AO2426="2",BG2426,0),2)</f>
        <v>0</v>
      </c>
      <c r="AF2426" s="25">
        <f>ROUND(IF(AO2426="0",BH2426,0),2)</f>
        <v>0</v>
      </c>
      <c r="AG2426" s="10" t="s">
        <v>2900</v>
      </c>
      <c r="AH2426" s="25">
        <f>IF(AL2426=0,K2426,0)</f>
        <v>0</v>
      </c>
      <c r="AI2426" s="25">
        <f>IF(AL2426=12,K2426,0)</f>
        <v>0</v>
      </c>
      <c r="AJ2426" s="25">
        <f>IF(AL2426=21,K2426,0)</f>
        <v>0</v>
      </c>
      <c r="AL2426" s="25">
        <v>21</v>
      </c>
      <c r="AM2426" s="25">
        <f>H2426*0</f>
        <v>0</v>
      </c>
      <c r="AN2426" s="25">
        <f>H2426*(1-0)</f>
        <v>0</v>
      </c>
      <c r="AO2426" s="27" t="s">
        <v>57</v>
      </c>
      <c r="AT2426" s="25">
        <f>ROUND(AU2426+AV2426,2)</f>
        <v>0</v>
      </c>
      <c r="AU2426" s="25">
        <f>ROUND(G2426*AM2426,2)</f>
        <v>0</v>
      </c>
      <c r="AV2426" s="25">
        <f>ROUND(G2426*AN2426,2)</f>
        <v>0</v>
      </c>
      <c r="AW2426" s="27" t="s">
        <v>1679</v>
      </c>
      <c r="AX2426" s="27" t="s">
        <v>2945</v>
      </c>
      <c r="AY2426" s="10" t="s">
        <v>2903</v>
      </c>
      <c r="BA2426" s="25">
        <f>AU2426+AV2426</f>
        <v>0</v>
      </c>
      <c r="BB2426" s="25">
        <f>H2426/(100-BC2426)*100</f>
        <v>0</v>
      </c>
      <c r="BC2426" s="25">
        <v>0</v>
      </c>
      <c r="BD2426" s="25">
        <f>M2426</f>
        <v>0</v>
      </c>
      <c r="BF2426" s="25">
        <f>G2426*AM2426</f>
        <v>0</v>
      </c>
      <c r="BG2426" s="25">
        <f>G2426*AN2426</f>
        <v>0</v>
      </c>
      <c r="BH2426" s="25">
        <f>G2426*H2426</f>
        <v>0</v>
      </c>
      <c r="BI2426" s="27" t="s">
        <v>65</v>
      </c>
      <c r="BJ2426" s="25">
        <v>90</v>
      </c>
      <c r="BU2426" s="25" t="e">
        <f>#REF!</f>
        <v>#REF!</v>
      </c>
      <c r="BV2426" s="4" t="s">
        <v>2959</v>
      </c>
    </row>
    <row r="2427" spans="1:74" ht="14.4" x14ac:dyDescent="0.3">
      <c r="A2427" s="28"/>
      <c r="D2427" s="29" t="s">
        <v>119</v>
      </c>
      <c r="E2427" s="29" t="s">
        <v>52</v>
      </c>
      <c r="G2427" s="30">
        <v>8</v>
      </c>
      <c r="H2427" s="63"/>
      <c r="N2427" s="31"/>
    </row>
    <row r="2428" spans="1:74" ht="14.4" x14ac:dyDescent="0.3">
      <c r="A2428" s="21" t="s">
        <v>52</v>
      </c>
      <c r="B2428" s="22" t="s">
        <v>2900</v>
      </c>
      <c r="C2428" s="22" t="s">
        <v>209</v>
      </c>
      <c r="D2428" s="170" t="s">
        <v>210</v>
      </c>
      <c r="E2428" s="171"/>
      <c r="F2428" s="23" t="s">
        <v>32</v>
      </c>
      <c r="G2428" s="23" t="s">
        <v>32</v>
      </c>
      <c r="H2428" s="64"/>
      <c r="I2428" s="1">
        <f>SUM(I2429:I2433)</f>
        <v>0</v>
      </c>
      <c r="J2428" s="1">
        <f>SUM(J2429:J2433)</f>
        <v>0</v>
      </c>
      <c r="K2428" s="1">
        <f>SUM(K2429:K2433)</f>
        <v>0</v>
      </c>
      <c r="L2428" s="10" t="s">
        <v>52</v>
      </c>
      <c r="M2428" s="1">
        <f>SUM(M2429:M2433)</f>
        <v>2.0101799999999996</v>
      </c>
      <c r="N2428" s="24"/>
      <c r="AG2428" s="10" t="s">
        <v>2900</v>
      </c>
      <c r="AQ2428" s="1">
        <f>SUM(AH2429:AH2433)</f>
        <v>0</v>
      </c>
      <c r="AR2428" s="1">
        <f>SUM(AI2429:AI2433)</f>
        <v>0</v>
      </c>
      <c r="AS2428" s="1">
        <f>SUM(AJ2429:AJ2433)</f>
        <v>0</v>
      </c>
    </row>
    <row r="2429" spans="1:74" ht="14.4" x14ac:dyDescent="0.3">
      <c r="A2429" s="2" t="s">
        <v>2960</v>
      </c>
      <c r="B2429" s="3" t="s">
        <v>2900</v>
      </c>
      <c r="C2429" s="3" t="s">
        <v>2961</v>
      </c>
      <c r="D2429" s="112" t="s">
        <v>2962</v>
      </c>
      <c r="E2429" s="109"/>
      <c r="F2429" s="3" t="s">
        <v>115</v>
      </c>
      <c r="G2429" s="25">
        <v>105</v>
      </c>
      <c r="H2429" s="62"/>
      <c r="I2429" s="25">
        <f>ROUND(G2429*AM2429,2)</f>
        <v>0</v>
      </c>
      <c r="J2429" s="25">
        <f>ROUND(G2429*AN2429,2)</f>
        <v>0</v>
      </c>
      <c r="K2429" s="25">
        <f>ROUND(G2429*H2429,2)</f>
        <v>0</v>
      </c>
      <c r="L2429" s="25">
        <v>1.8489999999999999E-2</v>
      </c>
      <c r="M2429" s="25">
        <f>G2429*L2429</f>
        <v>1.9414499999999999</v>
      </c>
      <c r="N2429" s="26"/>
      <c r="X2429" s="25">
        <f>ROUND(IF(AO2429="5",BH2429,0),2)</f>
        <v>0</v>
      </c>
      <c r="Z2429" s="25">
        <f>ROUND(IF(AO2429="1",BF2429,0),2)</f>
        <v>0</v>
      </c>
      <c r="AA2429" s="25">
        <f>ROUND(IF(AO2429="1",BG2429,0),2)</f>
        <v>0</v>
      </c>
      <c r="AB2429" s="25">
        <f>ROUND(IF(AO2429="7",BF2429,0),2)</f>
        <v>0</v>
      </c>
      <c r="AC2429" s="25">
        <f>ROUND(IF(AO2429="7",BG2429,0),2)</f>
        <v>0</v>
      </c>
      <c r="AD2429" s="25">
        <f>ROUND(IF(AO2429="2",BF2429,0),2)</f>
        <v>0</v>
      </c>
      <c r="AE2429" s="25">
        <f>ROUND(IF(AO2429="2",BG2429,0),2)</f>
        <v>0</v>
      </c>
      <c r="AF2429" s="25">
        <f>ROUND(IF(AO2429="0",BH2429,0),2)</f>
        <v>0</v>
      </c>
      <c r="AG2429" s="10" t="s">
        <v>2900</v>
      </c>
      <c r="AH2429" s="25">
        <f>IF(AL2429=0,K2429,0)</f>
        <v>0</v>
      </c>
      <c r="AI2429" s="25">
        <f>IF(AL2429=12,K2429,0)</f>
        <v>0</v>
      </c>
      <c r="AJ2429" s="25">
        <f>IF(AL2429=21,K2429,0)</f>
        <v>0</v>
      </c>
      <c r="AL2429" s="25">
        <v>21</v>
      </c>
      <c r="AM2429" s="25">
        <f>H2429*0.077993369</f>
        <v>0</v>
      </c>
      <c r="AN2429" s="25">
        <f>H2429*(1-0.077993369)</f>
        <v>0</v>
      </c>
      <c r="AO2429" s="27" t="s">
        <v>57</v>
      </c>
      <c r="AT2429" s="25">
        <f>ROUND(AU2429+AV2429,2)</f>
        <v>0</v>
      </c>
      <c r="AU2429" s="25">
        <f>ROUND(G2429*AM2429,2)</f>
        <v>0</v>
      </c>
      <c r="AV2429" s="25">
        <f>ROUND(G2429*AN2429,2)</f>
        <v>0</v>
      </c>
      <c r="AW2429" s="27" t="s">
        <v>214</v>
      </c>
      <c r="AX2429" s="27" t="s">
        <v>2945</v>
      </c>
      <c r="AY2429" s="10" t="s">
        <v>2903</v>
      </c>
      <c r="BA2429" s="25">
        <f>AU2429+AV2429</f>
        <v>0</v>
      </c>
      <c r="BB2429" s="25">
        <f>H2429/(100-BC2429)*100</f>
        <v>0</v>
      </c>
      <c r="BC2429" s="25">
        <v>0</v>
      </c>
      <c r="BD2429" s="25">
        <f>M2429</f>
        <v>1.9414499999999999</v>
      </c>
      <c r="BF2429" s="25">
        <f>G2429*AM2429</f>
        <v>0</v>
      </c>
      <c r="BG2429" s="25">
        <f>G2429*AN2429</f>
        <v>0</v>
      </c>
      <c r="BH2429" s="25">
        <f>G2429*H2429</f>
        <v>0</v>
      </c>
      <c r="BI2429" s="27" t="s">
        <v>65</v>
      </c>
      <c r="BJ2429" s="25">
        <v>97</v>
      </c>
      <c r="BU2429" s="25" t="e">
        <f>#REF!</f>
        <v>#REF!</v>
      </c>
      <c r="BV2429" s="4" t="s">
        <v>2962</v>
      </c>
    </row>
    <row r="2430" spans="1:74" ht="14.4" x14ac:dyDescent="0.3">
      <c r="A2430" s="28"/>
      <c r="D2430" s="29" t="s">
        <v>2930</v>
      </c>
      <c r="E2430" s="29" t="s">
        <v>52</v>
      </c>
      <c r="G2430" s="30">
        <v>105</v>
      </c>
      <c r="H2430" s="63"/>
      <c r="N2430" s="31"/>
    </row>
    <row r="2431" spans="1:74" ht="14.4" x14ac:dyDescent="0.3">
      <c r="A2431" s="2" t="s">
        <v>2963</v>
      </c>
      <c r="B2431" s="3" t="s">
        <v>2900</v>
      </c>
      <c r="C2431" s="3" t="s">
        <v>2964</v>
      </c>
      <c r="D2431" s="112" t="s">
        <v>2965</v>
      </c>
      <c r="E2431" s="109"/>
      <c r="F2431" s="3" t="s">
        <v>122</v>
      </c>
      <c r="G2431" s="25">
        <v>4</v>
      </c>
      <c r="H2431" s="62"/>
      <c r="I2431" s="25">
        <f>ROUND(G2431*AM2431,2)</f>
        <v>0</v>
      </c>
      <c r="J2431" s="25">
        <f>ROUND(G2431*AN2431,2)</f>
        <v>0</v>
      </c>
      <c r="K2431" s="25">
        <f>ROUND(G2431*H2431,2)</f>
        <v>0</v>
      </c>
      <c r="L2431" s="25">
        <v>1.549E-2</v>
      </c>
      <c r="M2431" s="25">
        <f>G2431*L2431</f>
        <v>6.1960000000000001E-2</v>
      </c>
      <c r="N2431" s="26"/>
      <c r="X2431" s="25">
        <f>ROUND(IF(AO2431="5",BH2431,0),2)</f>
        <v>0</v>
      </c>
      <c r="Z2431" s="25">
        <f>ROUND(IF(AO2431="1",BF2431,0),2)</f>
        <v>0</v>
      </c>
      <c r="AA2431" s="25">
        <f>ROUND(IF(AO2431="1",BG2431,0),2)</f>
        <v>0</v>
      </c>
      <c r="AB2431" s="25">
        <f>ROUND(IF(AO2431="7",BF2431,0),2)</f>
        <v>0</v>
      </c>
      <c r="AC2431" s="25">
        <f>ROUND(IF(AO2431="7",BG2431,0),2)</f>
        <v>0</v>
      </c>
      <c r="AD2431" s="25">
        <f>ROUND(IF(AO2431="2",BF2431,0),2)</f>
        <v>0</v>
      </c>
      <c r="AE2431" s="25">
        <f>ROUND(IF(AO2431="2",BG2431,0),2)</f>
        <v>0</v>
      </c>
      <c r="AF2431" s="25">
        <f>ROUND(IF(AO2431="0",BH2431,0),2)</f>
        <v>0</v>
      </c>
      <c r="AG2431" s="10" t="s">
        <v>2900</v>
      </c>
      <c r="AH2431" s="25">
        <f>IF(AL2431=0,K2431,0)</f>
        <v>0</v>
      </c>
      <c r="AI2431" s="25">
        <f>IF(AL2431=12,K2431,0)</f>
        <v>0</v>
      </c>
      <c r="AJ2431" s="25">
        <f>IF(AL2431=21,K2431,0)</f>
        <v>0</v>
      </c>
      <c r="AL2431" s="25">
        <v>21</v>
      </c>
      <c r="AM2431" s="25">
        <f>H2431*0.044084667</f>
        <v>0</v>
      </c>
      <c r="AN2431" s="25">
        <f>H2431*(1-0.044084667)</f>
        <v>0</v>
      </c>
      <c r="AO2431" s="27" t="s">
        <v>57</v>
      </c>
      <c r="AT2431" s="25">
        <f>ROUND(AU2431+AV2431,2)</f>
        <v>0</v>
      </c>
      <c r="AU2431" s="25">
        <f>ROUND(G2431*AM2431,2)</f>
        <v>0</v>
      </c>
      <c r="AV2431" s="25">
        <f>ROUND(G2431*AN2431,2)</f>
        <v>0</v>
      </c>
      <c r="AW2431" s="27" t="s">
        <v>214</v>
      </c>
      <c r="AX2431" s="27" t="s">
        <v>2945</v>
      </c>
      <c r="AY2431" s="10" t="s">
        <v>2903</v>
      </c>
      <c r="BA2431" s="25">
        <f>AU2431+AV2431</f>
        <v>0</v>
      </c>
      <c r="BB2431" s="25">
        <f>H2431/(100-BC2431)*100</f>
        <v>0</v>
      </c>
      <c r="BC2431" s="25">
        <v>0</v>
      </c>
      <c r="BD2431" s="25">
        <f>M2431</f>
        <v>6.1960000000000001E-2</v>
      </c>
      <c r="BF2431" s="25">
        <f>G2431*AM2431</f>
        <v>0</v>
      </c>
      <c r="BG2431" s="25">
        <f>G2431*AN2431</f>
        <v>0</v>
      </c>
      <c r="BH2431" s="25">
        <f>G2431*H2431</f>
        <v>0</v>
      </c>
      <c r="BI2431" s="27" t="s">
        <v>65</v>
      </c>
      <c r="BJ2431" s="25">
        <v>97</v>
      </c>
      <c r="BU2431" s="25" t="e">
        <f>#REF!</f>
        <v>#REF!</v>
      </c>
      <c r="BV2431" s="4" t="s">
        <v>2965</v>
      </c>
    </row>
    <row r="2432" spans="1:74" ht="14.4" x14ac:dyDescent="0.3">
      <c r="A2432" s="28"/>
      <c r="D2432" s="29" t="s">
        <v>90</v>
      </c>
      <c r="E2432" s="29" t="s">
        <v>52</v>
      </c>
      <c r="G2432" s="30">
        <v>4</v>
      </c>
      <c r="H2432" s="63"/>
      <c r="N2432" s="31"/>
    </row>
    <row r="2433" spans="1:74" ht="14.4" x14ac:dyDescent="0.3">
      <c r="A2433" s="2" t="s">
        <v>2966</v>
      </c>
      <c r="B2433" s="3" t="s">
        <v>2900</v>
      </c>
      <c r="C2433" s="3" t="s">
        <v>2890</v>
      </c>
      <c r="D2433" s="112" t="s">
        <v>2891</v>
      </c>
      <c r="E2433" s="109"/>
      <c r="F2433" s="3" t="s">
        <v>115</v>
      </c>
      <c r="G2433" s="25">
        <v>0.5</v>
      </c>
      <c r="H2433" s="62"/>
      <c r="I2433" s="25">
        <f>ROUND(G2433*AM2433,2)</f>
        <v>0</v>
      </c>
      <c r="J2433" s="25">
        <f>ROUND(G2433*AN2433,2)</f>
        <v>0</v>
      </c>
      <c r="K2433" s="25">
        <f>ROUND(G2433*H2433,2)</f>
        <v>0</v>
      </c>
      <c r="L2433" s="25">
        <v>1.354E-2</v>
      </c>
      <c r="M2433" s="25">
        <f>G2433*L2433</f>
        <v>6.77E-3</v>
      </c>
      <c r="N2433" s="26"/>
      <c r="X2433" s="25">
        <f>ROUND(IF(AO2433="5",BH2433,0),2)</f>
        <v>0</v>
      </c>
      <c r="Z2433" s="25">
        <f>ROUND(IF(AO2433="1",BF2433,0),2)</f>
        <v>0</v>
      </c>
      <c r="AA2433" s="25">
        <f>ROUND(IF(AO2433="1",BG2433,0),2)</f>
        <v>0</v>
      </c>
      <c r="AB2433" s="25">
        <f>ROUND(IF(AO2433="7",BF2433,0),2)</f>
        <v>0</v>
      </c>
      <c r="AC2433" s="25">
        <f>ROUND(IF(AO2433="7",BG2433,0),2)</f>
        <v>0</v>
      </c>
      <c r="AD2433" s="25">
        <f>ROUND(IF(AO2433="2",BF2433,0),2)</f>
        <v>0</v>
      </c>
      <c r="AE2433" s="25">
        <f>ROUND(IF(AO2433="2",BG2433,0),2)</f>
        <v>0</v>
      </c>
      <c r="AF2433" s="25">
        <f>ROUND(IF(AO2433="0",BH2433,0),2)</f>
        <v>0</v>
      </c>
      <c r="AG2433" s="10" t="s">
        <v>2900</v>
      </c>
      <c r="AH2433" s="25">
        <f>IF(AL2433=0,K2433,0)</f>
        <v>0</v>
      </c>
      <c r="AI2433" s="25">
        <f>IF(AL2433=12,K2433,0)</f>
        <v>0</v>
      </c>
      <c r="AJ2433" s="25">
        <f>IF(AL2433=21,K2433,0)</f>
        <v>0</v>
      </c>
      <c r="AL2433" s="25">
        <v>21</v>
      </c>
      <c r="AM2433" s="25">
        <f>H2433*0.324129496</f>
        <v>0</v>
      </c>
      <c r="AN2433" s="25">
        <f>H2433*(1-0.324129496)</f>
        <v>0</v>
      </c>
      <c r="AO2433" s="27" t="s">
        <v>57</v>
      </c>
      <c r="AT2433" s="25">
        <f>ROUND(AU2433+AV2433,2)</f>
        <v>0</v>
      </c>
      <c r="AU2433" s="25">
        <f>ROUND(G2433*AM2433,2)</f>
        <v>0</v>
      </c>
      <c r="AV2433" s="25">
        <f>ROUND(G2433*AN2433,2)</f>
        <v>0</v>
      </c>
      <c r="AW2433" s="27" t="s">
        <v>214</v>
      </c>
      <c r="AX2433" s="27" t="s">
        <v>2945</v>
      </c>
      <c r="AY2433" s="10" t="s">
        <v>2903</v>
      </c>
      <c r="BA2433" s="25">
        <f>AU2433+AV2433</f>
        <v>0</v>
      </c>
      <c r="BB2433" s="25">
        <f>H2433/(100-BC2433)*100</f>
        <v>0</v>
      </c>
      <c r="BC2433" s="25">
        <v>0</v>
      </c>
      <c r="BD2433" s="25">
        <f>M2433</f>
        <v>6.77E-3</v>
      </c>
      <c r="BF2433" s="25">
        <f>G2433*AM2433</f>
        <v>0</v>
      </c>
      <c r="BG2433" s="25">
        <f>G2433*AN2433</f>
        <v>0</v>
      </c>
      <c r="BH2433" s="25">
        <f>G2433*H2433</f>
        <v>0</v>
      </c>
      <c r="BI2433" s="27" t="s">
        <v>65</v>
      </c>
      <c r="BJ2433" s="25">
        <v>97</v>
      </c>
      <c r="BU2433" s="25" t="e">
        <f>#REF!</f>
        <v>#REF!</v>
      </c>
      <c r="BV2433" s="4" t="s">
        <v>2891</v>
      </c>
    </row>
    <row r="2434" spans="1:74" ht="14.4" x14ac:dyDescent="0.3">
      <c r="A2434" s="28"/>
      <c r="D2434" s="29" t="s">
        <v>2967</v>
      </c>
      <c r="E2434" s="29" t="s">
        <v>52</v>
      </c>
      <c r="G2434" s="30">
        <v>0.5</v>
      </c>
      <c r="H2434" s="63"/>
      <c r="N2434" s="31"/>
    </row>
    <row r="2435" spans="1:74" ht="14.4" x14ac:dyDescent="0.3">
      <c r="A2435" s="21" t="s">
        <v>52</v>
      </c>
      <c r="B2435" s="22" t="s">
        <v>2900</v>
      </c>
      <c r="C2435" s="22" t="s">
        <v>1078</v>
      </c>
      <c r="D2435" s="170" t="s">
        <v>1079</v>
      </c>
      <c r="E2435" s="171"/>
      <c r="F2435" s="23" t="s">
        <v>32</v>
      </c>
      <c r="G2435" s="23" t="s">
        <v>32</v>
      </c>
      <c r="H2435" s="64"/>
      <c r="I2435" s="1">
        <f>SUM(I2436:I2436)</f>
        <v>0</v>
      </c>
      <c r="J2435" s="1">
        <f>SUM(J2436:J2436)</f>
        <v>0</v>
      </c>
      <c r="K2435" s="1">
        <f>SUM(K2436:K2436)</f>
        <v>0</v>
      </c>
      <c r="L2435" s="10" t="s">
        <v>52</v>
      </c>
      <c r="M2435" s="1">
        <f>SUM(M2436:M2436)</f>
        <v>0</v>
      </c>
      <c r="N2435" s="24"/>
      <c r="AG2435" s="10" t="s">
        <v>2900</v>
      </c>
      <c r="AQ2435" s="1">
        <f>SUM(AH2436:AH2436)</f>
        <v>0</v>
      </c>
      <c r="AR2435" s="1">
        <f>SUM(AI2436:AI2436)</f>
        <v>0</v>
      </c>
      <c r="AS2435" s="1">
        <f>SUM(AJ2436:AJ2436)</f>
        <v>0</v>
      </c>
    </row>
    <row r="2436" spans="1:74" ht="14.4" x14ac:dyDescent="0.3">
      <c r="A2436" s="2" t="s">
        <v>2968</v>
      </c>
      <c r="B2436" s="3" t="s">
        <v>2900</v>
      </c>
      <c r="C2436" s="3" t="s">
        <v>1081</v>
      </c>
      <c r="D2436" s="112" t="s">
        <v>1082</v>
      </c>
      <c r="E2436" s="109"/>
      <c r="F2436" s="3" t="s">
        <v>278</v>
      </c>
      <c r="G2436" s="25">
        <v>42.145479999999999</v>
      </c>
      <c r="H2436" s="62"/>
      <c r="I2436" s="25">
        <f>ROUND(G2436*AM2436,2)</f>
        <v>0</v>
      </c>
      <c r="J2436" s="25">
        <f>ROUND(G2436*AN2436,2)</f>
        <v>0</v>
      </c>
      <c r="K2436" s="25">
        <f>ROUND(G2436*H2436,2)</f>
        <v>0</v>
      </c>
      <c r="L2436" s="25">
        <v>0</v>
      </c>
      <c r="M2436" s="25">
        <f>G2436*L2436</f>
        <v>0</v>
      </c>
      <c r="N2436" s="26"/>
      <c r="X2436" s="25">
        <f>ROUND(IF(AO2436="5",BH2436,0),2)</f>
        <v>0</v>
      </c>
      <c r="Z2436" s="25">
        <f>ROUND(IF(AO2436="1",BF2436,0),2)</f>
        <v>0</v>
      </c>
      <c r="AA2436" s="25">
        <f>ROUND(IF(AO2436="1",BG2436,0),2)</f>
        <v>0</v>
      </c>
      <c r="AB2436" s="25">
        <f>ROUND(IF(AO2436="7",BF2436,0),2)</f>
        <v>0</v>
      </c>
      <c r="AC2436" s="25">
        <f>ROUND(IF(AO2436="7",BG2436,0),2)</f>
        <v>0</v>
      </c>
      <c r="AD2436" s="25">
        <f>ROUND(IF(AO2436="2",BF2436,0),2)</f>
        <v>0</v>
      </c>
      <c r="AE2436" s="25">
        <f>ROUND(IF(AO2436="2",BG2436,0),2)</f>
        <v>0</v>
      </c>
      <c r="AF2436" s="25">
        <f>ROUND(IF(AO2436="0",BH2436,0),2)</f>
        <v>0</v>
      </c>
      <c r="AG2436" s="10" t="s">
        <v>2900</v>
      </c>
      <c r="AH2436" s="25">
        <f>IF(AL2436=0,K2436,0)</f>
        <v>0</v>
      </c>
      <c r="AI2436" s="25">
        <f>IF(AL2436=12,K2436,0)</f>
        <v>0</v>
      </c>
      <c r="AJ2436" s="25">
        <f>IF(AL2436=21,K2436,0)</f>
        <v>0</v>
      </c>
      <c r="AL2436" s="25">
        <v>21</v>
      </c>
      <c r="AM2436" s="25">
        <f>H2436*0</f>
        <v>0</v>
      </c>
      <c r="AN2436" s="25">
        <f>H2436*(1-0)</f>
        <v>0</v>
      </c>
      <c r="AO2436" s="27" t="s">
        <v>97</v>
      </c>
      <c r="AT2436" s="25">
        <f>ROUND(AU2436+AV2436,2)</f>
        <v>0</v>
      </c>
      <c r="AU2436" s="25">
        <f>ROUND(G2436*AM2436,2)</f>
        <v>0</v>
      </c>
      <c r="AV2436" s="25">
        <f>ROUND(G2436*AN2436,2)</f>
        <v>0</v>
      </c>
      <c r="AW2436" s="27" t="s">
        <v>1083</v>
      </c>
      <c r="AX2436" s="27" t="s">
        <v>2945</v>
      </c>
      <c r="AY2436" s="10" t="s">
        <v>2903</v>
      </c>
      <c r="BA2436" s="25">
        <f>AU2436+AV2436</f>
        <v>0</v>
      </c>
      <c r="BB2436" s="25">
        <f>H2436/(100-BC2436)*100</f>
        <v>0</v>
      </c>
      <c r="BC2436" s="25">
        <v>0</v>
      </c>
      <c r="BD2436" s="25">
        <f>M2436</f>
        <v>0</v>
      </c>
      <c r="BF2436" s="25">
        <f>G2436*AM2436</f>
        <v>0</v>
      </c>
      <c r="BG2436" s="25">
        <f>G2436*AN2436</f>
        <v>0</v>
      </c>
      <c r="BH2436" s="25">
        <f>G2436*H2436</f>
        <v>0</v>
      </c>
      <c r="BI2436" s="27" t="s">
        <v>65</v>
      </c>
      <c r="BJ2436" s="25"/>
      <c r="BU2436" s="25" t="e">
        <f>#REF!</f>
        <v>#REF!</v>
      </c>
      <c r="BV2436" s="4" t="s">
        <v>1082</v>
      </c>
    </row>
    <row r="2437" spans="1:74" ht="14.4" x14ac:dyDescent="0.3">
      <c r="A2437" s="28"/>
      <c r="D2437" s="29" t="s">
        <v>57</v>
      </c>
      <c r="E2437" s="29" t="s">
        <v>52</v>
      </c>
      <c r="G2437" s="30">
        <v>1</v>
      </c>
      <c r="H2437" s="63"/>
      <c r="N2437" s="31"/>
    </row>
    <row r="2438" spans="1:74" ht="14.4" x14ac:dyDescent="0.3">
      <c r="A2438" s="21" t="s">
        <v>52</v>
      </c>
      <c r="B2438" s="22" t="s">
        <v>2900</v>
      </c>
      <c r="C2438" s="22" t="s">
        <v>2969</v>
      </c>
      <c r="D2438" s="170" t="s">
        <v>2970</v>
      </c>
      <c r="E2438" s="171"/>
      <c r="F2438" s="23" t="s">
        <v>32</v>
      </c>
      <c r="G2438" s="23" t="s">
        <v>32</v>
      </c>
      <c r="H2438" s="64"/>
      <c r="I2438" s="1">
        <f>SUM(I2439:I2449)</f>
        <v>0</v>
      </c>
      <c r="J2438" s="1">
        <f>SUM(J2439:J2449)</f>
        <v>0</v>
      </c>
      <c r="K2438" s="1">
        <f>SUM(K2439:K2449)</f>
        <v>0</v>
      </c>
      <c r="L2438" s="10" t="s">
        <v>52</v>
      </c>
      <c r="M2438" s="1">
        <f>SUM(M2439:M2449)</f>
        <v>0.3</v>
      </c>
      <c r="N2438" s="24"/>
      <c r="AG2438" s="10" t="s">
        <v>2900</v>
      </c>
      <c r="AQ2438" s="1">
        <f>SUM(AH2439:AH2449)</f>
        <v>0</v>
      </c>
      <c r="AR2438" s="1">
        <f>SUM(AI2439:AI2449)</f>
        <v>0</v>
      </c>
      <c r="AS2438" s="1">
        <f>SUM(AJ2439:AJ2449)</f>
        <v>0</v>
      </c>
    </row>
    <row r="2439" spans="1:74" ht="14.4" x14ac:dyDescent="0.3">
      <c r="A2439" s="2" t="s">
        <v>2971</v>
      </c>
      <c r="B2439" s="3" t="s">
        <v>2900</v>
      </c>
      <c r="C2439" s="3" t="s">
        <v>2972</v>
      </c>
      <c r="D2439" s="112" t="s">
        <v>2973</v>
      </c>
      <c r="E2439" s="109"/>
      <c r="F2439" s="3" t="s">
        <v>860</v>
      </c>
      <c r="G2439" s="25">
        <v>1</v>
      </c>
      <c r="H2439" s="62"/>
      <c r="I2439" s="25">
        <f>ROUND(G2439*AM2439,2)</f>
        <v>0</v>
      </c>
      <c r="J2439" s="25">
        <f>ROUND(G2439*AN2439,2)</f>
        <v>0</v>
      </c>
      <c r="K2439" s="25">
        <f>ROUND(G2439*H2439,2)</f>
        <v>0</v>
      </c>
      <c r="L2439" s="25">
        <v>0</v>
      </c>
      <c r="M2439" s="25">
        <f>G2439*L2439</f>
        <v>0</v>
      </c>
      <c r="N2439" s="102"/>
      <c r="X2439" s="25">
        <f>ROUND(IF(AO2439="5",BH2439,0),2)</f>
        <v>0</v>
      </c>
      <c r="Z2439" s="25">
        <f>ROUND(IF(AO2439="1",BF2439,0),2)</f>
        <v>0</v>
      </c>
      <c r="AA2439" s="25">
        <f>ROUND(IF(AO2439="1",BG2439,0),2)</f>
        <v>0</v>
      </c>
      <c r="AB2439" s="25">
        <f>ROUND(IF(AO2439="7",BF2439,0),2)</f>
        <v>0</v>
      </c>
      <c r="AC2439" s="25">
        <f>ROUND(IF(AO2439="7",BG2439,0),2)</f>
        <v>0</v>
      </c>
      <c r="AD2439" s="25">
        <f>ROUND(IF(AO2439="2",BF2439,0),2)</f>
        <v>0</v>
      </c>
      <c r="AE2439" s="25">
        <f>ROUND(IF(AO2439="2",BG2439,0),2)</f>
        <v>0</v>
      </c>
      <c r="AF2439" s="25">
        <f>ROUND(IF(AO2439="0",BH2439,0),2)</f>
        <v>0</v>
      </c>
      <c r="AG2439" s="10" t="s">
        <v>2900</v>
      </c>
      <c r="AH2439" s="25">
        <f>IF(AL2439=0,K2439,0)</f>
        <v>0</v>
      </c>
      <c r="AI2439" s="25">
        <f>IF(AL2439=12,K2439,0)</f>
        <v>0</v>
      </c>
      <c r="AJ2439" s="25">
        <f>IF(AL2439=21,K2439,0)</f>
        <v>0</v>
      </c>
      <c r="AL2439" s="25">
        <v>21</v>
      </c>
      <c r="AM2439" s="25">
        <f>H2439*0</f>
        <v>0</v>
      </c>
      <c r="AN2439" s="25">
        <f>H2439*(1-0)</f>
        <v>0</v>
      </c>
      <c r="AO2439" s="27" t="s">
        <v>81</v>
      </c>
      <c r="AT2439" s="25">
        <f>ROUND(AU2439+AV2439,2)</f>
        <v>0</v>
      </c>
      <c r="AU2439" s="25">
        <f>ROUND(G2439*AM2439,2)</f>
        <v>0</v>
      </c>
      <c r="AV2439" s="25">
        <f>ROUND(G2439*AN2439,2)</f>
        <v>0</v>
      </c>
      <c r="AW2439" s="27" t="s">
        <v>2974</v>
      </c>
      <c r="AX2439" s="27" t="s">
        <v>2945</v>
      </c>
      <c r="AY2439" s="10" t="s">
        <v>2903</v>
      </c>
      <c r="BA2439" s="25">
        <f>AU2439+AV2439</f>
        <v>0</v>
      </c>
      <c r="BB2439" s="25">
        <f>H2439/(100-BC2439)*100</f>
        <v>0</v>
      </c>
      <c r="BC2439" s="25">
        <v>0</v>
      </c>
      <c r="BD2439" s="25">
        <f>M2439</f>
        <v>0</v>
      </c>
      <c r="BF2439" s="25">
        <f>G2439*AM2439</f>
        <v>0</v>
      </c>
      <c r="BG2439" s="25">
        <f>G2439*AN2439</f>
        <v>0</v>
      </c>
      <c r="BH2439" s="25">
        <f>G2439*H2439</f>
        <v>0</v>
      </c>
      <c r="BI2439" s="27" t="s">
        <v>65</v>
      </c>
      <c r="BJ2439" s="25"/>
      <c r="BU2439" s="25" t="e">
        <f>#REF!</f>
        <v>#REF!</v>
      </c>
      <c r="BV2439" s="4" t="s">
        <v>2973</v>
      </c>
    </row>
    <row r="2440" spans="1:74" ht="14.4" x14ac:dyDescent="0.3">
      <c r="A2440" s="28"/>
      <c r="D2440" s="29" t="s">
        <v>57</v>
      </c>
      <c r="E2440" s="29" t="s">
        <v>52</v>
      </c>
      <c r="G2440" s="30">
        <v>1</v>
      </c>
      <c r="H2440" s="63"/>
      <c r="N2440" s="31"/>
    </row>
    <row r="2441" spans="1:74" ht="14.4" x14ac:dyDescent="0.3">
      <c r="A2441" s="2" t="s">
        <v>2975</v>
      </c>
      <c r="B2441" s="3" t="s">
        <v>2900</v>
      </c>
      <c r="C2441" s="3" t="s">
        <v>2958</v>
      </c>
      <c r="D2441" s="112" t="s">
        <v>2976</v>
      </c>
      <c r="E2441" s="109"/>
      <c r="F2441" s="3" t="s">
        <v>100</v>
      </c>
      <c r="G2441" s="25">
        <v>18</v>
      </c>
      <c r="H2441" s="62"/>
      <c r="I2441" s="25">
        <f>ROUND(G2441*AM2441,2)</f>
        <v>0</v>
      </c>
      <c r="J2441" s="25">
        <f>ROUND(G2441*AN2441,2)</f>
        <v>0</v>
      </c>
      <c r="K2441" s="25">
        <f>ROUND(G2441*H2441,2)</f>
        <v>0</v>
      </c>
      <c r="L2441" s="25">
        <v>0</v>
      </c>
      <c r="M2441" s="25">
        <f>G2441*L2441</f>
        <v>0</v>
      </c>
      <c r="N2441" s="26"/>
      <c r="X2441" s="25">
        <f>ROUND(IF(AO2441="5",BH2441,0),2)</f>
        <v>0</v>
      </c>
      <c r="Z2441" s="25">
        <f>ROUND(IF(AO2441="1",BF2441,0),2)</f>
        <v>0</v>
      </c>
      <c r="AA2441" s="25">
        <f>ROUND(IF(AO2441="1",BG2441,0),2)</f>
        <v>0</v>
      </c>
      <c r="AB2441" s="25">
        <f>ROUND(IF(AO2441="7",BF2441,0),2)</f>
        <v>0</v>
      </c>
      <c r="AC2441" s="25">
        <f>ROUND(IF(AO2441="7",BG2441,0),2)</f>
        <v>0</v>
      </c>
      <c r="AD2441" s="25">
        <f>ROUND(IF(AO2441="2",BF2441,0),2)</f>
        <v>0</v>
      </c>
      <c r="AE2441" s="25">
        <f>ROUND(IF(AO2441="2",BG2441,0),2)</f>
        <v>0</v>
      </c>
      <c r="AF2441" s="25">
        <f>ROUND(IF(AO2441="0",BH2441,0),2)</f>
        <v>0</v>
      </c>
      <c r="AG2441" s="10" t="s">
        <v>2900</v>
      </c>
      <c r="AH2441" s="25">
        <f>IF(AL2441=0,K2441,0)</f>
        <v>0</v>
      </c>
      <c r="AI2441" s="25">
        <f>IF(AL2441=12,K2441,0)</f>
        <v>0</v>
      </c>
      <c r="AJ2441" s="25">
        <f>IF(AL2441=21,K2441,0)</f>
        <v>0</v>
      </c>
      <c r="AL2441" s="25">
        <v>21</v>
      </c>
      <c r="AM2441" s="25">
        <f>H2441*0</f>
        <v>0</v>
      </c>
      <c r="AN2441" s="25">
        <f>H2441*(1-0)</f>
        <v>0</v>
      </c>
      <c r="AO2441" s="27" t="s">
        <v>57</v>
      </c>
      <c r="AT2441" s="25">
        <f>ROUND(AU2441+AV2441,2)</f>
        <v>0</v>
      </c>
      <c r="AU2441" s="25">
        <f>ROUND(G2441*AM2441,2)</f>
        <v>0</v>
      </c>
      <c r="AV2441" s="25">
        <f>ROUND(G2441*AN2441,2)</f>
        <v>0</v>
      </c>
      <c r="AW2441" s="27" t="s">
        <v>2974</v>
      </c>
      <c r="AX2441" s="27" t="s">
        <v>2945</v>
      </c>
      <c r="AY2441" s="10" t="s">
        <v>2903</v>
      </c>
      <c r="BA2441" s="25">
        <f>AU2441+AV2441</f>
        <v>0</v>
      </c>
      <c r="BB2441" s="25">
        <f>H2441/(100-BC2441)*100</f>
        <v>0</v>
      </c>
      <c r="BC2441" s="25">
        <v>0</v>
      </c>
      <c r="BD2441" s="25">
        <f>M2441</f>
        <v>0</v>
      </c>
      <c r="BF2441" s="25">
        <f>G2441*AM2441</f>
        <v>0</v>
      </c>
      <c r="BG2441" s="25">
        <f>G2441*AN2441</f>
        <v>0</v>
      </c>
      <c r="BH2441" s="25">
        <f>G2441*H2441</f>
        <v>0</v>
      </c>
      <c r="BI2441" s="27" t="s">
        <v>65</v>
      </c>
      <c r="BJ2441" s="25"/>
      <c r="BU2441" s="25" t="e">
        <f>#REF!</f>
        <v>#REF!</v>
      </c>
      <c r="BV2441" s="4" t="s">
        <v>2976</v>
      </c>
    </row>
    <row r="2442" spans="1:74" ht="14.4" x14ac:dyDescent="0.3">
      <c r="A2442" s="28"/>
      <c r="D2442" s="29" t="s">
        <v>187</v>
      </c>
      <c r="E2442" s="29" t="s">
        <v>52</v>
      </c>
      <c r="G2442" s="30">
        <v>18</v>
      </c>
      <c r="H2442" s="63"/>
      <c r="N2442" s="31"/>
    </row>
    <row r="2443" spans="1:74" ht="14.4" x14ac:dyDescent="0.3">
      <c r="A2443" s="2" t="s">
        <v>2977</v>
      </c>
      <c r="B2443" s="3" t="s">
        <v>2900</v>
      </c>
      <c r="C2443" s="3" t="s">
        <v>2978</v>
      </c>
      <c r="D2443" s="112" t="s">
        <v>2979</v>
      </c>
      <c r="E2443" s="109"/>
      <c r="F2443" s="3" t="s">
        <v>122</v>
      </c>
      <c r="G2443" s="25">
        <v>32</v>
      </c>
      <c r="H2443" s="62"/>
      <c r="I2443" s="25">
        <f>ROUND(G2443*AM2443,2)</f>
        <v>0</v>
      </c>
      <c r="J2443" s="25">
        <f>ROUND(G2443*AN2443,2)</f>
        <v>0</v>
      </c>
      <c r="K2443" s="25">
        <f>ROUND(G2443*H2443,2)</f>
        <v>0</v>
      </c>
      <c r="L2443" s="25">
        <v>0</v>
      </c>
      <c r="M2443" s="25">
        <f>G2443*L2443</f>
        <v>0</v>
      </c>
      <c r="N2443" s="26"/>
      <c r="X2443" s="25">
        <f>ROUND(IF(AO2443="5",BH2443,0),2)</f>
        <v>0</v>
      </c>
      <c r="Z2443" s="25">
        <f>ROUND(IF(AO2443="1",BF2443,0),2)</f>
        <v>0</v>
      </c>
      <c r="AA2443" s="25">
        <f>ROUND(IF(AO2443="1",BG2443,0),2)</f>
        <v>0</v>
      </c>
      <c r="AB2443" s="25">
        <f>ROUND(IF(AO2443="7",BF2443,0),2)</f>
        <v>0</v>
      </c>
      <c r="AC2443" s="25">
        <f>ROUND(IF(AO2443="7",BG2443,0),2)</f>
        <v>0</v>
      </c>
      <c r="AD2443" s="25">
        <f>ROUND(IF(AO2443="2",BF2443,0),2)</f>
        <v>0</v>
      </c>
      <c r="AE2443" s="25">
        <f>ROUND(IF(AO2443="2",BG2443,0),2)</f>
        <v>0</v>
      </c>
      <c r="AF2443" s="25">
        <f>ROUND(IF(AO2443="0",BH2443,0),2)</f>
        <v>0</v>
      </c>
      <c r="AG2443" s="10" t="s">
        <v>2900</v>
      </c>
      <c r="AH2443" s="25">
        <f>IF(AL2443=0,K2443,0)</f>
        <v>0</v>
      </c>
      <c r="AI2443" s="25">
        <f>IF(AL2443=12,K2443,0)</f>
        <v>0</v>
      </c>
      <c r="AJ2443" s="25">
        <f>IF(AL2443=21,K2443,0)</f>
        <v>0</v>
      </c>
      <c r="AL2443" s="25">
        <v>21</v>
      </c>
      <c r="AM2443" s="25">
        <f>H2443*0.282474227</f>
        <v>0</v>
      </c>
      <c r="AN2443" s="25">
        <f>H2443*(1-0.282474227)</f>
        <v>0</v>
      </c>
      <c r="AO2443" s="27" t="s">
        <v>81</v>
      </c>
      <c r="AT2443" s="25">
        <f>ROUND(AU2443+AV2443,2)</f>
        <v>0</v>
      </c>
      <c r="AU2443" s="25">
        <f>ROUND(G2443*AM2443,2)</f>
        <v>0</v>
      </c>
      <c r="AV2443" s="25">
        <f>ROUND(G2443*AN2443,2)</f>
        <v>0</v>
      </c>
      <c r="AW2443" s="27" t="s">
        <v>2974</v>
      </c>
      <c r="AX2443" s="27" t="s">
        <v>2945</v>
      </c>
      <c r="AY2443" s="10" t="s">
        <v>2903</v>
      </c>
      <c r="BA2443" s="25">
        <f>AU2443+AV2443</f>
        <v>0</v>
      </c>
      <c r="BB2443" s="25">
        <f>H2443/(100-BC2443)*100</f>
        <v>0</v>
      </c>
      <c r="BC2443" s="25">
        <v>0</v>
      </c>
      <c r="BD2443" s="25">
        <f>M2443</f>
        <v>0</v>
      </c>
      <c r="BF2443" s="25">
        <f>G2443*AM2443</f>
        <v>0</v>
      </c>
      <c r="BG2443" s="25">
        <f>G2443*AN2443</f>
        <v>0</v>
      </c>
      <c r="BH2443" s="25">
        <f>G2443*H2443</f>
        <v>0</v>
      </c>
      <c r="BI2443" s="27" t="s">
        <v>65</v>
      </c>
      <c r="BJ2443" s="25"/>
      <c r="BU2443" s="25" t="e">
        <f>#REF!</f>
        <v>#REF!</v>
      </c>
      <c r="BV2443" s="4" t="s">
        <v>2979</v>
      </c>
    </row>
    <row r="2444" spans="1:74" ht="14.4" x14ac:dyDescent="0.3">
      <c r="A2444" s="28"/>
      <c r="D2444" s="29" t="s">
        <v>281</v>
      </c>
      <c r="E2444" s="29" t="s">
        <v>52</v>
      </c>
      <c r="G2444" s="30">
        <v>32</v>
      </c>
      <c r="H2444" s="63"/>
      <c r="N2444" s="31"/>
    </row>
    <row r="2445" spans="1:74" ht="26.4" x14ac:dyDescent="0.3">
      <c r="A2445" s="2" t="s">
        <v>2980</v>
      </c>
      <c r="B2445" s="3" t="s">
        <v>2900</v>
      </c>
      <c r="C2445" s="3" t="s">
        <v>2981</v>
      </c>
      <c r="D2445" s="112" t="s">
        <v>2982</v>
      </c>
      <c r="E2445" s="109"/>
      <c r="F2445" s="3" t="s">
        <v>115</v>
      </c>
      <c r="G2445" s="25">
        <v>35</v>
      </c>
      <c r="H2445" s="62"/>
      <c r="I2445" s="25">
        <f>ROUND(G2445*AM2445,2)</f>
        <v>0</v>
      </c>
      <c r="J2445" s="25">
        <f>ROUND(G2445*AN2445,2)</f>
        <v>0</v>
      </c>
      <c r="K2445" s="25">
        <f>ROUND(G2445*H2445,2)</f>
        <v>0</v>
      </c>
      <c r="L2445" s="25">
        <v>0</v>
      </c>
      <c r="M2445" s="25">
        <f>G2445*L2445</f>
        <v>0</v>
      </c>
      <c r="N2445" s="26"/>
      <c r="X2445" s="25">
        <f>ROUND(IF(AO2445="5",BH2445,0),2)</f>
        <v>0</v>
      </c>
      <c r="Z2445" s="25">
        <f>ROUND(IF(AO2445="1",BF2445,0),2)</f>
        <v>0</v>
      </c>
      <c r="AA2445" s="25">
        <f>ROUND(IF(AO2445="1",BG2445,0),2)</f>
        <v>0</v>
      </c>
      <c r="AB2445" s="25">
        <f>ROUND(IF(AO2445="7",BF2445,0),2)</f>
        <v>0</v>
      </c>
      <c r="AC2445" s="25">
        <f>ROUND(IF(AO2445="7",BG2445,0),2)</f>
        <v>0</v>
      </c>
      <c r="AD2445" s="25">
        <f>ROUND(IF(AO2445="2",BF2445,0),2)</f>
        <v>0</v>
      </c>
      <c r="AE2445" s="25">
        <f>ROUND(IF(AO2445="2",BG2445,0),2)</f>
        <v>0</v>
      </c>
      <c r="AF2445" s="25">
        <f>ROUND(IF(AO2445="0",BH2445,0),2)</f>
        <v>0</v>
      </c>
      <c r="AG2445" s="10" t="s">
        <v>2900</v>
      </c>
      <c r="AH2445" s="25">
        <f>IF(AL2445=0,K2445,0)</f>
        <v>0</v>
      </c>
      <c r="AI2445" s="25">
        <f>IF(AL2445=12,K2445,0)</f>
        <v>0</v>
      </c>
      <c r="AJ2445" s="25">
        <f>IF(AL2445=21,K2445,0)</f>
        <v>0</v>
      </c>
      <c r="AL2445" s="25">
        <v>21</v>
      </c>
      <c r="AM2445" s="25">
        <f>H2445*0.707607024</f>
        <v>0</v>
      </c>
      <c r="AN2445" s="25">
        <f>H2445*(1-0.707607024)</f>
        <v>0</v>
      </c>
      <c r="AO2445" s="27" t="s">
        <v>81</v>
      </c>
      <c r="AT2445" s="25">
        <f>ROUND(AU2445+AV2445,2)</f>
        <v>0</v>
      </c>
      <c r="AU2445" s="25">
        <f>ROUND(G2445*AM2445,2)</f>
        <v>0</v>
      </c>
      <c r="AV2445" s="25">
        <f>ROUND(G2445*AN2445,2)</f>
        <v>0</v>
      </c>
      <c r="AW2445" s="27" t="s">
        <v>2974</v>
      </c>
      <c r="AX2445" s="27" t="s">
        <v>2945</v>
      </c>
      <c r="AY2445" s="10" t="s">
        <v>2903</v>
      </c>
      <c r="BA2445" s="25">
        <f>AU2445+AV2445</f>
        <v>0</v>
      </c>
      <c r="BB2445" s="25">
        <f>H2445/(100-BC2445)*100</f>
        <v>0</v>
      </c>
      <c r="BC2445" s="25">
        <v>0</v>
      </c>
      <c r="BD2445" s="25">
        <f>M2445</f>
        <v>0</v>
      </c>
      <c r="BF2445" s="25">
        <f>G2445*AM2445</f>
        <v>0</v>
      </c>
      <c r="BG2445" s="25">
        <f>G2445*AN2445</f>
        <v>0</v>
      </c>
      <c r="BH2445" s="25">
        <f>G2445*H2445</f>
        <v>0</v>
      </c>
      <c r="BI2445" s="27" t="s">
        <v>65</v>
      </c>
      <c r="BJ2445" s="25"/>
      <c r="BU2445" s="25" t="e">
        <f>#REF!</f>
        <v>#REF!</v>
      </c>
      <c r="BV2445" s="4" t="s">
        <v>2982</v>
      </c>
    </row>
    <row r="2446" spans="1:74" ht="14.4" x14ac:dyDescent="0.3">
      <c r="A2446" s="28"/>
      <c r="D2446" s="29" t="s">
        <v>291</v>
      </c>
      <c r="E2446" s="29" t="s">
        <v>52</v>
      </c>
      <c r="G2446" s="30">
        <v>35</v>
      </c>
      <c r="H2446" s="63"/>
      <c r="N2446" s="31"/>
    </row>
    <row r="2447" spans="1:74" ht="14.4" x14ac:dyDescent="0.3">
      <c r="A2447" s="2" t="s">
        <v>2983</v>
      </c>
      <c r="B2447" s="3" t="s">
        <v>2900</v>
      </c>
      <c r="C2447" s="3" t="s">
        <v>2984</v>
      </c>
      <c r="D2447" s="112" t="s">
        <v>2985</v>
      </c>
      <c r="E2447" s="109"/>
      <c r="F2447" s="3" t="s">
        <v>278</v>
      </c>
      <c r="G2447" s="25">
        <v>0.3</v>
      </c>
      <c r="H2447" s="62"/>
      <c r="I2447" s="25">
        <f>ROUND(G2447*AM2447,2)</f>
        <v>0</v>
      </c>
      <c r="J2447" s="25">
        <f>ROUND(G2447*AN2447,2)</f>
        <v>0</v>
      </c>
      <c r="K2447" s="25">
        <f>ROUND(G2447*H2447,2)</f>
        <v>0</v>
      </c>
      <c r="L2447" s="25">
        <v>1</v>
      </c>
      <c r="M2447" s="25">
        <f>G2447*L2447</f>
        <v>0.3</v>
      </c>
      <c r="N2447" s="26"/>
      <c r="X2447" s="25">
        <f>ROUND(IF(AO2447="5",BH2447,0),2)</f>
        <v>0</v>
      </c>
      <c r="Z2447" s="25">
        <f>ROUND(IF(AO2447="1",BF2447,0),2)</f>
        <v>0</v>
      </c>
      <c r="AA2447" s="25">
        <f>ROUND(IF(AO2447="1",BG2447,0),2)</f>
        <v>0</v>
      </c>
      <c r="AB2447" s="25">
        <f>ROUND(IF(AO2447="7",BF2447,0),2)</f>
        <v>0</v>
      </c>
      <c r="AC2447" s="25">
        <f>ROUND(IF(AO2447="7",BG2447,0),2)</f>
        <v>0</v>
      </c>
      <c r="AD2447" s="25">
        <f>ROUND(IF(AO2447="2",BF2447,0),2)</f>
        <v>0</v>
      </c>
      <c r="AE2447" s="25">
        <f>ROUND(IF(AO2447="2",BG2447,0),2)</f>
        <v>0</v>
      </c>
      <c r="AF2447" s="25">
        <f>ROUND(IF(AO2447="0",BH2447,0),2)</f>
        <v>0</v>
      </c>
      <c r="AG2447" s="10" t="s">
        <v>2900</v>
      </c>
      <c r="AH2447" s="25">
        <f>IF(AL2447=0,K2447,0)</f>
        <v>0</v>
      </c>
      <c r="AI2447" s="25">
        <f>IF(AL2447=12,K2447,0)</f>
        <v>0</v>
      </c>
      <c r="AJ2447" s="25">
        <f>IF(AL2447=21,K2447,0)</f>
        <v>0</v>
      </c>
      <c r="AL2447" s="25">
        <v>21</v>
      </c>
      <c r="AM2447" s="25">
        <f>H2447*1</f>
        <v>0</v>
      </c>
      <c r="AN2447" s="25">
        <f>H2447*(1-1)</f>
        <v>0</v>
      </c>
      <c r="AO2447" s="27" t="s">
        <v>57</v>
      </c>
      <c r="AT2447" s="25">
        <f>ROUND(AU2447+AV2447,2)</f>
        <v>0</v>
      </c>
      <c r="AU2447" s="25">
        <f>ROUND(G2447*AM2447,2)</f>
        <v>0</v>
      </c>
      <c r="AV2447" s="25">
        <f>ROUND(G2447*AN2447,2)</f>
        <v>0</v>
      </c>
      <c r="AW2447" s="27" t="s">
        <v>2974</v>
      </c>
      <c r="AX2447" s="27" t="s">
        <v>2945</v>
      </c>
      <c r="AY2447" s="10" t="s">
        <v>2903</v>
      </c>
      <c r="BA2447" s="25">
        <f>AU2447+AV2447</f>
        <v>0</v>
      </c>
      <c r="BB2447" s="25">
        <f>H2447/(100-BC2447)*100</f>
        <v>0</v>
      </c>
      <c r="BC2447" s="25">
        <v>0</v>
      </c>
      <c r="BD2447" s="25">
        <f>M2447</f>
        <v>0.3</v>
      </c>
      <c r="BF2447" s="25">
        <f>G2447*AM2447</f>
        <v>0</v>
      </c>
      <c r="BG2447" s="25">
        <f>G2447*AN2447</f>
        <v>0</v>
      </c>
      <c r="BH2447" s="25">
        <f>G2447*H2447</f>
        <v>0</v>
      </c>
      <c r="BI2447" s="27" t="s">
        <v>576</v>
      </c>
      <c r="BJ2447" s="25"/>
      <c r="BU2447" s="25" t="e">
        <f>#REF!</f>
        <v>#REF!</v>
      </c>
      <c r="BV2447" s="4" t="s">
        <v>2985</v>
      </c>
    </row>
    <row r="2448" spans="1:74" ht="14.4" x14ac:dyDescent="0.3">
      <c r="A2448" s="28"/>
      <c r="D2448" s="29" t="s">
        <v>272</v>
      </c>
      <c r="E2448" s="29" t="s">
        <v>52</v>
      </c>
      <c r="G2448" s="30">
        <v>0.3</v>
      </c>
      <c r="H2448" s="63"/>
      <c r="N2448" s="31"/>
    </row>
    <row r="2449" spans="1:74" ht="14.4" x14ac:dyDescent="0.3">
      <c r="A2449" s="2" t="s">
        <v>2986</v>
      </c>
      <c r="B2449" s="3" t="s">
        <v>2900</v>
      </c>
      <c r="C2449" s="3" t="s">
        <v>2987</v>
      </c>
      <c r="D2449" s="112" t="s">
        <v>2988</v>
      </c>
      <c r="E2449" s="109"/>
      <c r="F2449" s="3" t="s">
        <v>2183</v>
      </c>
      <c r="G2449" s="25">
        <v>16</v>
      </c>
      <c r="H2449" s="62"/>
      <c r="I2449" s="25">
        <f>ROUND(G2449*AM2449,2)</f>
        <v>0</v>
      </c>
      <c r="J2449" s="25">
        <f>ROUND(G2449*AN2449,2)</f>
        <v>0</v>
      </c>
      <c r="K2449" s="25">
        <f>ROUND(G2449*H2449,2)</f>
        <v>0</v>
      </c>
      <c r="L2449" s="25">
        <v>0</v>
      </c>
      <c r="M2449" s="25">
        <f>G2449*L2449</f>
        <v>0</v>
      </c>
      <c r="N2449" s="26"/>
      <c r="X2449" s="25">
        <f>ROUND(IF(AO2449="5",BH2449,0),2)</f>
        <v>0</v>
      </c>
      <c r="Z2449" s="25">
        <f>ROUND(IF(AO2449="1",BF2449,0),2)</f>
        <v>0</v>
      </c>
      <c r="AA2449" s="25">
        <f>ROUND(IF(AO2449="1",BG2449,0),2)</f>
        <v>0</v>
      </c>
      <c r="AB2449" s="25">
        <f>ROUND(IF(AO2449="7",BF2449,0),2)</f>
        <v>0</v>
      </c>
      <c r="AC2449" s="25">
        <f>ROUND(IF(AO2449="7",BG2449,0),2)</f>
        <v>0</v>
      </c>
      <c r="AD2449" s="25">
        <f>ROUND(IF(AO2449="2",BF2449,0),2)</f>
        <v>0</v>
      </c>
      <c r="AE2449" s="25">
        <f>ROUND(IF(AO2449="2",BG2449,0),2)</f>
        <v>0</v>
      </c>
      <c r="AF2449" s="25">
        <f>ROUND(IF(AO2449="0",BH2449,0),2)</f>
        <v>0</v>
      </c>
      <c r="AG2449" s="10" t="s">
        <v>2900</v>
      </c>
      <c r="AH2449" s="25">
        <f>IF(AL2449=0,K2449,0)</f>
        <v>0</v>
      </c>
      <c r="AI2449" s="25">
        <f>IF(AL2449=12,K2449,0)</f>
        <v>0</v>
      </c>
      <c r="AJ2449" s="25">
        <f>IF(AL2449=21,K2449,0)</f>
        <v>0</v>
      </c>
      <c r="AL2449" s="25">
        <v>21</v>
      </c>
      <c r="AM2449" s="25">
        <f>H2449*1</f>
        <v>0</v>
      </c>
      <c r="AN2449" s="25">
        <f>H2449*(1-1)</f>
        <v>0</v>
      </c>
      <c r="AO2449" s="27" t="s">
        <v>57</v>
      </c>
      <c r="AT2449" s="25">
        <f>ROUND(AU2449+AV2449,2)</f>
        <v>0</v>
      </c>
      <c r="AU2449" s="25">
        <f>ROUND(G2449*AM2449,2)</f>
        <v>0</v>
      </c>
      <c r="AV2449" s="25">
        <f>ROUND(G2449*AN2449,2)</f>
        <v>0</v>
      </c>
      <c r="AW2449" s="27" t="s">
        <v>2974</v>
      </c>
      <c r="AX2449" s="27" t="s">
        <v>2945</v>
      </c>
      <c r="AY2449" s="10" t="s">
        <v>2903</v>
      </c>
      <c r="BA2449" s="25">
        <f>AU2449+AV2449</f>
        <v>0</v>
      </c>
      <c r="BB2449" s="25">
        <f>H2449/(100-BC2449)*100</f>
        <v>0</v>
      </c>
      <c r="BC2449" s="25">
        <v>0</v>
      </c>
      <c r="BD2449" s="25">
        <f>M2449</f>
        <v>0</v>
      </c>
      <c r="BF2449" s="25">
        <f>G2449*AM2449</f>
        <v>0</v>
      </c>
      <c r="BG2449" s="25">
        <f>G2449*AN2449</f>
        <v>0</v>
      </c>
      <c r="BH2449" s="25">
        <f>G2449*H2449</f>
        <v>0</v>
      </c>
      <c r="BI2449" s="27" t="s">
        <v>576</v>
      </c>
      <c r="BJ2449" s="25"/>
      <c r="BU2449" s="25" t="e">
        <f>#REF!</f>
        <v>#REF!</v>
      </c>
      <c r="BV2449" s="4" t="s">
        <v>2988</v>
      </c>
    </row>
    <row r="2450" spans="1:74" ht="14.4" x14ac:dyDescent="0.3">
      <c r="A2450" s="28"/>
      <c r="D2450" s="29" t="s">
        <v>175</v>
      </c>
      <c r="E2450" s="29" t="s">
        <v>52</v>
      </c>
      <c r="G2450" s="30">
        <v>16</v>
      </c>
      <c r="H2450" s="63"/>
      <c r="N2450" s="31"/>
    </row>
    <row r="2451" spans="1:74" ht="14.4" x14ac:dyDescent="0.3">
      <c r="A2451" s="21" t="s">
        <v>52</v>
      </c>
      <c r="B2451" s="22" t="s">
        <v>2900</v>
      </c>
      <c r="C2451" s="22" t="s">
        <v>2989</v>
      </c>
      <c r="D2451" s="170" t="s">
        <v>2990</v>
      </c>
      <c r="E2451" s="171"/>
      <c r="F2451" s="23" t="s">
        <v>32</v>
      </c>
      <c r="G2451" s="23" t="s">
        <v>32</v>
      </c>
      <c r="H2451" s="64"/>
      <c r="I2451" s="1">
        <f>SUM(I2452:I2570)</f>
        <v>0</v>
      </c>
      <c r="J2451" s="1">
        <f>SUM(J2452:J2570)</f>
        <v>0</v>
      </c>
      <c r="K2451" s="1">
        <f>SUM(K2452:K2570)</f>
        <v>0</v>
      </c>
      <c r="L2451" s="10" t="s">
        <v>52</v>
      </c>
      <c r="M2451" s="1">
        <f>SUM(M2452:M2570)</f>
        <v>1.4078200000000003</v>
      </c>
      <c r="N2451" s="24"/>
      <c r="AG2451" s="10" t="s">
        <v>2900</v>
      </c>
      <c r="AQ2451" s="1">
        <f>SUM(AH2452:AH2570)</f>
        <v>0</v>
      </c>
      <c r="AR2451" s="1">
        <f>SUM(AI2452:AI2570)</f>
        <v>0</v>
      </c>
      <c r="AS2451" s="1">
        <f>SUM(AJ2452:AJ2570)</f>
        <v>0</v>
      </c>
    </row>
    <row r="2452" spans="1:74" ht="26.4" x14ac:dyDescent="0.3">
      <c r="A2452" s="2" t="s">
        <v>2991</v>
      </c>
      <c r="B2452" s="3" t="s">
        <v>2900</v>
      </c>
      <c r="C2452" s="3" t="s">
        <v>2992</v>
      </c>
      <c r="D2452" s="112" t="s">
        <v>2993</v>
      </c>
      <c r="E2452" s="109"/>
      <c r="F2452" s="3" t="s">
        <v>2183</v>
      </c>
      <c r="G2452" s="25">
        <v>1</v>
      </c>
      <c r="H2452" s="62"/>
      <c r="I2452" s="25">
        <f>ROUND(G2452*AM2452,2)</f>
        <v>0</v>
      </c>
      <c r="J2452" s="25">
        <f>ROUND(G2452*AN2452,2)</f>
        <v>0</v>
      </c>
      <c r="K2452" s="25">
        <f>ROUND(G2452*H2452,2)</f>
        <v>0</v>
      </c>
      <c r="L2452" s="25">
        <v>0</v>
      </c>
      <c r="M2452" s="25">
        <f>G2452*L2452</f>
        <v>0</v>
      </c>
      <c r="N2452" s="102"/>
      <c r="X2452" s="25">
        <f>ROUND(IF(AO2452="5",BH2452,0),2)</f>
        <v>0</v>
      </c>
      <c r="Z2452" s="25">
        <f>ROUND(IF(AO2452="1",BF2452,0),2)</f>
        <v>0</v>
      </c>
      <c r="AA2452" s="25">
        <f>ROUND(IF(AO2452="1",BG2452,0),2)</f>
        <v>0</v>
      </c>
      <c r="AB2452" s="25">
        <f>ROUND(IF(AO2452="7",BF2452,0),2)</f>
        <v>0</v>
      </c>
      <c r="AC2452" s="25">
        <f>ROUND(IF(AO2452="7",BG2452,0),2)</f>
        <v>0</v>
      </c>
      <c r="AD2452" s="25">
        <f>ROUND(IF(AO2452="2",BF2452,0),2)</f>
        <v>0</v>
      </c>
      <c r="AE2452" s="25">
        <f>ROUND(IF(AO2452="2",BG2452,0),2)</f>
        <v>0</v>
      </c>
      <c r="AF2452" s="25">
        <f>ROUND(IF(AO2452="0",BH2452,0),2)</f>
        <v>0</v>
      </c>
      <c r="AG2452" s="10" t="s">
        <v>2900</v>
      </c>
      <c r="AH2452" s="25">
        <f>IF(AL2452=0,K2452,0)</f>
        <v>0</v>
      </c>
      <c r="AI2452" s="25">
        <f>IF(AL2452=12,K2452,0)</f>
        <v>0</v>
      </c>
      <c r="AJ2452" s="25">
        <f>IF(AL2452=21,K2452,0)</f>
        <v>0</v>
      </c>
      <c r="AL2452" s="25">
        <v>21</v>
      </c>
      <c r="AM2452" s="25">
        <f>H2452*0</f>
        <v>0</v>
      </c>
      <c r="AN2452" s="25">
        <f>H2452*(1-0)</f>
        <v>0</v>
      </c>
      <c r="AO2452" s="27" t="s">
        <v>57</v>
      </c>
      <c r="AT2452" s="25">
        <f>ROUND(AU2452+AV2452,2)</f>
        <v>0</v>
      </c>
      <c r="AU2452" s="25">
        <f>ROUND(G2452*AM2452,2)</f>
        <v>0</v>
      </c>
      <c r="AV2452" s="25">
        <f>ROUND(G2452*AN2452,2)</f>
        <v>0</v>
      </c>
      <c r="AW2452" s="27" t="s">
        <v>2994</v>
      </c>
      <c r="AX2452" s="27" t="s">
        <v>2945</v>
      </c>
      <c r="AY2452" s="10" t="s">
        <v>2903</v>
      </c>
      <c r="BA2452" s="25">
        <f>AU2452+AV2452</f>
        <v>0</v>
      </c>
      <c r="BB2452" s="25">
        <f>H2452/(100-BC2452)*100</f>
        <v>0</v>
      </c>
      <c r="BC2452" s="25">
        <v>0</v>
      </c>
      <c r="BD2452" s="25">
        <f>M2452</f>
        <v>0</v>
      </c>
      <c r="BF2452" s="25">
        <f>G2452*AM2452</f>
        <v>0</v>
      </c>
      <c r="BG2452" s="25">
        <f>G2452*AN2452</f>
        <v>0</v>
      </c>
      <c r="BH2452" s="25">
        <f>G2452*H2452</f>
        <v>0</v>
      </c>
      <c r="BI2452" s="27" t="s">
        <v>65</v>
      </c>
      <c r="BJ2452" s="25"/>
      <c r="BU2452" s="25" t="e">
        <f>#REF!</f>
        <v>#REF!</v>
      </c>
      <c r="BV2452" s="4" t="s">
        <v>2993</v>
      </c>
    </row>
    <row r="2453" spans="1:74" ht="14.4" x14ac:dyDescent="0.3">
      <c r="A2453" s="28"/>
      <c r="D2453" s="29" t="s">
        <v>57</v>
      </c>
      <c r="E2453" s="29" t="s">
        <v>52</v>
      </c>
      <c r="G2453" s="30">
        <v>1</v>
      </c>
      <c r="H2453" s="63"/>
      <c r="N2453" s="31"/>
    </row>
    <row r="2454" spans="1:74" ht="26.4" x14ac:dyDescent="0.3">
      <c r="A2454" s="2" t="s">
        <v>2995</v>
      </c>
      <c r="B2454" s="3" t="s">
        <v>2900</v>
      </c>
      <c r="C2454" s="3" t="s">
        <v>2996</v>
      </c>
      <c r="D2454" s="112" t="s">
        <v>2997</v>
      </c>
      <c r="E2454" s="109"/>
      <c r="F2454" s="3" t="s">
        <v>2183</v>
      </c>
      <c r="G2454" s="25">
        <v>1</v>
      </c>
      <c r="H2454" s="62"/>
      <c r="I2454" s="25">
        <f>ROUND(G2454*AM2454,2)</f>
        <v>0</v>
      </c>
      <c r="J2454" s="25">
        <f>ROUND(G2454*AN2454,2)</f>
        <v>0</v>
      </c>
      <c r="K2454" s="25">
        <f>ROUND(G2454*H2454,2)</f>
        <v>0</v>
      </c>
      <c r="L2454" s="25">
        <v>0</v>
      </c>
      <c r="M2454" s="25">
        <f>G2454*L2454</f>
        <v>0</v>
      </c>
      <c r="N2454" s="102"/>
      <c r="X2454" s="25">
        <f>ROUND(IF(AO2454="5",BH2454,0),2)</f>
        <v>0</v>
      </c>
      <c r="Z2454" s="25">
        <f>ROUND(IF(AO2454="1",BF2454,0),2)</f>
        <v>0</v>
      </c>
      <c r="AA2454" s="25">
        <f>ROUND(IF(AO2454="1",BG2454,0),2)</f>
        <v>0</v>
      </c>
      <c r="AB2454" s="25">
        <f>ROUND(IF(AO2454="7",BF2454,0),2)</f>
        <v>0</v>
      </c>
      <c r="AC2454" s="25">
        <f>ROUND(IF(AO2454="7",BG2454,0),2)</f>
        <v>0</v>
      </c>
      <c r="AD2454" s="25">
        <f>ROUND(IF(AO2454="2",BF2454,0),2)</f>
        <v>0</v>
      </c>
      <c r="AE2454" s="25">
        <f>ROUND(IF(AO2454="2",BG2454,0),2)</f>
        <v>0</v>
      </c>
      <c r="AF2454" s="25">
        <f>ROUND(IF(AO2454="0",BH2454,0),2)</f>
        <v>0</v>
      </c>
      <c r="AG2454" s="10" t="s">
        <v>2900</v>
      </c>
      <c r="AH2454" s="25">
        <f>IF(AL2454=0,K2454,0)</f>
        <v>0</v>
      </c>
      <c r="AI2454" s="25">
        <f>IF(AL2454=12,K2454,0)</f>
        <v>0</v>
      </c>
      <c r="AJ2454" s="25">
        <f>IF(AL2454=21,K2454,0)</f>
        <v>0</v>
      </c>
      <c r="AL2454" s="25">
        <v>21</v>
      </c>
      <c r="AM2454" s="25">
        <f>H2454*0</f>
        <v>0</v>
      </c>
      <c r="AN2454" s="25">
        <f>H2454*(1-0)</f>
        <v>0</v>
      </c>
      <c r="AO2454" s="27" t="s">
        <v>57</v>
      </c>
      <c r="AT2454" s="25">
        <f>ROUND(AU2454+AV2454,2)</f>
        <v>0</v>
      </c>
      <c r="AU2454" s="25">
        <f>ROUND(G2454*AM2454,2)</f>
        <v>0</v>
      </c>
      <c r="AV2454" s="25">
        <f>ROUND(G2454*AN2454,2)</f>
        <v>0</v>
      </c>
      <c r="AW2454" s="27" t="s">
        <v>2994</v>
      </c>
      <c r="AX2454" s="27" t="s">
        <v>2945</v>
      </c>
      <c r="AY2454" s="10" t="s">
        <v>2903</v>
      </c>
      <c r="BA2454" s="25">
        <f>AU2454+AV2454</f>
        <v>0</v>
      </c>
      <c r="BB2454" s="25">
        <f>H2454/(100-BC2454)*100</f>
        <v>0</v>
      </c>
      <c r="BC2454" s="25">
        <v>0</v>
      </c>
      <c r="BD2454" s="25">
        <f>M2454</f>
        <v>0</v>
      </c>
      <c r="BF2454" s="25">
        <f>G2454*AM2454</f>
        <v>0</v>
      </c>
      <c r="BG2454" s="25">
        <f>G2454*AN2454</f>
        <v>0</v>
      </c>
      <c r="BH2454" s="25">
        <f>G2454*H2454</f>
        <v>0</v>
      </c>
      <c r="BI2454" s="27" t="s">
        <v>65</v>
      </c>
      <c r="BJ2454" s="25"/>
      <c r="BU2454" s="25" t="e">
        <f>#REF!</f>
        <v>#REF!</v>
      </c>
      <c r="BV2454" s="4" t="s">
        <v>2997</v>
      </c>
    </row>
    <row r="2455" spans="1:74" ht="14.4" x14ac:dyDescent="0.3">
      <c r="A2455" s="28"/>
      <c r="D2455" s="29" t="s">
        <v>57</v>
      </c>
      <c r="E2455" s="29" t="s">
        <v>52</v>
      </c>
      <c r="G2455" s="30">
        <v>1</v>
      </c>
      <c r="H2455" s="63"/>
      <c r="N2455" s="31"/>
    </row>
    <row r="2456" spans="1:74" ht="26.4" x14ac:dyDescent="0.3">
      <c r="A2456" s="2" t="s">
        <v>2998</v>
      </c>
      <c r="B2456" s="3" t="s">
        <v>2900</v>
      </c>
      <c r="C2456" s="3" t="s">
        <v>2999</v>
      </c>
      <c r="D2456" s="112" t="s">
        <v>3000</v>
      </c>
      <c r="E2456" s="109"/>
      <c r="F2456" s="3" t="s">
        <v>122</v>
      </c>
      <c r="G2456" s="25">
        <v>63</v>
      </c>
      <c r="H2456" s="62"/>
      <c r="I2456" s="25">
        <f>ROUND(G2456*AM2456,2)</f>
        <v>0</v>
      </c>
      <c r="J2456" s="25">
        <f>ROUND(G2456*AN2456,2)</f>
        <v>0</v>
      </c>
      <c r="K2456" s="25">
        <f>ROUND(G2456*H2456,2)</f>
        <v>0</v>
      </c>
      <c r="L2456" s="25">
        <v>0</v>
      </c>
      <c r="M2456" s="25">
        <f>G2456*L2456</f>
        <v>0</v>
      </c>
      <c r="N2456" s="26"/>
      <c r="X2456" s="25">
        <f>ROUND(IF(AO2456="5",BH2456,0),2)</f>
        <v>0</v>
      </c>
      <c r="Z2456" s="25">
        <f>ROUND(IF(AO2456="1",BF2456,0),2)</f>
        <v>0</v>
      </c>
      <c r="AA2456" s="25">
        <f>ROUND(IF(AO2456="1",BG2456,0),2)</f>
        <v>0</v>
      </c>
      <c r="AB2456" s="25">
        <f>ROUND(IF(AO2456="7",BF2456,0),2)</f>
        <v>0</v>
      </c>
      <c r="AC2456" s="25">
        <f>ROUND(IF(AO2456="7",BG2456,0),2)</f>
        <v>0</v>
      </c>
      <c r="AD2456" s="25">
        <f>ROUND(IF(AO2456="2",BF2456,0),2)</f>
        <v>0</v>
      </c>
      <c r="AE2456" s="25">
        <f>ROUND(IF(AO2456="2",BG2456,0),2)</f>
        <v>0</v>
      </c>
      <c r="AF2456" s="25">
        <f>ROUND(IF(AO2456="0",BH2456,0),2)</f>
        <v>0</v>
      </c>
      <c r="AG2456" s="10" t="s">
        <v>2900</v>
      </c>
      <c r="AH2456" s="25">
        <f>IF(AL2456=0,K2456,0)</f>
        <v>0</v>
      </c>
      <c r="AI2456" s="25">
        <f>IF(AL2456=12,K2456,0)</f>
        <v>0</v>
      </c>
      <c r="AJ2456" s="25">
        <f>IF(AL2456=21,K2456,0)</f>
        <v>0</v>
      </c>
      <c r="AL2456" s="25">
        <v>21</v>
      </c>
      <c r="AM2456" s="25">
        <f>H2456*0</f>
        <v>0</v>
      </c>
      <c r="AN2456" s="25">
        <f>H2456*(1-0)</f>
        <v>0</v>
      </c>
      <c r="AO2456" s="27" t="s">
        <v>81</v>
      </c>
      <c r="AT2456" s="25">
        <f>ROUND(AU2456+AV2456,2)</f>
        <v>0</v>
      </c>
      <c r="AU2456" s="25">
        <f>ROUND(G2456*AM2456,2)</f>
        <v>0</v>
      </c>
      <c r="AV2456" s="25">
        <f>ROUND(G2456*AN2456,2)</f>
        <v>0</v>
      </c>
      <c r="AW2456" s="27" t="s">
        <v>2994</v>
      </c>
      <c r="AX2456" s="27" t="s">
        <v>2945</v>
      </c>
      <c r="AY2456" s="10" t="s">
        <v>2903</v>
      </c>
      <c r="BA2456" s="25">
        <f>AU2456+AV2456</f>
        <v>0</v>
      </c>
      <c r="BB2456" s="25">
        <f>H2456/(100-BC2456)*100</f>
        <v>0</v>
      </c>
      <c r="BC2456" s="25">
        <v>0</v>
      </c>
      <c r="BD2456" s="25">
        <f>M2456</f>
        <v>0</v>
      </c>
      <c r="BF2456" s="25">
        <f>G2456*AM2456</f>
        <v>0</v>
      </c>
      <c r="BG2456" s="25">
        <f>G2456*AN2456</f>
        <v>0</v>
      </c>
      <c r="BH2456" s="25">
        <f>G2456*H2456</f>
        <v>0</v>
      </c>
      <c r="BI2456" s="27" t="s">
        <v>65</v>
      </c>
      <c r="BJ2456" s="25"/>
      <c r="BU2456" s="25" t="e">
        <f>#REF!</f>
        <v>#REF!</v>
      </c>
      <c r="BV2456" s="4" t="s">
        <v>3000</v>
      </c>
    </row>
    <row r="2457" spans="1:74" ht="14.4" x14ac:dyDescent="0.3">
      <c r="A2457" s="28"/>
      <c r="D2457" s="29" t="s">
        <v>441</v>
      </c>
      <c r="E2457" s="29" t="s">
        <v>52</v>
      </c>
      <c r="G2457" s="30">
        <v>63</v>
      </c>
      <c r="H2457" s="63"/>
      <c r="N2457" s="31"/>
    </row>
    <row r="2458" spans="1:74" ht="14.4" x14ac:dyDescent="0.3">
      <c r="A2458" s="2" t="s">
        <v>3001</v>
      </c>
      <c r="B2458" s="3" t="s">
        <v>2900</v>
      </c>
      <c r="C2458" s="3" t="s">
        <v>3002</v>
      </c>
      <c r="D2458" s="112" t="s">
        <v>3003</v>
      </c>
      <c r="E2458" s="109"/>
      <c r="F2458" s="3" t="s">
        <v>122</v>
      </c>
      <c r="G2458" s="25">
        <v>22</v>
      </c>
      <c r="H2458" s="62"/>
      <c r="I2458" s="25">
        <f>ROUND(G2458*AM2458,2)</f>
        <v>0</v>
      </c>
      <c r="J2458" s="25">
        <f>ROUND(G2458*AN2458,2)</f>
        <v>0</v>
      </c>
      <c r="K2458" s="25">
        <f>ROUND(G2458*H2458,2)</f>
        <v>0</v>
      </c>
      <c r="L2458" s="25">
        <v>0</v>
      </c>
      <c r="M2458" s="25">
        <f>G2458*L2458</f>
        <v>0</v>
      </c>
      <c r="N2458" s="26"/>
      <c r="X2458" s="25">
        <f>ROUND(IF(AO2458="5",BH2458,0),2)</f>
        <v>0</v>
      </c>
      <c r="Z2458" s="25">
        <f>ROUND(IF(AO2458="1",BF2458,0),2)</f>
        <v>0</v>
      </c>
      <c r="AA2458" s="25">
        <f>ROUND(IF(AO2458="1",BG2458,0),2)</f>
        <v>0</v>
      </c>
      <c r="AB2458" s="25">
        <f>ROUND(IF(AO2458="7",BF2458,0),2)</f>
        <v>0</v>
      </c>
      <c r="AC2458" s="25">
        <f>ROUND(IF(AO2458="7",BG2458,0),2)</f>
        <v>0</v>
      </c>
      <c r="AD2458" s="25">
        <f>ROUND(IF(AO2458="2",BF2458,0),2)</f>
        <v>0</v>
      </c>
      <c r="AE2458" s="25">
        <f>ROUND(IF(AO2458="2",BG2458,0),2)</f>
        <v>0</v>
      </c>
      <c r="AF2458" s="25">
        <f>ROUND(IF(AO2458="0",BH2458,0),2)</f>
        <v>0</v>
      </c>
      <c r="AG2458" s="10" t="s">
        <v>2900</v>
      </c>
      <c r="AH2458" s="25">
        <f>IF(AL2458=0,K2458,0)</f>
        <v>0</v>
      </c>
      <c r="AI2458" s="25">
        <f>IF(AL2458=12,K2458,0)</f>
        <v>0</v>
      </c>
      <c r="AJ2458" s="25">
        <f>IF(AL2458=21,K2458,0)</f>
        <v>0</v>
      </c>
      <c r="AL2458" s="25">
        <v>21</v>
      </c>
      <c r="AM2458" s="25">
        <f>H2458*0</f>
        <v>0</v>
      </c>
      <c r="AN2458" s="25">
        <f>H2458*(1-0)</f>
        <v>0</v>
      </c>
      <c r="AO2458" s="27" t="s">
        <v>81</v>
      </c>
      <c r="AT2458" s="25">
        <f>ROUND(AU2458+AV2458,2)</f>
        <v>0</v>
      </c>
      <c r="AU2458" s="25">
        <f>ROUND(G2458*AM2458,2)</f>
        <v>0</v>
      </c>
      <c r="AV2458" s="25">
        <f>ROUND(G2458*AN2458,2)</f>
        <v>0</v>
      </c>
      <c r="AW2458" s="27" t="s">
        <v>2994</v>
      </c>
      <c r="AX2458" s="27" t="s">
        <v>2945</v>
      </c>
      <c r="AY2458" s="10" t="s">
        <v>2903</v>
      </c>
      <c r="BA2458" s="25">
        <f>AU2458+AV2458</f>
        <v>0</v>
      </c>
      <c r="BB2458" s="25">
        <f>H2458/(100-BC2458)*100</f>
        <v>0</v>
      </c>
      <c r="BC2458" s="25">
        <v>0</v>
      </c>
      <c r="BD2458" s="25">
        <f>M2458</f>
        <v>0</v>
      </c>
      <c r="BF2458" s="25">
        <f>G2458*AM2458</f>
        <v>0</v>
      </c>
      <c r="BG2458" s="25">
        <f>G2458*AN2458</f>
        <v>0</v>
      </c>
      <c r="BH2458" s="25">
        <f>G2458*H2458</f>
        <v>0</v>
      </c>
      <c r="BI2458" s="27" t="s">
        <v>65</v>
      </c>
      <c r="BJ2458" s="25"/>
      <c r="BU2458" s="25" t="e">
        <f>#REF!</f>
        <v>#REF!</v>
      </c>
      <c r="BV2458" s="4" t="s">
        <v>3003</v>
      </c>
    </row>
    <row r="2459" spans="1:74" ht="14.4" x14ac:dyDescent="0.3">
      <c r="A2459" s="28"/>
      <c r="D2459" s="29" t="s">
        <v>219</v>
      </c>
      <c r="E2459" s="29" t="s">
        <v>52</v>
      </c>
      <c r="G2459" s="30">
        <v>22</v>
      </c>
      <c r="H2459" s="63"/>
      <c r="N2459" s="31"/>
    </row>
    <row r="2460" spans="1:74" ht="14.4" x14ac:dyDescent="0.3">
      <c r="A2460" s="2" t="s">
        <v>3004</v>
      </c>
      <c r="B2460" s="3" t="s">
        <v>2900</v>
      </c>
      <c r="C2460" s="3" t="s">
        <v>3005</v>
      </c>
      <c r="D2460" s="112" t="s">
        <v>3006</v>
      </c>
      <c r="E2460" s="109"/>
      <c r="F2460" s="3" t="s">
        <v>122</v>
      </c>
      <c r="G2460" s="25">
        <v>3</v>
      </c>
      <c r="H2460" s="62"/>
      <c r="I2460" s="25">
        <f>ROUND(G2460*AM2460,2)</f>
        <v>0</v>
      </c>
      <c r="J2460" s="25">
        <f>ROUND(G2460*AN2460,2)</f>
        <v>0</v>
      </c>
      <c r="K2460" s="25">
        <f>ROUND(G2460*H2460,2)</f>
        <v>0</v>
      </c>
      <c r="L2460" s="25">
        <v>0</v>
      </c>
      <c r="M2460" s="25">
        <f>G2460*L2460</f>
        <v>0</v>
      </c>
      <c r="N2460" s="26"/>
      <c r="X2460" s="25">
        <f>ROUND(IF(AO2460="5",BH2460,0),2)</f>
        <v>0</v>
      </c>
      <c r="Z2460" s="25">
        <f>ROUND(IF(AO2460="1",BF2460,0),2)</f>
        <v>0</v>
      </c>
      <c r="AA2460" s="25">
        <f>ROUND(IF(AO2460="1",BG2460,0),2)</f>
        <v>0</v>
      </c>
      <c r="AB2460" s="25">
        <f>ROUND(IF(AO2460="7",BF2460,0),2)</f>
        <v>0</v>
      </c>
      <c r="AC2460" s="25">
        <f>ROUND(IF(AO2460="7",BG2460,0),2)</f>
        <v>0</v>
      </c>
      <c r="AD2460" s="25">
        <f>ROUND(IF(AO2460="2",BF2460,0),2)</f>
        <v>0</v>
      </c>
      <c r="AE2460" s="25">
        <f>ROUND(IF(AO2460="2",BG2460,0),2)</f>
        <v>0</v>
      </c>
      <c r="AF2460" s="25">
        <f>ROUND(IF(AO2460="0",BH2460,0),2)</f>
        <v>0</v>
      </c>
      <c r="AG2460" s="10" t="s">
        <v>2900</v>
      </c>
      <c r="AH2460" s="25">
        <f>IF(AL2460=0,K2460,0)</f>
        <v>0</v>
      </c>
      <c r="AI2460" s="25">
        <f>IF(AL2460=12,K2460,0)</f>
        <v>0</v>
      </c>
      <c r="AJ2460" s="25">
        <f>IF(AL2460=21,K2460,0)</f>
        <v>0</v>
      </c>
      <c r="AL2460" s="25">
        <v>21</v>
      </c>
      <c r="AM2460" s="25">
        <f>H2460*0</f>
        <v>0</v>
      </c>
      <c r="AN2460" s="25">
        <f>H2460*(1-0)</f>
        <v>0</v>
      </c>
      <c r="AO2460" s="27" t="s">
        <v>81</v>
      </c>
      <c r="AT2460" s="25">
        <f>ROUND(AU2460+AV2460,2)</f>
        <v>0</v>
      </c>
      <c r="AU2460" s="25">
        <f>ROUND(G2460*AM2460,2)</f>
        <v>0</v>
      </c>
      <c r="AV2460" s="25">
        <f>ROUND(G2460*AN2460,2)</f>
        <v>0</v>
      </c>
      <c r="AW2460" s="27" t="s">
        <v>2994</v>
      </c>
      <c r="AX2460" s="27" t="s">
        <v>2945</v>
      </c>
      <c r="AY2460" s="10" t="s">
        <v>2903</v>
      </c>
      <c r="BA2460" s="25">
        <f>AU2460+AV2460</f>
        <v>0</v>
      </c>
      <c r="BB2460" s="25">
        <f>H2460/(100-BC2460)*100</f>
        <v>0</v>
      </c>
      <c r="BC2460" s="25">
        <v>0</v>
      </c>
      <c r="BD2460" s="25">
        <f>M2460</f>
        <v>0</v>
      </c>
      <c r="BF2460" s="25">
        <f>G2460*AM2460</f>
        <v>0</v>
      </c>
      <c r="BG2460" s="25">
        <f>G2460*AN2460</f>
        <v>0</v>
      </c>
      <c r="BH2460" s="25">
        <f>G2460*H2460</f>
        <v>0</v>
      </c>
      <c r="BI2460" s="27" t="s">
        <v>65</v>
      </c>
      <c r="BJ2460" s="25"/>
      <c r="BU2460" s="25" t="e">
        <f>#REF!</f>
        <v>#REF!</v>
      </c>
      <c r="BV2460" s="4" t="s">
        <v>3006</v>
      </c>
    </row>
    <row r="2461" spans="1:74" ht="14.4" x14ac:dyDescent="0.3">
      <c r="A2461" s="28"/>
      <c r="D2461" s="29" t="s">
        <v>87</v>
      </c>
      <c r="E2461" s="29" t="s">
        <v>52</v>
      </c>
      <c r="G2461" s="30">
        <v>3</v>
      </c>
      <c r="H2461" s="63"/>
      <c r="N2461" s="31"/>
    </row>
    <row r="2462" spans="1:74" ht="14.4" x14ac:dyDescent="0.3">
      <c r="A2462" s="2" t="s">
        <v>3007</v>
      </c>
      <c r="B2462" s="3" t="s">
        <v>2900</v>
      </c>
      <c r="C2462" s="3" t="s">
        <v>3008</v>
      </c>
      <c r="D2462" s="112" t="s">
        <v>3009</v>
      </c>
      <c r="E2462" s="109"/>
      <c r="F2462" s="3" t="s">
        <v>2183</v>
      </c>
      <c r="G2462" s="25">
        <v>3</v>
      </c>
      <c r="H2462" s="62"/>
      <c r="I2462" s="25">
        <f>ROUND(G2462*AM2462,2)</f>
        <v>0</v>
      </c>
      <c r="J2462" s="25">
        <f>ROUND(G2462*AN2462,2)</f>
        <v>0</v>
      </c>
      <c r="K2462" s="25">
        <f>ROUND(G2462*H2462,2)</f>
        <v>0</v>
      </c>
      <c r="L2462" s="25">
        <v>0</v>
      </c>
      <c r="M2462" s="25">
        <f>G2462*L2462</f>
        <v>0</v>
      </c>
      <c r="N2462" s="102"/>
      <c r="X2462" s="25">
        <f>ROUND(IF(AO2462="5",BH2462,0),2)</f>
        <v>0</v>
      </c>
      <c r="Z2462" s="25">
        <f>ROUND(IF(AO2462="1",BF2462,0),2)</f>
        <v>0</v>
      </c>
      <c r="AA2462" s="25">
        <f>ROUND(IF(AO2462="1",BG2462,0),2)</f>
        <v>0</v>
      </c>
      <c r="AB2462" s="25">
        <f>ROUND(IF(AO2462="7",BF2462,0),2)</f>
        <v>0</v>
      </c>
      <c r="AC2462" s="25">
        <f>ROUND(IF(AO2462="7",BG2462,0),2)</f>
        <v>0</v>
      </c>
      <c r="AD2462" s="25">
        <f>ROUND(IF(AO2462="2",BF2462,0),2)</f>
        <v>0</v>
      </c>
      <c r="AE2462" s="25">
        <f>ROUND(IF(AO2462="2",BG2462,0),2)</f>
        <v>0</v>
      </c>
      <c r="AF2462" s="25">
        <f>ROUND(IF(AO2462="0",BH2462,0),2)</f>
        <v>0</v>
      </c>
      <c r="AG2462" s="10" t="s">
        <v>2900</v>
      </c>
      <c r="AH2462" s="25">
        <f>IF(AL2462=0,K2462,0)</f>
        <v>0</v>
      </c>
      <c r="AI2462" s="25">
        <f>IF(AL2462=12,K2462,0)</f>
        <v>0</v>
      </c>
      <c r="AJ2462" s="25">
        <f>IF(AL2462=21,K2462,0)</f>
        <v>0</v>
      </c>
      <c r="AL2462" s="25">
        <v>21</v>
      </c>
      <c r="AM2462" s="25">
        <f>H2462*0</f>
        <v>0</v>
      </c>
      <c r="AN2462" s="25">
        <f>H2462*(1-0)</f>
        <v>0</v>
      </c>
      <c r="AO2462" s="27" t="s">
        <v>57</v>
      </c>
      <c r="AT2462" s="25">
        <f>ROUND(AU2462+AV2462,2)</f>
        <v>0</v>
      </c>
      <c r="AU2462" s="25">
        <f>ROUND(G2462*AM2462,2)</f>
        <v>0</v>
      </c>
      <c r="AV2462" s="25">
        <f>ROUND(G2462*AN2462,2)</f>
        <v>0</v>
      </c>
      <c r="AW2462" s="27" t="s">
        <v>2994</v>
      </c>
      <c r="AX2462" s="27" t="s">
        <v>2945</v>
      </c>
      <c r="AY2462" s="10" t="s">
        <v>2903</v>
      </c>
      <c r="BA2462" s="25">
        <f>AU2462+AV2462</f>
        <v>0</v>
      </c>
      <c r="BB2462" s="25">
        <f>H2462/(100-BC2462)*100</f>
        <v>0</v>
      </c>
      <c r="BC2462" s="25">
        <v>0</v>
      </c>
      <c r="BD2462" s="25">
        <f>M2462</f>
        <v>0</v>
      </c>
      <c r="BF2462" s="25">
        <f>G2462*AM2462</f>
        <v>0</v>
      </c>
      <c r="BG2462" s="25">
        <f>G2462*AN2462</f>
        <v>0</v>
      </c>
      <c r="BH2462" s="25">
        <f>G2462*H2462</f>
        <v>0</v>
      </c>
      <c r="BI2462" s="27" t="s">
        <v>65</v>
      </c>
      <c r="BJ2462" s="25"/>
      <c r="BU2462" s="25" t="e">
        <f>#REF!</f>
        <v>#REF!</v>
      </c>
      <c r="BV2462" s="4" t="s">
        <v>3009</v>
      </c>
    </row>
    <row r="2463" spans="1:74" ht="14.4" x14ac:dyDescent="0.3">
      <c r="A2463" s="2" t="s">
        <v>3010</v>
      </c>
      <c r="B2463" s="3" t="s">
        <v>2900</v>
      </c>
      <c r="C2463" s="3" t="s">
        <v>3011</v>
      </c>
      <c r="D2463" s="112" t="s">
        <v>3012</v>
      </c>
      <c r="E2463" s="109"/>
      <c r="F2463" s="3" t="s">
        <v>115</v>
      </c>
      <c r="G2463" s="25">
        <v>270</v>
      </c>
      <c r="H2463" s="62"/>
      <c r="I2463" s="25">
        <f>ROUND(G2463*AM2463,2)</f>
        <v>0</v>
      </c>
      <c r="J2463" s="25">
        <f>ROUND(G2463*AN2463,2)</f>
        <v>0</v>
      </c>
      <c r="K2463" s="25">
        <f>ROUND(G2463*H2463,2)</f>
        <v>0</v>
      </c>
      <c r="L2463" s="25">
        <v>1.6000000000000001E-4</v>
      </c>
      <c r="M2463" s="25">
        <f>G2463*L2463</f>
        <v>4.3200000000000002E-2</v>
      </c>
      <c r="N2463" s="26"/>
      <c r="X2463" s="25">
        <f>ROUND(IF(AO2463="5",BH2463,0),2)</f>
        <v>0</v>
      </c>
      <c r="Z2463" s="25">
        <f>ROUND(IF(AO2463="1",BF2463,0),2)</f>
        <v>0</v>
      </c>
      <c r="AA2463" s="25">
        <f>ROUND(IF(AO2463="1",BG2463,0),2)</f>
        <v>0</v>
      </c>
      <c r="AB2463" s="25">
        <f>ROUND(IF(AO2463="7",BF2463,0),2)</f>
        <v>0</v>
      </c>
      <c r="AC2463" s="25">
        <f>ROUND(IF(AO2463="7",BG2463,0),2)</f>
        <v>0</v>
      </c>
      <c r="AD2463" s="25">
        <f>ROUND(IF(AO2463="2",BF2463,0),2)</f>
        <v>0</v>
      </c>
      <c r="AE2463" s="25">
        <f>ROUND(IF(AO2463="2",BG2463,0),2)</f>
        <v>0</v>
      </c>
      <c r="AF2463" s="25">
        <f>ROUND(IF(AO2463="0",BH2463,0),2)</f>
        <v>0</v>
      </c>
      <c r="AG2463" s="10" t="s">
        <v>2900</v>
      </c>
      <c r="AH2463" s="25">
        <f>IF(AL2463=0,K2463,0)</f>
        <v>0</v>
      </c>
      <c r="AI2463" s="25">
        <f>IF(AL2463=12,K2463,0)</f>
        <v>0</v>
      </c>
      <c r="AJ2463" s="25">
        <f>IF(AL2463=21,K2463,0)</f>
        <v>0</v>
      </c>
      <c r="AL2463" s="25">
        <v>21</v>
      </c>
      <c r="AM2463" s="25">
        <f>H2463*0.652580645</f>
        <v>0</v>
      </c>
      <c r="AN2463" s="25">
        <f>H2463*(1-0.652580645)</f>
        <v>0</v>
      </c>
      <c r="AO2463" s="27" t="s">
        <v>81</v>
      </c>
      <c r="AT2463" s="25">
        <f>ROUND(AU2463+AV2463,2)</f>
        <v>0</v>
      </c>
      <c r="AU2463" s="25">
        <f>ROUND(G2463*AM2463,2)</f>
        <v>0</v>
      </c>
      <c r="AV2463" s="25">
        <f>ROUND(G2463*AN2463,2)</f>
        <v>0</v>
      </c>
      <c r="AW2463" s="27" t="s">
        <v>2994</v>
      </c>
      <c r="AX2463" s="27" t="s">
        <v>2945</v>
      </c>
      <c r="AY2463" s="10" t="s">
        <v>2903</v>
      </c>
      <c r="BA2463" s="25">
        <f>AU2463+AV2463</f>
        <v>0</v>
      </c>
      <c r="BB2463" s="25">
        <f>H2463/(100-BC2463)*100</f>
        <v>0</v>
      </c>
      <c r="BC2463" s="25">
        <v>0</v>
      </c>
      <c r="BD2463" s="25">
        <f>M2463</f>
        <v>4.3200000000000002E-2</v>
      </c>
      <c r="BF2463" s="25">
        <f>G2463*AM2463</f>
        <v>0</v>
      </c>
      <c r="BG2463" s="25">
        <f>G2463*AN2463</f>
        <v>0</v>
      </c>
      <c r="BH2463" s="25">
        <f>G2463*H2463</f>
        <v>0</v>
      </c>
      <c r="BI2463" s="27" t="s">
        <v>65</v>
      </c>
      <c r="BJ2463" s="25"/>
      <c r="BU2463" s="25" t="e">
        <f>#REF!</f>
        <v>#REF!</v>
      </c>
      <c r="BV2463" s="4" t="s">
        <v>3012</v>
      </c>
    </row>
    <row r="2464" spans="1:74" ht="14.4" x14ac:dyDescent="0.3">
      <c r="A2464" s="28"/>
      <c r="D2464" s="29" t="s">
        <v>1431</v>
      </c>
      <c r="E2464" s="29" t="s">
        <v>52</v>
      </c>
      <c r="G2464" s="30">
        <v>270</v>
      </c>
      <c r="H2464" s="63"/>
      <c r="N2464" s="31"/>
    </row>
    <row r="2465" spans="1:74" ht="14.4" x14ac:dyDescent="0.3">
      <c r="A2465" s="2" t="s">
        <v>3013</v>
      </c>
      <c r="B2465" s="3" t="s">
        <v>2900</v>
      </c>
      <c r="C2465" s="3" t="s">
        <v>3014</v>
      </c>
      <c r="D2465" s="112" t="s">
        <v>3015</v>
      </c>
      <c r="E2465" s="109"/>
      <c r="F2465" s="3" t="s">
        <v>60</v>
      </c>
      <c r="G2465" s="25">
        <v>0.5</v>
      </c>
      <c r="H2465" s="62"/>
      <c r="I2465" s="25">
        <f>ROUND(G2465*AM2465,2)</f>
        <v>0</v>
      </c>
      <c r="J2465" s="25">
        <f>ROUND(G2465*AN2465,2)</f>
        <v>0</v>
      </c>
      <c r="K2465" s="25">
        <f>ROUND(G2465*H2465,2)</f>
        <v>0</v>
      </c>
      <c r="L2465" s="25">
        <v>0</v>
      </c>
      <c r="M2465" s="25">
        <f>G2465*L2465</f>
        <v>0</v>
      </c>
      <c r="N2465" s="26"/>
      <c r="X2465" s="25">
        <f>ROUND(IF(AO2465="5",BH2465,0),2)</f>
        <v>0</v>
      </c>
      <c r="Z2465" s="25">
        <f>ROUND(IF(AO2465="1",BF2465,0),2)</f>
        <v>0</v>
      </c>
      <c r="AA2465" s="25">
        <f>ROUND(IF(AO2465="1",BG2465,0),2)</f>
        <v>0</v>
      </c>
      <c r="AB2465" s="25">
        <f>ROUND(IF(AO2465="7",BF2465,0),2)</f>
        <v>0</v>
      </c>
      <c r="AC2465" s="25">
        <f>ROUND(IF(AO2465="7",BG2465,0),2)</f>
        <v>0</v>
      </c>
      <c r="AD2465" s="25">
        <f>ROUND(IF(AO2465="2",BF2465,0),2)</f>
        <v>0</v>
      </c>
      <c r="AE2465" s="25">
        <f>ROUND(IF(AO2465="2",BG2465,0),2)</f>
        <v>0</v>
      </c>
      <c r="AF2465" s="25">
        <f>ROUND(IF(AO2465="0",BH2465,0),2)</f>
        <v>0</v>
      </c>
      <c r="AG2465" s="10" t="s">
        <v>2900</v>
      </c>
      <c r="AH2465" s="25">
        <f>IF(AL2465=0,K2465,0)</f>
        <v>0</v>
      </c>
      <c r="AI2465" s="25">
        <f>IF(AL2465=12,K2465,0)</f>
        <v>0</v>
      </c>
      <c r="AJ2465" s="25">
        <f>IF(AL2465=21,K2465,0)</f>
        <v>0</v>
      </c>
      <c r="AL2465" s="25">
        <v>21</v>
      </c>
      <c r="AM2465" s="25">
        <f>H2465*0.595969755</f>
        <v>0</v>
      </c>
      <c r="AN2465" s="25">
        <f>H2465*(1-0.595969755)</f>
        <v>0</v>
      </c>
      <c r="AO2465" s="27" t="s">
        <v>81</v>
      </c>
      <c r="AT2465" s="25">
        <f>ROUND(AU2465+AV2465,2)</f>
        <v>0</v>
      </c>
      <c r="AU2465" s="25">
        <f>ROUND(G2465*AM2465,2)</f>
        <v>0</v>
      </c>
      <c r="AV2465" s="25">
        <f>ROUND(G2465*AN2465,2)</f>
        <v>0</v>
      </c>
      <c r="AW2465" s="27" t="s">
        <v>2994</v>
      </c>
      <c r="AX2465" s="27" t="s">
        <v>2945</v>
      </c>
      <c r="AY2465" s="10" t="s">
        <v>2903</v>
      </c>
      <c r="BA2465" s="25">
        <f>AU2465+AV2465</f>
        <v>0</v>
      </c>
      <c r="BB2465" s="25">
        <f>H2465/(100-BC2465)*100</f>
        <v>0</v>
      </c>
      <c r="BC2465" s="25">
        <v>0</v>
      </c>
      <c r="BD2465" s="25">
        <f>M2465</f>
        <v>0</v>
      </c>
      <c r="BF2465" s="25">
        <f>G2465*AM2465</f>
        <v>0</v>
      </c>
      <c r="BG2465" s="25">
        <f>G2465*AN2465</f>
        <v>0</v>
      </c>
      <c r="BH2465" s="25">
        <f>G2465*H2465</f>
        <v>0</v>
      </c>
      <c r="BI2465" s="27" t="s">
        <v>65</v>
      </c>
      <c r="BJ2465" s="25"/>
      <c r="BU2465" s="25" t="e">
        <f>#REF!</f>
        <v>#REF!</v>
      </c>
      <c r="BV2465" s="4" t="s">
        <v>3015</v>
      </c>
    </row>
    <row r="2466" spans="1:74" ht="14.4" x14ac:dyDescent="0.3">
      <c r="A2466" s="28"/>
      <c r="D2466" s="29" t="s">
        <v>71</v>
      </c>
      <c r="E2466" s="29" t="s">
        <v>52</v>
      </c>
      <c r="G2466" s="30">
        <v>0.5</v>
      </c>
      <c r="H2466" s="63"/>
      <c r="N2466" s="31"/>
    </row>
    <row r="2467" spans="1:74" ht="14.4" x14ac:dyDescent="0.3">
      <c r="A2467" s="2" t="s">
        <v>3016</v>
      </c>
      <c r="B2467" s="3" t="s">
        <v>2900</v>
      </c>
      <c r="C2467" s="3" t="s">
        <v>3017</v>
      </c>
      <c r="D2467" s="112" t="s">
        <v>3018</v>
      </c>
      <c r="E2467" s="109"/>
      <c r="F2467" s="3" t="s">
        <v>115</v>
      </c>
      <c r="G2467" s="25">
        <v>46</v>
      </c>
      <c r="H2467" s="62"/>
      <c r="I2467" s="25">
        <f>ROUND(G2467*AM2467,2)</f>
        <v>0</v>
      </c>
      <c r="J2467" s="25">
        <f>ROUND(G2467*AN2467,2)</f>
        <v>0</v>
      </c>
      <c r="K2467" s="25">
        <f>ROUND(G2467*H2467,2)</f>
        <v>0</v>
      </c>
      <c r="L2467" s="25">
        <v>1.47E-3</v>
      </c>
      <c r="M2467" s="25">
        <f>G2467*L2467</f>
        <v>6.762E-2</v>
      </c>
      <c r="N2467" s="26"/>
      <c r="X2467" s="25">
        <f>ROUND(IF(AO2467="5",BH2467,0),2)</f>
        <v>0</v>
      </c>
      <c r="Z2467" s="25">
        <f>ROUND(IF(AO2467="1",BF2467,0),2)</f>
        <v>0</v>
      </c>
      <c r="AA2467" s="25">
        <f>ROUND(IF(AO2467="1",BG2467,0),2)</f>
        <v>0</v>
      </c>
      <c r="AB2467" s="25">
        <f>ROUND(IF(AO2467="7",BF2467,0),2)</f>
        <v>0</v>
      </c>
      <c r="AC2467" s="25">
        <f>ROUND(IF(AO2467="7",BG2467,0),2)</f>
        <v>0</v>
      </c>
      <c r="AD2467" s="25">
        <f>ROUND(IF(AO2467="2",BF2467,0),2)</f>
        <v>0</v>
      </c>
      <c r="AE2467" s="25">
        <f>ROUND(IF(AO2467="2",BG2467,0),2)</f>
        <v>0</v>
      </c>
      <c r="AF2467" s="25">
        <f>ROUND(IF(AO2467="0",BH2467,0),2)</f>
        <v>0</v>
      </c>
      <c r="AG2467" s="10" t="s">
        <v>2900</v>
      </c>
      <c r="AH2467" s="25">
        <f>IF(AL2467=0,K2467,0)</f>
        <v>0</v>
      </c>
      <c r="AI2467" s="25">
        <f>IF(AL2467=12,K2467,0)</f>
        <v>0</v>
      </c>
      <c r="AJ2467" s="25">
        <f>IF(AL2467=21,K2467,0)</f>
        <v>0</v>
      </c>
      <c r="AL2467" s="25">
        <v>21</v>
      </c>
      <c r="AM2467" s="25">
        <f>H2467*0.590910651</f>
        <v>0</v>
      </c>
      <c r="AN2467" s="25">
        <f>H2467*(1-0.590910651)</f>
        <v>0</v>
      </c>
      <c r="AO2467" s="27" t="s">
        <v>81</v>
      </c>
      <c r="AT2467" s="25">
        <f>ROUND(AU2467+AV2467,2)</f>
        <v>0</v>
      </c>
      <c r="AU2467" s="25">
        <f>ROUND(G2467*AM2467,2)</f>
        <v>0</v>
      </c>
      <c r="AV2467" s="25">
        <f>ROUND(G2467*AN2467,2)</f>
        <v>0</v>
      </c>
      <c r="AW2467" s="27" t="s">
        <v>2994</v>
      </c>
      <c r="AX2467" s="27" t="s">
        <v>2945</v>
      </c>
      <c r="AY2467" s="10" t="s">
        <v>2903</v>
      </c>
      <c r="BA2467" s="25">
        <f>AU2467+AV2467</f>
        <v>0</v>
      </c>
      <c r="BB2467" s="25">
        <f>H2467/(100-BC2467)*100</f>
        <v>0</v>
      </c>
      <c r="BC2467" s="25">
        <v>0</v>
      </c>
      <c r="BD2467" s="25">
        <f>M2467</f>
        <v>6.762E-2</v>
      </c>
      <c r="BF2467" s="25">
        <f>G2467*AM2467</f>
        <v>0</v>
      </c>
      <c r="BG2467" s="25">
        <f>G2467*AN2467</f>
        <v>0</v>
      </c>
      <c r="BH2467" s="25">
        <f>G2467*H2467</f>
        <v>0</v>
      </c>
      <c r="BI2467" s="27" t="s">
        <v>65</v>
      </c>
      <c r="BJ2467" s="25"/>
      <c r="BU2467" s="25" t="e">
        <f>#REF!</f>
        <v>#REF!</v>
      </c>
      <c r="BV2467" s="4" t="s">
        <v>3018</v>
      </c>
    </row>
    <row r="2468" spans="1:74" ht="14.4" x14ac:dyDescent="0.3">
      <c r="A2468" s="28"/>
      <c r="D2468" s="29" t="s">
        <v>351</v>
      </c>
      <c r="E2468" s="29" t="s">
        <v>52</v>
      </c>
      <c r="G2468" s="30">
        <v>46</v>
      </c>
      <c r="H2468" s="63"/>
      <c r="N2468" s="31"/>
    </row>
    <row r="2469" spans="1:74" ht="14.4" x14ac:dyDescent="0.3">
      <c r="A2469" s="2" t="s">
        <v>3019</v>
      </c>
      <c r="B2469" s="3" t="s">
        <v>2900</v>
      </c>
      <c r="C2469" s="3" t="s">
        <v>3020</v>
      </c>
      <c r="D2469" s="112" t="s">
        <v>3021</v>
      </c>
      <c r="E2469" s="109"/>
      <c r="F2469" s="3" t="s">
        <v>115</v>
      </c>
      <c r="G2469" s="25">
        <v>35</v>
      </c>
      <c r="H2469" s="62"/>
      <c r="I2469" s="25">
        <f>ROUND(G2469*AM2469,2)</f>
        <v>0</v>
      </c>
      <c r="J2469" s="25">
        <f>ROUND(G2469*AN2469,2)</f>
        <v>0</v>
      </c>
      <c r="K2469" s="25">
        <f>ROUND(G2469*H2469,2)</f>
        <v>0</v>
      </c>
      <c r="L2469" s="25">
        <v>1.92E-3</v>
      </c>
      <c r="M2469" s="25">
        <f>G2469*L2469</f>
        <v>6.7199999999999996E-2</v>
      </c>
      <c r="N2469" s="26"/>
      <c r="X2469" s="25">
        <f>ROUND(IF(AO2469="5",BH2469,0),2)</f>
        <v>0</v>
      </c>
      <c r="Z2469" s="25">
        <f>ROUND(IF(AO2469="1",BF2469,0),2)</f>
        <v>0</v>
      </c>
      <c r="AA2469" s="25">
        <f>ROUND(IF(AO2469="1",BG2469,0),2)</f>
        <v>0</v>
      </c>
      <c r="AB2469" s="25">
        <f>ROUND(IF(AO2469="7",BF2469,0),2)</f>
        <v>0</v>
      </c>
      <c r="AC2469" s="25">
        <f>ROUND(IF(AO2469="7",BG2469,0),2)</f>
        <v>0</v>
      </c>
      <c r="AD2469" s="25">
        <f>ROUND(IF(AO2469="2",BF2469,0),2)</f>
        <v>0</v>
      </c>
      <c r="AE2469" s="25">
        <f>ROUND(IF(AO2469="2",BG2469,0),2)</f>
        <v>0</v>
      </c>
      <c r="AF2469" s="25">
        <f>ROUND(IF(AO2469="0",BH2469,0),2)</f>
        <v>0</v>
      </c>
      <c r="AG2469" s="10" t="s">
        <v>2900</v>
      </c>
      <c r="AH2469" s="25">
        <f>IF(AL2469=0,K2469,0)</f>
        <v>0</v>
      </c>
      <c r="AI2469" s="25">
        <f>IF(AL2469=12,K2469,0)</f>
        <v>0</v>
      </c>
      <c r="AJ2469" s="25">
        <f>IF(AL2469=21,K2469,0)</f>
        <v>0</v>
      </c>
      <c r="AL2469" s="25">
        <v>21</v>
      </c>
      <c r="AM2469" s="25">
        <f>H2469*0.635674374</f>
        <v>0</v>
      </c>
      <c r="AN2469" s="25">
        <f>H2469*(1-0.635674374)</f>
        <v>0</v>
      </c>
      <c r="AO2469" s="27" t="s">
        <v>81</v>
      </c>
      <c r="AT2469" s="25">
        <f>ROUND(AU2469+AV2469,2)</f>
        <v>0</v>
      </c>
      <c r="AU2469" s="25">
        <f>ROUND(G2469*AM2469,2)</f>
        <v>0</v>
      </c>
      <c r="AV2469" s="25">
        <f>ROUND(G2469*AN2469,2)</f>
        <v>0</v>
      </c>
      <c r="AW2469" s="27" t="s">
        <v>2994</v>
      </c>
      <c r="AX2469" s="27" t="s">
        <v>2945</v>
      </c>
      <c r="AY2469" s="10" t="s">
        <v>2903</v>
      </c>
      <c r="BA2469" s="25">
        <f>AU2469+AV2469</f>
        <v>0</v>
      </c>
      <c r="BB2469" s="25">
        <f>H2469/(100-BC2469)*100</f>
        <v>0</v>
      </c>
      <c r="BC2469" s="25">
        <v>0</v>
      </c>
      <c r="BD2469" s="25">
        <f>M2469</f>
        <v>6.7199999999999996E-2</v>
      </c>
      <c r="BF2469" s="25">
        <f>G2469*AM2469</f>
        <v>0</v>
      </c>
      <c r="BG2469" s="25">
        <f>G2469*AN2469</f>
        <v>0</v>
      </c>
      <c r="BH2469" s="25">
        <f>G2469*H2469</f>
        <v>0</v>
      </c>
      <c r="BI2469" s="27" t="s">
        <v>65</v>
      </c>
      <c r="BJ2469" s="25"/>
      <c r="BU2469" s="25" t="e">
        <f>#REF!</f>
        <v>#REF!</v>
      </c>
      <c r="BV2469" s="4" t="s">
        <v>3021</v>
      </c>
    </row>
    <row r="2470" spans="1:74" ht="14.4" x14ac:dyDescent="0.3">
      <c r="A2470" s="28"/>
      <c r="D2470" s="29" t="s">
        <v>291</v>
      </c>
      <c r="E2470" s="29" t="s">
        <v>52</v>
      </c>
      <c r="G2470" s="30">
        <v>35</v>
      </c>
      <c r="H2470" s="63"/>
      <c r="N2470" s="31"/>
    </row>
    <row r="2471" spans="1:74" ht="14.4" x14ac:dyDescent="0.3">
      <c r="A2471" s="2" t="s">
        <v>3022</v>
      </c>
      <c r="B2471" s="3" t="s">
        <v>2900</v>
      </c>
      <c r="C2471" s="3" t="s">
        <v>3023</v>
      </c>
      <c r="D2471" s="112" t="s">
        <v>3024</v>
      </c>
      <c r="E2471" s="109"/>
      <c r="F2471" s="3" t="s">
        <v>115</v>
      </c>
      <c r="G2471" s="25">
        <v>30</v>
      </c>
      <c r="H2471" s="62"/>
      <c r="I2471" s="25">
        <f>ROUND(G2471*AM2471,2)</f>
        <v>0</v>
      </c>
      <c r="J2471" s="25">
        <f>ROUND(G2471*AN2471,2)</f>
        <v>0</v>
      </c>
      <c r="K2471" s="25">
        <f>ROUND(G2471*H2471,2)</f>
        <v>0</v>
      </c>
      <c r="L2471" s="25">
        <v>4.96E-3</v>
      </c>
      <c r="M2471" s="25">
        <f>G2471*L2471</f>
        <v>0.14879999999999999</v>
      </c>
      <c r="N2471" s="26"/>
      <c r="X2471" s="25">
        <f>ROUND(IF(AO2471="5",BH2471,0),2)</f>
        <v>0</v>
      </c>
      <c r="Z2471" s="25">
        <f>ROUND(IF(AO2471="1",BF2471,0),2)</f>
        <v>0</v>
      </c>
      <c r="AA2471" s="25">
        <f>ROUND(IF(AO2471="1",BG2471,0),2)</f>
        <v>0</v>
      </c>
      <c r="AB2471" s="25">
        <f>ROUND(IF(AO2471="7",BF2471,0),2)</f>
        <v>0</v>
      </c>
      <c r="AC2471" s="25">
        <f>ROUND(IF(AO2471="7",BG2471,0),2)</f>
        <v>0</v>
      </c>
      <c r="AD2471" s="25">
        <f>ROUND(IF(AO2471="2",BF2471,0),2)</f>
        <v>0</v>
      </c>
      <c r="AE2471" s="25">
        <f>ROUND(IF(AO2471="2",BG2471,0),2)</f>
        <v>0</v>
      </c>
      <c r="AF2471" s="25">
        <f>ROUND(IF(AO2471="0",BH2471,0),2)</f>
        <v>0</v>
      </c>
      <c r="AG2471" s="10" t="s">
        <v>2900</v>
      </c>
      <c r="AH2471" s="25">
        <f>IF(AL2471=0,K2471,0)</f>
        <v>0</v>
      </c>
      <c r="AI2471" s="25">
        <f>IF(AL2471=12,K2471,0)</f>
        <v>0</v>
      </c>
      <c r="AJ2471" s="25">
        <f>IF(AL2471=21,K2471,0)</f>
        <v>0</v>
      </c>
      <c r="AL2471" s="25">
        <v>21</v>
      </c>
      <c r="AM2471" s="25">
        <f>H2471*0.704324315</f>
        <v>0</v>
      </c>
      <c r="AN2471" s="25">
        <f>H2471*(1-0.704324315)</f>
        <v>0</v>
      </c>
      <c r="AO2471" s="27" t="s">
        <v>81</v>
      </c>
      <c r="AT2471" s="25">
        <f>ROUND(AU2471+AV2471,2)</f>
        <v>0</v>
      </c>
      <c r="AU2471" s="25">
        <f>ROUND(G2471*AM2471,2)</f>
        <v>0</v>
      </c>
      <c r="AV2471" s="25">
        <f>ROUND(G2471*AN2471,2)</f>
        <v>0</v>
      </c>
      <c r="AW2471" s="27" t="s">
        <v>2994</v>
      </c>
      <c r="AX2471" s="27" t="s">
        <v>2945</v>
      </c>
      <c r="AY2471" s="10" t="s">
        <v>2903</v>
      </c>
      <c r="BA2471" s="25">
        <f>AU2471+AV2471</f>
        <v>0</v>
      </c>
      <c r="BB2471" s="25">
        <f>H2471/(100-BC2471)*100</f>
        <v>0</v>
      </c>
      <c r="BC2471" s="25">
        <v>0</v>
      </c>
      <c r="BD2471" s="25">
        <f>M2471</f>
        <v>0.14879999999999999</v>
      </c>
      <c r="BF2471" s="25">
        <f>G2471*AM2471</f>
        <v>0</v>
      </c>
      <c r="BG2471" s="25">
        <f>G2471*AN2471</f>
        <v>0</v>
      </c>
      <c r="BH2471" s="25">
        <f>G2471*H2471</f>
        <v>0</v>
      </c>
      <c r="BI2471" s="27" t="s">
        <v>65</v>
      </c>
      <c r="BJ2471" s="25"/>
      <c r="BU2471" s="25" t="e">
        <f>#REF!</f>
        <v>#REF!</v>
      </c>
      <c r="BV2471" s="4" t="s">
        <v>3024</v>
      </c>
    </row>
    <row r="2472" spans="1:74" ht="14.4" x14ac:dyDescent="0.3">
      <c r="A2472" s="28"/>
      <c r="D2472" s="29" t="s">
        <v>269</v>
      </c>
      <c r="E2472" s="29" t="s">
        <v>52</v>
      </c>
      <c r="G2472" s="30">
        <v>30</v>
      </c>
      <c r="H2472" s="63"/>
      <c r="N2472" s="31"/>
    </row>
    <row r="2473" spans="1:74" ht="14.4" x14ac:dyDescent="0.3">
      <c r="A2473" s="2" t="s">
        <v>3025</v>
      </c>
      <c r="B2473" s="3" t="s">
        <v>2900</v>
      </c>
      <c r="C2473" s="3" t="s">
        <v>3026</v>
      </c>
      <c r="D2473" s="112" t="s">
        <v>3027</v>
      </c>
      <c r="E2473" s="109"/>
      <c r="F2473" s="3" t="s">
        <v>2183</v>
      </c>
      <c r="G2473" s="25">
        <v>90</v>
      </c>
      <c r="H2473" s="62"/>
      <c r="I2473" s="25">
        <f>ROUND(G2473*AM2473,2)</f>
        <v>0</v>
      </c>
      <c r="J2473" s="25">
        <f>ROUND(G2473*AN2473,2)</f>
        <v>0</v>
      </c>
      <c r="K2473" s="25">
        <f>ROUND(G2473*H2473,2)</f>
        <v>0</v>
      </c>
      <c r="L2473" s="25">
        <v>0</v>
      </c>
      <c r="M2473" s="25">
        <f>G2473*L2473</f>
        <v>0</v>
      </c>
      <c r="N2473" s="26"/>
      <c r="X2473" s="25">
        <f>ROUND(IF(AO2473="5",BH2473,0),2)</f>
        <v>0</v>
      </c>
      <c r="Z2473" s="25">
        <f>ROUND(IF(AO2473="1",BF2473,0),2)</f>
        <v>0</v>
      </c>
      <c r="AA2473" s="25">
        <f>ROUND(IF(AO2473="1",BG2473,0),2)</f>
        <v>0</v>
      </c>
      <c r="AB2473" s="25">
        <f>ROUND(IF(AO2473="7",BF2473,0),2)</f>
        <v>0</v>
      </c>
      <c r="AC2473" s="25">
        <f>ROUND(IF(AO2473="7",BG2473,0),2)</f>
        <v>0</v>
      </c>
      <c r="AD2473" s="25">
        <f>ROUND(IF(AO2473="2",BF2473,0),2)</f>
        <v>0</v>
      </c>
      <c r="AE2473" s="25">
        <f>ROUND(IF(AO2473="2",BG2473,0),2)</f>
        <v>0</v>
      </c>
      <c r="AF2473" s="25">
        <f>ROUND(IF(AO2473="0",BH2473,0),2)</f>
        <v>0</v>
      </c>
      <c r="AG2473" s="10" t="s">
        <v>2900</v>
      </c>
      <c r="AH2473" s="25">
        <f>IF(AL2473=0,K2473,0)</f>
        <v>0</v>
      </c>
      <c r="AI2473" s="25">
        <f>IF(AL2473=12,K2473,0)</f>
        <v>0</v>
      </c>
      <c r="AJ2473" s="25">
        <f>IF(AL2473=21,K2473,0)</f>
        <v>0</v>
      </c>
      <c r="AL2473" s="25">
        <v>21</v>
      </c>
      <c r="AM2473" s="25">
        <f>H2473*0</f>
        <v>0</v>
      </c>
      <c r="AN2473" s="25">
        <f>H2473*(1-0)</f>
        <v>0</v>
      </c>
      <c r="AO2473" s="27" t="s">
        <v>81</v>
      </c>
      <c r="AT2473" s="25">
        <f>ROUND(AU2473+AV2473,2)</f>
        <v>0</v>
      </c>
      <c r="AU2473" s="25">
        <f>ROUND(G2473*AM2473,2)</f>
        <v>0</v>
      </c>
      <c r="AV2473" s="25">
        <f>ROUND(G2473*AN2473,2)</f>
        <v>0</v>
      </c>
      <c r="AW2473" s="27" t="s">
        <v>2994</v>
      </c>
      <c r="AX2473" s="27" t="s">
        <v>2945</v>
      </c>
      <c r="AY2473" s="10" t="s">
        <v>2903</v>
      </c>
      <c r="BA2473" s="25">
        <f>AU2473+AV2473</f>
        <v>0</v>
      </c>
      <c r="BB2473" s="25">
        <f>H2473/(100-BC2473)*100</f>
        <v>0</v>
      </c>
      <c r="BC2473" s="25">
        <v>0</v>
      </c>
      <c r="BD2473" s="25">
        <f>M2473</f>
        <v>0</v>
      </c>
      <c r="BF2473" s="25">
        <f>G2473*AM2473</f>
        <v>0</v>
      </c>
      <c r="BG2473" s="25">
        <f>G2473*AN2473</f>
        <v>0</v>
      </c>
      <c r="BH2473" s="25">
        <f>G2473*H2473</f>
        <v>0</v>
      </c>
      <c r="BI2473" s="27" t="s">
        <v>65</v>
      </c>
      <c r="BJ2473" s="25"/>
      <c r="BU2473" s="25" t="e">
        <f>#REF!</f>
        <v>#REF!</v>
      </c>
      <c r="BV2473" s="4" t="s">
        <v>3027</v>
      </c>
    </row>
    <row r="2474" spans="1:74" ht="14.4" x14ac:dyDescent="0.3">
      <c r="A2474" s="28"/>
      <c r="D2474" s="29" t="s">
        <v>555</v>
      </c>
      <c r="E2474" s="29" t="s">
        <v>52</v>
      </c>
      <c r="G2474" s="30">
        <v>90</v>
      </c>
      <c r="H2474" s="63"/>
      <c r="N2474" s="31"/>
    </row>
    <row r="2475" spans="1:74" ht="14.4" x14ac:dyDescent="0.3">
      <c r="A2475" s="2" t="s">
        <v>3028</v>
      </c>
      <c r="B2475" s="3" t="s">
        <v>2900</v>
      </c>
      <c r="C2475" s="3" t="s">
        <v>3029</v>
      </c>
      <c r="D2475" s="112" t="s">
        <v>3030</v>
      </c>
      <c r="E2475" s="109"/>
      <c r="F2475" s="3" t="s">
        <v>115</v>
      </c>
      <c r="G2475" s="25">
        <v>12</v>
      </c>
      <c r="H2475" s="62"/>
      <c r="I2475" s="25">
        <f>ROUND(G2475*AM2475,2)</f>
        <v>0</v>
      </c>
      <c r="J2475" s="25">
        <f>ROUND(G2475*AN2475,2)</f>
        <v>0</v>
      </c>
      <c r="K2475" s="25">
        <f>ROUND(G2475*H2475,2)</f>
        <v>0</v>
      </c>
      <c r="L2475" s="25">
        <v>5.2999999999999998E-4</v>
      </c>
      <c r="M2475" s="25">
        <f>G2475*L2475</f>
        <v>6.3599999999999993E-3</v>
      </c>
      <c r="N2475" s="26"/>
      <c r="X2475" s="25">
        <f>ROUND(IF(AO2475="5",BH2475,0),2)</f>
        <v>0</v>
      </c>
      <c r="Z2475" s="25">
        <f>ROUND(IF(AO2475="1",BF2475,0),2)</f>
        <v>0</v>
      </c>
      <c r="AA2475" s="25">
        <f>ROUND(IF(AO2475="1",BG2475,0),2)</f>
        <v>0</v>
      </c>
      <c r="AB2475" s="25">
        <f>ROUND(IF(AO2475="7",BF2475,0),2)</f>
        <v>0</v>
      </c>
      <c r="AC2475" s="25">
        <f>ROUND(IF(AO2475="7",BG2475,0),2)</f>
        <v>0</v>
      </c>
      <c r="AD2475" s="25">
        <f>ROUND(IF(AO2475="2",BF2475,0),2)</f>
        <v>0</v>
      </c>
      <c r="AE2475" s="25">
        <f>ROUND(IF(AO2475="2",BG2475,0),2)</f>
        <v>0</v>
      </c>
      <c r="AF2475" s="25">
        <f>ROUND(IF(AO2475="0",BH2475,0),2)</f>
        <v>0</v>
      </c>
      <c r="AG2475" s="10" t="s">
        <v>2900</v>
      </c>
      <c r="AH2475" s="25">
        <f>IF(AL2475=0,K2475,0)</f>
        <v>0</v>
      </c>
      <c r="AI2475" s="25">
        <f>IF(AL2475=12,K2475,0)</f>
        <v>0</v>
      </c>
      <c r="AJ2475" s="25">
        <f>IF(AL2475=21,K2475,0)</f>
        <v>0</v>
      </c>
      <c r="AL2475" s="25">
        <v>21</v>
      </c>
      <c r="AM2475" s="25">
        <f>H2475*0.896640827</f>
        <v>0</v>
      </c>
      <c r="AN2475" s="25">
        <f>H2475*(1-0.896640827)</f>
        <v>0</v>
      </c>
      <c r="AO2475" s="27" t="s">
        <v>81</v>
      </c>
      <c r="AT2475" s="25">
        <f>ROUND(AU2475+AV2475,2)</f>
        <v>0</v>
      </c>
      <c r="AU2475" s="25">
        <f>ROUND(G2475*AM2475,2)</f>
        <v>0</v>
      </c>
      <c r="AV2475" s="25">
        <f>ROUND(G2475*AN2475,2)</f>
        <v>0</v>
      </c>
      <c r="AW2475" s="27" t="s">
        <v>2994</v>
      </c>
      <c r="AX2475" s="27" t="s">
        <v>2945</v>
      </c>
      <c r="AY2475" s="10" t="s">
        <v>2903</v>
      </c>
      <c r="BA2475" s="25">
        <f>AU2475+AV2475</f>
        <v>0</v>
      </c>
      <c r="BB2475" s="25">
        <f>H2475/(100-BC2475)*100</f>
        <v>0</v>
      </c>
      <c r="BC2475" s="25">
        <v>0</v>
      </c>
      <c r="BD2475" s="25">
        <f>M2475</f>
        <v>6.3599999999999993E-3</v>
      </c>
      <c r="BF2475" s="25">
        <f>G2475*AM2475</f>
        <v>0</v>
      </c>
      <c r="BG2475" s="25">
        <f>G2475*AN2475</f>
        <v>0</v>
      </c>
      <c r="BH2475" s="25">
        <f>G2475*H2475</f>
        <v>0</v>
      </c>
      <c r="BI2475" s="27" t="s">
        <v>65</v>
      </c>
      <c r="BJ2475" s="25"/>
      <c r="BU2475" s="25" t="e">
        <f>#REF!</f>
        <v>#REF!</v>
      </c>
      <c r="BV2475" s="4" t="s">
        <v>3030</v>
      </c>
    </row>
    <row r="2476" spans="1:74" ht="14.4" x14ac:dyDescent="0.3">
      <c r="A2476" s="28"/>
      <c r="D2476" s="29" t="s">
        <v>145</v>
      </c>
      <c r="E2476" s="29" t="s">
        <v>52</v>
      </c>
      <c r="G2476" s="30">
        <v>12</v>
      </c>
      <c r="H2476" s="63"/>
      <c r="N2476" s="31"/>
    </row>
    <row r="2477" spans="1:74" ht="14.4" x14ac:dyDescent="0.3">
      <c r="A2477" s="2" t="s">
        <v>3031</v>
      </c>
      <c r="B2477" s="3" t="s">
        <v>2900</v>
      </c>
      <c r="C2477" s="3" t="s">
        <v>3029</v>
      </c>
      <c r="D2477" s="112" t="s">
        <v>3032</v>
      </c>
      <c r="E2477" s="109"/>
      <c r="F2477" s="3" t="s">
        <v>115</v>
      </c>
      <c r="G2477" s="25">
        <v>27</v>
      </c>
      <c r="H2477" s="62"/>
      <c r="I2477" s="25">
        <f>ROUND(G2477*AM2477,2)</f>
        <v>0</v>
      </c>
      <c r="J2477" s="25">
        <f>ROUND(G2477*AN2477,2)</f>
        <v>0</v>
      </c>
      <c r="K2477" s="25">
        <f>ROUND(G2477*H2477,2)</f>
        <v>0</v>
      </c>
      <c r="L2477" s="25">
        <v>5.2999999999999998E-4</v>
      </c>
      <c r="M2477" s="25">
        <f>G2477*L2477</f>
        <v>1.431E-2</v>
      </c>
      <c r="N2477" s="26"/>
      <c r="X2477" s="25">
        <f>ROUND(IF(AO2477="5",BH2477,0),2)</f>
        <v>0</v>
      </c>
      <c r="Z2477" s="25">
        <f>ROUND(IF(AO2477="1",BF2477,0),2)</f>
        <v>0</v>
      </c>
      <c r="AA2477" s="25">
        <f>ROUND(IF(AO2477="1",BG2477,0),2)</f>
        <v>0</v>
      </c>
      <c r="AB2477" s="25">
        <f>ROUND(IF(AO2477="7",BF2477,0),2)</f>
        <v>0</v>
      </c>
      <c r="AC2477" s="25">
        <f>ROUND(IF(AO2477="7",BG2477,0),2)</f>
        <v>0</v>
      </c>
      <c r="AD2477" s="25">
        <f>ROUND(IF(AO2477="2",BF2477,0),2)</f>
        <v>0</v>
      </c>
      <c r="AE2477" s="25">
        <f>ROUND(IF(AO2477="2",BG2477,0),2)</f>
        <v>0</v>
      </c>
      <c r="AF2477" s="25">
        <f>ROUND(IF(AO2477="0",BH2477,0),2)</f>
        <v>0</v>
      </c>
      <c r="AG2477" s="10" t="s">
        <v>2900</v>
      </c>
      <c r="AH2477" s="25">
        <f>IF(AL2477=0,K2477,0)</f>
        <v>0</v>
      </c>
      <c r="AI2477" s="25">
        <f>IF(AL2477=12,K2477,0)</f>
        <v>0</v>
      </c>
      <c r="AJ2477" s="25">
        <f>IF(AL2477=21,K2477,0)</f>
        <v>0</v>
      </c>
      <c r="AL2477" s="25">
        <v>21</v>
      </c>
      <c r="AM2477" s="25">
        <f>H2477*0.791122715</f>
        <v>0</v>
      </c>
      <c r="AN2477" s="25">
        <f>H2477*(1-0.791122715)</f>
        <v>0</v>
      </c>
      <c r="AO2477" s="27" t="s">
        <v>81</v>
      </c>
      <c r="AT2477" s="25">
        <f>ROUND(AU2477+AV2477,2)</f>
        <v>0</v>
      </c>
      <c r="AU2477" s="25">
        <f>ROUND(G2477*AM2477,2)</f>
        <v>0</v>
      </c>
      <c r="AV2477" s="25">
        <f>ROUND(G2477*AN2477,2)</f>
        <v>0</v>
      </c>
      <c r="AW2477" s="27" t="s">
        <v>2994</v>
      </c>
      <c r="AX2477" s="27" t="s">
        <v>2945</v>
      </c>
      <c r="AY2477" s="10" t="s">
        <v>2903</v>
      </c>
      <c r="BA2477" s="25">
        <f>AU2477+AV2477</f>
        <v>0</v>
      </c>
      <c r="BB2477" s="25">
        <f>H2477/(100-BC2477)*100</f>
        <v>0</v>
      </c>
      <c r="BC2477" s="25">
        <v>0</v>
      </c>
      <c r="BD2477" s="25">
        <f>M2477</f>
        <v>1.431E-2</v>
      </c>
      <c r="BF2477" s="25">
        <f>G2477*AM2477</f>
        <v>0</v>
      </c>
      <c r="BG2477" s="25">
        <f>G2477*AN2477</f>
        <v>0</v>
      </c>
      <c r="BH2477" s="25">
        <f>G2477*H2477</f>
        <v>0</v>
      </c>
      <c r="BI2477" s="27" t="s">
        <v>65</v>
      </c>
      <c r="BJ2477" s="25"/>
      <c r="BU2477" s="25" t="e">
        <f>#REF!</f>
        <v>#REF!</v>
      </c>
      <c r="BV2477" s="4" t="s">
        <v>3032</v>
      </c>
    </row>
    <row r="2478" spans="1:74" ht="14.4" x14ac:dyDescent="0.3">
      <c r="A2478" s="28"/>
      <c r="D2478" s="29" t="s">
        <v>258</v>
      </c>
      <c r="E2478" s="29" t="s">
        <v>52</v>
      </c>
      <c r="G2478" s="30">
        <v>27</v>
      </c>
      <c r="H2478" s="63"/>
      <c r="N2478" s="31"/>
    </row>
    <row r="2479" spans="1:74" ht="14.4" x14ac:dyDescent="0.3">
      <c r="A2479" s="2" t="s">
        <v>3033</v>
      </c>
      <c r="B2479" s="3" t="s">
        <v>2900</v>
      </c>
      <c r="C2479" s="3" t="s">
        <v>3034</v>
      </c>
      <c r="D2479" s="112" t="s">
        <v>3035</v>
      </c>
      <c r="E2479" s="109"/>
      <c r="F2479" s="3" t="s">
        <v>115</v>
      </c>
      <c r="G2479" s="25">
        <v>40</v>
      </c>
      <c r="H2479" s="62"/>
      <c r="I2479" s="25">
        <f>ROUND(G2479*AM2479,2)</f>
        <v>0</v>
      </c>
      <c r="J2479" s="25">
        <f>ROUND(G2479*AN2479,2)</f>
        <v>0</v>
      </c>
      <c r="K2479" s="25">
        <f>ROUND(G2479*H2479,2)</f>
        <v>0</v>
      </c>
      <c r="L2479" s="25">
        <v>5.2999999999999998E-4</v>
      </c>
      <c r="M2479" s="25">
        <f>G2479*L2479</f>
        <v>2.12E-2</v>
      </c>
      <c r="N2479" s="26"/>
      <c r="X2479" s="25">
        <f>ROUND(IF(AO2479="5",BH2479,0),2)</f>
        <v>0</v>
      </c>
      <c r="Z2479" s="25">
        <f>ROUND(IF(AO2479="1",BF2479,0),2)</f>
        <v>0</v>
      </c>
      <c r="AA2479" s="25">
        <f>ROUND(IF(AO2479="1",BG2479,0),2)</f>
        <v>0</v>
      </c>
      <c r="AB2479" s="25">
        <f>ROUND(IF(AO2479="7",BF2479,0),2)</f>
        <v>0</v>
      </c>
      <c r="AC2479" s="25">
        <f>ROUND(IF(AO2479="7",BG2479,0),2)</f>
        <v>0</v>
      </c>
      <c r="AD2479" s="25">
        <f>ROUND(IF(AO2479="2",BF2479,0),2)</f>
        <v>0</v>
      </c>
      <c r="AE2479" s="25">
        <f>ROUND(IF(AO2479="2",BG2479,0),2)</f>
        <v>0</v>
      </c>
      <c r="AF2479" s="25">
        <f>ROUND(IF(AO2479="0",BH2479,0),2)</f>
        <v>0</v>
      </c>
      <c r="AG2479" s="10" t="s">
        <v>2900</v>
      </c>
      <c r="AH2479" s="25">
        <f>IF(AL2479=0,K2479,0)</f>
        <v>0</v>
      </c>
      <c r="AI2479" s="25">
        <f>IF(AL2479=12,K2479,0)</f>
        <v>0</v>
      </c>
      <c r="AJ2479" s="25">
        <f>IF(AL2479=21,K2479,0)</f>
        <v>0</v>
      </c>
      <c r="AL2479" s="25">
        <v>21</v>
      </c>
      <c r="AM2479" s="25">
        <f>H2479*0.750525324</f>
        <v>0</v>
      </c>
      <c r="AN2479" s="25">
        <f>H2479*(1-0.750525324)</f>
        <v>0</v>
      </c>
      <c r="AO2479" s="27" t="s">
        <v>81</v>
      </c>
      <c r="AT2479" s="25">
        <f>ROUND(AU2479+AV2479,2)</f>
        <v>0</v>
      </c>
      <c r="AU2479" s="25">
        <f>ROUND(G2479*AM2479,2)</f>
        <v>0</v>
      </c>
      <c r="AV2479" s="25">
        <f>ROUND(G2479*AN2479,2)</f>
        <v>0</v>
      </c>
      <c r="AW2479" s="27" t="s">
        <v>2994</v>
      </c>
      <c r="AX2479" s="27" t="s">
        <v>2945</v>
      </c>
      <c r="AY2479" s="10" t="s">
        <v>2903</v>
      </c>
      <c r="BA2479" s="25">
        <f>AU2479+AV2479</f>
        <v>0</v>
      </c>
      <c r="BB2479" s="25">
        <f>H2479/(100-BC2479)*100</f>
        <v>0</v>
      </c>
      <c r="BC2479" s="25">
        <v>0</v>
      </c>
      <c r="BD2479" s="25">
        <f>M2479</f>
        <v>2.12E-2</v>
      </c>
      <c r="BF2479" s="25">
        <f>G2479*AM2479</f>
        <v>0</v>
      </c>
      <c r="BG2479" s="25">
        <f>G2479*AN2479</f>
        <v>0</v>
      </c>
      <c r="BH2479" s="25">
        <f>G2479*H2479</f>
        <v>0</v>
      </c>
      <c r="BI2479" s="27" t="s">
        <v>65</v>
      </c>
      <c r="BJ2479" s="25"/>
      <c r="BU2479" s="25" t="e">
        <f>#REF!</f>
        <v>#REF!</v>
      </c>
      <c r="BV2479" s="4" t="s">
        <v>3035</v>
      </c>
    </row>
    <row r="2480" spans="1:74" ht="14.4" x14ac:dyDescent="0.3">
      <c r="A2480" s="28"/>
      <c r="D2480" s="29" t="s">
        <v>317</v>
      </c>
      <c r="E2480" s="29" t="s">
        <v>52</v>
      </c>
      <c r="G2480" s="30">
        <v>40</v>
      </c>
      <c r="H2480" s="63"/>
      <c r="N2480" s="31"/>
    </row>
    <row r="2481" spans="1:74" ht="14.4" x14ac:dyDescent="0.3">
      <c r="A2481" s="2" t="s">
        <v>3036</v>
      </c>
      <c r="B2481" s="3" t="s">
        <v>2900</v>
      </c>
      <c r="C2481" s="3" t="s">
        <v>3037</v>
      </c>
      <c r="D2481" s="112" t="s">
        <v>3038</v>
      </c>
      <c r="E2481" s="109"/>
      <c r="F2481" s="3" t="s">
        <v>115</v>
      </c>
      <c r="G2481" s="25">
        <v>40</v>
      </c>
      <c r="H2481" s="62"/>
      <c r="I2481" s="25">
        <f>ROUND(G2481*AM2481,2)</f>
        <v>0</v>
      </c>
      <c r="J2481" s="25">
        <f>ROUND(G2481*AN2481,2)</f>
        <v>0</v>
      </c>
      <c r="K2481" s="25">
        <f>ROUND(G2481*H2481,2)</f>
        <v>0</v>
      </c>
      <c r="L2481" s="25">
        <v>3.8000000000000002E-4</v>
      </c>
      <c r="M2481" s="25">
        <f>G2481*L2481</f>
        <v>1.5200000000000002E-2</v>
      </c>
      <c r="N2481" s="26"/>
      <c r="X2481" s="25">
        <f>ROUND(IF(AO2481="5",BH2481,0),2)</f>
        <v>0</v>
      </c>
      <c r="Z2481" s="25">
        <f>ROUND(IF(AO2481="1",BF2481,0),2)</f>
        <v>0</v>
      </c>
      <c r="AA2481" s="25">
        <f>ROUND(IF(AO2481="1",BG2481,0),2)</f>
        <v>0</v>
      </c>
      <c r="AB2481" s="25">
        <f>ROUND(IF(AO2481="7",BF2481,0),2)</f>
        <v>0</v>
      </c>
      <c r="AC2481" s="25">
        <f>ROUND(IF(AO2481="7",BG2481,0),2)</f>
        <v>0</v>
      </c>
      <c r="AD2481" s="25">
        <f>ROUND(IF(AO2481="2",BF2481,0),2)</f>
        <v>0</v>
      </c>
      <c r="AE2481" s="25">
        <f>ROUND(IF(AO2481="2",BG2481,0),2)</f>
        <v>0</v>
      </c>
      <c r="AF2481" s="25">
        <f>ROUND(IF(AO2481="0",BH2481,0),2)</f>
        <v>0</v>
      </c>
      <c r="AG2481" s="10" t="s">
        <v>2900</v>
      </c>
      <c r="AH2481" s="25">
        <f>IF(AL2481=0,K2481,0)</f>
        <v>0</v>
      </c>
      <c r="AI2481" s="25">
        <f>IF(AL2481=12,K2481,0)</f>
        <v>0</v>
      </c>
      <c r="AJ2481" s="25">
        <f>IF(AL2481=21,K2481,0)</f>
        <v>0</v>
      </c>
      <c r="AL2481" s="25">
        <v>21</v>
      </c>
      <c r="AM2481" s="25">
        <f>H2481*0.635051546</f>
        <v>0</v>
      </c>
      <c r="AN2481" s="25">
        <f>H2481*(1-0.635051546)</f>
        <v>0</v>
      </c>
      <c r="AO2481" s="27" t="s">
        <v>81</v>
      </c>
      <c r="AT2481" s="25">
        <f>ROUND(AU2481+AV2481,2)</f>
        <v>0</v>
      </c>
      <c r="AU2481" s="25">
        <f>ROUND(G2481*AM2481,2)</f>
        <v>0</v>
      </c>
      <c r="AV2481" s="25">
        <f>ROUND(G2481*AN2481,2)</f>
        <v>0</v>
      </c>
      <c r="AW2481" s="27" t="s">
        <v>2994</v>
      </c>
      <c r="AX2481" s="27" t="s">
        <v>2945</v>
      </c>
      <c r="AY2481" s="10" t="s">
        <v>2903</v>
      </c>
      <c r="BA2481" s="25">
        <f>AU2481+AV2481</f>
        <v>0</v>
      </c>
      <c r="BB2481" s="25">
        <f>H2481/(100-BC2481)*100</f>
        <v>0</v>
      </c>
      <c r="BC2481" s="25">
        <v>0</v>
      </c>
      <c r="BD2481" s="25">
        <f>M2481</f>
        <v>1.5200000000000002E-2</v>
      </c>
      <c r="BF2481" s="25">
        <f>G2481*AM2481</f>
        <v>0</v>
      </c>
      <c r="BG2481" s="25">
        <f>G2481*AN2481</f>
        <v>0</v>
      </c>
      <c r="BH2481" s="25">
        <f>G2481*H2481</f>
        <v>0</v>
      </c>
      <c r="BI2481" s="27" t="s">
        <v>65</v>
      </c>
      <c r="BJ2481" s="25"/>
      <c r="BU2481" s="25" t="e">
        <f>#REF!</f>
        <v>#REF!</v>
      </c>
      <c r="BV2481" s="4" t="s">
        <v>3038</v>
      </c>
    </row>
    <row r="2482" spans="1:74" ht="14.4" x14ac:dyDescent="0.3">
      <c r="A2482" s="28"/>
      <c r="D2482" s="29" t="s">
        <v>317</v>
      </c>
      <c r="E2482" s="29" t="s">
        <v>52</v>
      </c>
      <c r="G2482" s="30">
        <v>40</v>
      </c>
      <c r="H2482" s="63"/>
      <c r="N2482" s="31"/>
    </row>
    <row r="2483" spans="1:74" ht="14.4" x14ac:dyDescent="0.3">
      <c r="A2483" s="2" t="s">
        <v>3039</v>
      </c>
      <c r="B2483" s="3" t="s">
        <v>2900</v>
      </c>
      <c r="C2483" s="3" t="s">
        <v>3040</v>
      </c>
      <c r="D2483" s="112" t="s">
        <v>3041</v>
      </c>
      <c r="E2483" s="109"/>
      <c r="F2483" s="3" t="s">
        <v>115</v>
      </c>
      <c r="G2483" s="25">
        <v>55</v>
      </c>
      <c r="H2483" s="62"/>
      <c r="I2483" s="25">
        <f>ROUND(G2483*AM2483,2)</f>
        <v>0</v>
      </c>
      <c r="J2483" s="25">
        <f>ROUND(G2483*AN2483,2)</f>
        <v>0</v>
      </c>
      <c r="K2483" s="25">
        <f>ROUND(G2483*H2483,2)</f>
        <v>0</v>
      </c>
      <c r="L2483" s="25">
        <v>1.1999999999999999E-3</v>
      </c>
      <c r="M2483" s="25">
        <f>G2483*L2483</f>
        <v>6.5999999999999989E-2</v>
      </c>
      <c r="N2483" s="26"/>
      <c r="X2483" s="25">
        <f>ROUND(IF(AO2483="5",BH2483,0),2)</f>
        <v>0</v>
      </c>
      <c r="Z2483" s="25">
        <f>ROUND(IF(AO2483="1",BF2483,0),2)</f>
        <v>0</v>
      </c>
      <c r="AA2483" s="25">
        <f>ROUND(IF(AO2483="1",BG2483,0),2)</f>
        <v>0</v>
      </c>
      <c r="AB2483" s="25">
        <f>ROUND(IF(AO2483="7",BF2483,0),2)</f>
        <v>0</v>
      </c>
      <c r="AC2483" s="25">
        <f>ROUND(IF(AO2483="7",BG2483,0),2)</f>
        <v>0</v>
      </c>
      <c r="AD2483" s="25">
        <f>ROUND(IF(AO2483="2",BF2483,0),2)</f>
        <v>0</v>
      </c>
      <c r="AE2483" s="25">
        <f>ROUND(IF(AO2483="2",BG2483,0),2)</f>
        <v>0</v>
      </c>
      <c r="AF2483" s="25">
        <f>ROUND(IF(AO2483="0",BH2483,0),2)</f>
        <v>0</v>
      </c>
      <c r="AG2483" s="10" t="s">
        <v>2900</v>
      </c>
      <c r="AH2483" s="25">
        <f>IF(AL2483=0,K2483,0)</f>
        <v>0</v>
      </c>
      <c r="AI2483" s="25">
        <f>IF(AL2483=12,K2483,0)</f>
        <v>0</v>
      </c>
      <c r="AJ2483" s="25">
        <f>IF(AL2483=21,K2483,0)</f>
        <v>0</v>
      </c>
      <c r="AL2483" s="25">
        <v>21</v>
      </c>
      <c r="AM2483" s="25">
        <f>H2483*0.817902511</f>
        <v>0</v>
      </c>
      <c r="AN2483" s="25">
        <f>H2483*(1-0.817902511)</f>
        <v>0</v>
      </c>
      <c r="AO2483" s="27" t="s">
        <v>81</v>
      </c>
      <c r="AT2483" s="25">
        <f>ROUND(AU2483+AV2483,2)</f>
        <v>0</v>
      </c>
      <c r="AU2483" s="25">
        <f>ROUND(G2483*AM2483,2)</f>
        <v>0</v>
      </c>
      <c r="AV2483" s="25">
        <f>ROUND(G2483*AN2483,2)</f>
        <v>0</v>
      </c>
      <c r="AW2483" s="27" t="s">
        <v>2994</v>
      </c>
      <c r="AX2483" s="27" t="s">
        <v>2945</v>
      </c>
      <c r="AY2483" s="10" t="s">
        <v>2903</v>
      </c>
      <c r="BA2483" s="25">
        <f>AU2483+AV2483</f>
        <v>0</v>
      </c>
      <c r="BB2483" s="25">
        <f>H2483/(100-BC2483)*100</f>
        <v>0</v>
      </c>
      <c r="BC2483" s="25">
        <v>0</v>
      </c>
      <c r="BD2483" s="25">
        <f>M2483</f>
        <v>6.5999999999999989E-2</v>
      </c>
      <c r="BF2483" s="25">
        <f>G2483*AM2483</f>
        <v>0</v>
      </c>
      <c r="BG2483" s="25">
        <f>G2483*AN2483</f>
        <v>0</v>
      </c>
      <c r="BH2483" s="25">
        <f>G2483*H2483</f>
        <v>0</v>
      </c>
      <c r="BI2483" s="27" t="s">
        <v>65</v>
      </c>
      <c r="BJ2483" s="25"/>
      <c r="BU2483" s="25" t="e">
        <f>#REF!</f>
        <v>#REF!</v>
      </c>
      <c r="BV2483" s="4" t="s">
        <v>3041</v>
      </c>
    </row>
    <row r="2484" spans="1:74" ht="14.4" x14ac:dyDescent="0.3">
      <c r="A2484" s="28"/>
      <c r="D2484" s="29" t="s">
        <v>409</v>
      </c>
      <c r="E2484" s="29" t="s">
        <v>52</v>
      </c>
      <c r="G2484" s="30">
        <v>55</v>
      </c>
      <c r="H2484" s="63"/>
      <c r="N2484" s="31"/>
    </row>
    <row r="2485" spans="1:74" ht="14.4" x14ac:dyDescent="0.3">
      <c r="A2485" s="2" t="s">
        <v>3042</v>
      </c>
      <c r="B2485" s="3" t="s">
        <v>2900</v>
      </c>
      <c r="C2485" s="3" t="s">
        <v>3043</v>
      </c>
      <c r="D2485" s="112" t="s">
        <v>3044</v>
      </c>
      <c r="E2485" s="109"/>
      <c r="F2485" s="3" t="s">
        <v>115</v>
      </c>
      <c r="G2485" s="25">
        <v>180</v>
      </c>
      <c r="H2485" s="62"/>
      <c r="I2485" s="25">
        <f>ROUND(G2485*AM2485,2)</f>
        <v>0</v>
      </c>
      <c r="J2485" s="25">
        <f>ROUND(G2485*AN2485,2)</f>
        <v>0</v>
      </c>
      <c r="K2485" s="25">
        <f>ROUND(G2485*H2485,2)</f>
        <v>0</v>
      </c>
      <c r="L2485" s="25">
        <v>8.0000000000000004E-4</v>
      </c>
      <c r="M2485" s="25">
        <f>G2485*L2485</f>
        <v>0.14400000000000002</v>
      </c>
      <c r="N2485" s="26"/>
      <c r="X2485" s="25">
        <f>ROUND(IF(AO2485="5",BH2485,0),2)</f>
        <v>0</v>
      </c>
      <c r="Z2485" s="25">
        <f>ROUND(IF(AO2485="1",BF2485,0),2)</f>
        <v>0</v>
      </c>
      <c r="AA2485" s="25">
        <f>ROUND(IF(AO2485="1",BG2485,0),2)</f>
        <v>0</v>
      </c>
      <c r="AB2485" s="25">
        <f>ROUND(IF(AO2485="7",BF2485,0),2)</f>
        <v>0</v>
      </c>
      <c r="AC2485" s="25">
        <f>ROUND(IF(AO2485="7",BG2485,0),2)</f>
        <v>0</v>
      </c>
      <c r="AD2485" s="25">
        <f>ROUND(IF(AO2485="2",BF2485,0),2)</f>
        <v>0</v>
      </c>
      <c r="AE2485" s="25">
        <f>ROUND(IF(AO2485="2",BG2485,0),2)</f>
        <v>0</v>
      </c>
      <c r="AF2485" s="25">
        <f>ROUND(IF(AO2485="0",BH2485,0),2)</f>
        <v>0</v>
      </c>
      <c r="AG2485" s="10" t="s">
        <v>2900</v>
      </c>
      <c r="AH2485" s="25">
        <f>IF(AL2485=0,K2485,0)</f>
        <v>0</v>
      </c>
      <c r="AI2485" s="25">
        <f>IF(AL2485=12,K2485,0)</f>
        <v>0</v>
      </c>
      <c r="AJ2485" s="25">
        <f>IF(AL2485=21,K2485,0)</f>
        <v>0</v>
      </c>
      <c r="AL2485" s="25">
        <v>21</v>
      </c>
      <c r="AM2485" s="25">
        <f>H2485*0.762236025</f>
        <v>0</v>
      </c>
      <c r="AN2485" s="25">
        <f>H2485*(1-0.762236025)</f>
        <v>0</v>
      </c>
      <c r="AO2485" s="27" t="s">
        <v>81</v>
      </c>
      <c r="AT2485" s="25">
        <f>ROUND(AU2485+AV2485,2)</f>
        <v>0</v>
      </c>
      <c r="AU2485" s="25">
        <f>ROUND(G2485*AM2485,2)</f>
        <v>0</v>
      </c>
      <c r="AV2485" s="25">
        <f>ROUND(G2485*AN2485,2)</f>
        <v>0</v>
      </c>
      <c r="AW2485" s="27" t="s">
        <v>2994</v>
      </c>
      <c r="AX2485" s="27" t="s">
        <v>2945</v>
      </c>
      <c r="AY2485" s="10" t="s">
        <v>2903</v>
      </c>
      <c r="BA2485" s="25">
        <f>AU2485+AV2485</f>
        <v>0</v>
      </c>
      <c r="BB2485" s="25">
        <f>H2485/(100-BC2485)*100</f>
        <v>0</v>
      </c>
      <c r="BC2485" s="25">
        <v>0</v>
      </c>
      <c r="BD2485" s="25">
        <f>M2485</f>
        <v>0.14400000000000002</v>
      </c>
      <c r="BF2485" s="25">
        <f>G2485*AM2485</f>
        <v>0</v>
      </c>
      <c r="BG2485" s="25">
        <f>G2485*AN2485</f>
        <v>0</v>
      </c>
      <c r="BH2485" s="25">
        <f>G2485*H2485</f>
        <v>0</v>
      </c>
      <c r="BI2485" s="27" t="s">
        <v>65</v>
      </c>
      <c r="BJ2485" s="25"/>
      <c r="BU2485" s="25" t="e">
        <f>#REF!</f>
        <v>#REF!</v>
      </c>
      <c r="BV2485" s="4" t="s">
        <v>3044</v>
      </c>
    </row>
    <row r="2486" spans="1:74" ht="14.4" x14ac:dyDescent="0.3">
      <c r="A2486" s="28"/>
      <c r="D2486" s="29" t="s">
        <v>999</v>
      </c>
      <c r="E2486" s="29" t="s">
        <v>52</v>
      </c>
      <c r="G2486" s="30">
        <v>180</v>
      </c>
      <c r="H2486" s="63"/>
      <c r="N2486" s="31"/>
    </row>
    <row r="2487" spans="1:74" ht="14.4" x14ac:dyDescent="0.3">
      <c r="A2487" s="2" t="s">
        <v>3045</v>
      </c>
      <c r="B2487" s="3" t="s">
        <v>2900</v>
      </c>
      <c r="C2487" s="3" t="s">
        <v>3046</v>
      </c>
      <c r="D2487" s="112" t="s">
        <v>3047</v>
      </c>
      <c r="E2487" s="109"/>
      <c r="F2487" s="3" t="s">
        <v>115</v>
      </c>
      <c r="G2487" s="25">
        <v>105</v>
      </c>
      <c r="H2487" s="62"/>
      <c r="I2487" s="25">
        <f>ROUND(G2487*AM2487,2)</f>
        <v>0</v>
      </c>
      <c r="J2487" s="25">
        <f>ROUND(G2487*AN2487,2)</f>
        <v>0</v>
      </c>
      <c r="K2487" s="25">
        <f>ROUND(G2487*H2487,2)</f>
        <v>0</v>
      </c>
      <c r="L2487" s="25">
        <v>5.5999999999999995E-4</v>
      </c>
      <c r="M2487" s="25">
        <f>G2487*L2487</f>
        <v>5.8799999999999998E-2</v>
      </c>
      <c r="N2487" s="26"/>
      <c r="X2487" s="25">
        <f>ROUND(IF(AO2487="5",BH2487,0),2)</f>
        <v>0</v>
      </c>
      <c r="Z2487" s="25">
        <f>ROUND(IF(AO2487="1",BF2487,0),2)</f>
        <v>0</v>
      </c>
      <c r="AA2487" s="25">
        <f>ROUND(IF(AO2487="1",BG2487,0),2)</f>
        <v>0</v>
      </c>
      <c r="AB2487" s="25">
        <f>ROUND(IF(AO2487="7",BF2487,0),2)</f>
        <v>0</v>
      </c>
      <c r="AC2487" s="25">
        <f>ROUND(IF(AO2487="7",BG2487,0),2)</f>
        <v>0</v>
      </c>
      <c r="AD2487" s="25">
        <f>ROUND(IF(AO2487="2",BF2487,0),2)</f>
        <v>0</v>
      </c>
      <c r="AE2487" s="25">
        <f>ROUND(IF(AO2487="2",BG2487,0),2)</f>
        <v>0</v>
      </c>
      <c r="AF2487" s="25">
        <f>ROUND(IF(AO2487="0",BH2487,0),2)</f>
        <v>0</v>
      </c>
      <c r="AG2487" s="10" t="s">
        <v>2900</v>
      </c>
      <c r="AH2487" s="25">
        <f>IF(AL2487=0,K2487,0)</f>
        <v>0</v>
      </c>
      <c r="AI2487" s="25">
        <f>IF(AL2487=12,K2487,0)</f>
        <v>0</v>
      </c>
      <c r="AJ2487" s="25">
        <f>IF(AL2487=21,K2487,0)</f>
        <v>0</v>
      </c>
      <c r="AL2487" s="25">
        <v>21</v>
      </c>
      <c r="AM2487" s="25">
        <f>H2487*0.684361371</f>
        <v>0</v>
      </c>
      <c r="AN2487" s="25">
        <f>H2487*(1-0.684361371)</f>
        <v>0</v>
      </c>
      <c r="AO2487" s="27" t="s">
        <v>81</v>
      </c>
      <c r="AT2487" s="25">
        <f>ROUND(AU2487+AV2487,2)</f>
        <v>0</v>
      </c>
      <c r="AU2487" s="25">
        <f>ROUND(G2487*AM2487,2)</f>
        <v>0</v>
      </c>
      <c r="AV2487" s="25">
        <f>ROUND(G2487*AN2487,2)</f>
        <v>0</v>
      </c>
      <c r="AW2487" s="27" t="s">
        <v>2994</v>
      </c>
      <c r="AX2487" s="27" t="s">
        <v>2945</v>
      </c>
      <c r="AY2487" s="10" t="s">
        <v>2903</v>
      </c>
      <c r="BA2487" s="25">
        <f>AU2487+AV2487</f>
        <v>0</v>
      </c>
      <c r="BB2487" s="25">
        <f>H2487/(100-BC2487)*100</f>
        <v>0</v>
      </c>
      <c r="BC2487" s="25">
        <v>0</v>
      </c>
      <c r="BD2487" s="25">
        <f>M2487</f>
        <v>5.8799999999999998E-2</v>
      </c>
      <c r="BF2487" s="25">
        <f>G2487*AM2487</f>
        <v>0</v>
      </c>
      <c r="BG2487" s="25">
        <f>G2487*AN2487</f>
        <v>0</v>
      </c>
      <c r="BH2487" s="25">
        <f>G2487*H2487</f>
        <v>0</v>
      </c>
      <c r="BI2487" s="27" t="s">
        <v>65</v>
      </c>
      <c r="BJ2487" s="25"/>
      <c r="BU2487" s="25" t="e">
        <f>#REF!</f>
        <v>#REF!</v>
      </c>
      <c r="BV2487" s="4" t="s">
        <v>3047</v>
      </c>
    </row>
    <row r="2488" spans="1:74" ht="14.4" x14ac:dyDescent="0.3">
      <c r="A2488" s="28"/>
      <c r="D2488" s="29" t="s">
        <v>632</v>
      </c>
      <c r="E2488" s="29" t="s">
        <v>52</v>
      </c>
      <c r="G2488" s="30">
        <v>105</v>
      </c>
      <c r="H2488" s="63"/>
      <c r="N2488" s="31"/>
    </row>
    <row r="2489" spans="1:74" ht="14.4" x14ac:dyDescent="0.3">
      <c r="A2489" s="2" t="s">
        <v>3048</v>
      </c>
      <c r="B2489" s="3" t="s">
        <v>2900</v>
      </c>
      <c r="C2489" s="3" t="s">
        <v>3049</v>
      </c>
      <c r="D2489" s="112" t="s">
        <v>3050</v>
      </c>
      <c r="E2489" s="109"/>
      <c r="F2489" s="3" t="s">
        <v>115</v>
      </c>
      <c r="G2489" s="25">
        <v>65</v>
      </c>
      <c r="H2489" s="62"/>
      <c r="I2489" s="25">
        <f>ROUND(G2489*AM2489,2)</f>
        <v>0</v>
      </c>
      <c r="J2489" s="25">
        <f>ROUND(G2489*AN2489,2)</f>
        <v>0</v>
      </c>
      <c r="K2489" s="25">
        <f>ROUND(G2489*H2489,2)</f>
        <v>0</v>
      </c>
      <c r="L2489" s="25">
        <v>4.2999999999999999E-4</v>
      </c>
      <c r="M2489" s="25">
        <f>G2489*L2489</f>
        <v>2.7949999999999999E-2</v>
      </c>
      <c r="N2489" s="26"/>
      <c r="X2489" s="25">
        <f>ROUND(IF(AO2489="5",BH2489,0),2)</f>
        <v>0</v>
      </c>
      <c r="Z2489" s="25">
        <f>ROUND(IF(AO2489="1",BF2489,0),2)</f>
        <v>0</v>
      </c>
      <c r="AA2489" s="25">
        <f>ROUND(IF(AO2489="1",BG2489,0),2)</f>
        <v>0</v>
      </c>
      <c r="AB2489" s="25">
        <f>ROUND(IF(AO2489="7",BF2489,0),2)</f>
        <v>0</v>
      </c>
      <c r="AC2489" s="25">
        <f>ROUND(IF(AO2489="7",BG2489,0),2)</f>
        <v>0</v>
      </c>
      <c r="AD2489" s="25">
        <f>ROUND(IF(AO2489="2",BF2489,0),2)</f>
        <v>0</v>
      </c>
      <c r="AE2489" s="25">
        <f>ROUND(IF(AO2489="2",BG2489,0),2)</f>
        <v>0</v>
      </c>
      <c r="AF2489" s="25">
        <f>ROUND(IF(AO2489="0",BH2489,0),2)</f>
        <v>0</v>
      </c>
      <c r="AG2489" s="10" t="s">
        <v>2900</v>
      </c>
      <c r="AH2489" s="25">
        <f>IF(AL2489=0,K2489,0)</f>
        <v>0</v>
      </c>
      <c r="AI2489" s="25">
        <f>IF(AL2489=12,K2489,0)</f>
        <v>0</v>
      </c>
      <c r="AJ2489" s="25">
        <f>IF(AL2489=21,K2489,0)</f>
        <v>0</v>
      </c>
      <c r="AL2489" s="25">
        <v>21</v>
      </c>
      <c r="AM2489" s="25">
        <f>H2489*0.599759036</f>
        <v>0</v>
      </c>
      <c r="AN2489" s="25">
        <f>H2489*(1-0.599759036)</f>
        <v>0</v>
      </c>
      <c r="AO2489" s="27" t="s">
        <v>81</v>
      </c>
      <c r="AT2489" s="25">
        <f>ROUND(AU2489+AV2489,2)</f>
        <v>0</v>
      </c>
      <c r="AU2489" s="25">
        <f>ROUND(G2489*AM2489,2)</f>
        <v>0</v>
      </c>
      <c r="AV2489" s="25">
        <f>ROUND(G2489*AN2489,2)</f>
        <v>0</v>
      </c>
      <c r="AW2489" s="27" t="s">
        <v>2994</v>
      </c>
      <c r="AX2489" s="27" t="s">
        <v>2945</v>
      </c>
      <c r="AY2489" s="10" t="s">
        <v>2903</v>
      </c>
      <c r="BA2489" s="25">
        <f>AU2489+AV2489</f>
        <v>0</v>
      </c>
      <c r="BB2489" s="25">
        <f>H2489/(100-BC2489)*100</f>
        <v>0</v>
      </c>
      <c r="BC2489" s="25">
        <v>0</v>
      </c>
      <c r="BD2489" s="25">
        <f>M2489</f>
        <v>2.7949999999999999E-2</v>
      </c>
      <c r="BF2489" s="25">
        <f>G2489*AM2489</f>
        <v>0</v>
      </c>
      <c r="BG2489" s="25">
        <f>G2489*AN2489</f>
        <v>0</v>
      </c>
      <c r="BH2489" s="25">
        <f>G2489*H2489</f>
        <v>0</v>
      </c>
      <c r="BI2489" s="27" t="s">
        <v>65</v>
      </c>
      <c r="BJ2489" s="25"/>
      <c r="BU2489" s="25" t="e">
        <f>#REF!</f>
        <v>#REF!</v>
      </c>
      <c r="BV2489" s="4" t="s">
        <v>3050</v>
      </c>
    </row>
    <row r="2490" spans="1:74" ht="14.4" x14ac:dyDescent="0.3">
      <c r="A2490" s="28"/>
      <c r="D2490" s="29" t="s">
        <v>448</v>
      </c>
      <c r="E2490" s="29" t="s">
        <v>52</v>
      </c>
      <c r="G2490" s="30">
        <v>65</v>
      </c>
      <c r="H2490" s="63"/>
      <c r="N2490" s="31"/>
    </row>
    <row r="2491" spans="1:74" ht="14.4" x14ac:dyDescent="0.3">
      <c r="A2491" s="2" t="s">
        <v>3051</v>
      </c>
      <c r="B2491" s="3" t="s">
        <v>2900</v>
      </c>
      <c r="C2491" s="3" t="s">
        <v>3052</v>
      </c>
      <c r="D2491" s="112" t="s">
        <v>3053</v>
      </c>
      <c r="E2491" s="109"/>
      <c r="F2491" s="3" t="s">
        <v>115</v>
      </c>
      <c r="G2491" s="25">
        <v>200</v>
      </c>
      <c r="H2491" s="62"/>
      <c r="I2491" s="25">
        <f>ROUND(G2491*AM2491,2)</f>
        <v>0</v>
      </c>
      <c r="J2491" s="25">
        <f>ROUND(G2491*AN2491,2)</f>
        <v>0</v>
      </c>
      <c r="K2491" s="25">
        <f>ROUND(G2491*H2491,2)</f>
        <v>0</v>
      </c>
      <c r="L2491" s="25">
        <v>3.2000000000000003E-4</v>
      </c>
      <c r="M2491" s="25">
        <f>G2491*L2491</f>
        <v>6.4000000000000001E-2</v>
      </c>
      <c r="N2491" s="26"/>
      <c r="X2491" s="25">
        <f>ROUND(IF(AO2491="5",BH2491,0),2)</f>
        <v>0</v>
      </c>
      <c r="Z2491" s="25">
        <f>ROUND(IF(AO2491="1",BF2491,0),2)</f>
        <v>0</v>
      </c>
      <c r="AA2491" s="25">
        <f>ROUND(IF(AO2491="1",BG2491,0),2)</f>
        <v>0</v>
      </c>
      <c r="AB2491" s="25">
        <f>ROUND(IF(AO2491="7",BF2491,0),2)</f>
        <v>0</v>
      </c>
      <c r="AC2491" s="25">
        <f>ROUND(IF(AO2491="7",BG2491,0),2)</f>
        <v>0</v>
      </c>
      <c r="AD2491" s="25">
        <f>ROUND(IF(AO2491="2",BF2491,0),2)</f>
        <v>0</v>
      </c>
      <c r="AE2491" s="25">
        <f>ROUND(IF(AO2491="2",BG2491,0),2)</f>
        <v>0</v>
      </c>
      <c r="AF2491" s="25">
        <f>ROUND(IF(AO2491="0",BH2491,0),2)</f>
        <v>0</v>
      </c>
      <c r="AG2491" s="10" t="s">
        <v>2900</v>
      </c>
      <c r="AH2491" s="25">
        <f>IF(AL2491=0,K2491,0)</f>
        <v>0</v>
      </c>
      <c r="AI2491" s="25">
        <f>IF(AL2491=12,K2491,0)</f>
        <v>0</v>
      </c>
      <c r="AJ2491" s="25">
        <f>IF(AL2491=21,K2491,0)</f>
        <v>0</v>
      </c>
      <c r="AL2491" s="25">
        <v>21</v>
      </c>
      <c r="AM2491" s="25">
        <f>H2491*0.482554517</f>
        <v>0</v>
      </c>
      <c r="AN2491" s="25">
        <f>H2491*(1-0.482554517)</f>
        <v>0</v>
      </c>
      <c r="AO2491" s="27" t="s">
        <v>81</v>
      </c>
      <c r="AT2491" s="25">
        <f>ROUND(AU2491+AV2491,2)</f>
        <v>0</v>
      </c>
      <c r="AU2491" s="25">
        <f>ROUND(G2491*AM2491,2)</f>
        <v>0</v>
      </c>
      <c r="AV2491" s="25">
        <f>ROUND(G2491*AN2491,2)</f>
        <v>0</v>
      </c>
      <c r="AW2491" s="27" t="s">
        <v>2994</v>
      </c>
      <c r="AX2491" s="27" t="s">
        <v>2945</v>
      </c>
      <c r="AY2491" s="10" t="s">
        <v>2903</v>
      </c>
      <c r="BA2491" s="25">
        <f>AU2491+AV2491</f>
        <v>0</v>
      </c>
      <c r="BB2491" s="25">
        <f>H2491/(100-BC2491)*100</f>
        <v>0</v>
      </c>
      <c r="BC2491" s="25">
        <v>0</v>
      </c>
      <c r="BD2491" s="25">
        <f>M2491</f>
        <v>6.4000000000000001E-2</v>
      </c>
      <c r="BF2491" s="25">
        <f>G2491*AM2491</f>
        <v>0</v>
      </c>
      <c r="BG2491" s="25">
        <f>G2491*AN2491</f>
        <v>0</v>
      </c>
      <c r="BH2491" s="25">
        <f>G2491*H2491</f>
        <v>0</v>
      </c>
      <c r="BI2491" s="27" t="s">
        <v>65</v>
      </c>
      <c r="BJ2491" s="25"/>
      <c r="BU2491" s="25" t="e">
        <f>#REF!</f>
        <v>#REF!</v>
      </c>
      <c r="BV2491" s="4" t="s">
        <v>3053</v>
      </c>
    </row>
    <row r="2492" spans="1:74" ht="14.4" x14ac:dyDescent="0.3">
      <c r="A2492" s="28"/>
      <c r="D2492" s="29" t="s">
        <v>1095</v>
      </c>
      <c r="E2492" s="29" t="s">
        <v>52</v>
      </c>
      <c r="G2492" s="30">
        <v>200</v>
      </c>
      <c r="H2492" s="63"/>
      <c r="N2492" s="31"/>
    </row>
    <row r="2493" spans="1:74" ht="14.4" x14ac:dyDescent="0.3">
      <c r="A2493" s="2" t="s">
        <v>3054</v>
      </c>
      <c r="B2493" s="3" t="s">
        <v>2900</v>
      </c>
      <c r="C2493" s="3" t="s">
        <v>3055</v>
      </c>
      <c r="D2493" s="112" t="s">
        <v>3056</v>
      </c>
      <c r="E2493" s="109"/>
      <c r="F2493" s="3" t="s">
        <v>115</v>
      </c>
      <c r="G2493" s="25">
        <v>1150</v>
      </c>
      <c r="H2493" s="62"/>
      <c r="I2493" s="25">
        <f>ROUND(G2493*AM2493,2)</f>
        <v>0</v>
      </c>
      <c r="J2493" s="25">
        <f>ROUND(G2493*AN2493,2)</f>
        <v>0</v>
      </c>
      <c r="K2493" s="25">
        <f>ROUND(G2493*H2493,2)</f>
        <v>0</v>
      </c>
      <c r="L2493" s="25">
        <v>2.1000000000000001E-4</v>
      </c>
      <c r="M2493" s="25">
        <f>G2493*L2493</f>
        <v>0.24150000000000002</v>
      </c>
      <c r="N2493" s="26"/>
      <c r="X2493" s="25">
        <f>ROUND(IF(AO2493="5",BH2493,0),2)</f>
        <v>0</v>
      </c>
      <c r="Z2493" s="25">
        <f>ROUND(IF(AO2493="1",BF2493,0),2)</f>
        <v>0</v>
      </c>
      <c r="AA2493" s="25">
        <f>ROUND(IF(AO2493="1",BG2493,0),2)</f>
        <v>0</v>
      </c>
      <c r="AB2493" s="25">
        <f>ROUND(IF(AO2493="7",BF2493,0),2)</f>
        <v>0</v>
      </c>
      <c r="AC2493" s="25">
        <f>ROUND(IF(AO2493="7",BG2493,0),2)</f>
        <v>0</v>
      </c>
      <c r="AD2493" s="25">
        <f>ROUND(IF(AO2493="2",BF2493,0),2)</f>
        <v>0</v>
      </c>
      <c r="AE2493" s="25">
        <f>ROUND(IF(AO2493="2",BG2493,0),2)</f>
        <v>0</v>
      </c>
      <c r="AF2493" s="25">
        <f>ROUND(IF(AO2493="0",BH2493,0),2)</f>
        <v>0</v>
      </c>
      <c r="AG2493" s="10" t="s">
        <v>2900</v>
      </c>
      <c r="AH2493" s="25">
        <f>IF(AL2493=0,K2493,0)</f>
        <v>0</v>
      </c>
      <c r="AI2493" s="25">
        <f>IF(AL2493=12,K2493,0)</f>
        <v>0</v>
      </c>
      <c r="AJ2493" s="25">
        <f>IF(AL2493=21,K2493,0)</f>
        <v>0</v>
      </c>
      <c r="AL2493" s="25">
        <v>21</v>
      </c>
      <c r="AM2493" s="25">
        <f>H2493*0.368324367</f>
        <v>0</v>
      </c>
      <c r="AN2493" s="25">
        <f>H2493*(1-0.368324367)</f>
        <v>0</v>
      </c>
      <c r="AO2493" s="27" t="s">
        <v>81</v>
      </c>
      <c r="AT2493" s="25">
        <f>ROUND(AU2493+AV2493,2)</f>
        <v>0</v>
      </c>
      <c r="AU2493" s="25">
        <f>ROUND(G2493*AM2493,2)</f>
        <v>0</v>
      </c>
      <c r="AV2493" s="25">
        <f>ROUND(G2493*AN2493,2)</f>
        <v>0</v>
      </c>
      <c r="AW2493" s="27" t="s">
        <v>2994</v>
      </c>
      <c r="AX2493" s="27" t="s">
        <v>2945</v>
      </c>
      <c r="AY2493" s="10" t="s">
        <v>2903</v>
      </c>
      <c r="BA2493" s="25">
        <f>AU2493+AV2493</f>
        <v>0</v>
      </c>
      <c r="BB2493" s="25">
        <f>H2493/(100-BC2493)*100</f>
        <v>0</v>
      </c>
      <c r="BC2493" s="25">
        <v>0</v>
      </c>
      <c r="BD2493" s="25">
        <f>M2493</f>
        <v>0.24150000000000002</v>
      </c>
      <c r="BF2493" s="25">
        <f>G2493*AM2493</f>
        <v>0</v>
      </c>
      <c r="BG2493" s="25">
        <f>G2493*AN2493</f>
        <v>0</v>
      </c>
      <c r="BH2493" s="25">
        <f>G2493*H2493</f>
        <v>0</v>
      </c>
      <c r="BI2493" s="27" t="s">
        <v>65</v>
      </c>
      <c r="BJ2493" s="25"/>
      <c r="BU2493" s="25" t="e">
        <f>#REF!</f>
        <v>#REF!</v>
      </c>
      <c r="BV2493" s="4" t="s">
        <v>3056</v>
      </c>
    </row>
    <row r="2494" spans="1:74" ht="14.4" x14ac:dyDescent="0.3">
      <c r="A2494" s="28"/>
      <c r="D2494" s="29" t="s">
        <v>3057</v>
      </c>
      <c r="E2494" s="29" t="s">
        <v>52</v>
      </c>
      <c r="G2494" s="30">
        <v>1150</v>
      </c>
      <c r="H2494" s="63"/>
      <c r="N2494" s="31"/>
    </row>
    <row r="2495" spans="1:74" ht="14.4" x14ac:dyDescent="0.3">
      <c r="A2495" s="2" t="s">
        <v>3058</v>
      </c>
      <c r="B2495" s="3" t="s">
        <v>2900</v>
      </c>
      <c r="C2495" s="3" t="s">
        <v>3059</v>
      </c>
      <c r="D2495" s="112" t="s">
        <v>3060</v>
      </c>
      <c r="E2495" s="109"/>
      <c r="F2495" s="3" t="s">
        <v>115</v>
      </c>
      <c r="G2495" s="25">
        <v>540</v>
      </c>
      <c r="H2495" s="62"/>
      <c r="I2495" s="25">
        <f>ROUND(G2495*AM2495,2)</f>
        <v>0</v>
      </c>
      <c r="J2495" s="25">
        <f>ROUND(G2495*AN2495,2)</f>
        <v>0</v>
      </c>
      <c r="K2495" s="25">
        <f>ROUND(G2495*H2495,2)</f>
        <v>0</v>
      </c>
      <c r="L2495" s="25">
        <v>1.6000000000000001E-4</v>
      </c>
      <c r="M2495" s="25">
        <f>G2495*L2495</f>
        <v>8.6400000000000005E-2</v>
      </c>
      <c r="N2495" s="26"/>
      <c r="X2495" s="25">
        <f>ROUND(IF(AO2495="5",BH2495,0),2)</f>
        <v>0</v>
      </c>
      <c r="Z2495" s="25">
        <f>ROUND(IF(AO2495="1",BF2495,0),2)</f>
        <v>0</v>
      </c>
      <c r="AA2495" s="25">
        <f>ROUND(IF(AO2495="1",BG2495,0),2)</f>
        <v>0</v>
      </c>
      <c r="AB2495" s="25">
        <f>ROUND(IF(AO2495="7",BF2495,0),2)</f>
        <v>0</v>
      </c>
      <c r="AC2495" s="25">
        <f>ROUND(IF(AO2495="7",BG2495,0),2)</f>
        <v>0</v>
      </c>
      <c r="AD2495" s="25">
        <f>ROUND(IF(AO2495="2",BF2495,0),2)</f>
        <v>0</v>
      </c>
      <c r="AE2495" s="25">
        <f>ROUND(IF(AO2495="2",BG2495,0),2)</f>
        <v>0</v>
      </c>
      <c r="AF2495" s="25">
        <f>ROUND(IF(AO2495="0",BH2495,0),2)</f>
        <v>0</v>
      </c>
      <c r="AG2495" s="10" t="s">
        <v>2900</v>
      </c>
      <c r="AH2495" s="25">
        <f>IF(AL2495=0,K2495,0)</f>
        <v>0</v>
      </c>
      <c r="AI2495" s="25">
        <f>IF(AL2495=12,K2495,0)</f>
        <v>0</v>
      </c>
      <c r="AJ2495" s="25">
        <f>IF(AL2495=21,K2495,0)</f>
        <v>0</v>
      </c>
      <c r="AL2495" s="25">
        <v>21</v>
      </c>
      <c r="AM2495" s="25">
        <f>H2495*0.262593783</f>
        <v>0</v>
      </c>
      <c r="AN2495" s="25">
        <f>H2495*(1-0.262593783)</f>
        <v>0</v>
      </c>
      <c r="AO2495" s="27" t="s">
        <v>81</v>
      </c>
      <c r="AT2495" s="25">
        <f>ROUND(AU2495+AV2495,2)</f>
        <v>0</v>
      </c>
      <c r="AU2495" s="25">
        <f>ROUND(G2495*AM2495,2)</f>
        <v>0</v>
      </c>
      <c r="AV2495" s="25">
        <f>ROUND(G2495*AN2495,2)</f>
        <v>0</v>
      </c>
      <c r="AW2495" s="27" t="s">
        <v>2994</v>
      </c>
      <c r="AX2495" s="27" t="s">
        <v>2945</v>
      </c>
      <c r="AY2495" s="10" t="s">
        <v>2903</v>
      </c>
      <c r="BA2495" s="25">
        <f>AU2495+AV2495</f>
        <v>0</v>
      </c>
      <c r="BB2495" s="25">
        <f>H2495/(100-BC2495)*100</f>
        <v>0</v>
      </c>
      <c r="BC2495" s="25">
        <v>0</v>
      </c>
      <c r="BD2495" s="25">
        <f>M2495</f>
        <v>8.6400000000000005E-2</v>
      </c>
      <c r="BF2495" s="25">
        <f>G2495*AM2495</f>
        <v>0</v>
      </c>
      <c r="BG2495" s="25">
        <f>G2495*AN2495</f>
        <v>0</v>
      </c>
      <c r="BH2495" s="25">
        <f>G2495*H2495</f>
        <v>0</v>
      </c>
      <c r="BI2495" s="27" t="s">
        <v>65</v>
      </c>
      <c r="BJ2495" s="25"/>
      <c r="BU2495" s="25" t="e">
        <f>#REF!</f>
        <v>#REF!</v>
      </c>
      <c r="BV2495" s="4" t="s">
        <v>3060</v>
      </c>
    </row>
    <row r="2496" spans="1:74" ht="14.4" x14ac:dyDescent="0.3">
      <c r="A2496" s="28"/>
      <c r="D2496" s="29" t="s">
        <v>2272</v>
      </c>
      <c r="E2496" s="29" t="s">
        <v>52</v>
      </c>
      <c r="G2496" s="30">
        <v>540</v>
      </c>
      <c r="H2496" s="63"/>
      <c r="N2496" s="31"/>
    </row>
    <row r="2497" spans="1:74" ht="14.4" x14ac:dyDescent="0.3">
      <c r="A2497" s="2" t="s">
        <v>3061</v>
      </c>
      <c r="B2497" s="3" t="s">
        <v>2900</v>
      </c>
      <c r="C2497" s="3" t="s">
        <v>3062</v>
      </c>
      <c r="D2497" s="112" t="s">
        <v>3063</v>
      </c>
      <c r="E2497" s="109"/>
      <c r="F2497" s="3" t="s">
        <v>115</v>
      </c>
      <c r="G2497" s="25">
        <v>90</v>
      </c>
      <c r="H2497" s="62"/>
      <c r="I2497" s="25">
        <f>ROUND(G2497*AM2497,2)</f>
        <v>0</v>
      </c>
      <c r="J2497" s="25">
        <f>ROUND(G2497*AN2497,2)</f>
        <v>0</v>
      </c>
      <c r="K2497" s="25">
        <f>ROUND(G2497*H2497,2)</f>
        <v>0</v>
      </c>
      <c r="L2497" s="25">
        <v>2.0100000000000001E-3</v>
      </c>
      <c r="M2497" s="25">
        <f>G2497*L2497</f>
        <v>0.18090000000000001</v>
      </c>
      <c r="N2497" s="26"/>
      <c r="X2497" s="25">
        <f>ROUND(IF(AO2497="5",BH2497,0),2)</f>
        <v>0</v>
      </c>
      <c r="Z2497" s="25">
        <f>ROUND(IF(AO2497="1",BF2497,0),2)</f>
        <v>0</v>
      </c>
      <c r="AA2497" s="25">
        <f>ROUND(IF(AO2497="1",BG2497,0),2)</f>
        <v>0</v>
      </c>
      <c r="AB2497" s="25">
        <f>ROUND(IF(AO2497="7",BF2497,0),2)</f>
        <v>0</v>
      </c>
      <c r="AC2497" s="25">
        <f>ROUND(IF(AO2497="7",BG2497,0),2)</f>
        <v>0</v>
      </c>
      <c r="AD2497" s="25">
        <f>ROUND(IF(AO2497="2",BF2497,0),2)</f>
        <v>0</v>
      </c>
      <c r="AE2497" s="25">
        <f>ROUND(IF(AO2497="2",BG2497,0),2)</f>
        <v>0</v>
      </c>
      <c r="AF2497" s="25">
        <f>ROUND(IF(AO2497="0",BH2497,0),2)</f>
        <v>0</v>
      </c>
      <c r="AG2497" s="10" t="s">
        <v>2900</v>
      </c>
      <c r="AH2497" s="25">
        <f>IF(AL2497=0,K2497,0)</f>
        <v>0</v>
      </c>
      <c r="AI2497" s="25">
        <f>IF(AL2497=12,K2497,0)</f>
        <v>0</v>
      </c>
      <c r="AJ2497" s="25">
        <f>IF(AL2497=21,K2497,0)</f>
        <v>0</v>
      </c>
      <c r="AL2497" s="25">
        <v>21</v>
      </c>
      <c r="AM2497" s="25">
        <f>H2497*0.674528302</f>
        <v>0</v>
      </c>
      <c r="AN2497" s="25">
        <f>H2497*(1-0.674528302)</f>
        <v>0</v>
      </c>
      <c r="AO2497" s="27" t="s">
        <v>81</v>
      </c>
      <c r="AT2497" s="25">
        <f>ROUND(AU2497+AV2497,2)</f>
        <v>0</v>
      </c>
      <c r="AU2497" s="25">
        <f>ROUND(G2497*AM2497,2)</f>
        <v>0</v>
      </c>
      <c r="AV2497" s="25">
        <f>ROUND(G2497*AN2497,2)</f>
        <v>0</v>
      </c>
      <c r="AW2497" s="27" t="s">
        <v>2994</v>
      </c>
      <c r="AX2497" s="27" t="s">
        <v>2945</v>
      </c>
      <c r="AY2497" s="10" t="s">
        <v>2903</v>
      </c>
      <c r="BA2497" s="25">
        <f>AU2497+AV2497</f>
        <v>0</v>
      </c>
      <c r="BB2497" s="25">
        <f>H2497/(100-BC2497)*100</f>
        <v>0</v>
      </c>
      <c r="BC2497" s="25">
        <v>0</v>
      </c>
      <c r="BD2497" s="25">
        <f>M2497</f>
        <v>0.18090000000000001</v>
      </c>
      <c r="BF2497" s="25">
        <f>G2497*AM2497</f>
        <v>0</v>
      </c>
      <c r="BG2497" s="25">
        <f>G2497*AN2497</f>
        <v>0</v>
      </c>
      <c r="BH2497" s="25">
        <f>G2497*H2497</f>
        <v>0</v>
      </c>
      <c r="BI2497" s="27" t="s">
        <v>65</v>
      </c>
      <c r="BJ2497" s="25"/>
      <c r="BU2497" s="25" t="e">
        <f>#REF!</f>
        <v>#REF!</v>
      </c>
      <c r="BV2497" s="4" t="s">
        <v>3063</v>
      </c>
    </row>
    <row r="2498" spans="1:74" ht="14.4" x14ac:dyDescent="0.3">
      <c r="A2498" s="28"/>
      <c r="D2498" s="29" t="s">
        <v>555</v>
      </c>
      <c r="E2498" s="29" t="s">
        <v>52</v>
      </c>
      <c r="G2498" s="30">
        <v>90</v>
      </c>
      <c r="H2498" s="63"/>
      <c r="N2498" s="31"/>
    </row>
    <row r="2499" spans="1:74" ht="14.4" x14ac:dyDescent="0.3">
      <c r="A2499" s="2" t="s">
        <v>3064</v>
      </c>
      <c r="B2499" s="3" t="s">
        <v>2900</v>
      </c>
      <c r="C2499" s="3" t="s">
        <v>3065</v>
      </c>
      <c r="D2499" s="112" t="s">
        <v>3066</v>
      </c>
      <c r="E2499" s="109"/>
      <c r="F2499" s="3" t="s">
        <v>115</v>
      </c>
      <c r="G2499" s="25">
        <v>84</v>
      </c>
      <c r="H2499" s="62"/>
      <c r="I2499" s="25">
        <f>ROUND(G2499*AM2499,2)</f>
        <v>0</v>
      </c>
      <c r="J2499" s="25">
        <f>ROUND(G2499*AN2499,2)</f>
        <v>0</v>
      </c>
      <c r="K2499" s="25">
        <f>ROUND(G2499*H2499,2)</f>
        <v>0</v>
      </c>
      <c r="L2499" s="25">
        <v>2.9E-4</v>
      </c>
      <c r="M2499" s="25">
        <f>G2499*L2499</f>
        <v>2.436E-2</v>
      </c>
      <c r="N2499" s="26"/>
      <c r="X2499" s="25">
        <f>ROUND(IF(AO2499="5",BH2499,0),2)</f>
        <v>0</v>
      </c>
      <c r="Z2499" s="25">
        <f>ROUND(IF(AO2499="1",BF2499,0),2)</f>
        <v>0</v>
      </c>
      <c r="AA2499" s="25">
        <f>ROUND(IF(AO2499="1",BG2499,0),2)</f>
        <v>0</v>
      </c>
      <c r="AB2499" s="25">
        <f>ROUND(IF(AO2499="7",BF2499,0),2)</f>
        <v>0</v>
      </c>
      <c r="AC2499" s="25">
        <f>ROUND(IF(AO2499="7",BG2499,0),2)</f>
        <v>0</v>
      </c>
      <c r="AD2499" s="25">
        <f>ROUND(IF(AO2499="2",BF2499,0),2)</f>
        <v>0</v>
      </c>
      <c r="AE2499" s="25">
        <f>ROUND(IF(AO2499="2",BG2499,0),2)</f>
        <v>0</v>
      </c>
      <c r="AF2499" s="25">
        <f>ROUND(IF(AO2499="0",BH2499,0),2)</f>
        <v>0</v>
      </c>
      <c r="AG2499" s="10" t="s">
        <v>2900</v>
      </c>
      <c r="AH2499" s="25">
        <f>IF(AL2499=0,K2499,0)</f>
        <v>0</v>
      </c>
      <c r="AI2499" s="25">
        <f>IF(AL2499=12,K2499,0)</f>
        <v>0</v>
      </c>
      <c r="AJ2499" s="25">
        <f>IF(AL2499=21,K2499,0)</f>
        <v>0</v>
      </c>
      <c r="AL2499" s="25">
        <v>21</v>
      </c>
      <c r="AM2499" s="25">
        <f>H2499*0.592700825</f>
        <v>0</v>
      </c>
      <c r="AN2499" s="25">
        <f>H2499*(1-0.592700825)</f>
        <v>0</v>
      </c>
      <c r="AO2499" s="27" t="s">
        <v>81</v>
      </c>
      <c r="AT2499" s="25">
        <f>ROUND(AU2499+AV2499,2)</f>
        <v>0</v>
      </c>
      <c r="AU2499" s="25">
        <f>ROUND(G2499*AM2499,2)</f>
        <v>0</v>
      </c>
      <c r="AV2499" s="25">
        <f>ROUND(G2499*AN2499,2)</f>
        <v>0</v>
      </c>
      <c r="AW2499" s="27" t="s">
        <v>2994</v>
      </c>
      <c r="AX2499" s="27" t="s">
        <v>2945</v>
      </c>
      <c r="AY2499" s="10" t="s">
        <v>2903</v>
      </c>
      <c r="BA2499" s="25">
        <f>AU2499+AV2499</f>
        <v>0</v>
      </c>
      <c r="BB2499" s="25">
        <f>H2499/(100-BC2499)*100</f>
        <v>0</v>
      </c>
      <c r="BC2499" s="25">
        <v>0</v>
      </c>
      <c r="BD2499" s="25">
        <f>M2499</f>
        <v>2.436E-2</v>
      </c>
      <c r="BF2499" s="25">
        <f>G2499*AM2499</f>
        <v>0</v>
      </c>
      <c r="BG2499" s="25">
        <f>G2499*AN2499</f>
        <v>0</v>
      </c>
      <c r="BH2499" s="25">
        <f>G2499*H2499</f>
        <v>0</v>
      </c>
      <c r="BI2499" s="27" t="s">
        <v>65</v>
      </c>
      <c r="BJ2499" s="25"/>
      <c r="BU2499" s="25" t="e">
        <f>#REF!</f>
        <v>#REF!</v>
      </c>
      <c r="BV2499" s="4" t="s">
        <v>3066</v>
      </c>
    </row>
    <row r="2500" spans="1:74" ht="14.4" x14ac:dyDescent="0.3">
      <c r="A2500" s="28"/>
      <c r="D2500" s="29" t="s">
        <v>532</v>
      </c>
      <c r="E2500" s="29" t="s">
        <v>52</v>
      </c>
      <c r="G2500" s="30">
        <v>84</v>
      </c>
      <c r="H2500" s="63"/>
      <c r="N2500" s="31"/>
    </row>
    <row r="2501" spans="1:74" ht="14.4" x14ac:dyDescent="0.3">
      <c r="A2501" s="2" t="s">
        <v>3067</v>
      </c>
      <c r="B2501" s="3" t="s">
        <v>2900</v>
      </c>
      <c r="C2501" s="3" t="s">
        <v>3068</v>
      </c>
      <c r="D2501" s="112" t="s">
        <v>3069</v>
      </c>
      <c r="E2501" s="109"/>
      <c r="F2501" s="3" t="s">
        <v>115</v>
      </c>
      <c r="G2501" s="25">
        <v>160</v>
      </c>
      <c r="H2501" s="62"/>
      <c r="I2501" s="25">
        <f>ROUND(G2501*AM2501,2)</f>
        <v>0</v>
      </c>
      <c r="J2501" s="25">
        <f>ROUND(G2501*AN2501,2)</f>
        <v>0</v>
      </c>
      <c r="K2501" s="25">
        <f>ROUND(G2501*H2501,2)</f>
        <v>0</v>
      </c>
      <c r="L2501" s="25">
        <v>1.2999999999999999E-4</v>
      </c>
      <c r="M2501" s="25">
        <f>G2501*L2501</f>
        <v>2.0799999999999999E-2</v>
      </c>
      <c r="N2501" s="26"/>
      <c r="X2501" s="25">
        <f>ROUND(IF(AO2501="5",BH2501,0),2)</f>
        <v>0</v>
      </c>
      <c r="Z2501" s="25">
        <f>ROUND(IF(AO2501="1",BF2501,0),2)</f>
        <v>0</v>
      </c>
      <c r="AA2501" s="25">
        <f>ROUND(IF(AO2501="1",BG2501,0),2)</f>
        <v>0</v>
      </c>
      <c r="AB2501" s="25">
        <f>ROUND(IF(AO2501="7",BF2501,0),2)</f>
        <v>0</v>
      </c>
      <c r="AC2501" s="25">
        <f>ROUND(IF(AO2501="7",BG2501,0),2)</f>
        <v>0</v>
      </c>
      <c r="AD2501" s="25">
        <f>ROUND(IF(AO2501="2",BF2501,0),2)</f>
        <v>0</v>
      </c>
      <c r="AE2501" s="25">
        <f>ROUND(IF(AO2501="2",BG2501,0),2)</f>
        <v>0</v>
      </c>
      <c r="AF2501" s="25">
        <f>ROUND(IF(AO2501="0",BH2501,0),2)</f>
        <v>0</v>
      </c>
      <c r="AG2501" s="10" t="s">
        <v>2900</v>
      </c>
      <c r="AH2501" s="25">
        <f>IF(AL2501=0,K2501,0)</f>
        <v>0</v>
      </c>
      <c r="AI2501" s="25">
        <f>IF(AL2501=12,K2501,0)</f>
        <v>0</v>
      </c>
      <c r="AJ2501" s="25">
        <f>IF(AL2501=21,K2501,0)</f>
        <v>0</v>
      </c>
      <c r="AL2501" s="25">
        <v>21</v>
      </c>
      <c r="AM2501" s="25">
        <f>H2501*0.370217893</f>
        <v>0</v>
      </c>
      <c r="AN2501" s="25">
        <f>H2501*(1-0.370217893)</f>
        <v>0</v>
      </c>
      <c r="AO2501" s="27" t="s">
        <v>81</v>
      </c>
      <c r="AT2501" s="25">
        <f>ROUND(AU2501+AV2501,2)</f>
        <v>0</v>
      </c>
      <c r="AU2501" s="25">
        <f>ROUND(G2501*AM2501,2)</f>
        <v>0</v>
      </c>
      <c r="AV2501" s="25">
        <f>ROUND(G2501*AN2501,2)</f>
        <v>0</v>
      </c>
      <c r="AW2501" s="27" t="s">
        <v>2994</v>
      </c>
      <c r="AX2501" s="27" t="s">
        <v>2945</v>
      </c>
      <c r="AY2501" s="10" t="s">
        <v>2903</v>
      </c>
      <c r="BA2501" s="25">
        <f>AU2501+AV2501</f>
        <v>0</v>
      </c>
      <c r="BB2501" s="25">
        <f>H2501/(100-BC2501)*100</f>
        <v>0</v>
      </c>
      <c r="BC2501" s="25">
        <v>0</v>
      </c>
      <c r="BD2501" s="25">
        <f>M2501</f>
        <v>2.0799999999999999E-2</v>
      </c>
      <c r="BF2501" s="25">
        <f>G2501*AM2501</f>
        <v>0</v>
      </c>
      <c r="BG2501" s="25">
        <f>G2501*AN2501</f>
        <v>0</v>
      </c>
      <c r="BH2501" s="25">
        <f>G2501*H2501</f>
        <v>0</v>
      </c>
      <c r="BI2501" s="27" t="s">
        <v>65</v>
      </c>
      <c r="BJ2501" s="25"/>
      <c r="BU2501" s="25" t="e">
        <f>#REF!</f>
        <v>#REF!</v>
      </c>
      <c r="BV2501" s="4" t="s">
        <v>3069</v>
      </c>
    </row>
    <row r="2502" spans="1:74" ht="14.4" x14ac:dyDescent="0.3">
      <c r="A2502" s="28"/>
      <c r="D2502" s="29" t="s">
        <v>907</v>
      </c>
      <c r="E2502" s="29" t="s">
        <v>52</v>
      </c>
      <c r="G2502" s="30">
        <v>160</v>
      </c>
      <c r="H2502" s="63"/>
      <c r="N2502" s="31"/>
    </row>
    <row r="2503" spans="1:74" ht="14.4" x14ac:dyDescent="0.3">
      <c r="A2503" s="2" t="s">
        <v>3070</v>
      </c>
      <c r="B2503" s="3" t="s">
        <v>2900</v>
      </c>
      <c r="C2503" s="3" t="s">
        <v>3071</v>
      </c>
      <c r="D2503" s="112" t="s">
        <v>3072</v>
      </c>
      <c r="E2503" s="109"/>
      <c r="F2503" s="3" t="s">
        <v>115</v>
      </c>
      <c r="G2503" s="25">
        <v>110</v>
      </c>
      <c r="H2503" s="62"/>
      <c r="I2503" s="25">
        <f>ROUND(G2503*AM2503,2)</f>
        <v>0</v>
      </c>
      <c r="J2503" s="25">
        <f>ROUND(G2503*AN2503,2)</f>
        <v>0</v>
      </c>
      <c r="K2503" s="25">
        <f>ROUND(G2503*H2503,2)</f>
        <v>0</v>
      </c>
      <c r="L2503" s="25">
        <v>6.9999999999999994E-5</v>
      </c>
      <c r="M2503" s="25">
        <f>G2503*L2503</f>
        <v>7.6999999999999994E-3</v>
      </c>
      <c r="N2503" s="26"/>
      <c r="X2503" s="25">
        <f>ROUND(IF(AO2503="5",BH2503,0),2)</f>
        <v>0</v>
      </c>
      <c r="Z2503" s="25">
        <f>ROUND(IF(AO2503="1",BF2503,0),2)</f>
        <v>0</v>
      </c>
      <c r="AA2503" s="25">
        <f>ROUND(IF(AO2503="1",BG2503,0),2)</f>
        <v>0</v>
      </c>
      <c r="AB2503" s="25">
        <f>ROUND(IF(AO2503="7",BF2503,0),2)</f>
        <v>0</v>
      </c>
      <c r="AC2503" s="25">
        <f>ROUND(IF(AO2503="7",BG2503,0),2)</f>
        <v>0</v>
      </c>
      <c r="AD2503" s="25">
        <f>ROUND(IF(AO2503="2",BF2503,0),2)</f>
        <v>0</v>
      </c>
      <c r="AE2503" s="25">
        <f>ROUND(IF(AO2503="2",BG2503,0),2)</f>
        <v>0</v>
      </c>
      <c r="AF2503" s="25">
        <f>ROUND(IF(AO2503="0",BH2503,0),2)</f>
        <v>0</v>
      </c>
      <c r="AG2503" s="10" t="s">
        <v>2900</v>
      </c>
      <c r="AH2503" s="25">
        <f>IF(AL2503=0,K2503,0)</f>
        <v>0</v>
      </c>
      <c r="AI2503" s="25">
        <f>IF(AL2503=12,K2503,0)</f>
        <v>0</v>
      </c>
      <c r="AJ2503" s="25">
        <f>IF(AL2503=21,K2503,0)</f>
        <v>0</v>
      </c>
      <c r="AL2503" s="25">
        <v>21</v>
      </c>
      <c r="AM2503" s="25">
        <f>H2503*0.260572506</f>
        <v>0</v>
      </c>
      <c r="AN2503" s="25">
        <f>H2503*(1-0.260572506)</f>
        <v>0</v>
      </c>
      <c r="AO2503" s="27" t="s">
        <v>81</v>
      </c>
      <c r="AT2503" s="25">
        <f>ROUND(AU2503+AV2503,2)</f>
        <v>0</v>
      </c>
      <c r="AU2503" s="25">
        <f>ROUND(G2503*AM2503,2)</f>
        <v>0</v>
      </c>
      <c r="AV2503" s="25">
        <f>ROUND(G2503*AN2503,2)</f>
        <v>0</v>
      </c>
      <c r="AW2503" s="27" t="s">
        <v>2994</v>
      </c>
      <c r="AX2503" s="27" t="s">
        <v>2945</v>
      </c>
      <c r="AY2503" s="10" t="s">
        <v>2903</v>
      </c>
      <c r="BA2503" s="25">
        <f>AU2503+AV2503</f>
        <v>0</v>
      </c>
      <c r="BB2503" s="25">
        <f>H2503/(100-BC2503)*100</f>
        <v>0</v>
      </c>
      <c r="BC2503" s="25">
        <v>0</v>
      </c>
      <c r="BD2503" s="25">
        <f>M2503</f>
        <v>7.6999999999999994E-3</v>
      </c>
      <c r="BF2503" s="25">
        <f>G2503*AM2503</f>
        <v>0</v>
      </c>
      <c r="BG2503" s="25">
        <f>G2503*AN2503</f>
        <v>0</v>
      </c>
      <c r="BH2503" s="25">
        <f>G2503*H2503</f>
        <v>0</v>
      </c>
      <c r="BI2503" s="27" t="s">
        <v>65</v>
      </c>
      <c r="BJ2503" s="25"/>
      <c r="BU2503" s="25" t="e">
        <f>#REF!</f>
        <v>#REF!</v>
      </c>
      <c r="BV2503" s="4" t="s">
        <v>3072</v>
      </c>
    </row>
    <row r="2504" spans="1:74" ht="14.4" x14ac:dyDescent="0.3">
      <c r="A2504" s="28"/>
      <c r="D2504" s="29" t="s">
        <v>655</v>
      </c>
      <c r="E2504" s="29" t="s">
        <v>52</v>
      </c>
      <c r="G2504" s="30">
        <v>110</v>
      </c>
      <c r="H2504" s="63"/>
      <c r="N2504" s="31"/>
    </row>
    <row r="2505" spans="1:74" ht="14.4" x14ac:dyDescent="0.3">
      <c r="A2505" s="2" t="s">
        <v>3073</v>
      </c>
      <c r="B2505" s="3" t="s">
        <v>2900</v>
      </c>
      <c r="C2505" s="3" t="s">
        <v>3074</v>
      </c>
      <c r="D2505" s="112" t="s">
        <v>3075</v>
      </c>
      <c r="E2505" s="109"/>
      <c r="F2505" s="3" t="s">
        <v>115</v>
      </c>
      <c r="G2505" s="25">
        <v>354</v>
      </c>
      <c r="H2505" s="62"/>
      <c r="I2505" s="25">
        <f>ROUND(G2505*AM2505,2)</f>
        <v>0</v>
      </c>
      <c r="J2505" s="25">
        <f>ROUND(G2505*AN2505,2)</f>
        <v>0</v>
      </c>
      <c r="K2505" s="25">
        <f>ROUND(G2505*H2505,2)</f>
        <v>0</v>
      </c>
      <c r="L2505" s="25">
        <v>0</v>
      </c>
      <c r="M2505" s="25">
        <f>G2505*L2505</f>
        <v>0</v>
      </c>
      <c r="N2505" s="102"/>
      <c r="X2505" s="25">
        <f>ROUND(IF(AO2505="5",BH2505,0),2)</f>
        <v>0</v>
      </c>
      <c r="Z2505" s="25">
        <f>ROUND(IF(AO2505="1",BF2505,0),2)</f>
        <v>0</v>
      </c>
      <c r="AA2505" s="25">
        <f>ROUND(IF(AO2505="1",BG2505,0),2)</f>
        <v>0</v>
      </c>
      <c r="AB2505" s="25">
        <f>ROUND(IF(AO2505="7",BF2505,0),2)</f>
        <v>0</v>
      </c>
      <c r="AC2505" s="25">
        <f>ROUND(IF(AO2505="7",BG2505,0),2)</f>
        <v>0</v>
      </c>
      <c r="AD2505" s="25">
        <f>ROUND(IF(AO2505="2",BF2505,0),2)</f>
        <v>0</v>
      </c>
      <c r="AE2505" s="25">
        <f>ROUND(IF(AO2505="2",BG2505,0),2)</f>
        <v>0</v>
      </c>
      <c r="AF2505" s="25">
        <f>ROUND(IF(AO2505="0",BH2505,0),2)</f>
        <v>0</v>
      </c>
      <c r="AG2505" s="10" t="s">
        <v>2900</v>
      </c>
      <c r="AH2505" s="25">
        <f>IF(AL2505=0,K2505,0)</f>
        <v>0</v>
      </c>
      <c r="AI2505" s="25">
        <f>IF(AL2505=12,K2505,0)</f>
        <v>0</v>
      </c>
      <c r="AJ2505" s="25">
        <f>IF(AL2505=21,K2505,0)</f>
        <v>0</v>
      </c>
      <c r="AL2505" s="25">
        <v>21</v>
      </c>
      <c r="AM2505" s="25">
        <f>H2505*0</f>
        <v>0</v>
      </c>
      <c r="AN2505" s="25">
        <f>H2505*(1-0)</f>
        <v>0</v>
      </c>
      <c r="AO2505" s="27" t="s">
        <v>81</v>
      </c>
      <c r="AT2505" s="25">
        <f>ROUND(AU2505+AV2505,2)</f>
        <v>0</v>
      </c>
      <c r="AU2505" s="25">
        <f>ROUND(G2505*AM2505,2)</f>
        <v>0</v>
      </c>
      <c r="AV2505" s="25">
        <f>ROUND(G2505*AN2505,2)</f>
        <v>0</v>
      </c>
      <c r="AW2505" s="27" t="s">
        <v>2994</v>
      </c>
      <c r="AX2505" s="27" t="s">
        <v>2945</v>
      </c>
      <c r="AY2505" s="10" t="s">
        <v>2903</v>
      </c>
      <c r="BA2505" s="25">
        <f>AU2505+AV2505</f>
        <v>0</v>
      </c>
      <c r="BB2505" s="25">
        <f>H2505/(100-BC2505)*100</f>
        <v>0</v>
      </c>
      <c r="BC2505" s="25">
        <v>0</v>
      </c>
      <c r="BD2505" s="25">
        <f>M2505</f>
        <v>0</v>
      </c>
      <c r="BF2505" s="25">
        <f>G2505*AM2505</f>
        <v>0</v>
      </c>
      <c r="BG2505" s="25">
        <f>G2505*AN2505</f>
        <v>0</v>
      </c>
      <c r="BH2505" s="25">
        <f>G2505*H2505</f>
        <v>0</v>
      </c>
      <c r="BI2505" s="27" t="s">
        <v>65</v>
      </c>
      <c r="BJ2505" s="25"/>
      <c r="BU2505" s="25" t="e">
        <f>#REF!</f>
        <v>#REF!</v>
      </c>
      <c r="BV2505" s="4" t="s">
        <v>3075</v>
      </c>
    </row>
    <row r="2506" spans="1:74" ht="14.4" x14ac:dyDescent="0.3">
      <c r="A2506" s="28"/>
      <c r="D2506" s="29" t="s">
        <v>3076</v>
      </c>
      <c r="E2506" s="29" t="s">
        <v>52</v>
      </c>
      <c r="G2506" s="30">
        <v>354</v>
      </c>
      <c r="H2506" s="63"/>
      <c r="N2506" s="31"/>
    </row>
    <row r="2507" spans="1:74" ht="26.4" x14ac:dyDescent="0.3">
      <c r="A2507" s="2" t="s">
        <v>3077</v>
      </c>
      <c r="B2507" s="3" t="s">
        <v>2900</v>
      </c>
      <c r="C2507" s="3" t="s">
        <v>3078</v>
      </c>
      <c r="D2507" s="112" t="s">
        <v>3079</v>
      </c>
      <c r="E2507" s="109"/>
      <c r="F2507" s="3" t="s">
        <v>122</v>
      </c>
      <c r="G2507" s="25">
        <v>2</v>
      </c>
      <c r="H2507" s="62"/>
      <c r="I2507" s="25">
        <f>ROUND(G2507*AM2507,2)</f>
        <v>0</v>
      </c>
      <c r="J2507" s="25">
        <f>ROUND(G2507*AN2507,2)</f>
        <v>0</v>
      </c>
      <c r="K2507" s="25">
        <f>ROUND(G2507*H2507,2)</f>
        <v>0</v>
      </c>
      <c r="L2507" s="25">
        <v>0</v>
      </c>
      <c r="M2507" s="25">
        <f>G2507*L2507</f>
        <v>0</v>
      </c>
      <c r="N2507" s="102"/>
      <c r="X2507" s="25">
        <f>ROUND(IF(AO2507="5",BH2507,0),2)</f>
        <v>0</v>
      </c>
      <c r="Z2507" s="25">
        <f>ROUND(IF(AO2507="1",BF2507,0),2)</f>
        <v>0</v>
      </c>
      <c r="AA2507" s="25">
        <f>ROUND(IF(AO2507="1",BG2507,0),2)</f>
        <v>0</v>
      </c>
      <c r="AB2507" s="25">
        <f>ROUND(IF(AO2507="7",BF2507,0),2)</f>
        <v>0</v>
      </c>
      <c r="AC2507" s="25">
        <f>ROUND(IF(AO2507="7",BG2507,0),2)</f>
        <v>0</v>
      </c>
      <c r="AD2507" s="25">
        <f>ROUND(IF(AO2507="2",BF2507,0),2)</f>
        <v>0</v>
      </c>
      <c r="AE2507" s="25">
        <f>ROUND(IF(AO2507="2",BG2507,0),2)</f>
        <v>0</v>
      </c>
      <c r="AF2507" s="25">
        <f>ROUND(IF(AO2507="0",BH2507,0),2)</f>
        <v>0</v>
      </c>
      <c r="AG2507" s="10" t="s">
        <v>2900</v>
      </c>
      <c r="AH2507" s="25">
        <f>IF(AL2507=0,K2507,0)</f>
        <v>0</v>
      </c>
      <c r="AI2507" s="25">
        <f>IF(AL2507=12,K2507,0)</f>
        <v>0</v>
      </c>
      <c r="AJ2507" s="25">
        <f>IF(AL2507=21,K2507,0)</f>
        <v>0</v>
      </c>
      <c r="AL2507" s="25">
        <v>21</v>
      </c>
      <c r="AM2507" s="25">
        <f>H2507*0.780254777</f>
        <v>0</v>
      </c>
      <c r="AN2507" s="25">
        <f>H2507*(1-0.780254777)</f>
        <v>0</v>
      </c>
      <c r="AO2507" s="27" t="s">
        <v>57</v>
      </c>
      <c r="AT2507" s="25">
        <f>ROUND(AU2507+AV2507,2)</f>
        <v>0</v>
      </c>
      <c r="AU2507" s="25">
        <f>ROUND(G2507*AM2507,2)</f>
        <v>0</v>
      </c>
      <c r="AV2507" s="25">
        <f>ROUND(G2507*AN2507,2)</f>
        <v>0</v>
      </c>
      <c r="AW2507" s="27" t="s">
        <v>2994</v>
      </c>
      <c r="AX2507" s="27" t="s">
        <v>2945</v>
      </c>
      <c r="AY2507" s="10" t="s">
        <v>2903</v>
      </c>
      <c r="BA2507" s="25">
        <f>AU2507+AV2507</f>
        <v>0</v>
      </c>
      <c r="BB2507" s="25">
        <f>H2507/(100-BC2507)*100</f>
        <v>0</v>
      </c>
      <c r="BC2507" s="25">
        <v>0</v>
      </c>
      <c r="BD2507" s="25">
        <f>M2507</f>
        <v>0</v>
      </c>
      <c r="BF2507" s="25">
        <f>G2507*AM2507</f>
        <v>0</v>
      </c>
      <c r="BG2507" s="25">
        <f>G2507*AN2507</f>
        <v>0</v>
      </c>
      <c r="BH2507" s="25">
        <f>G2507*H2507</f>
        <v>0</v>
      </c>
      <c r="BI2507" s="27" t="s">
        <v>65</v>
      </c>
      <c r="BJ2507" s="25"/>
      <c r="BU2507" s="25" t="e">
        <f>#REF!</f>
        <v>#REF!</v>
      </c>
      <c r="BV2507" s="4" t="s">
        <v>3079</v>
      </c>
    </row>
    <row r="2508" spans="1:74" ht="14.4" x14ac:dyDescent="0.3">
      <c r="A2508" s="28"/>
      <c r="D2508" s="29" t="s">
        <v>81</v>
      </c>
      <c r="E2508" s="29" t="s">
        <v>52</v>
      </c>
      <c r="G2508" s="30">
        <v>2</v>
      </c>
      <c r="H2508" s="63"/>
      <c r="N2508" s="31"/>
    </row>
    <row r="2509" spans="1:74" ht="14.4" x14ac:dyDescent="0.3">
      <c r="A2509" s="2" t="s">
        <v>3080</v>
      </c>
      <c r="B2509" s="3" t="s">
        <v>2900</v>
      </c>
      <c r="C2509" s="3" t="s">
        <v>3081</v>
      </c>
      <c r="D2509" s="112" t="s">
        <v>3082</v>
      </c>
      <c r="E2509" s="109"/>
      <c r="F2509" s="3" t="s">
        <v>122</v>
      </c>
      <c r="G2509" s="25">
        <v>1</v>
      </c>
      <c r="H2509" s="62"/>
      <c r="I2509" s="25">
        <f>ROUND(G2509*AM2509,2)</f>
        <v>0</v>
      </c>
      <c r="J2509" s="25">
        <f>ROUND(G2509*AN2509,2)</f>
        <v>0</v>
      </c>
      <c r="K2509" s="25">
        <f>ROUND(G2509*H2509,2)</f>
        <v>0</v>
      </c>
      <c r="L2509" s="25">
        <v>0</v>
      </c>
      <c r="M2509" s="25">
        <f>G2509*L2509</f>
        <v>0</v>
      </c>
      <c r="N2509" s="102"/>
      <c r="X2509" s="25">
        <f>ROUND(IF(AO2509="5",BH2509,0),2)</f>
        <v>0</v>
      </c>
      <c r="Z2509" s="25">
        <f>ROUND(IF(AO2509="1",BF2509,0),2)</f>
        <v>0</v>
      </c>
      <c r="AA2509" s="25">
        <f>ROUND(IF(AO2509="1",BG2509,0),2)</f>
        <v>0</v>
      </c>
      <c r="AB2509" s="25">
        <f>ROUND(IF(AO2509="7",BF2509,0),2)</f>
        <v>0</v>
      </c>
      <c r="AC2509" s="25">
        <f>ROUND(IF(AO2509="7",BG2509,0),2)</f>
        <v>0</v>
      </c>
      <c r="AD2509" s="25">
        <f>ROUND(IF(AO2509="2",BF2509,0),2)</f>
        <v>0</v>
      </c>
      <c r="AE2509" s="25">
        <f>ROUND(IF(AO2509="2",BG2509,0),2)</f>
        <v>0</v>
      </c>
      <c r="AF2509" s="25">
        <f>ROUND(IF(AO2509="0",BH2509,0),2)</f>
        <v>0</v>
      </c>
      <c r="AG2509" s="10" t="s">
        <v>2900</v>
      </c>
      <c r="AH2509" s="25">
        <f>IF(AL2509=0,K2509,0)</f>
        <v>0</v>
      </c>
      <c r="AI2509" s="25">
        <f>IF(AL2509=12,K2509,0)</f>
        <v>0</v>
      </c>
      <c r="AJ2509" s="25">
        <f>IF(AL2509=21,K2509,0)</f>
        <v>0</v>
      </c>
      <c r="AL2509" s="25">
        <v>21</v>
      </c>
      <c r="AM2509" s="25">
        <f>H2509*0.859280226</f>
        <v>0</v>
      </c>
      <c r="AN2509" s="25">
        <f>H2509*(1-0.859280226)</f>
        <v>0</v>
      </c>
      <c r="AO2509" s="27" t="s">
        <v>57</v>
      </c>
      <c r="AT2509" s="25">
        <f>ROUND(AU2509+AV2509,2)</f>
        <v>0</v>
      </c>
      <c r="AU2509" s="25">
        <f>ROUND(G2509*AM2509,2)</f>
        <v>0</v>
      </c>
      <c r="AV2509" s="25">
        <f>ROUND(G2509*AN2509,2)</f>
        <v>0</v>
      </c>
      <c r="AW2509" s="27" t="s">
        <v>2994</v>
      </c>
      <c r="AX2509" s="27" t="s">
        <v>2945</v>
      </c>
      <c r="AY2509" s="10" t="s">
        <v>2903</v>
      </c>
      <c r="BA2509" s="25">
        <f>AU2509+AV2509</f>
        <v>0</v>
      </c>
      <c r="BB2509" s="25">
        <f>H2509/(100-BC2509)*100</f>
        <v>0</v>
      </c>
      <c r="BC2509" s="25">
        <v>0</v>
      </c>
      <c r="BD2509" s="25">
        <f>M2509</f>
        <v>0</v>
      </c>
      <c r="BF2509" s="25">
        <f>G2509*AM2509</f>
        <v>0</v>
      </c>
      <c r="BG2509" s="25">
        <f>G2509*AN2509</f>
        <v>0</v>
      </c>
      <c r="BH2509" s="25">
        <f>G2509*H2509</f>
        <v>0</v>
      </c>
      <c r="BI2509" s="27" t="s">
        <v>65</v>
      </c>
      <c r="BJ2509" s="25"/>
      <c r="BU2509" s="25" t="e">
        <f>#REF!</f>
        <v>#REF!</v>
      </c>
      <c r="BV2509" s="4" t="s">
        <v>3082</v>
      </c>
    </row>
    <row r="2510" spans="1:74" ht="14.4" x14ac:dyDescent="0.3">
      <c r="A2510" s="28"/>
      <c r="D2510" s="29" t="s">
        <v>57</v>
      </c>
      <c r="E2510" s="29" t="s">
        <v>52</v>
      </c>
      <c r="G2510" s="30">
        <v>1</v>
      </c>
      <c r="H2510" s="63"/>
      <c r="N2510" s="31"/>
    </row>
    <row r="2511" spans="1:74" ht="14.4" x14ac:dyDescent="0.3">
      <c r="A2511" s="2" t="s">
        <v>3083</v>
      </c>
      <c r="B2511" s="3" t="s">
        <v>2900</v>
      </c>
      <c r="C2511" s="3" t="s">
        <v>3084</v>
      </c>
      <c r="D2511" s="112" t="s">
        <v>3085</v>
      </c>
      <c r="E2511" s="109"/>
      <c r="F2511" s="3" t="s">
        <v>2183</v>
      </c>
      <c r="G2511" s="25">
        <v>17</v>
      </c>
      <c r="H2511" s="62"/>
      <c r="I2511" s="25">
        <f>ROUND(G2511*AM2511,2)</f>
        <v>0</v>
      </c>
      <c r="J2511" s="25">
        <f>ROUND(G2511*AN2511,2)</f>
        <v>0</v>
      </c>
      <c r="K2511" s="25">
        <f>ROUND(G2511*H2511,2)</f>
        <v>0</v>
      </c>
      <c r="L2511" s="25">
        <v>0</v>
      </c>
      <c r="M2511" s="25">
        <f>G2511*L2511</f>
        <v>0</v>
      </c>
      <c r="N2511" s="102"/>
      <c r="X2511" s="25">
        <f>ROUND(IF(AO2511="5",BH2511,0),2)</f>
        <v>0</v>
      </c>
      <c r="Z2511" s="25">
        <f>ROUND(IF(AO2511="1",BF2511,0),2)</f>
        <v>0</v>
      </c>
      <c r="AA2511" s="25">
        <f>ROUND(IF(AO2511="1",BG2511,0),2)</f>
        <v>0</v>
      </c>
      <c r="AB2511" s="25">
        <f>ROUND(IF(AO2511="7",BF2511,0),2)</f>
        <v>0</v>
      </c>
      <c r="AC2511" s="25">
        <f>ROUND(IF(AO2511="7",BG2511,0),2)</f>
        <v>0</v>
      </c>
      <c r="AD2511" s="25">
        <f>ROUND(IF(AO2511="2",BF2511,0),2)</f>
        <v>0</v>
      </c>
      <c r="AE2511" s="25">
        <f>ROUND(IF(AO2511="2",BG2511,0),2)</f>
        <v>0</v>
      </c>
      <c r="AF2511" s="25">
        <f>ROUND(IF(AO2511="0",BH2511,0),2)</f>
        <v>0</v>
      </c>
      <c r="AG2511" s="10" t="s">
        <v>2900</v>
      </c>
      <c r="AH2511" s="25">
        <f>IF(AL2511=0,K2511,0)</f>
        <v>0</v>
      </c>
      <c r="AI2511" s="25">
        <f>IF(AL2511=12,K2511,0)</f>
        <v>0</v>
      </c>
      <c r="AJ2511" s="25">
        <f>IF(AL2511=21,K2511,0)</f>
        <v>0</v>
      </c>
      <c r="AL2511" s="25">
        <v>21</v>
      </c>
      <c r="AM2511" s="25">
        <f>H2511*0.252336449</f>
        <v>0</v>
      </c>
      <c r="AN2511" s="25">
        <f>H2511*(1-0.252336449)</f>
        <v>0</v>
      </c>
      <c r="AO2511" s="27" t="s">
        <v>81</v>
      </c>
      <c r="AT2511" s="25">
        <f>ROUND(AU2511+AV2511,2)</f>
        <v>0</v>
      </c>
      <c r="AU2511" s="25">
        <f>ROUND(G2511*AM2511,2)</f>
        <v>0</v>
      </c>
      <c r="AV2511" s="25">
        <f>ROUND(G2511*AN2511,2)</f>
        <v>0</v>
      </c>
      <c r="AW2511" s="27" t="s">
        <v>2994</v>
      </c>
      <c r="AX2511" s="27" t="s">
        <v>2945</v>
      </c>
      <c r="AY2511" s="10" t="s">
        <v>2903</v>
      </c>
      <c r="BA2511" s="25">
        <f>AU2511+AV2511</f>
        <v>0</v>
      </c>
      <c r="BB2511" s="25">
        <f>H2511/(100-BC2511)*100</f>
        <v>0</v>
      </c>
      <c r="BC2511" s="25">
        <v>0</v>
      </c>
      <c r="BD2511" s="25">
        <f>M2511</f>
        <v>0</v>
      </c>
      <c r="BF2511" s="25">
        <f>G2511*AM2511</f>
        <v>0</v>
      </c>
      <c r="BG2511" s="25">
        <f>G2511*AN2511</f>
        <v>0</v>
      </c>
      <c r="BH2511" s="25">
        <f>G2511*H2511</f>
        <v>0</v>
      </c>
      <c r="BI2511" s="27" t="s">
        <v>65</v>
      </c>
      <c r="BJ2511" s="25"/>
      <c r="BU2511" s="25" t="e">
        <f>#REF!</f>
        <v>#REF!</v>
      </c>
      <c r="BV2511" s="4" t="s">
        <v>3085</v>
      </c>
    </row>
    <row r="2512" spans="1:74" ht="14.4" x14ac:dyDescent="0.3">
      <c r="A2512" s="28"/>
      <c r="D2512" s="29" t="s">
        <v>184</v>
      </c>
      <c r="E2512" s="29" t="s">
        <v>52</v>
      </c>
      <c r="G2512" s="30">
        <v>17</v>
      </c>
      <c r="H2512" s="63"/>
      <c r="N2512" s="31"/>
    </row>
    <row r="2513" spans="1:74" ht="14.4" x14ac:dyDescent="0.3">
      <c r="A2513" s="2" t="s">
        <v>3086</v>
      </c>
      <c r="B2513" s="3" t="s">
        <v>2900</v>
      </c>
      <c r="C2513" s="3" t="s">
        <v>3087</v>
      </c>
      <c r="D2513" s="112" t="s">
        <v>3088</v>
      </c>
      <c r="E2513" s="109"/>
      <c r="F2513" s="3" t="s">
        <v>2183</v>
      </c>
      <c r="G2513" s="25">
        <v>7</v>
      </c>
      <c r="H2513" s="62"/>
      <c r="I2513" s="25">
        <f>ROUND(G2513*AM2513,2)</f>
        <v>0</v>
      </c>
      <c r="J2513" s="25">
        <f>ROUND(G2513*AN2513,2)</f>
        <v>0</v>
      </c>
      <c r="K2513" s="25">
        <f>ROUND(G2513*H2513,2)</f>
        <v>0</v>
      </c>
      <c r="L2513" s="25">
        <v>0</v>
      </c>
      <c r="M2513" s="25">
        <f>G2513*L2513</f>
        <v>0</v>
      </c>
      <c r="N2513" s="102"/>
      <c r="X2513" s="25">
        <f>ROUND(IF(AO2513="5",BH2513,0),2)</f>
        <v>0</v>
      </c>
      <c r="Z2513" s="25">
        <f>ROUND(IF(AO2513="1",BF2513,0),2)</f>
        <v>0</v>
      </c>
      <c r="AA2513" s="25">
        <f>ROUND(IF(AO2513="1",BG2513,0),2)</f>
        <v>0</v>
      </c>
      <c r="AB2513" s="25">
        <f>ROUND(IF(AO2513="7",BF2513,0),2)</f>
        <v>0</v>
      </c>
      <c r="AC2513" s="25">
        <f>ROUND(IF(AO2513="7",BG2513,0),2)</f>
        <v>0</v>
      </c>
      <c r="AD2513" s="25">
        <f>ROUND(IF(AO2513="2",BF2513,0),2)</f>
        <v>0</v>
      </c>
      <c r="AE2513" s="25">
        <f>ROUND(IF(AO2513="2",BG2513,0),2)</f>
        <v>0</v>
      </c>
      <c r="AF2513" s="25">
        <f>ROUND(IF(AO2513="0",BH2513,0),2)</f>
        <v>0</v>
      </c>
      <c r="AG2513" s="10" t="s">
        <v>2900</v>
      </c>
      <c r="AH2513" s="25">
        <f>IF(AL2513=0,K2513,0)</f>
        <v>0</v>
      </c>
      <c r="AI2513" s="25">
        <f>IF(AL2513=12,K2513,0)</f>
        <v>0</v>
      </c>
      <c r="AJ2513" s="25">
        <f>IF(AL2513=21,K2513,0)</f>
        <v>0</v>
      </c>
      <c r="AL2513" s="25">
        <v>21</v>
      </c>
      <c r="AM2513" s="25">
        <f>H2513*0.279279279</f>
        <v>0</v>
      </c>
      <c r="AN2513" s="25">
        <f>H2513*(1-0.279279279)</f>
        <v>0</v>
      </c>
      <c r="AO2513" s="27" t="s">
        <v>81</v>
      </c>
      <c r="AT2513" s="25">
        <f>ROUND(AU2513+AV2513,2)</f>
        <v>0</v>
      </c>
      <c r="AU2513" s="25">
        <f>ROUND(G2513*AM2513,2)</f>
        <v>0</v>
      </c>
      <c r="AV2513" s="25">
        <f>ROUND(G2513*AN2513,2)</f>
        <v>0</v>
      </c>
      <c r="AW2513" s="27" t="s">
        <v>2994</v>
      </c>
      <c r="AX2513" s="27" t="s">
        <v>2945</v>
      </c>
      <c r="AY2513" s="10" t="s">
        <v>2903</v>
      </c>
      <c r="BA2513" s="25">
        <f>AU2513+AV2513</f>
        <v>0</v>
      </c>
      <c r="BB2513" s="25">
        <f>H2513/(100-BC2513)*100</f>
        <v>0</v>
      </c>
      <c r="BC2513" s="25">
        <v>0</v>
      </c>
      <c r="BD2513" s="25">
        <f>M2513</f>
        <v>0</v>
      </c>
      <c r="BF2513" s="25">
        <f>G2513*AM2513</f>
        <v>0</v>
      </c>
      <c r="BG2513" s="25">
        <f>G2513*AN2513</f>
        <v>0</v>
      </c>
      <c r="BH2513" s="25">
        <f>G2513*H2513</f>
        <v>0</v>
      </c>
      <c r="BI2513" s="27" t="s">
        <v>65</v>
      </c>
      <c r="BJ2513" s="25"/>
      <c r="BU2513" s="25" t="e">
        <f>#REF!</f>
        <v>#REF!</v>
      </c>
      <c r="BV2513" s="4" t="s">
        <v>3088</v>
      </c>
    </row>
    <row r="2514" spans="1:74" ht="14.4" x14ac:dyDescent="0.3">
      <c r="A2514" s="28"/>
      <c r="D2514" s="29" t="s">
        <v>61</v>
      </c>
      <c r="E2514" s="29" t="s">
        <v>52</v>
      </c>
      <c r="G2514" s="30">
        <v>7</v>
      </c>
      <c r="H2514" s="63"/>
      <c r="N2514" s="31"/>
    </row>
    <row r="2515" spans="1:74" ht="14.4" x14ac:dyDescent="0.3">
      <c r="A2515" s="2" t="s">
        <v>3089</v>
      </c>
      <c r="B2515" s="3" t="s">
        <v>2900</v>
      </c>
      <c r="C2515" s="3" t="s">
        <v>3090</v>
      </c>
      <c r="D2515" s="112" t="s">
        <v>3091</v>
      </c>
      <c r="E2515" s="109"/>
      <c r="F2515" s="3" t="s">
        <v>2183</v>
      </c>
      <c r="G2515" s="25">
        <v>20</v>
      </c>
      <c r="H2515" s="62"/>
      <c r="I2515" s="25">
        <f>ROUND(G2515*AM2515,2)</f>
        <v>0</v>
      </c>
      <c r="J2515" s="25">
        <f>ROUND(G2515*AN2515,2)</f>
        <v>0</v>
      </c>
      <c r="K2515" s="25">
        <f>ROUND(G2515*H2515,2)</f>
        <v>0</v>
      </c>
      <c r="L2515" s="25">
        <v>0</v>
      </c>
      <c r="M2515" s="25">
        <f>G2515*L2515</f>
        <v>0</v>
      </c>
      <c r="N2515" s="102"/>
      <c r="X2515" s="25">
        <f>ROUND(IF(AO2515="5",BH2515,0),2)</f>
        <v>0</v>
      </c>
      <c r="Z2515" s="25">
        <f>ROUND(IF(AO2515="1",BF2515,0),2)</f>
        <v>0</v>
      </c>
      <c r="AA2515" s="25">
        <f>ROUND(IF(AO2515="1",BG2515,0),2)</f>
        <v>0</v>
      </c>
      <c r="AB2515" s="25">
        <f>ROUND(IF(AO2515="7",BF2515,0),2)</f>
        <v>0</v>
      </c>
      <c r="AC2515" s="25">
        <f>ROUND(IF(AO2515="7",BG2515,0),2)</f>
        <v>0</v>
      </c>
      <c r="AD2515" s="25">
        <f>ROUND(IF(AO2515="2",BF2515,0),2)</f>
        <v>0</v>
      </c>
      <c r="AE2515" s="25">
        <f>ROUND(IF(AO2515="2",BG2515,0),2)</f>
        <v>0</v>
      </c>
      <c r="AF2515" s="25">
        <f>ROUND(IF(AO2515="0",BH2515,0),2)</f>
        <v>0</v>
      </c>
      <c r="AG2515" s="10" t="s">
        <v>2900</v>
      </c>
      <c r="AH2515" s="25">
        <f>IF(AL2515=0,K2515,0)</f>
        <v>0</v>
      </c>
      <c r="AI2515" s="25">
        <f>IF(AL2515=12,K2515,0)</f>
        <v>0</v>
      </c>
      <c r="AJ2515" s="25">
        <f>IF(AL2515=21,K2515,0)</f>
        <v>0</v>
      </c>
      <c r="AL2515" s="25">
        <v>21</v>
      </c>
      <c r="AM2515" s="25">
        <f>H2515*0.416058394</f>
        <v>0</v>
      </c>
      <c r="AN2515" s="25">
        <f>H2515*(1-0.416058394)</f>
        <v>0</v>
      </c>
      <c r="AO2515" s="27" t="s">
        <v>81</v>
      </c>
      <c r="AT2515" s="25">
        <f>ROUND(AU2515+AV2515,2)</f>
        <v>0</v>
      </c>
      <c r="AU2515" s="25">
        <f>ROUND(G2515*AM2515,2)</f>
        <v>0</v>
      </c>
      <c r="AV2515" s="25">
        <f>ROUND(G2515*AN2515,2)</f>
        <v>0</v>
      </c>
      <c r="AW2515" s="27" t="s">
        <v>2994</v>
      </c>
      <c r="AX2515" s="27" t="s">
        <v>2945</v>
      </c>
      <c r="AY2515" s="10" t="s">
        <v>2903</v>
      </c>
      <c r="BA2515" s="25">
        <f>AU2515+AV2515</f>
        <v>0</v>
      </c>
      <c r="BB2515" s="25">
        <f>H2515/(100-BC2515)*100</f>
        <v>0</v>
      </c>
      <c r="BC2515" s="25">
        <v>0</v>
      </c>
      <c r="BD2515" s="25">
        <f>M2515</f>
        <v>0</v>
      </c>
      <c r="BF2515" s="25">
        <f>G2515*AM2515</f>
        <v>0</v>
      </c>
      <c r="BG2515" s="25">
        <f>G2515*AN2515</f>
        <v>0</v>
      </c>
      <c r="BH2515" s="25">
        <f>G2515*H2515</f>
        <v>0</v>
      </c>
      <c r="BI2515" s="27" t="s">
        <v>65</v>
      </c>
      <c r="BJ2515" s="25"/>
      <c r="BU2515" s="25" t="e">
        <f>#REF!</f>
        <v>#REF!</v>
      </c>
      <c r="BV2515" s="4" t="s">
        <v>3091</v>
      </c>
    </row>
    <row r="2516" spans="1:74" ht="14.4" x14ac:dyDescent="0.3">
      <c r="A2516" s="28"/>
      <c r="D2516" s="29" t="s">
        <v>202</v>
      </c>
      <c r="E2516" s="29" t="s">
        <v>52</v>
      </c>
      <c r="G2516" s="30">
        <v>20</v>
      </c>
      <c r="H2516" s="63"/>
      <c r="N2516" s="31"/>
    </row>
    <row r="2517" spans="1:74" ht="26.4" x14ac:dyDescent="0.3">
      <c r="A2517" s="2" t="s">
        <v>3092</v>
      </c>
      <c r="B2517" s="3" t="s">
        <v>2900</v>
      </c>
      <c r="C2517" s="3" t="s">
        <v>3093</v>
      </c>
      <c r="D2517" s="112" t="s">
        <v>3094</v>
      </c>
      <c r="E2517" s="109"/>
      <c r="F2517" s="3" t="s">
        <v>2183</v>
      </c>
      <c r="G2517" s="25">
        <v>10</v>
      </c>
      <c r="H2517" s="62"/>
      <c r="I2517" s="25">
        <f>ROUND(G2517*AM2517,2)</f>
        <v>0</v>
      </c>
      <c r="J2517" s="25">
        <f>ROUND(G2517*AN2517,2)</f>
        <v>0</v>
      </c>
      <c r="K2517" s="25">
        <f>ROUND(G2517*H2517,2)</f>
        <v>0</v>
      </c>
      <c r="L2517" s="25">
        <v>0</v>
      </c>
      <c r="M2517" s="25">
        <f>G2517*L2517</f>
        <v>0</v>
      </c>
      <c r="N2517" s="102"/>
      <c r="X2517" s="25">
        <f>ROUND(IF(AO2517="5",BH2517,0),2)</f>
        <v>0</v>
      </c>
      <c r="Z2517" s="25">
        <f>ROUND(IF(AO2517="1",BF2517,0),2)</f>
        <v>0</v>
      </c>
      <c r="AA2517" s="25">
        <f>ROUND(IF(AO2517="1",BG2517,0),2)</f>
        <v>0</v>
      </c>
      <c r="AB2517" s="25">
        <f>ROUND(IF(AO2517="7",BF2517,0),2)</f>
        <v>0</v>
      </c>
      <c r="AC2517" s="25">
        <f>ROUND(IF(AO2517="7",BG2517,0),2)</f>
        <v>0</v>
      </c>
      <c r="AD2517" s="25">
        <f>ROUND(IF(AO2517="2",BF2517,0),2)</f>
        <v>0</v>
      </c>
      <c r="AE2517" s="25">
        <f>ROUND(IF(AO2517="2",BG2517,0),2)</f>
        <v>0</v>
      </c>
      <c r="AF2517" s="25">
        <f>ROUND(IF(AO2517="0",BH2517,0),2)</f>
        <v>0</v>
      </c>
      <c r="AG2517" s="10" t="s">
        <v>2900</v>
      </c>
      <c r="AH2517" s="25">
        <f>IF(AL2517=0,K2517,0)</f>
        <v>0</v>
      </c>
      <c r="AI2517" s="25">
        <f>IF(AL2517=12,K2517,0)</f>
        <v>0</v>
      </c>
      <c r="AJ2517" s="25">
        <f>IF(AL2517=21,K2517,0)</f>
        <v>0</v>
      </c>
      <c r="AL2517" s="25">
        <v>21</v>
      </c>
      <c r="AM2517" s="25">
        <f>H2517*0.459459459</f>
        <v>0</v>
      </c>
      <c r="AN2517" s="25">
        <f>H2517*(1-0.459459459)</f>
        <v>0</v>
      </c>
      <c r="AO2517" s="27" t="s">
        <v>81</v>
      </c>
      <c r="AT2517" s="25">
        <f>ROUND(AU2517+AV2517,2)</f>
        <v>0</v>
      </c>
      <c r="AU2517" s="25">
        <f>ROUND(G2517*AM2517,2)</f>
        <v>0</v>
      </c>
      <c r="AV2517" s="25">
        <f>ROUND(G2517*AN2517,2)</f>
        <v>0</v>
      </c>
      <c r="AW2517" s="27" t="s">
        <v>2994</v>
      </c>
      <c r="AX2517" s="27" t="s">
        <v>2945</v>
      </c>
      <c r="AY2517" s="10" t="s">
        <v>2903</v>
      </c>
      <c r="BA2517" s="25">
        <f>AU2517+AV2517</f>
        <v>0</v>
      </c>
      <c r="BB2517" s="25">
        <f>H2517/(100-BC2517)*100</f>
        <v>0</v>
      </c>
      <c r="BC2517" s="25">
        <v>0</v>
      </c>
      <c r="BD2517" s="25">
        <f>M2517</f>
        <v>0</v>
      </c>
      <c r="BF2517" s="25">
        <f>G2517*AM2517</f>
        <v>0</v>
      </c>
      <c r="BG2517" s="25">
        <f>G2517*AN2517</f>
        <v>0</v>
      </c>
      <c r="BH2517" s="25">
        <f>G2517*H2517</f>
        <v>0</v>
      </c>
      <c r="BI2517" s="27" t="s">
        <v>65</v>
      </c>
      <c r="BJ2517" s="25"/>
      <c r="BU2517" s="25" t="e">
        <f>#REF!</f>
        <v>#REF!</v>
      </c>
      <c r="BV2517" s="4" t="s">
        <v>3094</v>
      </c>
    </row>
    <row r="2518" spans="1:74" ht="14.4" x14ac:dyDescent="0.3">
      <c r="A2518" s="28"/>
      <c r="D2518" s="29" t="s">
        <v>129</v>
      </c>
      <c r="E2518" s="29" t="s">
        <v>52</v>
      </c>
      <c r="G2518" s="30">
        <v>10</v>
      </c>
      <c r="H2518" s="63"/>
      <c r="N2518" s="31"/>
    </row>
    <row r="2519" spans="1:74" ht="26.4" x14ac:dyDescent="0.3">
      <c r="A2519" s="2" t="s">
        <v>3095</v>
      </c>
      <c r="B2519" s="3" t="s">
        <v>2900</v>
      </c>
      <c r="C2519" s="3" t="s">
        <v>3096</v>
      </c>
      <c r="D2519" s="112" t="s">
        <v>3097</v>
      </c>
      <c r="E2519" s="109"/>
      <c r="F2519" s="3" t="s">
        <v>2183</v>
      </c>
      <c r="G2519" s="25">
        <v>15</v>
      </c>
      <c r="H2519" s="62"/>
      <c r="I2519" s="25">
        <f>ROUND(G2519*AM2519,2)</f>
        <v>0</v>
      </c>
      <c r="J2519" s="25">
        <f>ROUND(G2519*AN2519,2)</f>
        <v>0</v>
      </c>
      <c r="K2519" s="25">
        <f>ROUND(G2519*H2519,2)</f>
        <v>0</v>
      </c>
      <c r="L2519" s="25">
        <v>0</v>
      </c>
      <c r="M2519" s="25">
        <f>G2519*L2519</f>
        <v>0</v>
      </c>
      <c r="N2519" s="102"/>
      <c r="X2519" s="25">
        <f>ROUND(IF(AO2519="5",BH2519,0),2)</f>
        <v>0</v>
      </c>
      <c r="Z2519" s="25">
        <f>ROUND(IF(AO2519="1",BF2519,0),2)</f>
        <v>0</v>
      </c>
      <c r="AA2519" s="25">
        <f>ROUND(IF(AO2519="1",BG2519,0),2)</f>
        <v>0</v>
      </c>
      <c r="AB2519" s="25">
        <f>ROUND(IF(AO2519="7",BF2519,0),2)</f>
        <v>0</v>
      </c>
      <c r="AC2519" s="25">
        <f>ROUND(IF(AO2519="7",BG2519,0),2)</f>
        <v>0</v>
      </c>
      <c r="AD2519" s="25">
        <f>ROUND(IF(AO2519="2",BF2519,0),2)</f>
        <v>0</v>
      </c>
      <c r="AE2519" s="25">
        <f>ROUND(IF(AO2519="2",BG2519,0),2)</f>
        <v>0</v>
      </c>
      <c r="AF2519" s="25">
        <f>ROUND(IF(AO2519="0",BH2519,0),2)</f>
        <v>0</v>
      </c>
      <c r="AG2519" s="10" t="s">
        <v>2900</v>
      </c>
      <c r="AH2519" s="25">
        <f>IF(AL2519=0,K2519,0)</f>
        <v>0</v>
      </c>
      <c r="AI2519" s="25">
        <f>IF(AL2519=12,K2519,0)</f>
        <v>0</v>
      </c>
      <c r="AJ2519" s="25">
        <f>IF(AL2519=21,K2519,0)</f>
        <v>0</v>
      </c>
      <c r="AL2519" s="25">
        <v>21</v>
      </c>
      <c r="AM2519" s="25">
        <f>H2519*0.592999593</f>
        <v>0</v>
      </c>
      <c r="AN2519" s="25">
        <f>H2519*(1-0.592999593)</f>
        <v>0</v>
      </c>
      <c r="AO2519" s="27" t="s">
        <v>81</v>
      </c>
      <c r="AT2519" s="25">
        <f>ROUND(AU2519+AV2519,2)</f>
        <v>0</v>
      </c>
      <c r="AU2519" s="25">
        <f>ROUND(G2519*AM2519,2)</f>
        <v>0</v>
      </c>
      <c r="AV2519" s="25">
        <f>ROUND(G2519*AN2519,2)</f>
        <v>0</v>
      </c>
      <c r="AW2519" s="27" t="s">
        <v>2994</v>
      </c>
      <c r="AX2519" s="27" t="s">
        <v>2945</v>
      </c>
      <c r="AY2519" s="10" t="s">
        <v>2903</v>
      </c>
      <c r="BA2519" s="25">
        <f>AU2519+AV2519</f>
        <v>0</v>
      </c>
      <c r="BB2519" s="25">
        <f>H2519/(100-BC2519)*100</f>
        <v>0</v>
      </c>
      <c r="BC2519" s="25">
        <v>0</v>
      </c>
      <c r="BD2519" s="25">
        <f>M2519</f>
        <v>0</v>
      </c>
      <c r="BF2519" s="25">
        <f>G2519*AM2519</f>
        <v>0</v>
      </c>
      <c r="BG2519" s="25">
        <f>G2519*AN2519</f>
        <v>0</v>
      </c>
      <c r="BH2519" s="25">
        <f>G2519*H2519</f>
        <v>0</v>
      </c>
      <c r="BI2519" s="27" t="s">
        <v>65</v>
      </c>
      <c r="BJ2519" s="25"/>
      <c r="BU2519" s="25" t="e">
        <f>#REF!</f>
        <v>#REF!</v>
      </c>
      <c r="BV2519" s="4" t="s">
        <v>3097</v>
      </c>
    </row>
    <row r="2520" spans="1:74" ht="14.4" x14ac:dyDescent="0.3">
      <c r="A2520" s="28"/>
      <c r="D2520" s="29" t="s">
        <v>166</v>
      </c>
      <c r="E2520" s="29" t="s">
        <v>52</v>
      </c>
      <c r="G2520" s="30">
        <v>15</v>
      </c>
      <c r="H2520" s="63"/>
      <c r="N2520" s="31"/>
    </row>
    <row r="2521" spans="1:74" ht="26.4" x14ac:dyDescent="0.3">
      <c r="A2521" s="2" t="s">
        <v>3098</v>
      </c>
      <c r="B2521" s="3" t="s">
        <v>2900</v>
      </c>
      <c r="C2521" s="3" t="s">
        <v>3099</v>
      </c>
      <c r="D2521" s="112" t="s">
        <v>3100</v>
      </c>
      <c r="E2521" s="109"/>
      <c r="F2521" s="3" t="s">
        <v>122</v>
      </c>
      <c r="G2521" s="25">
        <v>98</v>
      </c>
      <c r="H2521" s="62"/>
      <c r="I2521" s="25">
        <f>ROUND(G2521*AM2521,2)</f>
        <v>0</v>
      </c>
      <c r="J2521" s="25">
        <f>ROUND(G2521*AN2521,2)</f>
        <v>0</v>
      </c>
      <c r="K2521" s="25">
        <f>ROUND(G2521*H2521,2)</f>
        <v>0</v>
      </c>
      <c r="L2521" s="25">
        <v>1.8000000000000001E-4</v>
      </c>
      <c r="M2521" s="25">
        <f>G2521*L2521</f>
        <v>1.7639999999999999E-2</v>
      </c>
      <c r="N2521" s="102"/>
      <c r="X2521" s="25">
        <f>ROUND(IF(AO2521="5",BH2521,0),2)</f>
        <v>0</v>
      </c>
      <c r="Z2521" s="25">
        <f>ROUND(IF(AO2521="1",BF2521,0),2)</f>
        <v>0</v>
      </c>
      <c r="AA2521" s="25">
        <f>ROUND(IF(AO2521="1",BG2521,0),2)</f>
        <v>0</v>
      </c>
      <c r="AB2521" s="25">
        <f>ROUND(IF(AO2521="7",BF2521,0),2)</f>
        <v>0</v>
      </c>
      <c r="AC2521" s="25">
        <f>ROUND(IF(AO2521="7",BG2521,0),2)</f>
        <v>0</v>
      </c>
      <c r="AD2521" s="25">
        <f>ROUND(IF(AO2521="2",BF2521,0),2)</f>
        <v>0</v>
      </c>
      <c r="AE2521" s="25">
        <f>ROUND(IF(AO2521="2",BG2521,0),2)</f>
        <v>0</v>
      </c>
      <c r="AF2521" s="25">
        <f>ROUND(IF(AO2521="0",BH2521,0),2)</f>
        <v>0</v>
      </c>
      <c r="AG2521" s="10" t="s">
        <v>2900</v>
      </c>
      <c r="AH2521" s="25">
        <f>IF(AL2521=0,K2521,0)</f>
        <v>0</v>
      </c>
      <c r="AI2521" s="25">
        <f>IF(AL2521=12,K2521,0)</f>
        <v>0</v>
      </c>
      <c r="AJ2521" s="25">
        <f>IF(AL2521=21,K2521,0)</f>
        <v>0</v>
      </c>
      <c r="AL2521" s="25">
        <v>21</v>
      </c>
      <c r="AM2521" s="25">
        <f>H2521*0.266055046</f>
        <v>0</v>
      </c>
      <c r="AN2521" s="25">
        <f>H2521*(1-0.266055046)</f>
        <v>0</v>
      </c>
      <c r="AO2521" s="27" t="s">
        <v>81</v>
      </c>
      <c r="AT2521" s="25">
        <f>ROUND(AU2521+AV2521,2)</f>
        <v>0</v>
      </c>
      <c r="AU2521" s="25">
        <f>ROUND(G2521*AM2521,2)</f>
        <v>0</v>
      </c>
      <c r="AV2521" s="25">
        <f>ROUND(G2521*AN2521,2)</f>
        <v>0</v>
      </c>
      <c r="AW2521" s="27" t="s">
        <v>2994</v>
      </c>
      <c r="AX2521" s="27" t="s">
        <v>2945</v>
      </c>
      <c r="AY2521" s="10" t="s">
        <v>2903</v>
      </c>
      <c r="BA2521" s="25">
        <f>AU2521+AV2521</f>
        <v>0</v>
      </c>
      <c r="BB2521" s="25">
        <f>H2521/(100-BC2521)*100</f>
        <v>0</v>
      </c>
      <c r="BC2521" s="25">
        <v>0</v>
      </c>
      <c r="BD2521" s="25">
        <f>M2521</f>
        <v>1.7639999999999999E-2</v>
      </c>
      <c r="BF2521" s="25">
        <f>G2521*AM2521</f>
        <v>0</v>
      </c>
      <c r="BG2521" s="25">
        <f>G2521*AN2521</f>
        <v>0</v>
      </c>
      <c r="BH2521" s="25">
        <f>G2521*H2521</f>
        <v>0</v>
      </c>
      <c r="BI2521" s="27" t="s">
        <v>65</v>
      </c>
      <c r="BJ2521" s="25"/>
      <c r="BU2521" s="25" t="e">
        <f>#REF!</f>
        <v>#REF!</v>
      </c>
      <c r="BV2521" s="4" t="s">
        <v>3100</v>
      </c>
    </row>
    <row r="2522" spans="1:74" ht="14.4" x14ac:dyDescent="0.3">
      <c r="A2522" s="28"/>
      <c r="D2522" s="29" t="s">
        <v>601</v>
      </c>
      <c r="E2522" s="29" t="s">
        <v>52</v>
      </c>
      <c r="G2522" s="30">
        <v>98</v>
      </c>
      <c r="H2522" s="63"/>
      <c r="N2522" s="31"/>
    </row>
    <row r="2523" spans="1:74" ht="26.4" x14ac:dyDescent="0.3">
      <c r="A2523" s="2" t="s">
        <v>3101</v>
      </c>
      <c r="B2523" s="3" t="s">
        <v>2900</v>
      </c>
      <c r="C2523" s="3" t="s">
        <v>3102</v>
      </c>
      <c r="D2523" s="112" t="s">
        <v>3103</v>
      </c>
      <c r="E2523" s="109"/>
      <c r="F2523" s="3" t="s">
        <v>122</v>
      </c>
      <c r="G2523" s="25">
        <v>4</v>
      </c>
      <c r="H2523" s="62"/>
      <c r="I2523" s="25">
        <f>ROUND(G2523*AM2523,2)</f>
        <v>0</v>
      </c>
      <c r="J2523" s="25">
        <f>ROUND(G2523*AN2523,2)</f>
        <v>0</v>
      </c>
      <c r="K2523" s="25">
        <f>ROUND(G2523*H2523,2)</f>
        <v>0</v>
      </c>
      <c r="L2523" s="25">
        <v>1.8000000000000001E-4</v>
      </c>
      <c r="M2523" s="25">
        <f>G2523*L2523</f>
        <v>7.2000000000000005E-4</v>
      </c>
      <c r="N2523" s="102"/>
      <c r="X2523" s="25">
        <f>ROUND(IF(AO2523="5",BH2523,0),2)</f>
        <v>0</v>
      </c>
      <c r="Z2523" s="25">
        <f>ROUND(IF(AO2523="1",BF2523,0),2)</f>
        <v>0</v>
      </c>
      <c r="AA2523" s="25">
        <f>ROUND(IF(AO2523="1",BG2523,0),2)</f>
        <v>0</v>
      </c>
      <c r="AB2523" s="25">
        <f>ROUND(IF(AO2523="7",BF2523,0),2)</f>
        <v>0</v>
      </c>
      <c r="AC2523" s="25">
        <f>ROUND(IF(AO2523="7",BG2523,0),2)</f>
        <v>0</v>
      </c>
      <c r="AD2523" s="25">
        <f>ROUND(IF(AO2523="2",BF2523,0),2)</f>
        <v>0</v>
      </c>
      <c r="AE2523" s="25">
        <f>ROUND(IF(AO2523="2",BG2523,0),2)</f>
        <v>0</v>
      </c>
      <c r="AF2523" s="25">
        <f>ROUND(IF(AO2523="0",BH2523,0),2)</f>
        <v>0</v>
      </c>
      <c r="AG2523" s="10" t="s">
        <v>2900</v>
      </c>
      <c r="AH2523" s="25">
        <f>IF(AL2523=0,K2523,0)</f>
        <v>0</v>
      </c>
      <c r="AI2523" s="25">
        <f>IF(AL2523=12,K2523,0)</f>
        <v>0</v>
      </c>
      <c r="AJ2523" s="25">
        <f>IF(AL2523=21,K2523,0)</f>
        <v>0</v>
      </c>
      <c r="AL2523" s="25">
        <v>21</v>
      </c>
      <c r="AM2523" s="25">
        <f>H2523*0.532163743</f>
        <v>0</v>
      </c>
      <c r="AN2523" s="25">
        <f>H2523*(1-0.532163743)</f>
        <v>0</v>
      </c>
      <c r="AO2523" s="27" t="s">
        <v>81</v>
      </c>
      <c r="AT2523" s="25">
        <f>ROUND(AU2523+AV2523,2)</f>
        <v>0</v>
      </c>
      <c r="AU2523" s="25">
        <f>ROUND(G2523*AM2523,2)</f>
        <v>0</v>
      </c>
      <c r="AV2523" s="25">
        <f>ROUND(G2523*AN2523,2)</f>
        <v>0</v>
      </c>
      <c r="AW2523" s="27" t="s">
        <v>2994</v>
      </c>
      <c r="AX2523" s="27" t="s">
        <v>2945</v>
      </c>
      <c r="AY2523" s="10" t="s">
        <v>2903</v>
      </c>
      <c r="BA2523" s="25">
        <f>AU2523+AV2523</f>
        <v>0</v>
      </c>
      <c r="BB2523" s="25">
        <f>H2523/(100-BC2523)*100</f>
        <v>0</v>
      </c>
      <c r="BC2523" s="25">
        <v>0</v>
      </c>
      <c r="BD2523" s="25">
        <f>M2523</f>
        <v>7.2000000000000005E-4</v>
      </c>
      <c r="BF2523" s="25">
        <f>G2523*AM2523</f>
        <v>0</v>
      </c>
      <c r="BG2523" s="25">
        <f>G2523*AN2523</f>
        <v>0</v>
      </c>
      <c r="BH2523" s="25">
        <f>G2523*H2523</f>
        <v>0</v>
      </c>
      <c r="BI2523" s="27" t="s">
        <v>65</v>
      </c>
      <c r="BJ2523" s="25"/>
      <c r="BU2523" s="25" t="e">
        <f>#REF!</f>
        <v>#REF!</v>
      </c>
      <c r="BV2523" s="4" t="s">
        <v>3103</v>
      </c>
    </row>
    <row r="2524" spans="1:74" ht="14.4" x14ac:dyDescent="0.3">
      <c r="A2524" s="28"/>
      <c r="D2524" s="29" t="s">
        <v>90</v>
      </c>
      <c r="E2524" s="29" t="s">
        <v>52</v>
      </c>
      <c r="G2524" s="30">
        <v>4</v>
      </c>
      <c r="H2524" s="63"/>
      <c r="N2524" s="31"/>
    </row>
    <row r="2525" spans="1:74" ht="14.4" x14ac:dyDescent="0.3">
      <c r="A2525" s="2" t="s">
        <v>3104</v>
      </c>
      <c r="B2525" s="3" t="s">
        <v>2900</v>
      </c>
      <c r="C2525" s="3" t="s">
        <v>3105</v>
      </c>
      <c r="D2525" s="112" t="s">
        <v>3106</v>
      </c>
      <c r="E2525" s="109"/>
      <c r="F2525" s="3" t="s">
        <v>122</v>
      </c>
      <c r="G2525" s="25">
        <v>146</v>
      </c>
      <c r="H2525" s="62"/>
      <c r="I2525" s="25">
        <f>ROUND(G2525*AM2525,2)</f>
        <v>0</v>
      </c>
      <c r="J2525" s="25">
        <f>ROUND(G2525*AN2525,2)</f>
        <v>0</v>
      </c>
      <c r="K2525" s="25">
        <f>ROUND(G2525*H2525,2)</f>
        <v>0</v>
      </c>
      <c r="L2525" s="25">
        <v>1.8000000000000001E-4</v>
      </c>
      <c r="M2525" s="25">
        <f>G2525*L2525</f>
        <v>2.6280000000000001E-2</v>
      </c>
      <c r="N2525" s="102"/>
      <c r="X2525" s="25">
        <f>ROUND(IF(AO2525="5",BH2525,0),2)</f>
        <v>0</v>
      </c>
      <c r="Z2525" s="25">
        <f>ROUND(IF(AO2525="1",BF2525,0),2)</f>
        <v>0</v>
      </c>
      <c r="AA2525" s="25">
        <f>ROUND(IF(AO2525="1",BG2525,0),2)</f>
        <v>0</v>
      </c>
      <c r="AB2525" s="25">
        <f>ROUND(IF(AO2525="7",BF2525,0),2)</f>
        <v>0</v>
      </c>
      <c r="AC2525" s="25">
        <f>ROUND(IF(AO2525="7",BG2525,0),2)</f>
        <v>0</v>
      </c>
      <c r="AD2525" s="25">
        <f>ROUND(IF(AO2525="2",BF2525,0),2)</f>
        <v>0</v>
      </c>
      <c r="AE2525" s="25">
        <f>ROUND(IF(AO2525="2",BG2525,0),2)</f>
        <v>0</v>
      </c>
      <c r="AF2525" s="25">
        <f>ROUND(IF(AO2525="0",BH2525,0),2)</f>
        <v>0</v>
      </c>
      <c r="AG2525" s="10" t="s">
        <v>2900</v>
      </c>
      <c r="AH2525" s="25">
        <f>IF(AL2525=0,K2525,0)</f>
        <v>0</v>
      </c>
      <c r="AI2525" s="25">
        <f>IF(AL2525=12,K2525,0)</f>
        <v>0</v>
      </c>
      <c r="AJ2525" s="25">
        <f>IF(AL2525=21,K2525,0)</f>
        <v>0</v>
      </c>
      <c r="AL2525" s="25">
        <v>21</v>
      </c>
      <c r="AM2525" s="25">
        <f>H2525*0.777777778</f>
        <v>0</v>
      </c>
      <c r="AN2525" s="25">
        <f>H2525*(1-0.777777778)</f>
        <v>0</v>
      </c>
      <c r="AO2525" s="27" t="s">
        <v>81</v>
      </c>
      <c r="AT2525" s="25">
        <f>ROUND(AU2525+AV2525,2)</f>
        <v>0</v>
      </c>
      <c r="AU2525" s="25">
        <f>ROUND(G2525*AM2525,2)</f>
        <v>0</v>
      </c>
      <c r="AV2525" s="25">
        <f>ROUND(G2525*AN2525,2)</f>
        <v>0</v>
      </c>
      <c r="AW2525" s="27" t="s">
        <v>2994</v>
      </c>
      <c r="AX2525" s="27" t="s">
        <v>2945</v>
      </c>
      <c r="AY2525" s="10" t="s">
        <v>2903</v>
      </c>
      <c r="BA2525" s="25">
        <f>AU2525+AV2525</f>
        <v>0</v>
      </c>
      <c r="BB2525" s="25">
        <f>H2525/(100-BC2525)*100</f>
        <v>0</v>
      </c>
      <c r="BC2525" s="25">
        <v>0</v>
      </c>
      <c r="BD2525" s="25">
        <f>M2525</f>
        <v>2.6280000000000001E-2</v>
      </c>
      <c r="BF2525" s="25">
        <f>G2525*AM2525</f>
        <v>0</v>
      </c>
      <c r="BG2525" s="25">
        <f>G2525*AN2525</f>
        <v>0</v>
      </c>
      <c r="BH2525" s="25">
        <f>G2525*H2525</f>
        <v>0</v>
      </c>
      <c r="BI2525" s="27" t="s">
        <v>65</v>
      </c>
      <c r="BJ2525" s="25"/>
      <c r="BU2525" s="25" t="e">
        <f>#REF!</f>
        <v>#REF!</v>
      </c>
      <c r="BV2525" s="4" t="s">
        <v>3106</v>
      </c>
    </row>
    <row r="2526" spans="1:74" ht="14.4" x14ac:dyDescent="0.3">
      <c r="A2526" s="28"/>
      <c r="D2526" s="29" t="s">
        <v>862</v>
      </c>
      <c r="E2526" s="29" t="s">
        <v>52</v>
      </c>
      <c r="G2526" s="30">
        <v>146</v>
      </c>
      <c r="H2526" s="63"/>
      <c r="N2526" s="31"/>
    </row>
    <row r="2527" spans="1:74" ht="14.4" x14ac:dyDescent="0.3">
      <c r="A2527" s="2" t="s">
        <v>3107</v>
      </c>
      <c r="B2527" s="3" t="s">
        <v>2900</v>
      </c>
      <c r="C2527" s="3" t="s">
        <v>3108</v>
      </c>
      <c r="D2527" s="112" t="s">
        <v>3109</v>
      </c>
      <c r="E2527" s="109"/>
      <c r="F2527" s="3" t="s">
        <v>122</v>
      </c>
      <c r="G2527" s="25">
        <v>30</v>
      </c>
      <c r="H2527" s="62"/>
      <c r="I2527" s="25">
        <f>ROUND(G2527*AM2527,2)</f>
        <v>0</v>
      </c>
      <c r="J2527" s="25">
        <f>ROUND(G2527*AN2527,2)</f>
        <v>0</v>
      </c>
      <c r="K2527" s="25">
        <f>ROUND(G2527*H2527,2)</f>
        <v>0</v>
      </c>
      <c r="L2527" s="25">
        <v>1.8000000000000001E-4</v>
      </c>
      <c r="M2527" s="25">
        <f>G2527*L2527</f>
        <v>5.4000000000000003E-3</v>
      </c>
      <c r="N2527" s="102"/>
      <c r="X2527" s="25">
        <f>ROUND(IF(AO2527="5",BH2527,0),2)</f>
        <v>0</v>
      </c>
      <c r="Z2527" s="25">
        <f>ROUND(IF(AO2527="1",BF2527,0),2)</f>
        <v>0</v>
      </c>
      <c r="AA2527" s="25">
        <f>ROUND(IF(AO2527="1",BG2527,0),2)</f>
        <v>0</v>
      </c>
      <c r="AB2527" s="25">
        <f>ROUND(IF(AO2527="7",BF2527,0),2)</f>
        <v>0</v>
      </c>
      <c r="AC2527" s="25">
        <f>ROUND(IF(AO2527="7",BG2527,0),2)</f>
        <v>0</v>
      </c>
      <c r="AD2527" s="25">
        <f>ROUND(IF(AO2527="2",BF2527,0),2)</f>
        <v>0</v>
      </c>
      <c r="AE2527" s="25">
        <f>ROUND(IF(AO2527="2",BG2527,0),2)</f>
        <v>0</v>
      </c>
      <c r="AF2527" s="25">
        <f>ROUND(IF(AO2527="0",BH2527,0),2)</f>
        <v>0</v>
      </c>
      <c r="AG2527" s="10" t="s">
        <v>2900</v>
      </c>
      <c r="AH2527" s="25">
        <f>IF(AL2527=0,K2527,0)</f>
        <v>0</v>
      </c>
      <c r="AI2527" s="25">
        <f>IF(AL2527=12,K2527,0)</f>
        <v>0</v>
      </c>
      <c r="AJ2527" s="25">
        <f>IF(AL2527=21,K2527,0)</f>
        <v>0</v>
      </c>
      <c r="AL2527" s="25">
        <v>21</v>
      </c>
      <c r="AM2527" s="25">
        <f>H2527*0.322033898</f>
        <v>0</v>
      </c>
      <c r="AN2527" s="25">
        <f>H2527*(1-0.322033898)</f>
        <v>0</v>
      </c>
      <c r="AO2527" s="27" t="s">
        <v>81</v>
      </c>
      <c r="AT2527" s="25">
        <f>ROUND(AU2527+AV2527,2)</f>
        <v>0</v>
      </c>
      <c r="AU2527" s="25">
        <f>ROUND(G2527*AM2527,2)</f>
        <v>0</v>
      </c>
      <c r="AV2527" s="25">
        <f>ROUND(G2527*AN2527,2)</f>
        <v>0</v>
      </c>
      <c r="AW2527" s="27" t="s">
        <v>2994</v>
      </c>
      <c r="AX2527" s="27" t="s">
        <v>2945</v>
      </c>
      <c r="AY2527" s="10" t="s">
        <v>2903</v>
      </c>
      <c r="BA2527" s="25">
        <f>AU2527+AV2527</f>
        <v>0</v>
      </c>
      <c r="BB2527" s="25">
        <f>H2527/(100-BC2527)*100</f>
        <v>0</v>
      </c>
      <c r="BC2527" s="25">
        <v>0</v>
      </c>
      <c r="BD2527" s="25">
        <f>M2527</f>
        <v>5.4000000000000003E-3</v>
      </c>
      <c r="BF2527" s="25">
        <f>G2527*AM2527</f>
        <v>0</v>
      </c>
      <c r="BG2527" s="25">
        <f>G2527*AN2527</f>
        <v>0</v>
      </c>
      <c r="BH2527" s="25">
        <f>G2527*H2527</f>
        <v>0</v>
      </c>
      <c r="BI2527" s="27" t="s">
        <v>65</v>
      </c>
      <c r="BJ2527" s="25"/>
      <c r="BU2527" s="25" t="e">
        <f>#REF!</f>
        <v>#REF!</v>
      </c>
      <c r="BV2527" s="4" t="s">
        <v>3109</v>
      </c>
    </row>
    <row r="2528" spans="1:74" ht="14.4" x14ac:dyDescent="0.3">
      <c r="A2528" s="28"/>
      <c r="D2528" s="29" t="s">
        <v>269</v>
      </c>
      <c r="E2528" s="29" t="s">
        <v>52</v>
      </c>
      <c r="G2528" s="30">
        <v>30</v>
      </c>
      <c r="H2528" s="63"/>
      <c r="N2528" s="31"/>
    </row>
    <row r="2529" spans="1:74" ht="14.4" x14ac:dyDescent="0.3">
      <c r="A2529" s="2" t="s">
        <v>3110</v>
      </c>
      <c r="B2529" s="3" t="s">
        <v>2900</v>
      </c>
      <c r="C2529" s="3" t="s">
        <v>3111</v>
      </c>
      <c r="D2529" s="112" t="s">
        <v>3112</v>
      </c>
      <c r="E2529" s="109"/>
      <c r="F2529" s="3" t="s">
        <v>122</v>
      </c>
      <c r="G2529" s="25">
        <v>1</v>
      </c>
      <c r="H2529" s="62"/>
      <c r="I2529" s="25">
        <f>ROUND(G2529*AM2529,2)</f>
        <v>0</v>
      </c>
      <c r="J2529" s="25">
        <f>ROUND(G2529*AN2529,2)</f>
        <v>0</v>
      </c>
      <c r="K2529" s="25">
        <f>ROUND(G2529*H2529,2)</f>
        <v>0</v>
      </c>
      <c r="L2529" s="25">
        <v>1.8000000000000001E-4</v>
      </c>
      <c r="M2529" s="25">
        <f>G2529*L2529</f>
        <v>1.8000000000000001E-4</v>
      </c>
      <c r="N2529" s="102"/>
      <c r="X2529" s="25">
        <f>ROUND(IF(AO2529="5",BH2529,0),2)</f>
        <v>0</v>
      </c>
      <c r="Z2529" s="25">
        <f>ROUND(IF(AO2529="1",BF2529,0),2)</f>
        <v>0</v>
      </c>
      <c r="AA2529" s="25">
        <f>ROUND(IF(AO2529="1",BG2529,0),2)</f>
        <v>0</v>
      </c>
      <c r="AB2529" s="25">
        <f>ROUND(IF(AO2529="7",BF2529,0),2)</f>
        <v>0</v>
      </c>
      <c r="AC2529" s="25">
        <f>ROUND(IF(AO2529="7",BG2529,0),2)</f>
        <v>0</v>
      </c>
      <c r="AD2529" s="25">
        <f>ROUND(IF(AO2529="2",BF2529,0),2)</f>
        <v>0</v>
      </c>
      <c r="AE2529" s="25">
        <f>ROUND(IF(AO2529="2",BG2529,0),2)</f>
        <v>0</v>
      </c>
      <c r="AF2529" s="25">
        <f>ROUND(IF(AO2529="0",BH2529,0),2)</f>
        <v>0</v>
      </c>
      <c r="AG2529" s="10" t="s">
        <v>2900</v>
      </c>
      <c r="AH2529" s="25">
        <f>IF(AL2529=0,K2529,0)</f>
        <v>0</v>
      </c>
      <c r="AI2529" s="25">
        <f>IF(AL2529=12,K2529,0)</f>
        <v>0</v>
      </c>
      <c r="AJ2529" s="25">
        <f>IF(AL2529=21,K2529,0)</f>
        <v>0</v>
      </c>
      <c r="AL2529" s="25">
        <v>21</v>
      </c>
      <c r="AM2529" s="25">
        <f>H2529*0.636363636</f>
        <v>0</v>
      </c>
      <c r="AN2529" s="25">
        <f>H2529*(1-0.636363636)</f>
        <v>0</v>
      </c>
      <c r="AO2529" s="27" t="s">
        <v>81</v>
      </c>
      <c r="AT2529" s="25">
        <f>ROUND(AU2529+AV2529,2)</f>
        <v>0</v>
      </c>
      <c r="AU2529" s="25">
        <f>ROUND(G2529*AM2529,2)</f>
        <v>0</v>
      </c>
      <c r="AV2529" s="25">
        <f>ROUND(G2529*AN2529,2)</f>
        <v>0</v>
      </c>
      <c r="AW2529" s="27" t="s">
        <v>2994</v>
      </c>
      <c r="AX2529" s="27" t="s">
        <v>2945</v>
      </c>
      <c r="AY2529" s="10" t="s">
        <v>2903</v>
      </c>
      <c r="BA2529" s="25">
        <f>AU2529+AV2529</f>
        <v>0</v>
      </c>
      <c r="BB2529" s="25">
        <f>H2529/(100-BC2529)*100</f>
        <v>0</v>
      </c>
      <c r="BC2529" s="25">
        <v>0</v>
      </c>
      <c r="BD2529" s="25">
        <f>M2529</f>
        <v>1.8000000000000001E-4</v>
      </c>
      <c r="BF2529" s="25">
        <f>G2529*AM2529</f>
        <v>0</v>
      </c>
      <c r="BG2529" s="25">
        <f>G2529*AN2529</f>
        <v>0</v>
      </c>
      <c r="BH2529" s="25">
        <f>G2529*H2529</f>
        <v>0</v>
      </c>
      <c r="BI2529" s="27" t="s">
        <v>65</v>
      </c>
      <c r="BJ2529" s="25"/>
      <c r="BU2529" s="25" t="e">
        <f>#REF!</f>
        <v>#REF!</v>
      </c>
      <c r="BV2529" s="4" t="s">
        <v>3112</v>
      </c>
    </row>
    <row r="2530" spans="1:74" ht="14.4" x14ac:dyDescent="0.3">
      <c r="A2530" s="28"/>
      <c r="D2530" s="29" t="s">
        <v>57</v>
      </c>
      <c r="E2530" s="29" t="s">
        <v>52</v>
      </c>
      <c r="G2530" s="30">
        <v>1</v>
      </c>
      <c r="H2530" s="63"/>
      <c r="N2530" s="31"/>
    </row>
    <row r="2531" spans="1:74" ht="14.4" x14ac:dyDescent="0.3">
      <c r="A2531" s="2" t="s">
        <v>3113</v>
      </c>
      <c r="B2531" s="3" t="s">
        <v>2900</v>
      </c>
      <c r="C2531" s="3" t="s">
        <v>3114</v>
      </c>
      <c r="D2531" s="112" t="s">
        <v>3115</v>
      </c>
      <c r="E2531" s="109"/>
      <c r="F2531" s="3" t="s">
        <v>2183</v>
      </c>
      <c r="G2531" s="25">
        <v>3</v>
      </c>
      <c r="H2531" s="62"/>
      <c r="I2531" s="25">
        <f>ROUND(G2531*AM2531,2)</f>
        <v>0</v>
      </c>
      <c r="J2531" s="25">
        <f>ROUND(G2531*AN2531,2)</f>
        <v>0</v>
      </c>
      <c r="K2531" s="25">
        <f>ROUND(G2531*H2531,2)</f>
        <v>0</v>
      </c>
      <c r="L2531" s="25">
        <v>2.9E-4</v>
      </c>
      <c r="M2531" s="25">
        <f>G2531*L2531</f>
        <v>8.7000000000000001E-4</v>
      </c>
      <c r="N2531" s="102"/>
      <c r="X2531" s="25">
        <f>ROUND(IF(AO2531="5",BH2531,0),2)</f>
        <v>0</v>
      </c>
      <c r="Z2531" s="25">
        <f>ROUND(IF(AO2531="1",BF2531,0),2)</f>
        <v>0</v>
      </c>
      <c r="AA2531" s="25">
        <f>ROUND(IF(AO2531="1",BG2531,0),2)</f>
        <v>0</v>
      </c>
      <c r="AB2531" s="25">
        <f>ROUND(IF(AO2531="7",BF2531,0),2)</f>
        <v>0</v>
      </c>
      <c r="AC2531" s="25">
        <f>ROUND(IF(AO2531="7",BG2531,0),2)</f>
        <v>0</v>
      </c>
      <c r="AD2531" s="25">
        <f>ROUND(IF(AO2531="2",BF2531,0),2)</f>
        <v>0</v>
      </c>
      <c r="AE2531" s="25">
        <f>ROUND(IF(AO2531="2",BG2531,0),2)</f>
        <v>0</v>
      </c>
      <c r="AF2531" s="25">
        <f>ROUND(IF(AO2531="0",BH2531,0),2)</f>
        <v>0</v>
      </c>
      <c r="AG2531" s="10" t="s">
        <v>2900</v>
      </c>
      <c r="AH2531" s="25">
        <f>IF(AL2531=0,K2531,0)</f>
        <v>0</v>
      </c>
      <c r="AI2531" s="25">
        <f>IF(AL2531=12,K2531,0)</f>
        <v>0</v>
      </c>
      <c r="AJ2531" s="25">
        <f>IF(AL2531=21,K2531,0)</f>
        <v>0</v>
      </c>
      <c r="AL2531" s="25">
        <v>21</v>
      </c>
      <c r="AM2531" s="25">
        <f>H2531*1</f>
        <v>0</v>
      </c>
      <c r="AN2531" s="25">
        <f>H2531*(1-1)</f>
        <v>0</v>
      </c>
      <c r="AO2531" s="27" t="s">
        <v>81</v>
      </c>
      <c r="AT2531" s="25">
        <f>ROUND(AU2531+AV2531,2)</f>
        <v>0</v>
      </c>
      <c r="AU2531" s="25">
        <f>ROUND(G2531*AM2531,2)</f>
        <v>0</v>
      </c>
      <c r="AV2531" s="25">
        <f>ROUND(G2531*AN2531,2)</f>
        <v>0</v>
      </c>
      <c r="AW2531" s="27" t="s">
        <v>2994</v>
      </c>
      <c r="AX2531" s="27" t="s">
        <v>2945</v>
      </c>
      <c r="AY2531" s="10" t="s">
        <v>2903</v>
      </c>
      <c r="BA2531" s="25">
        <f>AU2531+AV2531</f>
        <v>0</v>
      </c>
      <c r="BB2531" s="25">
        <f>H2531/(100-BC2531)*100</f>
        <v>0</v>
      </c>
      <c r="BC2531" s="25">
        <v>0</v>
      </c>
      <c r="BD2531" s="25">
        <f>M2531</f>
        <v>8.7000000000000001E-4</v>
      </c>
      <c r="BF2531" s="25">
        <f>G2531*AM2531</f>
        <v>0</v>
      </c>
      <c r="BG2531" s="25">
        <f>G2531*AN2531</f>
        <v>0</v>
      </c>
      <c r="BH2531" s="25">
        <f>G2531*H2531</f>
        <v>0</v>
      </c>
      <c r="BI2531" s="27" t="s">
        <v>65</v>
      </c>
      <c r="BJ2531" s="25"/>
      <c r="BU2531" s="25" t="e">
        <f>#REF!</f>
        <v>#REF!</v>
      </c>
      <c r="BV2531" s="4" t="s">
        <v>3115</v>
      </c>
    </row>
    <row r="2532" spans="1:74" ht="14.4" x14ac:dyDescent="0.3">
      <c r="A2532" s="28"/>
      <c r="D2532" s="29" t="s">
        <v>87</v>
      </c>
      <c r="E2532" s="29" t="s">
        <v>52</v>
      </c>
      <c r="G2532" s="30">
        <v>3</v>
      </c>
      <c r="H2532" s="63"/>
      <c r="N2532" s="31"/>
    </row>
    <row r="2533" spans="1:74" ht="14.4" x14ac:dyDescent="0.3">
      <c r="A2533" s="2" t="s">
        <v>3116</v>
      </c>
      <c r="B2533" s="3" t="s">
        <v>2900</v>
      </c>
      <c r="C2533" s="3" t="s">
        <v>3117</v>
      </c>
      <c r="D2533" s="112" t="s">
        <v>3118</v>
      </c>
      <c r="E2533" s="109"/>
      <c r="F2533" s="3" t="s">
        <v>2183</v>
      </c>
      <c r="G2533" s="25">
        <v>4</v>
      </c>
      <c r="H2533" s="62"/>
      <c r="I2533" s="25">
        <f>ROUND(G2533*AM2533,2)</f>
        <v>0</v>
      </c>
      <c r="J2533" s="25">
        <f>ROUND(G2533*AN2533,2)</f>
        <v>0</v>
      </c>
      <c r="K2533" s="25">
        <f>ROUND(G2533*H2533,2)</f>
        <v>0</v>
      </c>
      <c r="L2533" s="25">
        <v>0</v>
      </c>
      <c r="M2533" s="25">
        <f>G2533*L2533</f>
        <v>0</v>
      </c>
      <c r="N2533" s="102"/>
      <c r="X2533" s="25">
        <f>ROUND(IF(AO2533="5",BH2533,0),2)</f>
        <v>0</v>
      </c>
      <c r="Z2533" s="25">
        <f>ROUND(IF(AO2533="1",BF2533,0),2)</f>
        <v>0</v>
      </c>
      <c r="AA2533" s="25">
        <f>ROUND(IF(AO2533="1",BG2533,0),2)</f>
        <v>0</v>
      </c>
      <c r="AB2533" s="25">
        <f>ROUND(IF(AO2533="7",BF2533,0),2)</f>
        <v>0</v>
      </c>
      <c r="AC2533" s="25">
        <f>ROUND(IF(AO2533="7",BG2533,0),2)</f>
        <v>0</v>
      </c>
      <c r="AD2533" s="25">
        <f>ROUND(IF(AO2533="2",BF2533,0),2)</f>
        <v>0</v>
      </c>
      <c r="AE2533" s="25">
        <f>ROUND(IF(AO2533="2",BG2533,0),2)</f>
        <v>0</v>
      </c>
      <c r="AF2533" s="25">
        <f>ROUND(IF(AO2533="0",BH2533,0),2)</f>
        <v>0</v>
      </c>
      <c r="AG2533" s="10" t="s">
        <v>2900</v>
      </c>
      <c r="AH2533" s="25">
        <f>IF(AL2533=0,K2533,0)</f>
        <v>0</v>
      </c>
      <c r="AI2533" s="25">
        <f>IF(AL2533=12,K2533,0)</f>
        <v>0</v>
      </c>
      <c r="AJ2533" s="25">
        <f>IF(AL2533=21,K2533,0)</f>
        <v>0</v>
      </c>
      <c r="AL2533" s="25">
        <v>21</v>
      </c>
      <c r="AM2533" s="25">
        <f>H2533*1</f>
        <v>0</v>
      </c>
      <c r="AN2533" s="25">
        <f>H2533*(1-1)</f>
        <v>0</v>
      </c>
      <c r="AO2533" s="27" t="s">
        <v>81</v>
      </c>
      <c r="AT2533" s="25">
        <f>ROUND(AU2533+AV2533,2)</f>
        <v>0</v>
      </c>
      <c r="AU2533" s="25">
        <f>ROUND(G2533*AM2533,2)</f>
        <v>0</v>
      </c>
      <c r="AV2533" s="25">
        <f>ROUND(G2533*AN2533,2)</f>
        <v>0</v>
      </c>
      <c r="AW2533" s="27" t="s">
        <v>2994</v>
      </c>
      <c r="AX2533" s="27" t="s">
        <v>2945</v>
      </c>
      <c r="AY2533" s="10" t="s">
        <v>2903</v>
      </c>
      <c r="BA2533" s="25">
        <f>AU2533+AV2533</f>
        <v>0</v>
      </c>
      <c r="BB2533" s="25">
        <f>H2533/(100-BC2533)*100</f>
        <v>0</v>
      </c>
      <c r="BC2533" s="25">
        <v>0</v>
      </c>
      <c r="BD2533" s="25">
        <f>M2533</f>
        <v>0</v>
      </c>
      <c r="BF2533" s="25">
        <f>G2533*AM2533</f>
        <v>0</v>
      </c>
      <c r="BG2533" s="25">
        <f>G2533*AN2533</f>
        <v>0</v>
      </c>
      <c r="BH2533" s="25">
        <f>G2533*H2533</f>
        <v>0</v>
      </c>
      <c r="BI2533" s="27" t="s">
        <v>65</v>
      </c>
      <c r="BJ2533" s="25"/>
      <c r="BU2533" s="25" t="e">
        <f>#REF!</f>
        <v>#REF!</v>
      </c>
      <c r="BV2533" s="4" t="s">
        <v>3118</v>
      </c>
    </row>
    <row r="2534" spans="1:74" ht="14.4" x14ac:dyDescent="0.3">
      <c r="A2534" s="28"/>
      <c r="D2534" s="29" t="s">
        <v>90</v>
      </c>
      <c r="E2534" s="29" t="s">
        <v>52</v>
      </c>
      <c r="G2534" s="30">
        <v>4</v>
      </c>
      <c r="H2534" s="63"/>
      <c r="N2534" s="31"/>
    </row>
    <row r="2535" spans="1:74" ht="14.4" x14ac:dyDescent="0.3">
      <c r="A2535" s="2" t="s">
        <v>3119</v>
      </c>
      <c r="B2535" s="3" t="s">
        <v>2900</v>
      </c>
      <c r="C2535" s="3" t="s">
        <v>98</v>
      </c>
      <c r="D2535" s="112" t="s">
        <v>3120</v>
      </c>
      <c r="E2535" s="109"/>
      <c r="F2535" s="3" t="s">
        <v>100</v>
      </c>
      <c r="G2535" s="25">
        <v>24</v>
      </c>
      <c r="H2535" s="62"/>
      <c r="I2535" s="25">
        <f>ROUND(G2535*AM2535,2)</f>
        <v>0</v>
      </c>
      <c r="J2535" s="25">
        <f>ROUND(G2535*AN2535,2)</f>
        <v>0</v>
      </c>
      <c r="K2535" s="25">
        <f>ROUND(G2535*H2535,2)</f>
        <v>0</v>
      </c>
      <c r="L2535" s="25">
        <v>0</v>
      </c>
      <c r="M2535" s="25">
        <f>G2535*L2535</f>
        <v>0</v>
      </c>
      <c r="N2535" s="26"/>
      <c r="X2535" s="25">
        <f>ROUND(IF(AO2535="5",BH2535,0),2)</f>
        <v>0</v>
      </c>
      <c r="Z2535" s="25">
        <f>ROUND(IF(AO2535="1",BF2535,0),2)</f>
        <v>0</v>
      </c>
      <c r="AA2535" s="25">
        <f>ROUND(IF(AO2535="1",BG2535,0),2)</f>
        <v>0</v>
      </c>
      <c r="AB2535" s="25">
        <f>ROUND(IF(AO2535="7",BF2535,0),2)</f>
        <v>0</v>
      </c>
      <c r="AC2535" s="25">
        <f>ROUND(IF(AO2535="7",BG2535,0),2)</f>
        <v>0</v>
      </c>
      <c r="AD2535" s="25">
        <f>ROUND(IF(AO2535="2",BF2535,0),2)</f>
        <v>0</v>
      </c>
      <c r="AE2535" s="25">
        <f>ROUND(IF(AO2535="2",BG2535,0),2)</f>
        <v>0</v>
      </c>
      <c r="AF2535" s="25">
        <f>ROUND(IF(AO2535="0",BH2535,0),2)</f>
        <v>0</v>
      </c>
      <c r="AG2535" s="10" t="s">
        <v>2900</v>
      </c>
      <c r="AH2535" s="25">
        <f>IF(AL2535=0,K2535,0)</f>
        <v>0</v>
      </c>
      <c r="AI2535" s="25">
        <f>IF(AL2535=12,K2535,0)</f>
        <v>0</v>
      </c>
      <c r="AJ2535" s="25">
        <f>IF(AL2535=21,K2535,0)</f>
        <v>0</v>
      </c>
      <c r="AL2535" s="25">
        <v>21</v>
      </c>
      <c r="AM2535" s="25">
        <f>H2535*0</f>
        <v>0</v>
      </c>
      <c r="AN2535" s="25">
        <f>H2535*(1-0)</f>
        <v>0</v>
      </c>
      <c r="AO2535" s="27" t="s">
        <v>57</v>
      </c>
      <c r="AT2535" s="25">
        <f>ROUND(AU2535+AV2535,2)</f>
        <v>0</v>
      </c>
      <c r="AU2535" s="25">
        <f>ROUND(G2535*AM2535,2)</f>
        <v>0</v>
      </c>
      <c r="AV2535" s="25">
        <f>ROUND(G2535*AN2535,2)</f>
        <v>0</v>
      </c>
      <c r="AW2535" s="27" t="s">
        <v>2994</v>
      </c>
      <c r="AX2535" s="27" t="s">
        <v>2945</v>
      </c>
      <c r="AY2535" s="10" t="s">
        <v>2903</v>
      </c>
      <c r="BA2535" s="25">
        <f>AU2535+AV2535</f>
        <v>0</v>
      </c>
      <c r="BB2535" s="25">
        <f>H2535/(100-BC2535)*100</f>
        <v>0</v>
      </c>
      <c r="BC2535" s="25">
        <v>0</v>
      </c>
      <c r="BD2535" s="25">
        <f>M2535</f>
        <v>0</v>
      </c>
      <c r="BF2535" s="25">
        <f>G2535*AM2535</f>
        <v>0</v>
      </c>
      <c r="BG2535" s="25">
        <f>G2535*AN2535</f>
        <v>0</v>
      </c>
      <c r="BH2535" s="25">
        <f>G2535*H2535</f>
        <v>0</v>
      </c>
      <c r="BI2535" s="27" t="s">
        <v>65</v>
      </c>
      <c r="BJ2535" s="25"/>
      <c r="BU2535" s="25" t="e">
        <f>#REF!</f>
        <v>#REF!</v>
      </c>
      <c r="BV2535" s="4" t="s">
        <v>3120</v>
      </c>
    </row>
    <row r="2536" spans="1:74" ht="14.4" x14ac:dyDescent="0.3">
      <c r="A2536" s="28"/>
      <c r="D2536" s="29" t="s">
        <v>103</v>
      </c>
      <c r="E2536" s="29" t="s">
        <v>52</v>
      </c>
      <c r="G2536" s="30">
        <v>24</v>
      </c>
      <c r="H2536" s="63"/>
      <c r="N2536" s="31"/>
    </row>
    <row r="2537" spans="1:74" ht="26.4" x14ac:dyDescent="0.3">
      <c r="A2537" s="2" t="s">
        <v>3121</v>
      </c>
      <c r="B2537" s="3" t="s">
        <v>2900</v>
      </c>
      <c r="C2537" s="3" t="s">
        <v>3122</v>
      </c>
      <c r="D2537" s="112" t="s">
        <v>3123</v>
      </c>
      <c r="E2537" s="109"/>
      <c r="F2537" s="3" t="s">
        <v>860</v>
      </c>
      <c r="G2537" s="25">
        <v>1</v>
      </c>
      <c r="H2537" s="62"/>
      <c r="I2537" s="25">
        <f>ROUND(G2537*AM2537,2)</f>
        <v>0</v>
      </c>
      <c r="J2537" s="25">
        <f>ROUND(G2537*AN2537,2)</f>
        <v>0</v>
      </c>
      <c r="K2537" s="25">
        <f>ROUND(G2537*H2537,2)</f>
        <v>0</v>
      </c>
      <c r="L2537" s="25">
        <v>0</v>
      </c>
      <c r="M2537" s="25">
        <f>G2537*L2537</f>
        <v>0</v>
      </c>
      <c r="N2537" s="102"/>
      <c r="X2537" s="25">
        <f>ROUND(IF(AO2537="5",BH2537,0),2)</f>
        <v>0</v>
      </c>
      <c r="Z2537" s="25">
        <f>ROUND(IF(AO2537="1",BF2537,0),2)</f>
        <v>0</v>
      </c>
      <c r="AA2537" s="25">
        <f>ROUND(IF(AO2537="1",BG2537,0),2)</f>
        <v>0</v>
      </c>
      <c r="AB2537" s="25">
        <f>ROUND(IF(AO2537="7",BF2537,0),2)</f>
        <v>0</v>
      </c>
      <c r="AC2537" s="25">
        <f>ROUND(IF(AO2537="7",BG2537,0),2)</f>
        <v>0</v>
      </c>
      <c r="AD2537" s="25">
        <f>ROUND(IF(AO2537="2",BF2537,0),2)</f>
        <v>0</v>
      </c>
      <c r="AE2537" s="25">
        <f>ROUND(IF(AO2537="2",BG2537,0),2)</f>
        <v>0</v>
      </c>
      <c r="AF2537" s="25">
        <f>ROUND(IF(AO2537="0",BH2537,0),2)</f>
        <v>0</v>
      </c>
      <c r="AG2537" s="10" t="s">
        <v>2900</v>
      </c>
      <c r="AH2537" s="25">
        <f>IF(AL2537=0,K2537,0)</f>
        <v>0</v>
      </c>
      <c r="AI2537" s="25">
        <f>IF(AL2537=12,K2537,0)</f>
        <v>0</v>
      </c>
      <c r="AJ2537" s="25">
        <f>IF(AL2537=21,K2537,0)</f>
        <v>0</v>
      </c>
      <c r="AL2537" s="25">
        <v>21</v>
      </c>
      <c r="AM2537" s="25">
        <f>H2537*1</f>
        <v>0</v>
      </c>
      <c r="AN2537" s="25">
        <f>H2537*(1-1)</f>
        <v>0</v>
      </c>
      <c r="AO2537" s="27" t="s">
        <v>57</v>
      </c>
      <c r="AT2537" s="25">
        <f>ROUND(AU2537+AV2537,2)</f>
        <v>0</v>
      </c>
      <c r="AU2537" s="25">
        <f>ROUND(G2537*AM2537,2)</f>
        <v>0</v>
      </c>
      <c r="AV2537" s="25">
        <f>ROUND(G2537*AN2537,2)</f>
        <v>0</v>
      </c>
      <c r="AW2537" s="27" t="s">
        <v>2994</v>
      </c>
      <c r="AX2537" s="27" t="s">
        <v>2945</v>
      </c>
      <c r="AY2537" s="10" t="s">
        <v>2903</v>
      </c>
      <c r="BA2537" s="25">
        <f>AU2537+AV2537</f>
        <v>0</v>
      </c>
      <c r="BB2537" s="25">
        <f>H2537/(100-BC2537)*100</f>
        <v>0</v>
      </c>
      <c r="BC2537" s="25">
        <v>0</v>
      </c>
      <c r="BD2537" s="25">
        <f>M2537</f>
        <v>0</v>
      </c>
      <c r="BF2537" s="25">
        <f>G2537*AM2537</f>
        <v>0</v>
      </c>
      <c r="BG2537" s="25">
        <f>G2537*AN2537</f>
        <v>0</v>
      </c>
      <c r="BH2537" s="25">
        <f>G2537*H2537</f>
        <v>0</v>
      </c>
      <c r="BI2537" s="27" t="s">
        <v>576</v>
      </c>
      <c r="BJ2537" s="25"/>
      <c r="BU2537" s="25" t="e">
        <f>#REF!</f>
        <v>#REF!</v>
      </c>
      <c r="BV2537" s="4" t="s">
        <v>3123</v>
      </c>
    </row>
    <row r="2538" spans="1:74" ht="14.4" x14ac:dyDescent="0.3">
      <c r="A2538" s="28"/>
      <c r="D2538" s="29" t="s">
        <v>57</v>
      </c>
      <c r="E2538" s="29" t="s">
        <v>52</v>
      </c>
      <c r="G2538" s="30">
        <v>1</v>
      </c>
      <c r="H2538" s="63"/>
      <c r="N2538" s="31"/>
    </row>
    <row r="2539" spans="1:74" ht="26.4" x14ac:dyDescent="0.3">
      <c r="A2539" s="2" t="s">
        <v>3124</v>
      </c>
      <c r="B2539" s="3" t="s">
        <v>2900</v>
      </c>
      <c r="C2539" s="3" t="s">
        <v>3125</v>
      </c>
      <c r="D2539" s="112" t="s">
        <v>3126</v>
      </c>
      <c r="E2539" s="109"/>
      <c r="F2539" s="3" t="s">
        <v>860</v>
      </c>
      <c r="G2539" s="25">
        <v>1</v>
      </c>
      <c r="H2539" s="62"/>
      <c r="I2539" s="25">
        <f>ROUND(G2539*AM2539,2)</f>
        <v>0</v>
      </c>
      <c r="J2539" s="25">
        <f>ROUND(G2539*AN2539,2)</f>
        <v>0</v>
      </c>
      <c r="K2539" s="25">
        <f>ROUND(G2539*H2539,2)</f>
        <v>0</v>
      </c>
      <c r="L2539" s="25">
        <v>0</v>
      </c>
      <c r="M2539" s="25">
        <f>G2539*L2539</f>
        <v>0</v>
      </c>
      <c r="N2539" s="102"/>
      <c r="X2539" s="25">
        <f>ROUND(IF(AO2539="5",BH2539,0),2)</f>
        <v>0</v>
      </c>
      <c r="Z2539" s="25">
        <f>ROUND(IF(AO2539="1",BF2539,0),2)</f>
        <v>0</v>
      </c>
      <c r="AA2539" s="25">
        <f>ROUND(IF(AO2539="1",BG2539,0),2)</f>
        <v>0</v>
      </c>
      <c r="AB2539" s="25">
        <f>ROUND(IF(AO2539="7",BF2539,0),2)</f>
        <v>0</v>
      </c>
      <c r="AC2539" s="25">
        <f>ROUND(IF(AO2539="7",BG2539,0),2)</f>
        <v>0</v>
      </c>
      <c r="AD2539" s="25">
        <f>ROUND(IF(AO2539="2",BF2539,0),2)</f>
        <v>0</v>
      </c>
      <c r="AE2539" s="25">
        <f>ROUND(IF(AO2539="2",BG2539,0),2)</f>
        <v>0</v>
      </c>
      <c r="AF2539" s="25">
        <f>ROUND(IF(AO2539="0",BH2539,0),2)</f>
        <v>0</v>
      </c>
      <c r="AG2539" s="10" t="s">
        <v>2900</v>
      </c>
      <c r="AH2539" s="25">
        <f>IF(AL2539=0,K2539,0)</f>
        <v>0</v>
      </c>
      <c r="AI2539" s="25">
        <f>IF(AL2539=12,K2539,0)</f>
        <v>0</v>
      </c>
      <c r="AJ2539" s="25">
        <f>IF(AL2539=21,K2539,0)</f>
        <v>0</v>
      </c>
      <c r="AL2539" s="25">
        <v>21</v>
      </c>
      <c r="AM2539" s="25">
        <f>H2539*1</f>
        <v>0</v>
      </c>
      <c r="AN2539" s="25">
        <f>H2539*(1-1)</f>
        <v>0</v>
      </c>
      <c r="AO2539" s="27" t="s">
        <v>57</v>
      </c>
      <c r="AT2539" s="25">
        <f>ROUND(AU2539+AV2539,2)</f>
        <v>0</v>
      </c>
      <c r="AU2539" s="25">
        <f>ROUND(G2539*AM2539,2)</f>
        <v>0</v>
      </c>
      <c r="AV2539" s="25">
        <f>ROUND(G2539*AN2539,2)</f>
        <v>0</v>
      </c>
      <c r="AW2539" s="27" t="s">
        <v>2994</v>
      </c>
      <c r="AX2539" s="27" t="s">
        <v>2945</v>
      </c>
      <c r="AY2539" s="10" t="s">
        <v>2903</v>
      </c>
      <c r="BA2539" s="25">
        <f>AU2539+AV2539</f>
        <v>0</v>
      </c>
      <c r="BB2539" s="25">
        <f>H2539/(100-BC2539)*100</f>
        <v>0</v>
      </c>
      <c r="BC2539" s="25">
        <v>0</v>
      </c>
      <c r="BD2539" s="25">
        <f>M2539</f>
        <v>0</v>
      </c>
      <c r="BF2539" s="25">
        <f>G2539*AM2539</f>
        <v>0</v>
      </c>
      <c r="BG2539" s="25">
        <f>G2539*AN2539</f>
        <v>0</v>
      </c>
      <c r="BH2539" s="25">
        <f>G2539*H2539</f>
        <v>0</v>
      </c>
      <c r="BI2539" s="27" t="s">
        <v>576</v>
      </c>
      <c r="BJ2539" s="25"/>
      <c r="BU2539" s="25" t="e">
        <f>#REF!</f>
        <v>#REF!</v>
      </c>
      <c r="BV2539" s="4" t="s">
        <v>3126</v>
      </c>
    </row>
    <row r="2540" spans="1:74" ht="14.4" x14ac:dyDescent="0.3">
      <c r="A2540" s="28"/>
      <c r="D2540" s="29" t="s">
        <v>57</v>
      </c>
      <c r="E2540" s="29" t="s">
        <v>52</v>
      </c>
      <c r="G2540" s="30">
        <v>1</v>
      </c>
      <c r="H2540" s="63"/>
      <c r="N2540" s="31"/>
    </row>
    <row r="2541" spans="1:74" ht="14.4" x14ac:dyDescent="0.3">
      <c r="A2541" s="2" t="s">
        <v>3127</v>
      </c>
      <c r="B2541" s="3" t="s">
        <v>2900</v>
      </c>
      <c r="C2541" s="3" t="s">
        <v>3128</v>
      </c>
      <c r="D2541" s="112" t="s">
        <v>3129</v>
      </c>
      <c r="E2541" s="109"/>
      <c r="F2541" s="3" t="s">
        <v>2183</v>
      </c>
      <c r="G2541" s="25">
        <v>49</v>
      </c>
      <c r="H2541" s="62"/>
      <c r="I2541" s="25">
        <f>ROUND(G2541*AM2541,2)</f>
        <v>0</v>
      </c>
      <c r="J2541" s="25">
        <f>ROUND(G2541*AN2541,2)</f>
        <v>0</v>
      </c>
      <c r="K2541" s="25">
        <f>ROUND(G2541*H2541,2)</f>
        <v>0</v>
      </c>
      <c r="L2541" s="25">
        <v>0</v>
      </c>
      <c r="M2541" s="25">
        <f>G2541*L2541</f>
        <v>0</v>
      </c>
      <c r="N2541" s="102"/>
      <c r="X2541" s="25">
        <f>ROUND(IF(AO2541="5",BH2541,0),2)</f>
        <v>0</v>
      </c>
      <c r="Z2541" s="25">
        <f>ROUND(IF(AO2541="1",BF2541,0),2)</f>
        <v>0</v>
      </c>
      <c r="AA2541" s="25">
        <f>ROUND(IF(AO2541="1",BG2541,0),2)</f>
        <v>0</v>
      </c>
      <c r="AB2541" s="25">
        <f>ROUND(IF(AO2541="7",BF2541,0),2)</f>
        <v>0</v>
      </c>
      <c r="AC2541" s="25">
        <f>ROUND(IF(AO2541="7",BG2541,0),2)</f>
        <v>0</v>
      </c>
      <c r="AD2541" s="25">
        <f>ROUND(IF(AO2541="2",BF2541,0),2)</f>
        <v>0</v>
      </c>
      <c r="AE2541" s="25">
        <f>ROUND(IF(AO2541="2",BG2541,0),2)</f>
        <v>0</v>
      </c>
      <c r="AF2541" s="25">
        <f>ROUND(IF(AO2541="0",BH2541,0),2)</f>
        <v>0</v>
      </c>
      <c r="AG2541" s="10" t="s">
        <v>2900</v>
      </c>
      <c r="AH2541" s="25">
        <f>IF(AL2541=0,K2541,0)</f>
        <v>0</v>
      </c>
      <c r="AI2541" s="25">
        <f>IF(AL2541=12,K2541,0)</f>
        <v>0</v>
      </c>
      <c r="AJ2541" s="25">
        <f>IF(AL2541=21,K2541,0)</f>
        <v>0</v>
      </c>
      <c r="AL2541" s="25">
        <v>21</v>
      </c>
      <c r="AM2541" s="25">
        <f>H2541*1</f>
        <v>0</v>
      </c>
      <c r="AN2541" s="25">
        <f>H2541*(1-1)</f>
        <v>0</v>
      </c>
      <c r="AO2541" s="27" t="s">
        <v>57</v>
      </c>
      <c r="AT2541" s="25">
        <f>ROUND(AU2541+AV2541,2)</f>
        <v>0</v>
      </c>
      <c r="AU2541" s="25">
        <f>ROUND(G2541*AM2541,2)</f>
        <v>0</v>
      </c>
      <c r="AV2541" s="25">
        <f>ROUND(G2541*AN2541,2)</f>
        <v>0</v>
      </c>
      <c r="AW2541" s="27" t="s">
        <v>2994</v>
      </c>
      <c r="AX2541" s="27" t="s">
        <v>2945</v>
      </c>
      <c r="AY2541" s="10" t="s">
        <v>2903</v>
      </c>
      <c r="BA2541" s="25">
        <f>AU2541+AV2541</f>
        <v>0</v>
      </c>
      <c r="BB2541" s="25">
        <f>H2541/(100-BC2541)*100</f>
        <v>0</v>
      </c>
      <c r="BC2541" s="25">
        <v>0</v>
      </c>
      <c r="BD2541" s="25">
        <f>M2541</f>
        <v>0</v>
      </c>
      <c r="BF2541" s="25">
        <f>G2541*AM2541</f>
        <v>0</v>
      </c>
      <c r="BG2541" s="25">
        <f>G2541*AN2541</f>
        <v>0</v>
      </c>
      <c r="BH2541" s="25">
        <f>G2541*H2541</f>
        <v>0</v>
      </c>
      <c r="BI2541" s="27" t="s">
        <v>576</v>
      </c>
      <c r="BJ2541" s="25"/>
      <c r="BU2541" s="25" t="e">
        <f>#REF!</f>
        <v>#REF!</v>
      </c>
      <c r="BV2541" s="4" t="s">
        <v>3129</v>
      </c>
    </row>
    <row r="2542" spans="1:74" ht="14.4" x14ac:dyDescent="0.3">
      <c r="A2542" s="2" t="s">
        <v>3130</v>
      </c>
      <c r="B2542" s="3" t="s">
        <v>2900</v>
      </c>
      <c r="C2542" s="3" t="s">
        <v>3131</v>
      </c>
      <c r="D2542" s="112" t="s">
        <v>3132</v>
      </c>
      <c r="E2542" s="109"/>
      <c r="F2542" s="3" t="s">
        <v>2183</v>
      </c>
      <c r="G2542" s="25">
        <v>8</v>
      </c>
      <c r="H2542" s="62"/>
      <c r="I2542" s="25">
        <f>ROUND(G2542*AM2542,2)</f>
        <v>0</v>
      </c>
      <c r="J2542" s="25">
        <f>ROUND(G2542*AN2542,2)</f>
        <v>0</v>
      </c>
      <c r="K2542" s="25">
        <f>ROUND(G2542*H2542,2)</f>
        <v>0</v>
      </c>
      <c r="L2542" s="25">
        <v>0</v>
      </c>
      <c r="M2542" s="25">
        <f>G2542*L2542</f>
        <v>0</v>
      </c>
      <c r="N2542" s="102"/>
      <c r="X2542" s="25">
        <f>ROUND(IF(AO2542="5",BH2542,0),2)</f>
        <v>0</v>
      </c>
      <c r="Z2542" s="25">
        <f>ROUND(IF(AO2542="1",BF2542,0),2)</f>
        <v>0</v>
      </c>
      <c r="AA2542" s="25">
        <f>ROUND(IF(AO2542="1",BG2542,0),2)</f>
        <v>0</v>
      </c>
      <c r="AB2542" s="25">
        <f>ROUND(IF(AO2542="7",BF2542,0),2)</f>
        <v>0</v>
      </c>
      <c r="AC2542" s="25">
        <f>ROUND(IF(AO2542="7",BG2542,0),2)</f>
        <v>0</v>
      </c>
      <c r="AD2542" s="25">
        <f>ROUND(IF(AO2542="2",BF2542,0),2)</f>
        <v>0</v>
      </c>
      <c r="AE2542" s="25">
        <f>ROUND(IF(AO2542="2",BG2542,0),2)</f>
        <v>0</v>
      </c>
      <c r="AF2542" s="25">
        <f>ROUND(IF(AO2542="0",BH2542,0),2)</f>
        <v>0</v>
      </c>
      <c r="AG2542" s="10" t="s">
        <v>2900</v>
      </c>
      <c r="AH2542" s="25">
        <f>IF(AL2542=0,K2542,0)</f>
        <v>0</v>
      </c>
      <c r="AI2542" s="25">
        <f>IF(AL2542=12,K2542,0)</f>
        <v>0</v>
      </c>
      <c r="AJ2542" s="25">
        <f>IF(AL2542=21,K2542,0)</f>
        <v>0</v>
      </c>
      <c r="AL2542" s="25">
        <v>21</v>
      </c>
      <c r="AM2542" s="25">
        <f>H2542*1</f>
        <v>0</v>
      </c>
      <c r="AN2542" s="25">
        <f>H2542*(1-1)</f>
        <v>0</v>
      </c>
      <c r="AO2542" s="27" t="s">
        <v>57</v>
      </c>
      <c r="AT2542" s="25">
        <f>ROUND(AU2542+AV2542,2)</f>
        <v>0</v>
      </c>
      <c r="AU2542" s="25">
        <f>ROUND(G2542*AM2542,2)</f>
        <v>0</v>
      </c>
      <c r="AV2542" s="25">
        <f>ROUND(G2542*AN2542,2)</f>
        <v>0</v>
      </c>
      <c r="AW2542" s="27" t="s">
        <v>2994</v>
      </c>
      <c r="AX2542" s="27" t="s">
        <v>2945</v>
      </c>
      <c r="AY2542" s="10" t="s">
        <v>2903</v>
      </c>
      <c r="BA2542" s="25">
        <f>AU2542+AV2542</f>
        <v>0</v>
      </c>
      <c r="BB2542" s="25">
        <f>H2542/(100-BC2542)*100</f>
        <v>0</v>
      </c>
      <c r="BC2542" s="25">
        <v>0</v>
      </c>
      <c r="BD2542" s="25">
        <f>M2542</f>
        <v>0</v>
      </c>
      <c r="BF2542" s="25">
        <f>G2542*AM2542</f>
        <v>0</v>
      </c>
      <c r="BG2542" s="25">
        <f>G2542*AN2542</f>
        <v>0</v>
      </c>
      <c r="BH2542" s="25">
        <f>G2542*H2542</f>
        <v>0</v>
      </c>
      <c r="BI2542" s="27" t="s">
        <v>576</v>
      </c>
      <c r="BJ2542" s="25"/>
      <c r="BU2542" s="25" t="e">
        <f>#REF!</f>
        <v>#REF!</v>
      </c>
      <c r="BV2542" s="4" t="s">
        <v>3132</v>
      </c>
    </row>
    <row r="2543" spans="1:74" ht="14.4" x14ac:dyDescent="0.3">
      <c r="A2543" s="2" t="s">
        <v>3133</v>
      </c>
      <c r="B2543" s="3" t="s">
        <v>2900</v>
      </c>
      <c r="C2543" s="3" t="s">
        <v>3134</v>
      </c>
      <c r="D2543" s="112" t="s">
        <v>3135</v>
      </c>
      <c r="E2543" s="109"/>
      <c r="F2543" s="3" t="s">
        <v>2183</v>
      </c>
      <c r="G2543" s="25">
        <v>4</v>
      </c>
      <c r="H2543" s="62"/>
      <c r="I2543" s="25">
        <f>ROUND(G2543*AM2543,2)</f>
        <v>0</v>
      </c>
      <c r="J2543" s="25">
        <f>ROUND(G2543*AN2543,2)</f>
        <v>0</v>
      </c>
      <c r="K2543" s="25">
        <f>ROUND(G2543*H2543,2)</f>
        <v>0</v>
      </c>
      <c r="L2543" s="25">
        <v>0</v>
      </c>
      <c r="M2543" s="25">
        <f>G2543*L2543</f>
        <v>0</v>
      </c>
      <c r="N2543" s="102"/>
      <c r="X2543" s="25">
        <f>ROUND(IF(AO2543="5",BH2543,0),2)</f>
        <v>0</v>
      </c>
      <c r="Z2543" s="25">
        <f>ROUND(IF(AO2543="1",BF2543,0),2)</f>
        <v>0</v>
      </c>
      <c r="AA2543" s="25">
        <f>ROUND(IF(AO2543="1",BG2543,0),2)</f>
        <v>0</v>
      </c>
      <c r="AB2543" s="25">
        <f>ROUND(IF(AO2543="7",BF2543,0),2)</f>
        <v>0</v>
      </c>
      <c r="AC2543" s="25">
        <f>ROUND(IF(AO2543="7",BG2543,0),2)</f>
        <v>0</v>
      </c>
      <c r="AD2543" s="25">
        <f>ROUND(IF(AO2543="2",BF2543,0),2)</f>
        <v>0</v>
      </c>
      <c r="AE2543" s="25">
        <f>ROUND(IF(AO2543="2",BG2543,0),2)</f>
        <v>0</v>
      </c>
      <c r="AF2543" s="25">
        <f>ROUND(IF(AO2543="0",BH2543,0),2)</f>
        <v>0</v>
      </c>
      <c r="AG2543" s="10" t="s">
        <v>2900</v>
      </c>
      <c r="AH2543" s="25">
        <f>IF(AL2543=0,K2543,0)</f>
        <v>0</v>
      </c>
      <c r="AI2543" s="25">
        <f>IF(AL2543=12,K2543,0)</f>
        <v>0</v>
      </c>
      <c r="AJ2543" s="25">
        <f>IF(AL2543=21,K2543,0)</f>
        <v>0</v>
      </c>
      <c r="AL2543" s="25">
        <v>21</v>
      </c>
      <c r="AM2543" s="25">
        <f>H2543*1</f>
        <v>0</v>
      </c>
      <c r="AN2543" s="25">
        <f>H2543*(1-1)</f>
        <v>0</v>
      </c>
      <c r="AO2543" s="27" t="s">
        <v>57</v>
      </c>
      <c r="AT2543" s="25">
        <f>ROUND(AU2543+AV2543,2)</f>
        <v>0</v>
      </c>
      <c r="AU2543" s="25">
        <f>ROUND(G2543*AM2543,2)</f>
        <v>0</v>
      </c>
      <c r="AV2543" s="25">
        <f>ROUND(G2543*AN2543,2)</f>
        <v>0</v>
      </c>
      <c r="AW2543" s="27" t="s">
        <v>2994</v>
      </c>
      <c r="AX2543" s="27" t="s">
        <v>2945</v>
      </c>
      <c r="AY2543" s="10" t="s">
        <v>2903</v>
      </c>
      <c r="BA2543" s="25">
        <f>AU2543+AV2543</f>
        <v>0</v>
      </c>
      <c r="BB2543" s="25">
        <f>H2543/(100-BC2543)*100</f>
        <v>0</v>
      </c>
      <c r="BC2543" s="25">
        <v>0</v>
      </c>
      <c r="BD2543" s="25">
        <f>M2543</f>
        <v>0</v>
      </c>
      <c r="BF2543" s="25">
        <f>G2543*AM2543</f>
        <v>0</v>
      </c>
      <c r="BG2543" s="25">
        <f>G2543*AN2543</f>
        <v>0</v>
      </c>
      <c r="BH2543" s="25">
        <f>G2543*H2543</f>
        <v>0</v>
      </c>
      <c r="BI2543" s="27" t="s">
        <v>576</v>
      </c>
      <c r="BJ2543" s="25"/>
      <c r="BU2543" s="25" t="e">
        <f>#REF!</f>
        <v>#REF!</v>
      </c>
      <c r="BV2543" s="4" t="s">
        <v>3135</v>
      </c>
    </row>
    <row r="2544" spans="1:74" ht="14.4" x14ac:dyDescent="0.3">
      <c r="A2544" s="28"/>
      <c r="D2544" s="29" t="s">
        <v>90</v>
      </c>
      <c r="E2544" s="29" t="s">
        <v>52</v>
      </c>
      <c r="G2544" s="30">
        <v>4</v>
      </c>
      <c r="H2544" s="63"/>
      <c r="N2544" s="31"/>
    </row>
    <row r="2545" spans="1:74" ht="14.4" x14ac:dyDescent="0.3">
      <c r="A2545" s="2" t="s">
        <v>3136</v>
      </c>
      <c r="B2545" s="3" t="s">
        <v>2900</v>
      </c>
      <c r="C2545" s="3" t="s">
        <v>3137</v>
      </c>
      <c r="D2545" s="112" t="s">
        <v>3138</v>
      </c>
      <c r="E2545" s="109"/>
      <c r="F2545" s="3" t="s">
        <v>2183</v>
      </c>
      <c r="G2545" s="25">
        <v>2</v>
      </c>
      <c r="H2545" s="62"/>
      <c r="I2545" s="25">
        <f>ROUND(G2545*AM2545,2)</f>
        <v>0</v>
      </c>
      <c r="J2545" s="25">
        <f>ROUND(G2545*AN2545,2)</f>
        <v>0</v>
      </c>
      <c r="K2545" s="25">
        <f>ROUND(G2545*H2545,2)</f>
        <v>0</v>
      </c>
      <c r="L2545" s="25">
        <v>0</v>
      </c>
      <c r="M2545" s="25">
        <f>G2545*L2545</f>
        <v>0</v>
      </c>
      <c r="N2545" s="102"/>
      <c r="X2545" s="25">
        <f>ROUND(IF(AO2545="5",BH2545,0),2)</f>
        <v>0</v>
      </c>
      <c r="Z2545" s="25">
        <f>ROUND(IF(AO2545="1",BF2545,0),2)</f>
        <v>0</v>
      </c>
      <c r="AA2545" s="25">
        <f>ROUND(IF(AO2545="1",BG2545,0),2)</f>
        <v>0</v>
      </c>
      <c r="AB2545" s="25">
        <f>ROUND(IF(AO2545="7",BF2545,0),2)</f>
        <v>0</v>
      </c>
      <c r="AC2545" s="25">
        <f>ROUND(IF(AO2545="7",BG2545,0),2)</f>
        <v>0</v>
      </c>
      <c r="AD2545" s="25">
        <f>ROUND(IF(AO2545="2",BF2545,0),2)</f>
        <v>0</v>
      </c>
      <c r="AE2545" s="25">
        <f>ROUND(IF(AO2545="2",BG2545,0),2)</f>
        <v>0</v>
      </c>
      <c r="AF2545" s="25">
        <f>ROUND(IF(AO2545="0",BH2545,0),2)</f>
        <v>0</v>
      </c>
      <c r="AG2545" s="10" t="s">
        <v>2900</v>
      </c>
      <c r="AH2545" s="25">
        <f>IF(AL2545=0,K2545,0)</f>
        <v>0</v>
      </c>
      <c r="AI2545" s="25">
        <f>IF(AL2545=12,K2545,0)</f>
        <v>0</v>
      </c>
      <c r="AJ2545" s="25">
        <f>IF(AL2545=21,K2545,0)</f>
        <v>0</v>
      </c>
      <c r="AL2545" s="25">
        <v>21</v>
      </c>
      <c r="AM2545" s="25">
        <f>H2545*1</f>
        <v>0</v>
      </c>
      <c r="AN2545" s="25">
        <f>H2545*(1-1)</f>
        <v>0</v>
      </c>
      <c r="AO2545" s="27" t="s">
        <v>57</v>
      </c>
      <c r="AT2545" s="25">
        <f>ROUND(AU2545+AV2545,2)</f>
        <v>0</v>
      </c>
      <c r="AU2545" s="25">
        <f>ROUND(G2545*AM2545,2)</f>
        <v>0</v>
      </c>
      <c r="AV2545" s="25">
        <f>ROUND(G2545*AN2545,2)</f>
        <v>0</v>
      </c>
      <c r="AW2545" s="27" t="s">
        <v>2994</v>
      </c>
      <c r="AX2545" s="27" t="s">
        <v>2945</v>
      </c>
      <c r="AY2545" s="10" t="s">
        <v>2903</v>
      </c>
      <c r="BA2545" s="25">
        <f>AU2545+AV2545</f>
        <v>0</v>
      </c>
      <c r="BB2545" s="25">
        <f>H2545/(100-BC2545)*100</f>
        <v>0</v>
      </c>
      <c r="BC2545" s="25">
        <v>0</v>
      </c>
      <c r="BD2545" s="25">
        <f>M2545</f>
        <v>0</v>
      </c>
      <c r="BF2545" s="25">
        <f>G2545*AM2545</f>
        <v>0</v>
      </c>
      <c r="BG2545" s="25">
        <f>G2545*AN2545</f>
        <v>0</v>
      </c>
      <c r="BH2545" s="25">
        <f>G2545*H2545</f>
        <v>0</v>
      </c>
      <c r="BI2545" s="27" t="s">
        <v>576</v>
      </c>
      <c r="BJ2545" s="25"/>
      <c r="BU2545" s="25" t="e">
        <f>#REF!</f>
        <v>#REF!</v>
      </c>
      <c r="BV2545" s="4" t="s">
        <v>3138</v>
      </c>
    </row>
    <row r="2546" spans="1:74" ht="14.4" x14ac:dyDescent="0.3">
      <c r="A2546" s="2" t="s">
        <v>3139</v>
      </c>
      <c r="B2546" s="3" t="s">
        <v>2900</v>
      </c>
      <c r="C2546" s="3" t="s">
        <v>3140</v>
      </c>
      <c r="D2546" s="112" t="s">
        <v>3141</v>
      </c>
      <c r="E2546" s="109"/>
      <c r="F2546" s="3" t="s">
        <v>2183</v>
      </c>
      <c r="G2546" s="25">
        <v>14</v>
      </c>
      <c r="H2546" s="62"/>
      <c r="I2546" s="25">
        <f>ROUND(G2546*AM2546,2)</f>
        <v>0</v>
      </c>
      <c r="J2546" s="25">
        <f>ROUND(G2546*AN2546,2)</f>
        <v>0</v>
      </c>
      <c r="K2546" s="25">
        <f>ROUND(G2546*H2546,2)</f>
        <v>0</v>
      </c>
      <c r="L2546" s="25">
        <v>0</v>
      </c>
      <c r="M2546" s="25">
        <f>G2546*L2546</f>
        <v>0</v>
      </c>
      <c r="N2546" s="102"/>
      <c r="X2546" s="25">
        <f>ROUND(IF(AO2546="5",BH2546,0),2)</f>
        <v>0</v>
      </c>
      <c r="Z2546" s="25">
        <f>ROUND(IF(AO2546="1",BF2546,0),2)</f>
        <v>0</v>
      </c>
      <c r="AA2546" s="25">
        <f>ROUND(IF(AO2546="1",BG2546,0),2)</f>
        <v>0</v>
      </c>
      <c r="AB2546" s="25">
        <f>ROUND(IF(AO2546="7",BF2546,0),2)</f>
        <v>0</v>
      </c>
      <c r="AC2546" s="25">
        <f>ROUND(IF(AO2546="7",BG2546,0),2)</f>
        <v>0</v>
      </c>
      <c r="AD2546" s="25">
        <f>ROUND(IF(AO2546="2",BF2546,0),2)</f>
        <v>0</v>
      </c>
      <c r="AE2546" s="25">
        <f>ROUND(IF(AO2546="2",BG2546,0),2)</f>
        <v>0</v>
      </c>
      <c r="AF2546" s="25">
        <f>ROUND(IF(AO2546="0",BH2546,0),2)</f>
        <v>0</v>
      </c>
      <c r="AG2546" s="10" t="s">
        <v>2900</v>
      </c>
      <c r="AH2546" s="25">
        <f>IF(AL2546=0,K2546,0)</f>
        <v>0</v>
      </c>
      <c r="AI2546" s="25">
        <f>IF(AL2546=12,K2546,0)</f>
        <v>0</v>
      </c>
      <c r="AJ2546" s="25">
        <f>IF(AL2546=21,K2546,0)</f>
        <v>0</v>
      </c>
      <c r="AL2546" s="25">
        <v>21</v>
      </c>
      <c r="AM2546" s="25">
        <f>H2546*1</f>
        <v>0</v>
      </c>
      <c r="AN2546" s="25">
        <f>H2546*(1-1)</f>
        <v>0</v>
      </c>
      <c r="AO2546" s="27" t="s">
        <v>57</v>
      </c>
      <c r="AT2546" s="25">
        <f>ROUND(AU2546+AV2546,2)</f>
        <v>0</v>
      </c>
      <c r="AU2546" s="25">
        <f>ROUND(G2546*AM2546,2)</f>
        <v>0</v>
      </c>
      <c r="AV2546" s="25">
        <f>ROUND(G2546*AN2546,2)</f>
        <v>0</v>
      </c>
      <c r="AW2546" s="27" t="s">
        <v>2994</v>
      </c>
      <c r="AX2546" s="27" t="s">
        <v>2945</v>
      </c>
      <c r="AY2546" s="10" t="s">
        <v>2903</v>
      </c>
      <c r="BA2546" s="25">
        <f>AU2546+AV2546</f>
        <v>0</v>
      </c>
      <c r="BB2546" s="25">
        <f>H2546/(100-BC2546)*100</f>
        <v>0</v>
      </c>
      <c r="BC2546" s="25">
        <v>0</v>
      </c>
      <c r="BD2546" s="25">
        <f>M2546</f>
        <v>0</v>
      </c>
      <c r="BF2546" s="25">
        <f>G2546*AM2546</f>
        <v>0</v>
      </c>
      <c r="BG2546" s="25">
        <f>G2546*AN2546</f>
        <v>0</v>
      </c>
      <c r="BH2546" s="25">
        <f>G2546*H2546</f>
        <v>0</v>
      </c>
      <c r="BI2546" s="27" t="s">
        <v>576</v>
      </c>
      <c r="BJ2546" s="25"/>
      <c r="BU2546" s="25" t="e">
        <f>#REF!</f>
        <v>#REF!</v>
      </c>
      <c r="BV2546" s="4" t="s">
        <v>3141</v>
      </c>
    </row>
    <row r="2547" spans="1:74" ht="14.4" x14ac:dyDescent="0.3">
      <c r="A2547" s="2" t="s">
        <v>3142</v>
      </c>
      <c r="B2547" s="3" t="s">
        <v>2900</v>
      </c>
      <c r="C2547" s="3" t="s">
        <v>3143</v>
      </c>
      <c r="D2547" s="112" t="s">
        <v>3144</v>
      </c>
      <c r="E2547" s="109"/>
      <c r="F2547" s="3" t="s">
        <v>2183</v>
      </c>
      <c r="G2547" s="25">
        <v>8</v>
      </c>
      <c r="H2547" s="62"/>
      <c r="I2547" s="25">
        <f>ROUND(G2547*AM2547,2)</f>
        <v>0</v>
      </c>
      <c r="J2547" s="25">
        <f>ROUND(G2547*AN2547,2)</f>
        <v>0</v>
      </c>
      <c r="K2547" s="25">
        <f>ROUND(G2547*H2547,2)</f>
        <v>0</v>
      </c>
      <c r="L2547" s="25">
        <v>0</v>
      </c>
      <c r="M2547" s="25">
        <f>G2547*L2547</f>
        <v>0</v>
      </c>
      <c r="N2547" s="102"/>
      <c r="X2547" s="25">
        <f>ROUND(IF(AO2547="5",BH2547,0),2)</f>
        <v>0</v>
      </c>
      <c r="Z2547" s="25">
        <f>ROUND(IF(AO2547="1",BF2547,0),2)</f>
        <v>0</v>
      </c>
      <c r="AA2547" s="25">
        <f>ROUND(IF(AO2547="1",BG2547,0),2)</f>
        <v>0</v>
      </c>
      <c r="AB2547" s="25">
        <f>ROUND(IF(AO2547="7",BF2547,0),2)</f>
        <v>0</v>
      </c>
      <c r="AC2547" s="25">
        <f>ROUND(IF(AO2547="7",BG2547,0),2)</f>
        <v>0</v>
      </c>
      <c r="AD2547" s="25">
        <f>ROUND(IF(AO2547="2",BF2547,0),2)</f>
        <v>0</v>
      </c>
      <c r="AE2547" s="25">
        <f>ROUND(IF(AO2547="2",BG2547,0),2)</f>
        <v>0</v>
      </c>
      <c r="AF2547" s="25">
        <f>ROUND(IF(AO2547="0",BH2547,0),2)</f>
        <v>0</v>
      </c>
      <c r="AG2547" s="10" t="s">
        <v>2900</v>
      </c>
      <c r="AH2547" s="25">
        <f>IF(AL2547=0,K2547,0)</f>
        <v>0</v>
      </c>
      <c r="AI2547" s="25">
        <f>IF(AL2547=12,K2547,0)</f>
        <v>0</v>
      </c>
      <c r="AJ2547" s="25">
        <f>IF(AL2547=21,K2547,0)</f>
        <v>0</v>
      </c>
      <c r="AL2547" s="25">
        <v>21</v>
      </c>
      <c r="AM2547" s="25">
        <f>H2547*1</f>
        <v>0</v>
      </c>
      <c r="AN2547" s="25">
        <f>H2547*(1-1)</f>
        <v>0</v>
      </c>
      <c r="AO2547" s="27" t="s">
        <v>57</v>
      </c>
      <c r="AT2547" s="25">
        <f>ROUND(AU2547+AV2547,2)</f>
        <v>0</v>
      </c>
      <c r="AU2547" s="25">
        <f>ROUND(G2547*AM2547,2)</f>
        <v>0</v>
      </c>
      <c r="AV2547" s="25">
        <f>ROUND(G2547*AN2547,2)</f>
        <v>0</v>
      </c>
      <c r="AW2547" s="27" t="s">
        <v>2994</v>
      </c>
      <c r="AX2547" s="27" t="s">
        <v>2945</v>
      </c>
      <c r="AY2547" s="10" t="s">
        <v>2903</v>
      </c>
      <c r="BA2547" s="25">
        <f>AU2547+AV2547</f>
        <v>0</v>
      </c>
      <c r="BB2547" s="25">
        <f>H2547/(100-BC2547)*100</f>
        <v>0</v>
      </c>
      <c r="BC2547" s="25">
        <v>0</v>
      </c>
      <c r="BD2547" s="25">
        <f>M2547</f>
        <v>0</v>
      </c>
      <c r="BF2547" s="25">
        <f>G2547*AM2547</f>
        <v>0</v>
      </c>
      <c r="BG2547" s="25">
        <f>G2547*AN2547</f>
        <v>0</v>
      </c>
      <c r="BH2547" s="25">
        <f>G2547*H2547</f>
        <v>0</v>
      </c>
      <c r="BI2547" s="27" t="s">
        <v>576</v>
      </c>
      <c r="BJ2547" s="25"/>
      <c r="BU2547" s="25" t="e">
        <f>#REF!</f>
        <v>#REF!</v>
      </c>
      <c r="BV2547" s="4" t="s">
        <v>3144</v>
      </c>
    </row>
    <row r="2548" spans="1:74" ht="14.4" x14ac:dyDescent="0.3">
      <c r="A2548" s="28"/>
      <c r="D2548" s="29" t="s">
        <v>119</v>
      </c>
      <c r="E2548" s="29" t="s">
        <v>52</v>
      </c>
      <c r="G2548" s="30">
        <v>8</v>
      </c>
      <c r="H2548" s="63"/>
      <c r="N2548" s="31"/>
    </row>
    <row r="2549" spans="1:74" ht="14.4" x14ac:dyDescent="0.3">
      <c r="A2549" s="2" t="s">
        <v>3145</v>
      </c>
      <c r="B2549" s="3" t="s">
        <v>2900</v>
      </c>
      <c r="C2549" s="3" t="s">
        <v>3146</v>
      </c>
      <c r="D2549" s="112" t="s">
        <v>3147</v>
      </c>
      <c r="E2549" s="109"/>
      <c r="F2549" s="3" t="s">
        <v>122</v>
      </c>
      <c r="G2549" s="25">
        <v>3</v>
      </c>
      <c r="H2549" s="62"/>
      <c r="I2549" s="25">
        <f>ROUND(G2549*AM2549,2)</f>
        <v>0</v>
      </c>
      <c r="J2549" s="25">
        <f>ROUND(G2549*AN2549,2)</f>
        <v>0</v>
      </c>
      <c r="K2549" s="25">
        <f>ROUND(G2549*H2549,2)</f>
        <v>0</v>
      </c>
      <c r="L2549" s="25">
        <v>1.0000000000000001E-5</v>
      </c>
      <c r="M2549" s="25">
        <f>G2549*L2549</f>
        <v>3.0000000000000004E-5</v>
      </c>
      <c r="N2549" s="26"/>
      <c r="X2549" s="25">
        <f>ROUND(IF(AO2549="5",BH2549,0),2)</f>
        <v>0</v>
      </c>
      <c r="Z2549" s="25">
        <f>ROUND(IF(AO2549="1",BF2549,0),2)</f>
        <v>0</v>
      </c>
      <c r="AA2549" s="25">
        <f>ROUND(IF(AO2549="1",BG2549,0),2)</f>
        <v>0</v>
      </c>
      <c r="AB2549" s="25">
        <f>ROUND(IF(AO2549="7",BF2549,0),2)</f>
        <v>0</v>
      </c>
      <c r="AC2549" s="25">
        <f>ROUND(IF(AO2549="7",BG2549,0),2)</f>
        <v>0</v>
      </c>
      <c r="AD2549" s="25">
        <f>ROUND(IF(AO2549="2",BF2549,0),2)</f>
        <v>0</v>
      </c>
      <c r="AE2549" s="25">
        <f>ROUND(IF(AO2549="2",BG2549,0),2)</f>
        <v>0</v>
      </c>
      <c r="AF2549" s="25">
        <f>ROUND(IF(AO2549="0",BH2549,0),2)</f>
        <v>0</v>
      </c>
      <c r="AG2549" s="10" t="s">
        <v>2900</v>
      </c>
      <c r="AH2549" s="25">
        <f>IF(AL2549=0,K2549,0)</f>
        <v>0</v>
      </c>
      <c r="AI2549" s="25">
        <f>IF(AL2549=12,K2549,0)</f>
        <v>0</v>
      </c>
      <c r="AJ2549" s="25">
        <f>IF(AL2549=21,K2549,0)</f>
        <v>0</v>
      </c>
      <c r="AL2549" s="25">
        <v>21</v>
      </c>
      <c r="AM2549" s="25">
        <f>H2549*1</f>
        <v>0</v>
      </c>
      <c r="AN2549" s="25">
        <f>H2549*(1-1)</f>
        <v>0</v>
      </c>
      <c r="AO2549" s="27" t="s">
        <v>57</v>
      </c>
      <c r="AT2549" s="25">
        <f>ROUND(AU2549+AV2549,2)</f>
        <v>0</v>
      </c>
      <c r="AU2549" s="25">
        <f>ROUND(G2549*AM2549,2)</f>
        <v>0</v>
      </c>
      <c r="AV2549" s="25">
        <f>ROUND(G2549*AN2549,2)</f>
        <v>0</v>
      </c>
      <c r="AW2549" s="27" t="s">
        <v>2994</v>
      </c>
      <c r="AX2549" s="27" t="s">
        <v>2945</v>
      </c>
      <c r="AY2549" s="10" t="s">
        <v>2903</v>
      </c>
      <c r="BA2549" s="25">
        <f>AU2549+AV2549</f>
        <v>0</v>
      </c>
      <c r="BB2549" s="25">
        <f>H2549/(100-BC2549)*100</f>
        <v>0</v>
      </c>
      <c r="BC2549" s="25">
        <v>0</v>
      </c>
      <c r="BD2549" s="25">
        <f>M2549</f>
        <v>3.0000000000000004E-5</v>
      </c>
      <c r="BF2549" s="25">
        <f>G2549*AM2549</f>
        <v>0</v>
      </c>
      <c r="BG2549" s="25">
        <f>G2549*AN2549</f>
        <v>0</v>
      </c>
      <c r="BH2549" s="25">
        <f>G2549*H2549</f>
        <v>0</v>
      </c>
      <c r="BI2549" s="27" t="s">
        <v>576</v>
      </c>
      <c r="BJ2549" s="25"/>
      <c r="BU2549" s="25" t="e">
        <f>#REF!</f>
        <v>#REF!</v>
      </c>
      <c r="BV2549" s="4" t="s">
        <v>3147</v>
      </c>
    </row>
    <row r="2550" spans="1:74" ht="14.4" x14ac:dyDescent="0.3">
      <c r="A2550" s="28"/>
      <c r="D2550" s="29" t="s">
        <v>87</v>
      </c>
      <c r="E2550" s="29" t="s">
        <v>52</v>
      </c>
      <c r="G2550" s="30">
        <v>3</v>
      </c>
      <c r="H2550" s="63"/>
      <c r="N2550" s="31"/>
    </row>
    <row r="2551" spans="1:74" ht="14.4" x14ac:dyDescent="0.3">
      <c r="A2551" s="2" t="s">
        <v>3148</v>
      </c>
      <c r="B2551" s="3" t="s">
        <v>2900</v>
      </c>
      <c r="C2551" s="3" t="s">
        <v>3149</v>
      </c>
      <c r="D2551" s="112" t="s">
        <v>3150</v>
      </c>
      <c r="E2551" s="109"/>
      <c r="F2551" s="3" t="s">
        <v>2183</v>
      </c>
      <c r="G2551" s="25">
        <v>90</v>
      </c>
      <c r="H2551" s="62"/>
      <c r="I2551" s="25">
        <f>ROUND(G2551*AM2551,2)</f>
        <v>0</v>
      </c>
      <c r="J2551" s="25">
        <f>ROUND(G2551*AN2551,2)</f>
        <v>0</v>
      </c>
      <c r="K2551" s="25">
        <f>ROUND(G2551*H2551,2)</f>
        <v>0</v>
      </c>
      <c r="L2551" s="25">
        <v>0</v>
      </c>
      <c r="M2551" s="25">
        <f>G2551*L2551</f>
        <v>0</v>
      </c>
      <c r="N2551" s="102"/>
      <c r="X2551" s="25">
        <f>ROUND(IF(AO2551="5",BH2551,0),2)</f>
        <v>0</v>
      </c>
      <c r="Z2551" s="25">
        <f>ROUND(IF(AO2551="1",BF2551,0),2)</f>
        <v>0</v>
      </c>
      <c r="AA2551" s="25">
        <f>ROUND(IF(AO2551="1",BG2551,0),2)</f>
        <v>0</v>
      </c>
      <c r="AB2551" s="25">
        <f>ROUND(IF(AO2551="7",BF2551,0),2)</f>
        <v>0</v>
      </c>
      <c r="AC2551" s="25">
        <f>ROUND(IF(AO2551="7",BG2551,0),2)</f>
        <v>0</v>
      </c>
      <c r="AD2551" s="25">
        <f>ROUND(IF(AO2551="2",BF2551,0),2)</f>
        <v>0</v>
      </c>
      <c r="AE2551" s="25">
        <f>ROUND(IF(AO2551="2",BG2551,0),2)</f>
        <v>0</v>
      </c>
      <c r="AF2551" s="25">
        <f>ROUND(IF(AO2551="0",BH2551,0),2)</f>
        <v>0</v>
      </c>
      <c r="AG2551" s="10" t="s">
        <v>2900</v>
      </c>
      <c r="AH2551" s="25">
        <f>IF(AL2551=0,K2551,0)</f>
        <v>0</v>
      </c>
      <c r="AI2551" s="25">
        <f>IF(AL2551=12,K2551,0)</f>
        <v>0</v>
      </c>
      <c r="AJ2551" s="25">
        <f>IF(AL2551=21,K2551,0)</f>
        <v>0</v>
      </c>
      <c r="AL2551" s="25">
        <v>21</v>
      </c>
      <c r="AM2551" s="25">
        <f>H2551*1</f>
        <v>0</v>
      </c>
      <c r="AN2551" s="25">
        <f>H2551*(1-1)</f>
        <v>0</v>
      </c>
      <c r="AO2551" s="27" t="s">
        <v>57</v>
      </c>
      <c r="AT2551" s="25">
        <f>ROUND(AU2551+AV2551,2)</f>
        <v>0</v>
      </c>
      <c r="AU2551" s="25">
        <f>ROUND(G2551*AM2551,2)</f>
        <v>0</v>
      </c>
      <c r="AV2551" s="25">
        <f>ROUND(G2551*AN2551,2)</f>
        <v>0</v>
      </c>
      <c r="AW2551" s="27" t="s">
        <v>2994</v>
      </c>
      <c r="AX2551" s="27" t="s">
        <v>2945</v>
      </c>
      <c r="AY2551" s="10" t="s">
        <v>2903</v>
      </c>
      <c r="BA2551" s="25">
        <f>AU2551+AV2551</f>
        <v>0</v>
      </c>
      <c r="BB2551" s="25">
        <f>H2551/(100-BC2551)*100</f>
        <v>0</v>
      </c>
      <c r="BC2551" s="25">
        <v>0</v>
      </c>
      <c r="BD2551" s="25">
        <f>M2551</f>
        <v>0</v>
      </c>
      <c r="BF2551" s="25">
        <f>G2551*AM2551</f>
        <v>0</v>
      </c>
      <c r="BG2551" s="25">
        <f>G2551*AN2551</f>
        <v>0</v>
      </c>
      <c r="BH2551" s="25">
        <f>G2551*H2551</f>
        <v>0</v>
      </c>
      <c r="BI2551" s="27" t="s">
        <v>576</v>
      </c>
      <c r="BJ2551" s="25"/>
      <c r="BU2551" s="25" t="e">
        <f>#REF!</f>
        <v>#REF!</v>
      </c>
      <c r="BV2551" s="4" t="s">
        <v>3150</v>
      </c>
    </row>
    <row r="2552" spans="1:74" ht="14.4" x14ac:dyDescent="0.3">
      <c r="A2552" s="2" t="s">
        <v>3151</v>
      </c>
      <c r="B2552" s="3" t="s">
        <v>2900</v>
      </c>
      <c r="C2552" s="3" t="s">
        <v>3152</v>
      </c>
      <c r="D2552" s="112" t="s">
        <v>3153</v>
      </c>
      <c r="E2552" s="109"/>
      <c r="F2552" s="3" t="s">
        <v>2183</v>
      </c>
      <c r="G2552" s="25">
        <v>4</v>
      </c>
      <c r="H2552" s="62"/>
      <c r="I2552" s="25">
        <f>ROUND(G2552*AM2552,2)</f>
        <v>0</v>
      </c>
      <c r="J2552" s="25">
        <f>ROUND(G2552*AN2552,2)</f>
        <v>0</v>
      </c>
      <c r="K2552" s="25">
        <f>ROUND(G2552*H2552,2)</f>
        <v>0</v>
      </c>
      <c r="L2552" s="25">
        <v>0</v>
      </c>
      <c r="M2552" s="25">
        <f>G2552*L2552</f>
        <v>0</v>
      </c>
      <c r="N2552" s="102"/>
      <c r="X2552" s="25">
        <f>ROUND(IF(AO2552="5",BH2552,0),2)</f>
        <v>0</v>
      </c>
      <c r="Z2552" s="25">
        <f>ROUND(IF(AO2552="1",BF2552,0),2)</f>
        <v>0</v>
      </c>
      <c r="AA2552" s="25">
        <f>ROUND(IF(AO2552="1",BG2552,0),2)</f>
        <v>0</v>
      </c>
      <c r="AB2552" s="25">
        <f>ROUND(IF(AO2552="7",BF2552,0),2)</f>
        <v>0</v>
      </c>
      <c r="AC2552" s="25">
        <f>ROUND(IF(AO2552="7",BG2552,0),2)</f>
        <v>0</v>
      </c>
      <c r="AD2552" s="25">
        <f>ROUND(IF(AO2552="2",BF2552,0),2)</f>
        <v>0</v>
      </c>
      <c r="AE2552" s="25">
        <f>ROUND(IF(AO2552="2",BG2552,0),2)</f>
        <v>0</v>
      </c>
      <c r="AF2552" s="25">
        <f>ROUND(IF(AO2552="0",BH2552,0),2)</f>
        <v>0</v>
      </c>
      <c r="AG2552" s="10" t="s">
        <v>2900</v>
      </c>
      <c r="AH2552" s="25">
        <f>IF(AL2552=0,K2552,0)</f>
        <v>0</v>
      </c>
      <c r="AI2552" s="25">
        <f>IF(AL2552=12,K2552,0)</f>
        <v>0</v>
      </c>
      <c r="AJ2552" s="25">
        <f>IF(AL2552=21,K2552,0)</f>
        <v>0</v>
      </c>
      <c r="AL2552" s="25">
        <v>21</v>
      </c>
      <c r="AM2552" s="25">
        <f>H2552*1</f>
        <v>0</v>
      </c>
      <c r="AN2552" s="25">
        <f>H2552*(1-1)</f>
        <v>0</v>
      </c>
      <c r="AO2552" s="27" t="s">
        <v>57</v>
      </c>
      <c r="AT2552" s="25">
        <f>ROUND(AU2552+AV2552,2)</f>
        <v>0</v>
      </c>
      <c r="AU2552" s="25">
        <f>ROUND(G2552*AM2552,2)</f>
        <v>0</v>
      </c>
      <c r="AV2552" s="25">
        <f>ROUND(G2552*AN2552,2)</f>
        <v>0</v>
      </c>
      <c r="AW2552" s="27" t="s">
        <v>2994</v>
      </c>
      <c r="AX2552" s="27" t="s">
        <v>2945</v>
      </c>
      <c r="AY2552" s="10" t="s">
        <v>2903</v>
      </c>
      <c r="BA2552" s="25">
        <f>AU2552+AV2552</f>
        <v>0</v>
      </c>
      <c r="BB2552" s="25">
        <f>H2552/(100-BC2552)*100</f>
        <v>0</v>
      </c>
      <c r="BC2552" s="25">
        <v>0</v>
      </c>
      <c r="BD2552" s="25">
        <f>M2552</f>
        <v>0</v>
      </c>
      <c r="BF2552" s="25">
        <f>G2552*AM2552</f>
        <v>0</v>
      </c>
      <c r="BG2552" s="25">
        <f>G2552*AN2552</f>
        <v>0</v>
      </c>
      <c r="BH2552" s="25">
        <f>G2552*H2552</f>
        <v>0</v>
      </c>
      <c r="BI2552" s="27" t="s">
        <v>576</v>
      </c>
      <c r="BJ2552" s="25"/>
      <c r="BU2552" s="25" t="e">
        <f>#REF!</f>
        <v>#REF!</v>
      </c>
      <c r="BV2552" s="4" t="s">
        <v>3153</v>
      </c>
    </row>
    <row r="2553" spans="1:74" ht="14.4" x14ac:dyDescent="0.3">
      <c r="A2553" s="28"/>
      <c r="D2553" s="29" t="s">
        <v>90</v>
      </c>
      <c r="E2553" s="29" t="s">
        <v>52</v>
      </c>
      <c r="G2553" s="30">
        <v>4</v>
      </c>
      <c r="H2553" s="63"/>
      <c r="N2553" s="31"/>
    </row>
    <row r="2554" spans="1:74" ht="14.4" x14ac:dyDescent="0.3">
      <c r="A2554" s="2" t="s">
        <v>3154</v>
      </c>
      <c r="B2554" s="3" t="s">
        <v>2900</v>
      </c>
      <c r="C2554" s="3" t="s">
        <v>3155</v>
      </c>
      <c r="D2554" s="112" t="s">
        <v>3156</v>
      </c>
      <c r="E2554" s="109"/>
      <c r="F2554" s="3" t="s">
        <v>2183</v>
      </c>
      <c r="G2554" s="25">
        <v>4</v>
      </c>
      <c r="H2554" s="62"/>
      <c r="I2554" s="25">
        <f>ROUND(G2554*AM2554,2)</f>
        <v>0</v>
      </c>
      <c r="J2554" s="25">
        <f>ROUND(G2554*AN2554,2)</f>
        <v>0</v>
      </c>
      <c r="K2554" s="25">
        <f>ROUND(G2554*H2554,2)</f>
        <v>0</v>
      </c>
      <c r="L2554" s="25">
        <v>0</v>
      </c>
      <c r="M2554" s="25">
        <f>G2554*L2554</f>
        <v>0</v>
      </c>
      <c r="N2554" s="102"/>
      <c r="X2554" s="25">
        <f>ROUND(IF(AO2554="5",BH2554,0),2)</f>
        <v>0</v>
      </c>
      <c r="Z2554" s="25">
        <f>ROUND(IF(AO2554="1",BF2554,0),2)</f>
        <v>0</v>
      </c>
      <c r="AA2554" s="25">
        <f>ROUND(IF(AO2554="1",BG2554,0),2)</f>
        <v>0</v>
      </c>
      <c r="AB2554" s="25">
        <f>ROUND(IF(AO2554="7",BF2554,0),2)</f>
        <v>0</v>
      </c>
      <c r="AC2554" s="25">
        <f>ROUND(IF(AO2554="7",BG2554,0),2)</f>
        <v>0</v>
      </c>
      <c r="AD2554" s="25">
        <f>ROUND(IF(AO2554="2",BF2554,0),2)</f>
        <v>0</v>
      </c>
      <c r="AE2554" s="25">
        <f>ROUND(IF(AO2554="2",BG2554,0),2)</f>
        <v>0</v>
      </c>
      <c r="AF2554" s="25">
        <f>ROUND(IF(AO2554="0",BH2554,0),2)</f>
        <v>0</v>
      </c>
      <c r="AG2554" s="10" t="s">
        <v>2900</v>
      </c>
      <c r="AH2554" s="25">
        <f>IF(AL2554=0,K2554,0)</f>
        <v>0</v>
      </c>
      <c r="AI2554" s="25">
        <f>IF(AL2554=12,K2554,0)</f>
        <v>0</v>
      </c>
      <c r="AJ2554" s="25">
        <f>IF(AL2554=21,K2554,0)</f>
        <v>0</v>
      </c>
      <c r="AL2554" s="25">
        <v>21</v>
      </c>
      <c r="AM2554" s="25">
        <f>H2554*1</f>
        <v>0</v>
      </c>
      <c r="AN2554" s="25">
        <f>H2554*(1-1)</f>
        <v>0</v>
      </c>
      <c r="AO2554" s="27" t="s">
        <v>57</v>
      </c>
      <c r="AT2554" s="25">
        <f>ROUND(AU2554+AV2554,2)</f>
        <v>0</v>
      </c>
      <c r="AU2554" s="25">
        <f>ROUND(G2554*AM2554,2)</f>
        <v>0</v>
      </c>
      <c r="AV2554" s="25">
        <f>ROUND(G2554*AN2554,2)</f>
        <v>0</v>
      </c>
      <c r="AW2554" s="27" t="s">
        <v>2994</v>
      </c>
      <c r="AX2554" s="27" t="s">
        <v>2945</v>
      </c>
      <c r="AY2554" s="10" t="s">
        <v>2903</v>
      </c>
      <c r="BA2554" s="25">
        <f>AU2554+AV2554</f>
        <v>0</v>
      </c>
      <c r="BB2554" s="25">
        <f>H2554/(100-BC2554)*100</f>
        <v>0</v>
      </c>
      <c r="BC2554" s="25">
        <v>0</v>
      </c>
      <c r="BD2554" s="25">
        <f>M2554</f>
        <v>0</v>
      </c>
      <c r="BF2554" s="25">
        <f>G2554*AM2554</f>
        <v>0</v>
      </c>
      <c r="BG2554" s="25">
        <f>G2554*AN2554</f>
        <v>0</v>
      </c>
      <c r="BH2554" s="25">
        <f>G2554*H2554</f>
        <v>0</v>
      </c>
      <c r="BI2554" s="27" t="s">
        <v>576</v>
      </c>
      <c r="BJ2554" s="25"/>
      <c r="BU2554" s="25" t="e">
        <f>#REF!</f>
        <v>#REF!</v>
      </c>
      <c r="BV2554" s="4" t="s">
        <v>3156</v>
      </c>
    </row>
    <row r="2555" spans="1:74" ht="14.4" x14ac:dyDescent="0.3">
      <c r="A2555" s="28"/>
      <c r="D2555" s="29" t="s">
        <v>90</v>
      </c>
      <c r="E2555" s="29" t="s">
        <v>52</v>
      </c>
      <c r="G2555" s="30">
        <v>4</v>
      </c>
      <c r="H2555" s="63"/>
      <c r="N2555" s="31"/>
    </row>
    <row r="2556" spans="1:74" ht="14.4" x14ac:dyDescent="0.3">
      <c r="A2556" s="2" t="s">
        <v>3157</v>
      </c>
      <c r="B2556" s="3" t="s">
        <v>2900</v>
      </c>
      <c r="C2556" s="3" t="s">
        <v>3158</v>
      </c>
      <c r="D2556" s="112" t="s">
        <v>3159</v>
      </c>
      <c r="E2556" s="109"/>
      <c r="F2556" s="3" t="s">
        <v>2183</v>
      </c>
      <c r="G2556" s="25">
        <v>4</v>
      </c>
      <c r="H2556" s="62"/>
      <c r="I2556" s="25">
        <f>ROUND(G2556*AM2556,2)</f>
        <v>0</v>
      </c>
      <c r="J2556" s="25">
        <f>ROUND(G2556*AN2556,2)</f>
        <v>0</v>
      </c>
      <c r="K2556" s="25">
        <f>ROUND(G2556*H2556,2)</f>
        <v>0</v>
      </c>
      <c r="L2556" s="25">
        <v>0</v>
      </c>
      <c r="M2556" s="25">
        <f>G2556*L2556</f>
        <v>0</v>
      </c>
      <c r="N2556" s="102"/>
      <c r="X2556" s="25">
        <f>ROUND(IF(AO2556="5",BH2556,0),2)</f>
        <v>0</v>
      </c>
      <c r="Z2556" s="25">
        <f>ROUND(IF(AO2556="1",BF2556,0),2)</f>
        <v>0</v>
      </c>
      <c r="AA2556" s="25">
        <f>ROUND(IF(AO2556="1",BG2556,0),2)</f>
        <v>0</v>
      </c>
      <c r="AB2556" s="25">
        <f>ROUND(IF(AO2556="7",BF2556,0),2)</f>
        <v>0</v>
      </c>
      <c r="AC2556" s="25">
        <f>ROUND(IF(AO2556="7",BG2556,0),2)</f>
        <v>0</v>
      </c>
      <c r="AD2556" s="25">
        <f>ROUND(IF(AO2556="2",BF2556,0),2)</f>
        <v>0</v>
      </c>
      <c r="AE2556" s="25">
        <f>ROUND(IF(AO2556="2",BG2556,0),2)</f>
        <v>0</v>
      </c>
      <c r="AF2556" s="25">
        <f>ROUND(IF(AO2556="0",BH2556,0),2)</f>
        <v>0</v>
      </c>
      <c r="AG2556" s="10" t="s">
        <v>2900</v>
      </c>
      <c r="AH2556" s="25">
        <f>IF(AL2556=0,K2556,0)</f>
        <v>0</v>
      </c>
      <c r="AI2556" s="25">
        <f>IF(AL2556=12,K2556,0)</f>
        <v>0</v>
      </c>
      <c r="AJ2556" s="25">
        <f>IF(AL2556=21,K2556,0)</f>
        <v>0</v>
      </c>
      <c r="AL2556" s="25">
        <v>21</v>
      </c>
      <c r="AM2556" s="25">
        <f>H2556*1</f>
        <v>0</v>
      </c>
      <c r="AN2556" s="25">
        <f>H2556*(1-1)</f>
        <v>0</v>
      </c>
      <c r="AO2556" s="27" t="s">
        <v>57</v>
      </c>
      <c r="AT2556" s="25">
        <f>ROUND(AU2556+AV2556,2)</f>
        <v>0</v>
      </c>
      <c r="AU2556" s="25">
        <f>ROUND(G2556*AM2556,2)</f>
        <v>0</v>
      </c>
      <c r="AV2556" s="25">
        <f>ROUND(G2556*AN2556,2)</f>
        <v>0</v>
      </c>
      <c r="AW2556" s="27" t="s">
        <v>2994</v>
      </c>
      <c r="AX2556" s="27" t="s">
        <v>2945</v>
      </c>
      <c r="AY2556" s="10" t="s">
        <v>2903</v>
      </c>
      <c r="BA2556" s="25">
        <f>AU2556+AV2556</f>
        <v>0</v>
      </c>
      <c r="BB2556" s="25">
        <f>H2556/(100-BC2556)*100</f>
        <v>0</v>
      </c>
      <c r="BC2556" s="25">
        <v>0</v>
      </c>
      <c r="BD2556" s="25">
        <f>M2556</f>
        <v>0</v>
      </c>
      <c r="BF2556" s="25">
        <f>G2556*AM2556</f>
        <v>0</v>
      </c>
      <c r="BG2556" s="25">
        <f>G2556*AN2556</f>
        <v>0</v>
      </c>
      <c r="BH2556" s="25">
        <f>G2556*H2556</f>
        <v>0</v>
      </c>
      <c r="BI2556" s="27" t="s">
        <v>576</v>
      </c>
      <c r="BJ2556" s="25"/>
      <c r="BU2556" s="25" t="e">
        <f>#REF!</f>
        <v>#REF!</v>
      </c>
      <c r="BV2556" s="4" t="s">
        <v>3159</v>
      </c>
    </row>
    <row r="2557" spans="1:74" ht="14.4" x14ac:dyDescent="0.3">
      <c r="A2557" s="28"/>
      <c r="D2557" s="29" t="s">
        <v>90</v>
      </c>
      <c r="E2557" s="29" t="s">
        <v>52</v>
      </c>
      <c r="G2557" s="30">
        <v>4</v>
      </c>
      <c r="H2557" s="63"/>
      <c r="N2557" s="31"/>
    </row>
    <row r="2558" spans="1:74" ht="14.4" x14ac:dyDescent="0.3">
      <c r="A2558" s="2" t="s">
        <v>3160</v>
      </c>
      <c r="B2558" s="3" t="s">
        <v>2900</v>
      </c>
      <c r="C2558" s="3" t="s">
        <v>3161</v>
      </c>
      <c r="D2558" s="112" t="s">
        <v>3162</v>
      </c>
      <c r="E2558" s="109"/>
      <c r="F2558" s="3" t="s">
        <v>2183</v>
      </c>
      <c r="G2558" s="25">
        <v>24</v>
      </c>
      <c r="H2558" s="62"/>
      <c r="I2558" s="25">
        <f>ROUND(G2558*AM2558,2)</f>
        <v>0</v>
      </c>
      <c r="J2558" s="25">
        <f>ROUND(G2558*AN2558,2)</f>
        <v>0</v>
      </c>
      <c r="K2558" s="25">
        <f>ROUND(G2558*H2558,2)</f>
        <v>0</v>
      </c>
      <c r="L2558" s="25">
        <v>0</v>
      </c>
      <c r="M2558" s="25">
        <f>G2558*L2558</f>
        <v>0</v>
      </c>
      <c r="N2558" s="102"/>
      <c r="X2558" s="25">
        <f>ROUND(IF(AO2558="5",BH2558,0),2)</f>
        <v>0</v>
      </c>
      <c r="Z2558" s="25">
        <f>ROUND(IF(AO2558="1",BF2558,0),2)</f>
        <v>0</v>
      </c>
      <c r="AA2558" s="25">
        <f>ROUND(IF(AO2558="1",BG2558,0),2)</f>
        <v>0</v>
      </c>
      <c r="AB2558" s="25">
        <f>ROUND(IF(AO2558="7",BF2558,0),2)</f>
        <v>0</v>
      </c>
      <c r="AC2558" s="25">
        <f>ROUND(IF(AO2558="7",BG2558,0),2)</f>
        <v>0</v>
      </c>
      <c r="AD2558" s="25">
        <f>ROUND(IF(AO2558="2",BF2558,0),2)</f>
        <v>0</v>
      </c>
      <c r="AE2558" s="25">
        <f>ROUND(IF(AO2558="2",BG2558,0),2)</f>
        <v>0</v>
      </c>
      <c r="AF2558" s="25">
        <f>ROUND(IF(AO2558="0",BH2558,0),2)</f>
        <v>0</v>
      </c>
      <c r="AG2558" s="10" t="s">
        <v>2900</v>
      </c>
      <c r="AH2558" s="25">
        <f>IF(AL2558=0,K2558,0)</f>
        <v>0</v>
      </c>
      <c r="AI2558" s="25">
        <f>IF(AL2558=12,K2558,0)</f>
        <v>0</v>
      </c>
      <c r="AJ2558" s="25">
        <f>IF(AL2558=21,K2558,0)</f>
        <v>0</v>
      </c>
      <c r="AL2558" s="25">
        <v>21</v>
      </c>
      <c r="AM2558" s="25">
        <f>H2558*1</f>
        <v>0</v>
      </c>
      <c r="AN2558" s="25">
        <f>H2558*(1-1)</f>
        <v>0</v>
      </c>
      <c r="AO2558" s="27" t="s">
        <v>57</v>
      </c>
      <c r="AT2558" s="25">
        <f>ROUND(AU2558+AV2558,2)</f>
        <v>0</v>
      </c>
      <c r="AU2558" s="25">
        <f>ROUND(G2558*AM2558,2)</f>
        <v>0</v>
      </c>
      <c r="AV2558" s="25">
        <f>ROUND(G2558*AN2558,2)</f>
        <v>0</v>
      </c>
      <c r="AW2558" s="27" t="s">
        <v>2994</v>
      </c>
      <c r="AX2558" s="27" t="s">
        <v>2945</v>
      </c>
      <c r="AY2558" s="10" t="s">
        <v>2903</v>
      </c>
      <c r="BA2558" s="25">
        <f>AU2558+AV2558</f>
        <v>0</v>
      </c>
      <c r="BB2558" s="25">
        <f>H2558/(100-BC2558)*100</f>
        <v>0</v>
      </c>
      <c r="BC2558" s="25">
        <v>0</v>
      </c>
      <c r="BD2558" s="25">
        <f>M2558</f>
        <v>0</v>
      </c>
      <c r="BF2558" s="25">
        <f>G2558*AM2558</f>
        <v>0</v>
      </c>
      <c r="BG2558" s="25">
        <f>G2558*AN2558</f>
        <v>0</v>
      </c>
      <c r="BH2558" s="25">
        <f>G2558*H2558</f>
        <v>0</v>
      </c>
      <c r="BI2558" s="27" t="s">
        <v>576</v>
      </c>
      <c r="BJ2558" s="25"/>
      <c r="BU2558" s="25" t="e">
        <f>#REF!</f>
        <v>#REF!</v>
      </c>
      <c r="BV2558" s="4" t="s">
        <v>3162</v>
      </c>
    </row>
    <row r="2559" spans="1:74" ht="14.4" x14ac:dyDescent="0.3">
      <c r="A2559" s="28"/>
      <c r="D2559" s="29" t="s">
        <v>232</v>
      </c>
      <c r="E2559" s="29" t="s">
        <v>52</v>
      </c>
      <c r="G2559" s="30">
        <v>24</v>
      </c>
      <c r="H2559" s="63"/>
      <c r="N2559" s="31"/>
    </row>
    <row r="2560" spans="1:74" ht="14.4" x14ac:dyDescent="0.3">
      <c r="A2560" s="2" t="s">
        <v>3163</v>
      </c>
      <c r="B2560" s="3" t="s">
        <v>2900</v>
      </c>
      <c r="C2560" s="3" t="s">
        <v>3164</v>
      </c>
      <c r="D2560" s="112" t="s">
        <v>3165</v>
      </c>
      <c r="E2560" s="109"/>
      <c r="F2560" s="3" t="s">
        <v>2183</v>
      </c>
      <c r="G2560" s="25">
        <v>36</v>
      </c>
      <c r="H2560" s="62"/>
      <c r="I2560" s="25">
        <f>ROUND(G2560*AM2560,2)</f>
        <v>0</v>
      </c>
      <c r="J2560" s="25">
        <f>ROUND(G2560*AN2560,2)</f>
        <v>0</v>
      </c>
      <c r="K2560" s="25">
        <f>ROUND(G2560*H2560,2)</f>
        <v>0</v>
      </c>
      <c r="L2560" s="25">
        <v>0</v>
      </c>
      <c r="M2560" s="25">
        <f>G2560*L2560</f>
        <v>0</v>
      </c>
      <c r="N2560" s="102"/>
      <c r="X2560" s="25">
        <f>ROUND(IF(AO2560="5",BH2560,0),2)</f>
        <v>0</v>
      </c>
      <c r="Z2560" s="25">
        <f>ROUND(IF(AO2560="1",BF2560,0),2)</f>
        <v>0</v>
      </c>
      <c r="AA2560" s="25">
        <f>ROUND(IF(AO2560="1",BG2560,0),2)</f>
        <v>0</v>
      </c>
      <c r="AB2560" s="25">
        <f>ROUND(IF(AO2560="7",BF2560,0),2)</f>
        <v>0</v>
      </c>
      <c r="AC2560" s="25">
        <f>ROUND(IF(AO2560="7",BG2560,0),2)</f>
        <v>0</v>
      </c>
      <c r="AD2560" s="25">
        <f>ROUND(IF(AO2560="2",BF2560,0),2)</f>
        <v>0</v>
      </c>
      <c r="AE2560" s="25">
        <f>ROUND(IF(AO2560="2",BG2560,0),2)</f>
        <v>0</v>
      </c>
      <c r="AF2560" s="25">
        <f>ROUND(IF(AO2560="0",BH2560,0),2)</f>
        <v>0</v>
      </c>
      <c r="AG2560" s="10" t="s">
        <v>2900</v>
      </c>
      <c r="AH2560" s="25">
        <f>IF(AL2560=0,K2560,0)</f>
        <v>0</v>
      </c>
      <c r="AI2560" s="25">
        <f>IF(AL2560=12,K2560,0)</f>
        <v>0</v>
      </c>
      <c r="AJ2560" s="25">
        <f>IF(AL2560=21,K2560,0)</f>
        <v>0</v>
      </c>
      <c r="AL2560" s="25">
        <v>21</v>
      </c>
      <c r="AM2560" s="25">
        <f>H2560*1</f>
        <v>0</v>
      </c>
      <c r="AN2560" s="25">
        <f>H2560*(1-1)</f>
        <v>0</v>
      </c>
      <c r="AO2560" s="27" t="s">
        <v>57</v>
      </c>
      <c r="AT2560" s="25">
        <f>ROUND(AU2560+AV2560,2)</f>
        <v>0</v>
      </c>
      <c r="AU2560" s="25">
        <f>ROUND(G2560*AM2560,2)</f>
        <v>0</v>
      </c>
      <c r="AV2560" s="25">
        <f>ROUND(G2560*AN2560,2)</f>
        <v>0</v>
      </c>
      <c r="AW2560" s="27" t="s">
        <v>2994</v>
      </c>
      <c r="AX2560" s="27" t="s">
        <v>2945</v>
      </c>
      <c r="AY2560" s="10" t="s">
        <v>2903</v>
      </c>
      <c r="BA2560" s="25">
        <f>AU2560+AV2560</f>
        <v>0</v>
      </c>
      <c r="BB2560" s="25">
        <f>H2560/(100-BC2560)*100</f>
        <v>0</v>
      </c>
      <c r="BC2560" s="25">
        <v>0</v>
      </c>
      <c r="BD2560" s="25">
        <f>M2560</f>
        <v>0</v>
      </c>
      <c r="BF2560" s="25">
        <f>G2560*AM2560</f>
        <v>0</v>
      </c>
      <c r="BG2560" s="25">
        <f>G2560*AN2560</f>
        <v>0</v>
      </c>
      <c r="BH2560" s="25">
        <f>G2560*H2560</f>
        <v>0</v>
      </c>
      <c r="BI2560" s="27" t="s">
        <v>576</v>
      </c>
      <c r="BJ2560" s="25"/>
      <c r="BU2560" s="25" t="e">
        <f>#REF!</f>
        <v>#REF!</v>
      </c>
      <c r="BV2560" s="4" t="s">
        <v>3165</v>
      </c>
    </row>
    <row r="2561" spans="1:74" ht="14.4" x14ac:dyDescent="0.3">
      <c r="A2561" s="28"/>
      <c r="D2561" s="29" t="s">
        <v>294</v>
      </c>
      <c r="E2561" s="29" t="s">
        <v>52</v>
      </c>
      <c r="G2561" s="30">
        <v>36</v>
      </c>
      <c r="H2561" s="63"/>
      <c r="N2561" s="31"/>
    </row>
    <row r="2562" spans="1:74" ht="14.4" x14ac:dyDescent="0.3">
      <c r="A2562" s="2" t="s">
        <v>3166</v>
      </c>
      <c r="B2562" s="3" t="s">
        <v>2900</v>
      </c>
      <c r="C2562" s="3" t="s">
        <v>3167</v>
      </c>
      <c r="D2562" s="112" t="s">
        <v>3168</v>
      </c>
      <c r="E2562" s="109"/>
      <c r="F2562" s="3" t="s">
        <v>2183</v>
      </c>
      <c r="G2562" s="25">
        <v>4</v>
      </c>
      <c r="H2562" s="62"/>
      <c r="I2562" s="25">
        <f>ROUND(G2562*AM2562,2)</f>
        <v>0</v>
      </c>
      <c r="J2562" s="25">
        <f>ROUND(G2562*AN2562,2)</f>
        <v>0</v>
      </c>
      <c r="K2562" s="25">
        <f>ROUND(G2562*H2562,2)</f>
        <v>0</v>
      </c>
      <c r="L2562" s="25">
        <v>0</v>
      </c>
      <c r="M2562" s="25">
        <f>G2562*L2562</f>
        <v>0</v>
      </c>
      <c r="N2562" s="102"/>
      <c r="X2562" s="25">
        <f>ROUND(IF(AO2562="5",BH2562,0),2)</f>
        <v>0</v>
      </c>
      <c r="Z2562" s="25">
        <f>ROUND(IF(AO2562="1",BF2562,0),2)</f>
        <v>0</v>
      </c>
      <c r="AA2562" s="25">
        <f>ROUND(IF(AO2562="1",BG2562,0),2)</f>
        <v>0</v>
      </c>
      <c r="AB2562" s="25">
        <f>ROUND(IF(AO2562="7",BF2562,0),2)</f>
        <v>0</v>
      </c>
      <c r="AC2562" s="25">
        <f>ROUND(IF(AO2562="7",BG2562,0),2)</f>
        <v>0</v>
      </c>
      <c r="AD2562" s="25">
        <f>ROUND(IF(AO2562="2",BF2562,0),2)</f>
        <v>0</v>
      </c>
      <c r="AE2562" s="25">
        <f>ROUND(IF(AO2562="2",BG2562,0),2)</f>
        <v>0</v>
      </c>
      <c r="AF2562" s="25">
        <f>ROUND(IF(AO2562="0",BH2562,0),2)</f>
        <v>0</v>
      </c>
      <c r="AG2562" s="10" t="s">
        <v>2900</v>
      </c>
      <c r="AH2562" s="25">
        <f>IF(AL2562=0,K2562,0)</f>
        <v>0</v>
      </c>
      <c r="AI2562" s="25">
        <f>IF(AL2562=12,K2562,0)</f>
        <v>0</v>
      </c>
      <c r="AJ2562" s="25">
        <f>IF(AL2562=21,K2562,0)</f>
        <v>0</v>
      </c>
      <c r="AL2562" s="25">
        <v>21</v>
      </c>
      <c r="AM2562" s="25">
        <f>H2562*1</f>
        <v>0</v>
      </c>
      <c r="AN2562" s="25">
        <f>H2562*(1-1)</f>
        <v>0</v>
      </c>
      <c r="AO2562" s="27" t="s">
        <v>57</v>
      </c>
      <c r="AT2562" s="25">
        <f>ROUND(AU2562+AV2562,2)</f>
        <v>0</v>
      </c>
      <c r="AU2562" s="25">
        <f>ROUND(G2562*AM2562,2)</f>
        <v>0</v>
      </c>
      <c r="AV2562" s="25">
        <f>ROUND(G2562*AN2562,2)</f>
        <v>0</v>
      </c>
      <c r="AW2562" s="27" t="s">
        <v>2994</v>
      </c>
      <c r="AX2562" s="27" t="s">
        <v>2945</v>
      </c>
      <c r="AY2562" s="10" t="s">
        <v>2903</v>
      </c>
      <c r="BA2562" s="25">
        <f>AU2562+AV2562</f>
        <v>0</v>
      </c>
      <c r="BB2562" s="25">
        <f>H2562/(100-BC2562)*100</f>
        <v>0</v>
      </c>
      <c r="BC2562" s="25">
        <v>0</v>
      </c>
      <c r="BD2562" s="25">
        <f>M2562</f>
        <v>0</v>
      </c>
      <c r="BF2562" s="25">
        <f>G2562*AM2562</f>
        <v>0</v>
      </c>
      <c r="BG2562" s="25">
        <f>G2562*AN2562</f>
        <v>0</v>
      </c>
      <c r="BH2562" s="25">
        <f>G2562*H2562</f>
        <v>0</v>
      </c>
      <c r="BI2562" s="27" t="s">
        <v>576</v>
      </c>
      <c r="BJ2562" s="25"/>
      <c r="BU2562" s="25" t="e">
        <f>#REF!</f>
        <v>#REF!</v>
      </c>
      <c r="BV2562" s="4" t="s">
        <v>3168</v>
      </c>
    </row>
    <row r="2563" spans="1:74" ht="14.4" x14ac:dyDescent="0.3">
      <c r="A2563" s="28"/>
      <c r="D2563" s="29" t="s">
        <v>90</v>
      </c>
      <c r="E2563" s="29" t="s">
        <v>52</v>
      </c>
      <c r="G2563" s="30">
        <v>4</v>
      </c>
      <c r="H2563" s="63"/>
      <c r="N2563" s="31"/>
    </row>
    <row r="2564" spans="1:74" ht="14.4" x14ac:dyDescent="0.3">
      <c r="A2564" s="2" t="s">
        <v>3169</v>
      </c>
      <c r="B2564" s="3" t="s">
        <v>2900</v>
      </c>
      <c r="C2564" s="3" t="s">
        <v>3170</v>
      </c>
      <c r="D2564" s="112" t="s">
        <v>3171</v>
      </c>
      <c r="E2564" s="109"/>
      <c r="F2564" s="3" t="s">
        <v>115</v>
      </c>
      <c r="G2564" s="25">
        <v>80</v>
      </c>
      <c r="H2564" s="62"/>
      <c r="I2564" s="25">
        <f>ROUND(G2564*AM2564,2)</f>
        <v>0</v>
      </c>
      <c r="J2564" s="25">
        <f>ROUND(G2564*AN2564,2)</f>
        <v>0</v>
      </c>
      <c r="K2564" s="25">
        <f>ROUND(G2564*H2564,2)</f>
        <v>0</v>
      </c>
      <c r="L2564" s="25">
        <v>6.3000000000000003E-4</v>
      </c>
      <c r="M2564" s="25">
        <f>G2564*L2564</f>
        <v>5.04E-2</v>
      </c>
      <c r="N2564" s="26"/>
      <c r="X2564" s="25">
        <f>ROUND(IF(AO2564="5",BH2564,0),2)</f>
        <v>0</v>
      </c>
      <c r="Z2564" s="25">
        <f>ROUND(IF(AO2564="1",BF2564,0),2)</f>
        <v>0</v>
      </c>
      <c r="AA2564" s="25">
        <f>ROUND(IF(AO2564="1",BG2564,0),2)</f>
        <v>0</v>
      </c>
      <c r="AB2564" s="25">
        <f>ROUND(IF(AO2564="7",BF2564,0),2)</f>
        <v>0</v>
      </c>
      <c r="AC2564" s="25">
        <f>ROUND(IF(AO2564="7",BG2564,0),2)</f>
        <v>0</v>
      </c>
      <c r="AD2564" s="25">
        <f>ROUND(IF(AO2564="2",BF2564,0),2)</f>
        <v>0</v>
      </c>
      <c r="AE2564" s="25">
        <f>ROUND(IF(AO2564="2",BG2564,0),2)</f>
        <v>0</v>
      </c>
      <c r="AF2564" s="25">
        <f>ROUND(IF(AO2564="0",BH2564,0),2)</f>
        <v>0</v>
      </c>
      <c r="AG2564" s="10" t="s">
        <v>2900</v>
      </c>
      <c r="AH2564" s="25">
        <f>IF(AL2564=0,K2564,0)</f>
        <v>0</v>
      </c>
      <c r="AI2564" s="25">
        <f>IF(AL2564=12,K2564,0)</f>
        <v>0</v>
      </c>
      <c r="AJ2564" s="25">
        <f>IF(AL2564=21,K2564,0)</f>
        <v>0</v>
      </c>
      <c r="AL2564" s="25">
        <v>21</v>
      </c>
      <c r="AM2564" s="25">
        <f>H2564*1</f>
        <v>0</v>
      </c>
      <c r="AN2564" s="25">
        <f>H2564*(1-1)</f>
        <v>0</v>
      </c>
      <c r="AO2564" s="27" t="s">
        <v>57</v>
      </c>
      <c r="AT2564" s="25">
        <f>ROUND(AU2564+AV2564,2)</f>
        <v>0</v>
      </c>
      <c r="AU2564" s="25">
        <f>ROUND(G2564*AM2564,2)</f>
        <v>0</v>
      </c>
      <c r="AV2564" s="25">
        <f>ROUND(G2564*AN2564,2)</f>
        <v>0</v>
      </c>
      <c r="AW2564" s="27" t="s">
        <v>2994</v>
      </c>
      <c r="AX2564" s="27" t="s">
        <v>2945</v>
      </c>
      <c r="AY2564" s="10" t="s">
        <v>2903</v>
      </c>
      <c r="BA2564" s="25">
        <f>AU2564+AV2564</f>
        <v>0</v>
      </c>
      <c r="BB2564" s="25">
        <f>H2564/(100-BC2564)*100</f>
        <v>0</v>
      </c>
      <c r="BC2564" s="25">
        <v>0</v>
      </c>
      <c r="BD2564" s="25">
        <f>M2564</f>
        <v>5.04E-2</v>
      </c>
      <c r="BF2564" s="25">
        <f>G2564*AM2564</f>
        <v>0</v>
      </c>
      <c r="BG2564" s="25">
        <f>G2564*AN2564</f>
        <v>0</v>
      </c>
      <c r="BH2564" s="25">
        <f>G2564*H2564</f>
        <v>0</v>
      </c>
      <c r="BI2564" s="27" t="s">
        <v>576</v>
      </c>
      <c r="BJ2564" s="25"/>
      <c r="BU2564" s="25" t="e">
        <f>#REF!</f>
        <v>#REF!</v>
      </c>
      <c r="BV2564" s="4" t="s">
        <v>3171</v>
      </c>
    </row>
    <row r="2565" spans="1:74" ht="14.4" x14ac:dyDescent="0.3">
      <c r="A2565" s="28"/>
      <c r="D2565" s="29" t="s">
        <v>513</v>
      </c>
      <c r="E2565" s="29" t="s">
        <v>52</v>
      </c>
      <c r="G2565" s="30">
        <v>80</v>
      </c>
      <c r="H2565" s="63"/>
      <c r="N2565" s="31"/>
    </row>
    <row r="2566" spans="1:74" ht="14.4" x14ac:dyDescent="0.3">
      <c r="A2566" s="2" t="s">
        <v>3172</v>
      </c>
      <c r="B2566" s="3" t="s">
        <v>2900</v>
      </c>
      <c r="C2566" s="3" t="s">
        <v>3173</v>
      </c>
      <c r="D2566" s="112" t="s">
        <v>3174</v>
      </c>
      <c r="E2566" s="109"/>
      <c r="F2566" s="3" t="s">
        <v>2183</v>
      </c>
      <c r="G2566" s="25">
        <v>4</v>
      </c>
      <c r="H2566" s="62"/>
      <c r="I2566" s="25">
        <f>ROUND(G2566*AM2566,2)</f>
        <v>0</v>
      </c>
      <c r="J2566" s="25">
        <f>ROUND(G2566*AN2566,2)</f>
        <v>0</v>
      </c>
      <c r="K2566" s="25">
        <f>ROUND(G2566*H2566,2)</f>
        <v>0</v>
      </c>
      <c r="L2566" s="25">
        <v>0</v>
      </c>
      <c r="M2566" s="25">
        <f>G2566*L2566</f>
        <v>0</v>
      </c>
      <c r="N2566" s="102"/>
      <c r="X2566" s="25">
        <f>ROUND(IF(AO2566="5",BH2566,0),2)</f>
        <v>0</v>
      </c>
      <c r="Z2566" s="25">
        <f>ROUND(IF(AO2566="1",BF2566,0),2)</f>
        <v>0</v>
      </c>
      <c r="AA2566" s="25">
        <f>ROUND(IF(AO2566="1",BG2566,0),2)</f>
        <v>0</v>
      </c>
      <c r="AB2566" s="25">
        <f>ROUND(IF(AO2566="7",BF2566,0),2)</f>
        <v>0</v>
      </c>
      <c r="AC2566" s="25">
        <f>ROUND(IF(AO2566="7",BG2566,0),2)</f>
        <v>0</v>
      </c>
      <c r="AD2566" s="25">
        <f>ROUND(IF(AO2566="2",BF2566,0),2)</f>
        <v>0</v>
      </c>
      <c r="AE2566" s="25">
        <f>ROUND(IF(AO2566="2",BG2566,0),2)</f>
        <v>0</v>
      </c>
      <c r="AF2566" s="25">
        <f>ROUND(IF(AO2566="0",BH2566,0),2)</f>
        <v>0</v>
      </c>
      <c r="AG2566" s="10" t="s">
        <v>2900</v>
      </c>
      <c r="AH2566" s="25">
        <f>IF(AL2566=0,K2566,0)</f>
        <v>0</v>
      </c>
      <c r="AI2566" s="25">
        <f>IF(AL2566=12,K2566,0)</f>
        <v>0</v>
      </c>
      <c r="AJ2566" s="25">
        <f>IF(AL2566=21,K2566,0)</f>
        <v>0</v>
      </c>
      <c r="AL2566" s="25">
        <v>21</v>
      </c>
      <c r="AM2566" s="25">
        <f>H2566*1</f>
        <v>0</v>
      </c>
      <c r="AN2566" s="25">
        <f>H2566*(1-1)</f>
        <v>0</v>
      </c>
      <c r="AO2566" s="27" t="s">
        <v>57</v>
      </c>
      <c r="AT2566" s="25">
        <f>ROUND(AU2566+AV2566,2)</f>
        <v>0</v>
      </c>
      <c r="AU2566" s="25">
        <f>ROUND(G2566*AM2566,2)</f>
        <v>0</v>
      </c>
      <c r="AV2566" s="25">
        <f>ROUND(G2566*AN2566,2)</f>
        <v>0</v>
      </c>
      <c r="AW2566" s="27" t="s">
        <v>2994</v>
      </c>
      <c r="AX2566" s="27" t="s">
        <v>2945</v>
      </c>
      <c r="AY2566" s="10" t="s">
        <v>2903</v>
      </c>
      <c r="BA2566" s="25">
        <f>AU2566+AV2566</f>
        <v>0</v>
      </c>
      <c r="BB2566" s="25">
        <f>H2566/(100-BC2566)*100</f>
        <v>0</v>
      </c>
      <c r="BC2566" s="25">
        <v>0</v>
      </c>
      <c r="BD2566" s="25">
        <f>M2566</f>
        <v>0</v>
      </c>
      <c r="BF2566" s="25">
        <f>G2566*AM2566</f>
        <v>0</v>
      </c>
      <c r="BG2566" s="25">
        <f>G2566*AN2566</f>
        <v>0</v>
      </c>
      <c r="BH2566" s="25">
        <f>G2566*H2566</f>
        <v>0</v>
      </c>
      <c r="BI2566" s="27" t="s">
        <v>576</v>
      </c>
      <c r="BJ2566" s="25"/>
      <c r="BU2566" s="25" t="e">
        <f>#REF!</f>
        <v>#REF!</v>
      </c>
      <c r="BV2566" s="4" t="s">
        <v>3174</v>
      </c>
    </row>
    <row r="2567" spans="1:74" ht="14.4" x14ac:dyDescent="0.3">
      <c r="A2567" s="28"/>
      <c r="D2567" s="29" t="s">
        <v>90</v>
      </c>
      <c r="E2567" s="29" t="s">
        <v>52</v>
      </c>
      <c r="G2567" s="30">
        <v>4</v>
      </c>
      <c r="H2567" s="63"/>
      <c r="N2567" s="31"/>
    </row>
    <row r="2568" spans="1:74" ht="14.4" x14ac:dyDescent="0.3">
      <c r="A2568" s="2" t="s">
        <v>3175</v>
      </c>
      <c r="B2568" s="3" t="s">
        <v>2900</v>
      </c>
      <c r="C2568" s="3" t="s">
        <v>3176</v>
      </c>
      <c r="D2568" s="112" t="s">
        <v>3177</v>
      </c>
      <c r="E2568" s="109"/>
      <c r="F2568" s="3" t="s">
        <v>2183</v>
      </c>
      <c r="G2568" s="25">
        <v>100</v>
      </c>
      <c r="H2568" s="62"/>
      <c r="I2568" s="25">
        <f>ROUND(G2568*AM2568,2)</f>
        <v>0</v>
      </c>
      <c r="J2568" s="25">
        <f>ROUND(G2568*AN2568,2)</f>
        <v>0</v>
      </c>
      <c r="K2568" s="25">
        <f>ROUND(G2568*H2568,2)</f>
        <v>0</v>
      </c>
      <c r="L2568" s="25">
        <v>0</v>
      </c>
      <c r="M2568" s="25">
        <f>G2568*L2568</f>
        <v>0</v>
      </c>
      <c r="N2568" s="102"/>
      <c r="X2568" s="25">
        <f>ROUND(IF(AO2568="5",BH2568,0),2)</f>
        <v>0</v>
      </c>
      <c r="Z2568" s="25">
        <f>ROUND(IF(AO2568="1",BF2568,0),2)</f>
        <v>0</v>
      </c>
      <c r="AA2568" s="25">
        <f>ROUND(IF(AO2568="1",BG2568,0),2)</f>
        <v>0</v>
      </c>
      <c r="AB2568" s="25">
        <f>ROUND(IF(AO2568="7",BF2568,0),2)</f>
        <v>0</v>
      </c>
      <c r="AC2568" s="25">
        <f>ROUND(IF(AO2568="7",BG2568,0),2)</f>
        <v>0</v>
      </c>
      <c r="AD2568" s="25">
        <f>ROUND(IF(AO2568="2",BF2568,0),2)</f>
        <v>0</v>
      </c>
      <c r="AE2568" s="25">
        <f>ROUND(IF(AO2568="2",BG2568,0),2)</f>
        <v>0</v>
      </c>
      <c r="AF2568" s="25">
        <f>ROUND(IF(AO2568="0",BH2568,0),2)</f>
        <v>0</v>
      </c>
      <c r="AG2568" s="10" t="s">
        <v>2900</v>
      </c>
      <c r="AH2568" s="25">
        <f>IF(AL2568=0,K2568,0)</f>
        <v>0</v>
      </c>
      <c r="AI2568" s="25">
        <f>IF(AL2568=12,K2568,0)</f>
        <v>0</v>
      </c>
      <c r="AJ2568" s="25">
        <f>IF(AL2568=21,K2568,0)</f>
        <v>0</v>
      </c>
      <c r="AL2568" s="25">
        <v>21</v>
      </c>
      <c r="AM2568" s="25">
        <f>H2568*1</f>
        <v>0</v>
      </c>
      <c r="AN2568" s="25">
        <f>H2568*(1-1)</f>
        <v>0</v>
      </c>
      <c r="AO2568" s="27" t="s">
        <v>57</v>
      </c>
      <c r="AT2568" s="25">
        <f>ROUND(AU2568+AV2568,2)</f>
        <v>0</v>
      </c>
      <c r="AU2568" s="25">
        <f>ROUND(G2568*AM2568,2)</f>
        <v>0</v>
      </c>
      <c r="AV2568" s="25">
        <f>ROUND(G2568*AN2568,2)</f>
        <v>0</v>
      </c>
      <c r="AW2568" s="27" t="s">
        <v>2994</v>
      </c>
      <c r="AX2568" s="27" t="s">
        <v>2945</v>
      </c>
      <c r="AY2568" s="10" t="s">
        <v>2903</v>
      </c>
      <c r="BA2568" s="25">
        <f>AU2568+AV2568</f>
        <v>0</v>
      </c>
      <c r="BB2568" s="25">
        <f>H2568/(100-BC2568)*100</f>
        <v>0</v>
      </c>
      <c r="BC2568" s="25">
        <v>0</v>
      </c>
      <c r="BD2568" s="25">
        <f>M2568</f>
        <v>0</v>
      </c>
      <c r="BF2568" s="25">
        <f>G2568*AM2568</f>
        <v>0</v>
      </c>
      <c r="BG2568" s="25">
        <f>G2568*AN2568</f>
        <v>0</v>
      </c>
      <c r="BH2568" s="25">
        <f>G2568*H2568</f>
        <v>0</v>
      </c>
      <c r="BI2568" s="27" t="s">
        <v>576</v>
      </c>
      <c r="BJ2568" s="25"/>
      <c r="BU2568" s="25" t="e">
        <f>#REF!</f>
        <v>#REF!</v>
      </c>
      <c r="BV2568" s="4" t="s">
        <v>3177</v>
      </c>
    </row>
    <row r="2569" spans="1:74" ht="14.4" x14ac:dyDescent="0.3">
      <c r="A2569" s="28"/>
      <c r="D2569" s="29" t="s">
        <v>610</v>
      </c>
      <c r="E2569" s="29" t="s">
        <v>52</v>
      </c>
      <c r="G2569" s="30">
        <v>100</v>
      </c>
      <c r="H2569" s="63"/>
      <c r="N2569" s="31"/>
    </row>
    <row r="2570" spans="1:74" ht="14.4" x14ac:dyDescent="0.3">
      <c r="A2570" s="2" t="s">
        <v>3178</v>
      </c>
      <c r="B2570" s="3" t="s">
        <v>2900</v>
      </c>
      <c r="C2570" s="3" t="s">
        <v>3179</v>
      </c>
      <c r="D2570" s="112" t="s">
        <v>3180</v>
      </c>
      <c r="E2570" s="109"/>
      <c r="F2570" s="3" t="s">
        <v>2183</v>
      </c>
      <c r="G2570" s="25">
        <v>10</v>
      </c>
      <c r="H2570" s="62"/>
      <c r="I2570" s="25">
        <f>ROUND(G2570*AM2570,2)</f>
        <v>0</v>
      </c>
      <c r="J2570" s="25">
        <f>ROUND(G2570*AN2570,2)</f>
        <v>0</v>
      </c>
      <c r="K2570" s="25">
        <f>ROUND(G2570*H2570,2)</f>
        <v>0</v>
      </c>
      <c r="L2570" s="25">
        <v>0</v>
      </c>
      <c r="M2570" s="25">
        <f>G2570*L2570</f>
        <v>0</v>
      </c>
      <c r="N2570" s="102"/>
      <c r="X2570" s="25">
        <f>ROUND(IF(AO2570="5",BH2570,0),2)</f>
        <v>0</v>
      </c>
      <c r="Z2570" s="25">
        <f>ROUND(IF(AO2570="1",BF2570,0),2)</f>
        <v>0</v>
      </c>
      <c r="AA2570" s="25">
        <f>ROUND(IF(AO2570="1",BG2570,0),2)</f>
        <v>0</v>
      </c>
      <c r="AB2570" s="25">
        <f>ROUND(IF(AO2570="7",BF2570,0),2)</f>
        <v>0</v>
      </c>
      <c r="AC2570" s="25">
        <f>ROUND(IF(AO2570="7",BG2570,0),2)</f>
        <v>0</v>
      </c>
      <c r="AD2570" s="25">
        <f>ROUND(IF(AO2570="2",BF2570,0),2)</f>
        <v>0</v>
      </c>
      <c r="AE2570" s="25">
        <f>ROUND(IF(AO2570="2",BG2570,0),2)</f>
        <v>0</v>
      </c>
      <c r="AF2570" s="25">
        <f>ROUND(IF(AO2570="0",BH2570,0),2)</f>
        <v>0</v>
      </c>
      <c r="AG2570" s="10" t="s">
        <v>2900</v>
      </c>
      <c r="AH2570" s="25">
        <f>IF(AL2570=0,K2570,0)</f>
        <v>0</v>
      </c>
      <c r="AI2570" s="25">
        <f>IF(AL2570=12,K2570,0)</f>
        <v>0</v>
      </c>
      <c r="AJ2570" s="25">
        <f>IF(AL2570=21,K2570,0)</f>
        <v>0</v>
      </c>
      <c r="AL2570" s="25">
        <v>21</v>
      </c>
      <c r="AM2570" s="25">
        <f>H2570*1</f>
        <v>0</v>
      </c>
      <c r="AN2570" s="25">
        <f>H2570*(1-1)</f>
        <v>0</v>
      </c>
      <c r="AO2570" s="27" t="s">
        <v>57</v>
      </c>
      <c r="AT2570" s="25">
        <f>ROUND(AU2570+AV2570,2)</f>
        <v>0</v>
      </c>
      <c r="AU2570" s="25">
        <f>ROUND(G2570*AM2570,2)</f>
        <v>0</v>
      </c>
      <c r="AV2570" s="25">
        <f>ROUND(G2570*AN2570,2)</f>
        <v>0</v>
      </c>
      <c r="AW2570" s="27" t="s">
        <v>2994</v>
      </c>
      <c r="AX2570" s="27" t="s">
        <v>2945</v>
      </c>
      <c r="AY2570" s="10" t="s">
        <v>2903</v>
      </c>
      <c r="BA2570" s="25">
        <f>AU2570+AV2570</f>
        <v>0</v>
      </c>
      <c r="BB2570" s="25">
        <f>H2570/(100-BC2570)*100</f>
        <v>0</v>
      </c>
      <c r="BC2570" s="25">
        <v>0</v>
      </c>
      <c r="BD2570" s="25">
        <f>M2570</f>
        <v>0</v>
      </c>
      <c r="BF2570" s="25">
        <f>G2570*AM2570</f>
        <v>0</v>
      </c>
      <c r="BG2570" s="25">
        <f>G2570*AN2570</f>
        <v>0</v>
      </c>
      <c r="BH2570" s="25">
        <f>G2570*H2570</f>
        <v>0</v>
      </c>
      <c r="BI2570" s="27" t="s">
        <v>576</v>
      </c>
      <c r="BJ2570" s="25"/>
      <c r="BU2570" s="25" t="e">
        <f>#REF!</f>
        <v>#REF!</v>
      </c>
      <c r="BV2570" s="4" t="s">
        <v>3180</v>
      </c>
    </row>
    <row r="2571" spans="1:74" ht="14.4" x14ac:dyDescent="0.3">
      <c r="A2571" s="28"/>
      <c r="D2571" s="29" t="s">
        <v>129</v>
      </c>
      <c r="E2571" s="29" t="s">
        <v>52</v>
      </c>
      <c r="G2571" s="30">
        <v>10</v>
      </c>
      <c r="H2571" s="63"/>
      <c r="N2571" s="31"/>
    </row>
    <row r="2572" spans="1:74" ht="14.4" x14ac:dyDescent="0.3">
      <c r="A2572" s="21" t="s">
        <v>52</v>
      </c>
      <c r="B2572" s="22" t="s">
        <v>2900</v>
      </c>
      <c r="C2572" s="22" t="s">
        <v>273</v>
      </c>
      <c r="D2572" s="170" t="s">
        <v>274</v>
      </c>
      <c r="E2572" s="171"/>
      <c r="F2572" s="23" t="s">
        <v>32</v>
      </c>
      <c r="G2572" s="23" t="s">
        <v>32</v>
      </c>
      <c r="H2572" s="64"/>
      <c r="I2572" s="1">
        <f>SUM(I2573:I2585)</f>
        <v>0</v>
      </c>
      <c r="J2572" s="1">
        <f>SUM(J2573:J2585)</f>
        <v>0</v>
      </c>
      <c r="K2572" s="1">
        <f>SUM(K2573:K2585)</f>
        <v>0</v>
      </c>
      <c r="L2572" s="10" t="s">
        <v>52</v>
      </c>
      <c r="M2572" s="1">
        <f>SUM(M2573:M2585)</f>
        <v>0</v>
      </c>
      <c r="N2572" s="24"/>
      <c r="AG2572" s="10" t="s">
        <v>2900</v>
      </c>
      <c r="AQ2572" s="1">
        <f>SUM(AH2573:AH2585)</f>
        <v>0</v>
      </c>
      <c r="AR2572" s="1">
        <f>SUM(AI2573:AI2585)</f>
        <v>0</v>
      </c>
      <c r="AS2572" s="1">
        <f>SUM(AJ2573:AJ2585)</f>
        <v>0</v>
      </c>
    </row>
    <row r="2573" spans="1:74" ht="14.4" x14ac:dyDescent="0.3">
      <c r="A2573" s="2" t="s">
        <v>3181</v>
      </c>
      <c r="B2573" s="3" t="s">
        <v>2900</v>
      </c>
      <c r="C2573" s="3" t="s">
        <v>276</v>
      </c>
      <c r="D2573" s="112" t="s">
        <v>277</v>
      </c>
      <c r="E2573" s="109"/>
      <c r="F2573" s="3" t="s">
        <v>278</v>
      </c>
      <c r="G2573" s="25">
        <v>3.113</v>
      </c>
      <c r="H2573" s="62"/>
      <c r="I2573" s="25">
        <f>ROUND(G2573*AM2573,2)</f>
        <v>0</v>
      </c>
      <c r="J2573" s="25">
        <f>ROUND(G2573*AN2573,2)</f>
        <v>0</v>
      </c>
      <c r="K2573" s="25">
        <f>ROUND(G2573*H2573,2)</f>
        <v>0</v>
      </c>
      <c r="L2573" s="25">
        <v>0</v>
      </c>
      <c r="M2573" s="25">
        <f>G2573*L2573</f>
        <v>0</v>
      </c>
      <c r="N2573" s="26"/>
      <c r="X2573" s="25">
        <f>ROUND(IF(AO2573="5",BH2573,0),2)</f>
        <v>0</v>
      </c>
      <c r="Z2573" s="25">
        <f>ROUND(IF(AO2573="1",BF2573,0),2)</f>
        <v>0</v>
      </c>
      <c r="AA2573" s="25">
        <f>ROUND(IF(AO2573="1",BG2573,0),2)</f>
        <v>0</v>
      </c>
      <c r="AB2573" s="25">
        <f>ROUND(IF(AO2573="7",BF2573,0),2)</f>
        <v>0</v>
      </c>
      <c r="AC2573" s="25">
        <f>ROUND(IF(AO2573="7",BG2573,0),2)</f>
        <v>0</v>
      </c>
      <c r="AD2573" s="25">
        <f>ROUND(IF(AO2573="2",BF2573,0),2)</f>
        <v>0</v>
      </c>
      <c r="AE2573" s="25">
        <f>ROUND(IF(AO2573="2",BG2573,0),2)</f>
        <v>0</v>
      </c>
      <c r="AF2573" s="25">
        <f>ROUND(IF(AO2573="0",BH2573,0),2)</f>
        <v>0</v>
      </c>
      <c r="AG2573" s="10" t="s">
        <v>2900</v>
      </c>
      <c r="AH2573" s="25">
        <f>IF(AL2573=0,K2573,0)</f>
        <v>0</v>
      </c>
      <c r="AI2573" s="25">
        <f>IF(AL2573=12,K2573,0)</f>
        <v>0</v>
      </c>
      <c r="AJ2573" s="25">
        <f>IF(AL2573=21,K2573,0)</f>
        <v>0</v>
      </c>
      <c r="AL2573" s="25">
        <v>21</v>
      </c>
      <c r="AM2573" s="25">
        <f>H2573*0</f>
        <v>0</v>
      </c>
      <c r="AN2573" s="25">
        <f>H2573*(1-0)</f>
        <v>0</v>
      </c>
      <c r="AO2573" s="27" t="s">
        <v>97</v>
      </c>
      <c r="AT2573" s="25">
        <f>ROUND(AU2573+AV2573,2)</f>
        <v>0</v>
      </c>
      <c r="AU2573" s="25">
        <f>ROUND(G2573*AM2573,2)</f>
        <v>0</v>
      </c>
      <c r="AV2573" s="25">
        <f>ROUND(G2573*AN2573,2)</f>
        <v>0</v>
      </c>
      <c r="AW2573" s="27" t="s">
        <v>279</v>
      </c>
      <c r="AX2573" s="27" t="s">
        <v>2945</v>
      </c>
      <c r="AY2573" s="10" t="s">
        <v>2903</v>
      </c>
      <c r="BA2573" s="25">
        <f>AU2573+AV2573</f>
        <v>0</v>
      </c>
      <c r="BB2573" s="25">
        <f>H2573/(100-BC2573)*100</f>
        <v>0</v>
      </c>
      <c r="BC2573" s="25">
        <v>0</v>
      </c>
      <c r="BD2573" s="25">
        <f>M2573</f>
        <v>0</v>
      </c>
      <c r="BF2573" s="25">
        <f>G2573*AM2573</f>
        <v>0</v>
      </c>
      <c r="BG2573" s="25">
        <f>G2573*AN2573</f>
        <v>0</v>
      </c>
      <c r="BH2573" s="25">
        <f>G2573*H2573</f>
        <v>0</v>
      </c>
      <c r="BI2573" s="27" t="s">
        <v>65</v>
      </c>
      <c r="BJ2573" s="25"/>
      <c r="BU2573" s="25" t="e">
        <f>#REF!</f>
        <v>#REF!</v>
      </c>
      <c r="BV2573" s="4" t="s">
        <v>277</v>
      </c>
    </row>
    <row r="2574" spans="1:74" ht="14.4" x14ac:dyDescent="0.3">
      <c r="A2574" s="28"/>
      <c r="D2574" s="29" t="s">
        <v>3182</v>
      </c>
      <c r="E2574" s="29" t="s">
        <v>52</v>
      </c>
      <c r="G2574" s="30">
        <v>3.113</v>
      </c>
      <c r="H2574" s="63"/>
      <c r="N2574" s="31"/>
    </row>
    <row r="2575" spans="1:74" ht="14.4" x14ac:dyDescent="0.3">
      <c r="A2575" s="2" t="s">
        <v>3183</v>
      </c>
      <c r="B2575" s="3" t="s">
        <v>2900</v>
      </c>
      <c r="C2575" s="3" t="s">
        <v>282</v>
      </c>
      <c r="D2575" s="112" t="s">
        <v>283</v>
      </c>
      <c r="E2575" s="109"/>
      <c r="F2575" s="3" t="s">
        <v>278</v>
      </c>
      <c r="G2575" s="25">
        <v>15.565</v>
      </c>
      <c r="H2575" s="62"/>
      <c r="I2575" s="25">
        <f>ROUND(G2575*AM2575,2)</f>
        <v>0</v>
      </c>
      <c r="J2575" s="25">
        <f>ROUND(G2575*AN2575,2)</f>
        <v>0</v>
      </c>
      <c r="K2575" s="25">
        <f>ROUND(G2575*H2575,2)</f>
        <v>0</v>
      </c>
      <c r="L2575" s="25">
        <v>0</v>
      </c>
      <c r="M2575" s="25">
        <f>G2575*L2575</f>
        <v>0</v>
      </c>
      <c r="N2575" s="26"/>
      <c r="X2575" s="25">
        <f>ROUND(IF(AO2575="5",BH2575,0),2)</f>
        <v>0</v>
      </c>
      <c r="Z2575" s="25">
        <f>ROUND(IF(AO2575="1",BF2575,0),2)</f>
        <v>0</v>
      </c>
      <c r="AA2575" s="25">
        <f>ROUND(IF(AO2575="1",BG2575,0),2)</f>
        <v>0</v>
      </c>
      <c r="AB2575" s="25">
        <f>ROUND(IF(AO2575="7",BF2575,0),2)</f>
        <v>0</v>
      </c>
      <c r="AC2575" s="25">
        <f>ROUND(IF(AO2575="7",BG2575,0),2)</f>
        <v>0</v>
      </c>
      <c r="AD2575" s="25">
        <f>ROUND(IF(AO2575="2",BF2575,0),2)</f>
        <v>0</v>
      </c>
      <c r="AE2575" s="25">
        <f>ROUND(IF(AO2575="2",BG2575,0),2)</f>
        <v>0</v>
      </c>
      <c r="AF2575" s="25">
        <f>ROUND(IF(AO2575="0",BH2575,0),2)</f>
        <v>0</v>
      </c>
      <c r="AG2575" s="10" t="s">
        <v>2900</v>
      </c>
      <c r="AH2575" s="25">
        <f>IF(AL2575=0,K2575,0)</f>
        <v>0</v>
      </c>
      <c r="AI2575" s="25">
        <f>IF(AL2575=12,K2575,0)</f>
        <v>0</v>
      </c>
      <c r="AJ2575" s="25">
        <f>IF(AL2575=21,K2575,0)</f>
        <v>0</v>
      </c>
      <c r="AL2575" s="25">
        <v>21</v>
      </c>
      <c r="AM2575" s="25">
        <f>H2575*0</f>
        <v>0</v>
      </c>
      <c r="AN2575" s="25">
        <f>H2575*(1-0)</f>
        <v>0</v>
      </c>
      <c r="AO2575" s="27" t="s">
        <v>97</v>
      </c>
      <c r="AT2575" s="25">
        <f>ROUND(AU2575+AV2575,2)</f>
        <v>0</v>
      </c>
      <c r="AU2575" s="25">
        <f>ROUND(G2575*AM2575,2)</f>
        <v>0</v>
      </c>
      <c r="AV2575" s="25">
        <f>ROUND(G2575*AN2575,2)</f>
        <v>0</v>
      </c>
      <c r="AW2575" s="27" t="s">
        <v>279</v>
      </c>
      <c r="AX2575" s="27" t="s">
        <v>2945</v>
      </c>
      <c r="AY2575" s="10" t="s">
        <v>2903</v>
      </c>
      <c r="BA2575" s="25">
        <f>AU2575+AV2575</f>
        <v>0</v>
      </c>
      <c r="BB2575" s="25">
        <f>H2575/(100-BC2575)*100</f>
        <v>0</v>
      </c>
      <c r="BC2575" s="25">
        <v>0</v>
      </c>
      <c r="BD2575" s="25">
        <f>M2575</f>
        <v>0</v>
      </c>
      <c r="BF2575" s="25">
        <f>G2575*AM2575</f>
        <v>0</v>
      </c>
      <c r="BG2575" s="25">
        <f>G2575*AN2575</f>
        <v>0</v>
      </c>
      <c r="BH2575" s="25">
        <f>G2575*H2575</f>
        <v>0</v>
      </c>
      <c r="BI2575" s="27" t="s">
        <v>65</v>
      </c>
      <c r="BJ2575" s="25"/>
      <c r="BU2575" s="25" t="e">
        <f>#REF!</f>
        <v>#REF!</v>
      </c>
      <c r="BV2575" s="4" t="s">
        <v>283</v>
      </c>
    </row>
    <row r="2576" spans="1:74" ht="14.4" x14ac:dyDescent="0.3">
      <c r="A2576" s="28"/>
      <c r="D2576" s="29" t="s">
        <v>3184</v>
      </c>
      <c r="E2576" s="29" t="s">
        <v>52</v>
      </c>
      <c r="G2576" s="30">
        <v>15.565</v>
      </c>
      <c r="H2576" s="63"/>
      <c r="N2576" s="31"/>
    </row>
    <row r="2577" spans="1:74" ht="14.4" x14ac:dyDescent="0.3">
      <c r="A2577" s="2" t="s">
        <v>3185</v>
      </c>
      <c r="B2577" s="3" t="s">
        <v>2900</v>
      </c>
      <c r="C2577" s="3" t="s">
        <v>286</v>
      </c>
      <c r="D2577" s="112" t="s">
        <v>287</v>
      </c>
      <c r="E2577" s="109"/>
      <c r="F2577" s="3" t="s">
        <v>278</v>
      </c>
      <c r="G2577" s="25">
        <v>3.113</v>
      </c>
      <c r="H2577" s="62"/>
      <c r="I2577" s="25">
        <f>ROUND(G2577*AM2577,2)</f>
        <v>0</v>
      </c>
      <c r="J2577" s="25">
        <f>ROUND(G2577*AN2577,2)</f>
        <v>0</v>
      </c>
      <c r="K2577" s="25">
        <f>ROUND(G2577*H2577,2)</f>
        <v>0</v>
      </c>
      <c r="L2577" s="25">
        <v>0</v>
      </c>
      <c r="M2577" s="25">
        <f>G2577*L2577</f>
        <v>0</v>
      </c>
      <c r="N2577" s="26"/>
      <c r="X2577" s="25">
        <f>ROUND(IF(AO2577="5",BH2577,0),2)</f>
        <v>0</v>
      </c>
      <c r="Z2577" s="25">
        <f>ROUND(IF(AO2577="1",BF2577,0),2)</f>
        <v>0</v>
      </c>
      <c r="AA2577" s="25">
        <f>ROUND(IF(AO2577="1",BG2577,0),2)</f>
        <v>0</v>
      </c>
      <c r="AB2577" s="25">
        <f>ROUND(IF(AO2577="7",BF2577,0),2)</f>
        <v>0</v>
      </c>
      <c r="AC2577" s="25">
        <f>ROUND(IF(AO2577="7",BG2577,0),2)</f>
        <v>0</v>
      </c>
      <c r="AD2577" s="25">
        <f>ROUND(IF(AO2577="2",BF2577,0),2)</f>
        <v>0</v>
      </c>
      <c r="AE2577" s="25">
        <f>ROUND(IF(AO2577="2",BG2577,0),2)</f>
        <v>0</v>
      </c>
      <c r="AF2577" s="25">
        <f>ROUND(IF(AO2577="0",BH2577,0),2)</f>
        <v>0</v>
      </c>
      <c r="AG2577" s="10" t="s">
        <v>2900</v>
      </c>
      <c r="AH2577" s="25">
        <f>IF(AL2577=0,K2577,0)</f>
        <v>0</v>
      </c>
      <c r="AI2577" s="25">
        <f>IF(AL2577=12,K2577,0)</f>
        <v>0</v>
      </c>
      <c r="AJ2577" s="25">
        <f>IF(AL2577=21,K2577,0)</f>
        <v>0</v>
      </c>
      <c r="AL2577" s="25">
        <v>21</v>
      </c>
      <c r="AM2577" s="25">
        <f>H2577*0</f>
        <v>0</v>
      </c>
      <c r="AN2577" s="25">
        <f>H2577*(1-0)</f>
        <v>0</v>
      </c>
      <c r="AO2577" s="27" t="s">
        <v>97</v>
      </c>
      <c r="AT2577" s="25">
        <f>ROUND(AU2577+AV2577,2)</f>
        <v>0</v>
      </c>
      <c r="AU2577" s="25">
        <f>ROUND(G2577*AM2577,2)</f>
        <v>0</v>
      </c>
      <c r="AV2577" s="25">
        <f>ROUND(G2577*AN2577,2)</f>
        <v>0</v>
      </c>
      <c r="AW2577" s="27" t="s">
        <v>279</v>
      </c>
      <c r="AX2577" s="27" t="s">
        <v>2945</v>
      </c>
      <c r="AY2577" s="10" t="s">
        <v>2903</v>
      </c>
      <c r="BA2577" s="25">
        <f>AU2577+AV2577</f>
        <v>0</v>
      </c>
      <c r="BB2577" s="25">
        <f>H2577/(100-BC2577)*100</f>
        <v>0</v>
      </c>
      <c r="BC2577" s="25">
        <v>0</v>
      </c>
      <c r="BD2577" s="25">
        <f>M2577</f>
        <v>0</v>
      </c>
      <c r="BF2577" s="25">
        <f>G2577*AM2577</f>
        <v>0</v>
      </c>
      <c r="BG2577" s="25">
        <f>G2577*AN2577</f>
        <v>0</v>
      </c>
      <c r="BH2577" s="25">
        <f>G2577*H2577</f>
        <v>0</v>
      </c>
      <c r="BI2577" s="27" t="s">
        <v>65</v>
      </c>
      <c r="BJ2577" s="25"/>
      <c r="BU2577" s="25" t="e">
        <f>#REF!</f>
        <v>#REF!</v>
      </c>
      <c r="BV2577" s="4" t="s">
        <v>287</v>
      </c>
    </row>
    <row r="2578" spans="1:74" ht="14.4" x14ac:dyDescent="0.3">
      <c r="A2578" s="28"/>
      <c r="D2578" s="29" t="s">
        <v>3182</v>
      </c>
      <c r="E2578" s="29" t="s">
        <v>52</v>
      </c>
      <c r="G2578" s="30">
        <v>3.113</v>
      </c>
      <c r="H2578" s="63"/>
      <c r="N2578" s="31"/>
    </row>
    <row r="2579" spans="1:74" ht="14.4" x14ac:dyDescent="0.3">
      <c r="A2579" s="2" t="s">
        <v>3186</v>
      </c>
      <c r="B2579" s="3" t="s">
        <v>2900</v>
      </c>
      <c r="C2579" s="3" t="s">
        <v>289</v>
      </c>
      <c r="D2579" s="112" t="s">
        <v>290</v>
      </c>
      <c r="E2579" s="109"/>
      <c r="F2579" s="3" t="s">
        <v>278</v>
      </c>
      <c r="G2579" s="25">
        <v>3.113</v>
      </c>
      <c r="H2579" s="62"/>
      <c r="I2579" s="25">
        <f>ROUND(G2579*AM2579,2)</f>
        <v>0</v>
      </c>
      <c r="J2579" s="25">
        <f>ROUND(G2579*AN2579,2)</f>
        <v>0</v>
      </c>
      <c r="K2579" s="25">
        <f>ROUND(G2579*H2579,2)</f>
        <v>0</v>
      </c>
      <c r="L2579" s="25">
        <v>0</v>
      </c>
      <c r="M2579" s="25">
        <f>G2579*L2579</f>
        <v>0</v>
      </c>
      <c r="N2579" s="26"/>
      <c r="X2579" s="25">
        <f>ROUND(IF(AO2579="5",BH2579,0),2)</f>
        <v>0</v>
      </c>
      <c r="Z2579" s="25">
        <f>ROUND(IF(AO2579="1",BF2579,0),2)</f>
        <v>0</v>
      </c>
      <c r="AA2579" s="25">
        <f>ROUND(IF(AO2579="1",BG2579,0),2)</f>
        <v>0</v>
      </c>
      <c r="AB2579" s="25">
        <f>ROUND(IF(AO2579="7",BF2579,0),2)</f>
        <v>0</v>
      </c>
      <c r="AC2579" s="25">
        <f>ROUND(IF(AO2579="7",BG2579,0),2)</f>
        <v>0</v>
      </c>
      <c r="AD2579" s="25">
        <f>ROUND(IF(AO2579="2",BF2579,0),2)</f>
        <v>0</v>
      </c>
      <c r="AE2579" s="25">
        <f>ROUND(IF(AO2579="2",BG2579,0),2)</f>
        <v>0</v>
      </c>
      <c r="AF2579" s="25">
        <f>ROUND(IF(AO2579="0",BH2579,0),2)</f>
        <v>0</v>
      </c>
      <c r="AG2579" s="10" t="s">
        <v>2900</v>
      </c>
      <c r="AH2579" s="25">
        <f>IF(AL2579=0,K2579,0)</f>
        <v>0</v>
      </c>
      <c r="AI2579" s="25">
        <f>IF(AL2579=12,K2579,0)</f>
        <v>0</v>
      </c>
      <c r="AJ2579" s="25">
        <f>IF(AL2579=21,K2579,0)</f>
        <v>0</v>
      </c>
      <c r="AL2579" s="25">
        <v>21</v>
      </c>
      <c r="AM2579" s="25">
        <f>H2579*0</f>
        <v>0</v>
      </c>
      <c r="AN2579" s="25">
        <f>H2579*(1-0)</f>
        <v>0</v>
      </c>
      <c r="AO2579" s="27" t="s">
        <v>97</v>
      </c>
      <c r="AT2579" s="25">
        <f>ROUND(AU2579+AV2579,2)</f>
        <v>0</v>
      </c>
      <c r="AU2579" s="25">
        <f>ROUND(G2579*AM2579,2)</f>
        <v>0</v>
      </c>
      <c r="AV2579" s="25">
        <f>ROUND(G2579*AN2579,2)</f>
        <v>0</v>
      </c>
      <c r="AW2579" s="27" t="s">
        <v>279</v>
      </c>
      <c r="AX2579" s="27" t="s">
        <v>2945</v>
      </c>
      <c r="AY2579" s="10" t="s">
        <v>2903</v>
      </c>
      <c r="BA2579" s="25">
        <f>AU2579+AV2579</f>
        <v>0</v>
      </c>
      <c r="BB2579" s="25">
        <f>H2579/(100-BC2579)*100</f>
        <v>0</v>
      </c>
      <c r="BC2579" s="25">
        <v>0</v>
      </c>
      <c r="BD2579" s="25">
        <f>M2579</f>
        <v>0</v>
      </c>
      <c r="BF2579" s="25">
        <f>G2579*AM2579</f>
        <v>0</v>
      </c>
      <c r="BG2579" s="25">
        <f>G2579*AN2579</f>
        <v>0</v>
      </c>
      <c r="BH2579" s="25">
        <f>G2579*H2579</f>
        <v>0</v>
      </c>
      <c r="BI2579" s="27" t="s">
        <v>65</v>
      </c>
      <c r="BJ2579" s="25"/>
      <c r="BU2579" s="25" t="e">
        <f>#REF!</f>
        <v>#REF!</v>
      </c>
      <c r="BV2579" s="4" t="s">
        <v>290</v>
      </c>
    </row>
    <row r="2580" spans="1:74" ht="14.4" x14ac:dyDescent="0.3">
      <c r="A2580" s="28"/>
      <c r="D2580" s="29" t="s">
        <v>3182</v>
      </c>
      <c r="E2580" s="29" t="s">
        <v>52</v>
      </c>
      <c r="G2580" s="30">
        <v>3.113</v>
      </c>
      <c r="H2580" s="63"/>
      <c r="N2580" s="31"/>
    </row>
    <row r="2581" spans="1:74" ht="14.4" x14ac:dyDescent="0.3">
      <c r="A2581" s="2" t="s">
        <v>3187</v>
      </c>
      <c r="B2581" s="3" t="s">
        <v>2900</v>
      </c>
      <c r="C2581" s="3" t="s">
        <v>292</v>
      </c>
      <c r="D2581" s="112" t="s">
        <v>293</v>
      </c>
      <c r="E2581" s="109"/>
      <c r="F2581" s="3" t="s">
        <v>278</v>
      </c>
      <c r="G2581" s="25">
        <v>3.113</v>
      </c>
      <c r="H2581" s="62"/>
      <c r="I2581" s="25">
        <f>ROUND(G2581*AM2581,2)</f>
        <v>0</v>
      </c>
      <c r="J2581" s="25">
        <f>ROUND(G2581*AN2581,2)</f>
        <v>0</v>
      </c>
      <c r="K2581" s="25">
        <f>ROUND(G2581*H2581,2)</f>
        <v>0</v>
      </c>
      <c r="L2581" s="25">
        <v>0</v>
      </c>
      <c r="M2581" s="25">
        <f>G2581*L2581</f>
        <v>0</v>
      </c>
      <c r="N2581" s="26"/>
      <c r="X2581" s="25">
        <f>ROUND(IF(AO2581="5",BH2581,0),2)</f>
        <v>0</v>
      </c>
      <c r="Z2581" s="25">
        <f>ROUND(IF(AO2581="1",BF2581,0),2)</f>
        <v>0</v>
      </c>
      <c r="AA2581" s="25">
        <f>ROUND(IF(AO2581="1",BG2581,0),2)</f>
        <v>0</v>
      </c>
      <c r="AB2581" s="25">
        <f>ROUND(IF(AO2581="7",BF2581,0),2)</f>
        <v>0</v>
      </c>
      <c r="AC2581" s="25">
        <f>ROUND(IF(AO2581="7",BG2581,0),2)</f>
        <v>0</v>
      </c>
      <c r="AD2581" s="25">
        <f>ROUND(IF(AO2581="2",BF2581,0),2)</f>
        <v>0</v>
      </c>
      <c r="AE2581" s="25">
        <f>ROUND(IF(AO2581="2",BG2581,0),2)</f>
        <v>0</v>
      </c>
      <c r="AF2581" s="25">
        <f>ROUND(IF(AO2581="0",BH2581,0),2)</f>
        <v>0</v>
      </c>
      <c r="AG2581" s="10" t="s">
        <v>2900</v>
      </c>
      <c r="AH2581" s="25">
        <f>IF(AL2581=0,K2581,0)</f>
        <v>0</v>
      </c>
      <c r="AI2581" s="25">
        <f>IF(AL2581=12,K2581,0)</f>
        <v>0</v>
      </c>
      <c r="AJ2581" s="25">
        <f>IF(AL2581=21,K2581,0)</f>
        <v>0</v>
      </c>
      <c r="AL2581" s="25">
        <v>21</v>
      </c>
      <c r="AM2581" s="25">
        <f>H2581*0</f>
        <v>0</v>
      </c>
      <c r="AN2581" s="25">
        <f>H2581*(1-0)</f>
        <v>0</v>
      </c>
      <c r="AO2581" s="27" t="s">
        <v>97</v>
      </c>
      <c r="AT2581" s="25">
        <f>ROUND(AU2581+AV2581,2)</f>
        <v>0</v>
      </c>
      <c r="AU2581" s="25">
        <f>ROUND(G2581*AM2581,2)</f>
        <v>0</v>
      </c>
      <c r="AV2581" s="25">
        <f>ROUND(G2581*AN2581,2)</f>
        <v>0</v>
      </c>
      <c r="AW2581" s="27" t="s">
        <v>279</v>
      </c>
      <c r="AX2581" s="27" t="s">
        <v>2945</v>
      </c>
      <c r="AY2581" s="10" t="s">
        <v>2903</v>
      </c>
      <c r="BA2581" s="25">
        <f>AU2581+AV2581</f>
        <v>0</v>
      </c>
      <c r="BB2581" s="25">
        <f>H2581/(100-BC2581)*100</f>
        <v>0</v>
      </c>
      <c r="BC2581" s="25">
        <v>0</v>
      </c>
      <c r="BD2581" s="25">
        <f>M2581</f>
        <v>0</v>
      </c>
      <c r="BF2581" s="25">
        <f>G2581*AM2581</f>
        <v>0</v>
      </c>
      <c r="BG2581" s="25">
        <f>G2581*AN2581</f>
        <v>0</v>
      </c>
      <c r="BH2581" s="25">
        <f>G2581*H2581</f>
        <v>0</v>
      </c>
      <c r="BI2581" s="27" t="s">
        <v>65</v>
      </c>
      <c r="BJ2581" s="25"/>
      <c r="BU2581" s="25" t="e">
        <f>#REF!</f>
        <v>#REF!</v>
      </c>
      <c r="BV2581" s="4" t="s">
        <v>293</v>
      </c>
    </row>
    <row r="2582" spans="1:74" ht="14.4" x14ac:dyDescent="0.3">
      <c r="A2582" s="28"/>
      <c r="D2582" s="29" t="s">
        <v>3182</v>
      </c>
      <c r="E2582" s="29" t="s">
        <v>52</v>
      </c>
      <c r="G2582" s="30">
        <v>3.113</v>
      </c>
      <c r="H2582" s="63"/>
      <c r="N2582" s="31"/>
    </row>
    <row r="2583" spans="1:74" ht="14.4" x14ac:dyDescent="0.3">
      <c r="A2583" s="2" t="s">
        <v>3188</v>
      </c>
      <c r="B2583" s="3" t="s">
        <v>2900</v>
      </c>
      <c r="C2583" s="3" t="s">
        <v>295</v>
      </c>
      <c r="D2583" s="112" t="s">
        <v>296</v>
      </c>
      <c r="E2583" s="109"/>
      <c r="F2583" s="3" t="s">
        <v>278</v>
      </c>
      <c r="G2583" s="25">
        <v>31.128</v>
      </c>
      <c r="H2583" s="62"/>
      <c r="I2583" s="25">
        <f>ROUND(G2583*AM2583,2)</f>
        <v>0</v>
      </c>
      <c r="J2583" s="25">
        <f>ROUND(G2583*AN2583,2)</f>
        <v>0</v>
      </c>
      <c r="K2583" s="25">
        <f>ROUND(G2583*H2583,2)</f>
        <v>0</v>
      </c>
      <c r="L2583" s="25">
        <v>0</v>
      </c>
      <c r="M2583" s="25">
        <f>G2583*L2583</f>
        <v>0</v>
      </c>
      <c r="N2583" s="26"/>
      <c r="X2583" s="25">
        <f>ROUND(IF(AO2583="5",BH2583,0),2)</f>
        <v>0</v>
      </c>
      <c r="Z2583" s="25">
        <f>ROUND(IF(AO2583="1",BF2583,0),2)</f>
        <v>0</v>
      </c>
      <c r="AA2583" s="25">
        <f>ROUND(IF(AO2583="1",BG2583,0),2)</f>
        <v>0</v>
      </c>
      <c r="AB2583" s="25">
        <f>ROUND(IF(AO2583="7",BF2583,0),2)</f>
        <v>0</v>
      </c>
      <c r="AC2583" s="25">
        <f>ROUND(IF(AO2583="7",BG2583,0),2)</f>
        <v>0</v>
      </c>
      <c r="AD2583" s="25">
        <f>ROUND(IF(AO2583="2",BF2583,0),2)</f>
        <v>0</v>
      </c>
      <c r="AE2583" s="25">
        <f>ROUND(IF(AO2583="2",BG2583,0),2)</f>
        <v>0</v>
      </c>
      <c r="AF2583" s="25">
        <f>ROUND(IF(AO2583="0",BH2583,0),2)</f>
        <v>0</v>
      </c>
      <c r="AG2583" s="10" t="s">
        <v>2900</v>
      </c>
      <c r="AH2583" s="25">
        <f>IF(AL2583=0,K2583,0)</f>
        <v>0</v>
      </c>
      <c r="AI2583" s="25">
        <f>IF(AL2583=12,K2583,0)</f>
        <v>0</v>
      </c>
      <c r="AJ2583" s="25">
        <f>IF(AL2583=21,K2583,0)</f>
        <v>0</v>
      </c>
      <c r="AL2583" s="25">
        <v>21</v>
      </c>
      <c r="AM2583" s="25">
        <f>H2583*0</f>
        <v>0</v>
      </c>
      <c r="AN2583" s="25">
        <f>H2583*(1-0)</f>
        <v>0</v>
      </c>
      <c r="AO2583" s="27" t="s">
        <v>97</v>
      </c>
      <c r="AT2583" s="25">
        <f>ROUND(AU2583+AV2583,2)</f>
        <v>0</v>
      </c>
      <c r="AU2583" s="25">
        <f>ROUND(G2583*AM2583,2)</f>
        <v>0</v>
      </c>
      <c r="AV2583" s="25">
        <f>ROUND(G2583*AN2583,2)</f>
        <v>0</v>
      </c>
      <c r="AW2583" s="27" t="s">
        <v>279</v>
      </c>
      <c r="AX2583" s="27" t="s">
        <v>2945</v>
      </c>
      <c r="AY2583" s="10" t="s">
        <v>2903</v>
      </c>
      <c r="BA2583" s="25">
        <f>AU2583+AV2583</f>
        <v>0</v>
      </c>
      <c r="BB2583" s="25">
        <f>H2583/(100-BC2583)*100</f>
        <v>0</v>
      </c>
      <c r="BC2583" s="25">
        <v>0</v>
      </c>
      <c r="BD2583" s="25">
        <f>M2583</f>
        <v>0</v>
      </c>
      <c r="BF2583" s="25">
        <f>G2583*AM2583</f>
        <v>0</v>
      </c>
      <c r="BG2583" s="25">
        <f>G2583*AN2583</f>
        <v>0</v>
      </c>
      <c r="BH2583" s="25">
        <f>G2583*H2583</f>
        <v>0</v>
      </c>
      <c r="BI2583" s="27" t="s">
        <v>65</v>
      </c>
      <c r="BJ2583" s="25"/>
      <c r="BU2583" s="25" t="e">
        <f>#REF!</f>
        <v>#REF!</v>
      </c>
      <c r="BV2583" s="4" t="s">
        <v>296</v>
      </c>
    </row>
    <row r="2584" spans="1:74" ht="14.4" x14ac:dyDescent="0.3">
      <c r="A2584" s="28"/>
      <c r="D2584" s="29" t="s">
        <v>3189</v>
      </c>
      <c r="E2584" s="29" t="s">
        <v>52</v>
      </c>
      <c r="G2584" s="30">
        <v>31.128</v>
      </c>
      <c r="H2584" s="63"/>
      <c r="N2584" s="31"/>
    </row>
    <row r="2585" spans="1:74" ht="14.4" x14ac:dyDescent="0.3">
      <c r="A2585" s="2" t="s">
        <v>3190</v>
      </c>
      <c r="B2585" s="3" t="s">
        <v>2900</v>
      </c>
      <c r="C2585" s="3" t="s">
        <v>299</v>
      </c>
      <c r="D2585" s="112" t="s">
        <v>300</v>
      </c>
      <c r="E2585" s="109"/>
      <c r="F2585" s="3" t="s">
        <v>278</v>
      </c>
      <c r="G2585" s="25">
        <v>3.113</v>
      </c>
      <c r="H2585" s="62"/>
      <c r="I2585" s="25">
        <f>ROUND(G2585*AM2585,2)</f>
        <v>0</v>
      </c>
      <c r="J2585" s="25">
        <f>ROUND(G2585*AN2585,2)</f>
        <v>0</v>
      </c>
      <c r="K2585" s="25">
        <f>ROUND(G2585*H2585,2)</f>
        <v>0</v>
      </c>
      <c r="L2585" s="25">
        <v>0</v>
      </c>
      <c r="M2585" s="25">
        <f>G2585*L2585</f>
        <v>0</v>
      </c>
      <c r="N2585" s="26"/>
      <c r="X2585" s="25">
        <f>ROUND(IF(AO2585="5",BH2585,0),2)</f>
        <v>0</v>
      </c>
      <c r="Z2585" s="25">
        <f>ROUND(IF(AO2585="1",BF2585,0),2)</f>
        <v>0</v>
      </c>
      <c r="AA2585" s="25">
        <f>ROUND(IF(AO2585="1",BG2585,0),2)</f>
        <v>0</v>
      </c>
      <c r="AB2585" s="25">
        <f>ROUND(IF(AO2585="7",BF2585,0),2)</f>
        <v>0</v>
      </c>
      <c r="AC2585" s="25">
        <f>ROUND(IF(AO2585="7",BG2585,0),2)</f>
        <v>0</v>
      </c>
      <c r="AD2585" s="25">
        <f>ROUND(IF(AO2585="2",BF2585,0),2)</f>
        <v>0</v>
      </c>
      <c r="AE2585" s="25">
        <f>ROUND(IF(AO2585="2",BG2585,0),2)</f>
        <v>0</v>
      </c>
      <c r="AF2585" s="25">
        <f>ROUND(IF(AO2585="0",BH2585,0),2)</f>
        <v>0</v>
      </c>
      <c r="AG2585" s="10" t="s">
        <v>2900</v>
      </c>
      <c r="AH2585" s="25">
        <f>IF(AL2585=0,K2585,0)</f>
        <v>0</v>
      </c>
      <c r="AI2585" s="25">
        <f>IF(AL2585=12,K2585,0)</f>
        <v>0</v>
      </c>
      <c r="AJ2585" s="25">
        <f>IF(AL2585=21,K2585,0)</f>
        <v>0</v>
      </c>
      <c r="AL2585" s="25">
        <v>21</v>
      </c>
      <c r="AM2585" s="25">
        <f>H2585*0</f>
        <v>0</v>
      </c>
      <c r="AN2585" s="25">
        <f>H2585*(1-0)</f>
        <v>0</v>
      </c>
      <c r="AO2585" s="27" t="s">
        <v>97</v>
      </c>
      <c r="AT2585" s="25">
        <f>ROUND(AU2585+AV2585,2)</f>
        <v>0</v>
      </c>
      <c r="AU2585" s="25">
        <f>ROUND(G2585*AM2585,2)</f>
        <v>0</v>
      </c>
      <c r="AV2585" s="25">
        <f>ROUND(G2585*AN2585,2)</f>
        <v>0</v>
      </c>
      <c r="AW2585" s="27" t="s">
        <v>279</v>
      </c>
      <c r="AX2585" s="27" t="s">
        <v>2945</v>
      </c>
      <c r="AY2585" s="10" t="s">
        <v>2903</v>
      </c>
      <c r="BA2585" s="25">
        <f>AU2585+AV2585</f>
        <v>0</v>
      </c>
      <c r="BB2585" s="25">
        <f>H2585/(100-BC2585)*100</f>
        <v>0</v>
      </c>
      <c r="BC2585" s="25">
        <v>0</v>
      </c>
      <c r="BD2585" s="25">
        <f>M2585</f>
        <v>0</v>
      </c>
      <c r="BF2585" s="25">
        <f>G2585*AM2585</f>
        <v>0</v>
      </c>
      <c r="BG2585" s="25">
        <f>G2585*AN2585</f>
        <v>0</v>
      </c>
      <c r="BH2585" s="25">
        <f>G2585*H2585</f>
        <v>0</v>
      </c>
      <c r="BI2585" s="27" t="s">
        <v>65</v>
      </c>
      <c r="BJ2585" s="25"/>
      <c r="BU2585" s="25" t="e">
        <f>#REF!</f>
        <v>#REF!</v>
      </c>
      <c r="BV2585" s="4" t="s">
        <v>300</v>
      </c>
    </row>
    <row r="2586" spans="1:74" ht="14.4" x14ac:dyDescent="0.3">
      <c r="A2586" s="28"/>
      <c r="D2586" s="29" t="s">
        <v>3182</v>
      </c>
      <c r="E2586" s="29" t="s">
        <v>52</v>
      </c>
      <c r="G2586" s="30">
        <v>3.113</v>
      </c>
      <c r="H2586" s="63"/>
      <c r="N2586" s="31"/>
    </row>
    <row r="2587" spans="1:74" ht="14.4" x14ac:dyDescent="0.3">
      <c r="A2587" s="95" t="s">
        <v>52</v>
      </c>
      <c r="B2587" s="96" t="s">
        <v>3191</v>
      </c>
      <c r="C2587" s="96" t="s">
        <v>52</v>
      </c>
      <c r="D2587" s="179" t="s">
        <v>3192</v>
      </c>
      <c r="E2587" s="180"/>
      <c r="F2587" s="97" t="s">
        <v>32</v>
      </c>
      <c r="G2587" s="97" t="s">
        <v>32</v>
      </c>
      <c r="H2587" s="98"/>
      <c r="I2587" s="99">
        <f>I2588+I2603+I2623+I2655</f>
        <v>0</v>
      </c>
      <c r="J2587" s="99">
        <f>J2588+J2603+J2623+J2655</f>
        <v>0</v>
      </c>
      <c r="K2587" s="99">
        <f>K2588+K2603+K2623+K2655</f>
        <v>0</v>
      </c>
      <c r="L2587" s="100" t="s">
        <v>52</v>
      </c>
      <c r="M2587" s="99">
        <f>M2588+M2603+M2623+M2655</f>
        <v>31.092910000000003</v>
      </c>
      <c r="N2587" s="101"/>
    </row>
    <row r="2588" spans="1:74" ht="14.4" x14ac:dyDescent="0.3">
      <c r="A2588" s="21" t="s">
        <v>52</v>
      </c>
      <c r="B2588" s="22" t="s">
        <v>3191</v>
      </c>
      <c r="C2588" s="22" t="s">
        <v>555</v>
      </c>
      <c r="D2588" s="170" t="s">
        <v>1675</v>
      </c>
      <c r="E2588" s="171"/>
      <c r="F2588" s="23" t="s">
        <v>32</v>
      </c>
      <c r="G2588" s="23" t="s">
        <v>32</v>
      </c>
      <c r="H2588" s="64"/>
      <c r="I2588" s="1">
        <f>SUM(I2589:I2601)</f>
        <v>0</v>
      </c>
      <c r="J2588" s="1">
        <f>SUM(J2589:J2601)</f>
        <v>0</v>
      </c>
      <c r="K2588" s="1">
        <f>SUM(K2589:K2601)</f>
        <v>0</v>
      </c>
      <c r="L2588" s="10" t="s">
        <v>52</v>
      </c>
      <c r="M2588" s="1">
        <f>SUM(M2589:M2601)</f>
        <v>0</v>
      </c>
      <c r="N2588" s="24"/>
      <c r="AG2588" s="10" t="s">
        <v>3191</v>
      </c>
      <c r="AQ2588" s="1">
        <f>SUM(AH2589:AH2601)</f>
        <v>0</v>
      </c>
      <c r="AR2588" s="1">
        <f>SUM(AI2589:AI2601)</f>
        <v>0</v>
      </c>
      <c r="AS2588" s="1">
        <f>SUM(AJ2589:AJ2601)</f>
        <v>0</v>
      </c>
    </row>
    <row r="2589" spans="1:74" ht="14.4" x14ac:dyDescent="0.3">
      <c r="A2589" s="2" t="s">
        <v>3193</v>
      </c>
      <c r="B2589" s="3" t="s">
        <v>3191</v>
      </c>
      <c r="C2589" s="3" t="s">
        <v>3194</v>
      </c>
      <c r="D2589" s="112" t="s">
        <v>3195</v>
      </c>
      <c r="E2589" s="109"/>
      <c r="F2589" s="3" t="s">
        <v>100</v>
      </c>
      <c r="G2589" s="25">
        <v>4</v>
      </c>
      <c r="H2589" s="62"/>
      <c r="I2589" s="25">
        <f>ROUND(G2589*AM2589,2)</f>
        <v>0</v>
      </c>
      <c r="J2589" s="25">
        <f>ROUND(G2589*AN2589,2)</f>
        <v>0</v>
      </c>
      <c r="K2589" s="25">
        <f>ROUND(G2589*H2589,2)</f>
        <v>0</v>
      </c>
      <c r="L2589" s="25">
        <v>0</v>
      </c>
      <c r="M2589" s="25">
        <f>G2589*L2589</f>
        <v>0</v>
      </c>
      <c r="N2589" s="26"/>
      <c r="X2589" s="25">
        <f>ROUND(IF(AO2589="5",BH2589,0),2)</f>
        <v>0</v>
      </c>
      <c r="Z2589" s="25">
        <f>ROUND(IF(AO2589="1",BF2589,0),2)</f>
        <v>0</v>
      </c>
      <c r="AA2589" s="25">
        <f>ROUND(IF(AO2589="1",BG2589,0),2)</f>
        <v>0</v>
      </c>
      <c r="AB2589" s="25">
        <f>ROUND(IF(AO2589="7",BF2589,0),2)</f>
        <v>0</v>
      </c>
      <c r="AC2589" s="25">
        <f>ROUND(IF(AO2589="7",BG2589,0),2)</f>
        <v>0</v>
      </c>
      <c r="AD2589" s="25">
        <f>ROUND(IF(AO2589="2",BF2589,0),2)</f>
        <v>0</v>
      </c>
      <c r="AE2589" s="25">
        <f>ROUND(IF(AO2589="2",BG2589,0),2)</f>
        <v>0</v>
      </c>
      <c r="AF2589" s="25">
        <f>ROUND(IF(AO2589="0",BH2589,0),2)</f>
        <v>0</v>
      </c>
      <c r="AG2589" s="10" t="s">
        <v>3191</v>
      </c>
      <c r="AH2589" s="25">
        <f>IF(AL2589=0,K2589,0)</f>
        <v>0</v>
      </c>
      <c r="AI2589" s="25">
        <f>IF(AL2589=12,K2589,0)</f>
        <v>0</v>
      </c>
      <c r="AJ2589" s="25">
        <f>IF(AL2589=21,K2589,0)</f>
        <v>0</v>
      </c>
      <c r="AL2589" s="25">
        <v>21</v>
      </c>
      <c r="AM2589" s="25">
        <f>H2589*0</f>
        <v>0</v>
      </c>
      <c r="AN2589" s="25">
        <f>H2589*(1-0)</f>
        <v>0</v>
      </c>
      <c r="AO2589" s="27" t="s">
        <v>57</v>
      </c>
      <c r="AT2589" s="25">
        <f>ROUND(AU2589+AV2589,2)</f>
        <v>0</v>
      </c>
      <c r="AU2589" s="25">
        <f>ROUND(G2589*AM2589,2)</f>
        <v>0</v>
      </c>
      <c r="AV2589" s="25">
        <f>ROUND(G2589*AN2589,2)</f>
        <v>0</v>
      </c>
      <c r="AW2589" s="27" t="s">
        <v>1679</v>
      </c>
      <c r="AX2589" s="27" t="s">
        <v>3196</v>
      </c>
      <c r="AY2589" s="10" t="s">
        <v>3197</v>
      </c>
      <c r="BA2589" s="25">
        <f>AU2589+AV2589</f>
        <v>0</v>
      </c>
      <c r="BB2589" s="25">
        <f>H2589/(100-BC2589)*100</f>
        <v>0</v>
      </c>
      <c r="BC2589" s="25">
        <v>0</v>
      </c>
      <c r="BD2589" s="25">
        <f>M2589</f>
        <v>0</v>
      </c>
      <c r="BF2589" s="25">
        <f>G2589*AM2589</f>
        <v>0</v>
      </c>
      <c r="BG2589" s="25">
        <f>G2589*AN2589</f>
        <v>0</v>
      </c>
      <c r="BH2589" s="25">
        <f>G2589*H2589</f>
        <v>0</v>
      </c>
      <c r="BI2589" s="27" t="s">
        <v>65</v>
      </c>
      <c r="BJ2589" s="25">
        <v>90</v>
      </c>
      <c r="BU2589" s="25" t="e">
        <f>#REF!</f>
        <v>#REF!</v>
      </c>
      <c r="BV2589" s="4" t="s">
        <v>3195</v>
      </c>
    </row>
    <row r="2590" spans="1:74" ht="14.4" x14ac:dyDescent="0.3">
      <c r="A2590" s="28"/>
      <c r="D2590" s="29" t="s">
        <v>90</v>
      </c>
      <c r="E2590" s="29" t="s">
        <v>52</v>
      </c>
      <c r="G2590" s="30">
        <v>4</v>
      </c>
      <c r="H2590" s="63"/>
      <c r="N2590" s="31"/>
    </row>
    <row r="2591" spans="1:74" ht="14.4" x14ac:dyDescent="0.3">
      <c r="A2591" s="2" t="s">
        <v>3198</v>
      </c>
      <c r="B2591" s="3" t="s">
        <v>3191</v>
      </c>
      <c r="C2591" s="3" t="s">
        <v>2310</v>
      </c>
      <c r="D2591" s="112" t="s">
        <v>3199</v>
      </c>
      <c r="E2591" s="109"/>
      <c r="F2591" s="3" t="s">
        <v>100</v>
      </c>
      <c r="G2591" s="25">
        <v>10</v>
      </c>
      <c r="H2591" s="62"/>
      <c r="I2591" s="25">
        <f>ROUND(G2591*AM2591,2)</f>
        <v>0</v>
      </c>
      <c r="J2591" s="25">
        <f>ROUND(G2591*AN2591,2)</f>
        <v>0</v>
      </c>
      <c r="K2591" s="25">
        <f>ROUND(G2591*H2591,2)</f>
        <v>0</v>
      </c>
      <c r="L2591" s="25">
        <v>0</v>
      </c>
      <c r="M2591" s="25">
        <f>G2591*L2591</f>
        <v>0</v>
      </c>
      <c r="N2591" s="26"/>
      <c r="X2591" s="25">
        <f>ROUND(IF(AO2591="5",BH2591,0),2)</f>
        <v>0</v>
      </c>
      <c r="Z2591" s="25">
        <f>ROUND(IF(AO2591="1",BF2591,0),2)</f>
        <v>0</v>
      </c>
      <c r="AA2591" s="25">
        <f>ROUND(IF(AO2591="1",BG2591,0),2)</f>
        <v>0</v>
      </c>
      <c r="AB2591" s="25">
        <f>ROUND(IF(AO2591="7",BF2591,0),2)</f>
        <v>0</v>
      </c>
      <c r="AC2591" s="25">
        <f>ROUND(IF(AO2591="7",BG2591,0),2)</f>
        <v>0</v>
      </c>
      <c r="AD2591" s="25">
        <f>ROUND(IF(AO2591="2",BF2591,0),2)</f>
        <v>0</v>
      </c>
      <c r="AE2591" s="25">
        <f>ROUND(IF(AO2591="2",BG2591,0),2)</f>
        <v>0</v>
      </c>
      <c r="AF2591" s="25">
        <f>ROUND(IF(AO2591="0",BH2591,0),2)</f>
        <v>0</v>
      </c>
      <c r="AG2591" s="10" t="s">
        <v>3191</v>
      </c>
      <c r="AH2591" s="25">
        <f>IF(AL2591=0,K2591,0)</f>
        <v>0</v>
      </c>
      <c r="AI2591" s="25">
        <f>IF(AL2591=12,K2591,0)</f>
        <v>0</v>
      </c>
      <c r="AJ2591" s="25">
        <f>IF(AL2591=21,K2591,0)</f>
        <v>0</v>
      </c>
      <c r="AL2591" s="25">
        <v>21</v>
      </c>
      <c r="AM2591" s="25">
        <f>H2591*0</f>
        <v>0</v>
      </c>
      <c r="AN2591" s="25">
        <f>H2591*(1-0)</f>
        <v>0</v>
      </c>
      <c r="AO2591" s="27" t="s">
        <v>57</v>
      </c>
      <c r="AT2591" s="25">
        <f>ROUND(AU2591+AV2591,2)</f>
        <v>0</v>
      </c>
      <c r="AU2591" s="25">
        <f>ROUND(G2591*AM2591,2)</f>
        <v>0</v>
      </c>
      <c r="AV2591" s="25">
        <f>ROUND(G2591*AN2591,2)</f>
        <v>0</v>
      </c>
      <c r="AW2591" s="27" t="s">
        <v>1679</v>
      </c>
      <c r="AX2591" s="27" t="s">
        <v>3196</v>
      </c>
      <c r="AY2591" s="10" t="s">
        <v>3197</v>
      </c>
      <c r="BA2591" s="25">
        <f>AU2591+AV2591</f>
        <v>0</v>
      </c>
      <c r="BB2591" s="25">
        <f>H2591/(100-BC2591)*100</f>
        <v>0</v>
      </c>
      <c r="BC2591" s="25">
        <v>0</v>
      </c>
      <c r="BD2591" s="25">
        <f>M2591</f>
        <v>0</v>
      </c>
      <c r="BF2591" s="25">
        <f>G2591*AM2591</f>
        <v>0</v>
      </c>
      <c r="BG2591" s="25">
        <f>G2591*AN2591</f>
        <v>0</v>
      </c>
      <c r="BH2591" s="25">
        <f>G2591*H2591</f>
        <v>0</v>
      </c>
      <c r="BI2591" s="27" t="s">
        <v>65</v>
      </c>
      <c r="BJ2591" s="25">
        <v>90</v>
      </c>
      <c r="BU2591" s="25" t="e">
        <f>#REF!</f>
        <v>#REF!</v>
      </c>
      <c r="BV2591" s="4" t="s">
        <v>3199</v>
      </c>
    </row>
    <row r="2592" spans="1:74" ht="14.4" x14ac:dyDescent="0.3">
      <c r="A2592" s="28"/>
      <c r="D2592" s="29" t="s">
        <v>129</v>
      </c>
      <c r="E2592" s="29" t="s">
        <v>52</v>
      </c>
      <c r="G2592" s="30">
        <v>10</v>
      </c>
      <c r="H2592" s="63"/>
      <c r="N2592" s="31"/>
    </row>
    <row r="2593" spans="1:74" ht="14.4" x14ac:dyDescent="0.3">
      <c r="A2593" s="2" t="s">
        <v>3200</v>
      </c>
      <c r="B2593" s="3" t="s">
        <v>3191</v>
      </c>
      <c r="C2593" s="3" t="s">
        <v>3201</v>
      </c>
      <c r="D2593" s="112" t="s">
        <v>3202</v>
      </c>
      <c r="E2593" s="109"/>
      <c r="F2593" s="3" t="s">
        <v>100</v>
      </c>
      <c r="G2593" s="25">
        <v>16</v>
      </c>
      <c r="H2593" s="62"/>
      <c r="I2593" s="25">
        <f>ROUND(G2593*AM2593,2)</f>
        <v>0</v>
      </c>
      <c r="J2593" s="25">
        <f>ROUND(G2593*AN2593,2)</f>
        <v>0</v>
      </c>
      <c r="K2593" s="25">
        <f>ROUND(G2593*H2593,2)</f>
        <v>0</v>
      </c>
      <c r="L2593" s="25">
        <v>0</v>
      </c>
      <c r="M2593" s="25">
        <f>G2593*L2593</f>
        <v>0</v>
      </c>
      <c r="N2593" s="26"/>
      <c r="X2593" s="25">
        <f>ROUND(IF(AO2593="5",BH2593,0),2)</f>
        <v>0</v>
      </c>
      <c r="Z2593" s="25">
        <f>ROUND(IF(AO2593="1",BF2593,0),2)</f>
        <v>0</v>
      </c>
      <c r="AA2593" s="25">
        <f>ROUND(IF(AO2593="1",BG2593,0),2)</f>
        <v>0</v>
      </c>
      <c r="AB2593" s="25">
        <f>ROUND(IF(AO2593="7",BF2593,0),2)</f>
        <v>0</v>
      </c>
      <c r="AC2593" s="25">
        <f>ROUND(IF(AO2593="7",BG2593,0),2)</f>
        <v>0</v>
      </c>
      <c r="AD2593" s="25">
        <f>ROUND(IF(AO2593="2",BF2593,0),2)</f>
        <v>0</v>
      </c>
      <c r="AE2593" s="25">
        <f>ROUND(IF(AO2593="2",BG2593,0),2)</f>
        <v>0</v>
      </c>
      <c r="AF2593" s="25">
        <f>ROUND(IF(AO2593="0",BH2593,0),2)</f>
        <v>0</v>
      </c>
      <c r="AG2593" s="10" t="s">
        <v>3191</v>
      </c>
      <c r="AH2593" s="25">
        <f>IF(AL2593=0,K2593,0)</f>
        <v>0</v>
      </c>
      <c r="AI2593" s="25">
        <f>IF(AL2593=12,K2593,0)</f>
        <v>0</v>
      </c>
      <c r="AJ2593" s="25">
        <f>IF(AL2593=21,K2593,0)</f>
        <v>0</v>
      </c>
      <c r="AL2593" s="25">
        <v>21</v>
      </c>
      <c r="AM2593" s="25">
        <f>H2593*0</f>
        <v>0</v>
      </c>
      <c r="AN2593" s="25">
        <f>H2593*(1-0)</f>
        <v>0</v>
      </c>
      <c r="AO2593" s="27" t="s">
        <v>57</v>
      </c>
      <c r="AT2593" s="25">
        <f>ROUND(AU2593+AV2593,2)</f>
        <v>0</v>
      </c>
      <c r="AU2593" s="25">
        <f>ROUND(G2593*AM2593,2)</f>
        <v>0</v>
      </c>
      <c r="AV2593" s="25">
        <f>ROUND(G2593*AN2593,2)</f>
        <v>0</v>
      </c>
      <c r="AW2593" s="27" t="s">
        <v>1679</v>
      </c>
      <c r="AX2593" s="27" t="s">
        <v>3196</v>
      </c>
      <c r="AY2593" s="10" t="s">
        <v>3197</v>
      </c>
      <c r="BA2593" s="25">
        <f>AU2593+AV2593</f>
        <v>0</v>
      </c>
      <c r="BB2593" s="25">
        <f>H2593/(100-BC2593)*100</f>
        <v>0</v>
      </c>
      <c r="BC2593" s="25">
        <v>0</v>
      </c>
      <c r="BD2593" s="25">
        <f>M2593</f>
        <v>0</v>
      </c>
      <c r="BF2593" s="25">
        <f>G2593*AM2593</f>
        <v>0</v>
      </c>
      <c r="BG2593" s="25">
        <f>G2593*AN2593</f>
        <v>0</v>
      </c>
      <c r="BH2593" s="25">
        <f>G2593*H2593</f>
        <v>0</v>
      </c>
      <c r="BI2593" s="27" t="s">
        <v>65</v>
      </c>
      <c r="BJ2593" s="25">
        <v>90</v>
      </c>
      <c r="BU2593" s="25" t="e">
        <f>#REF!</f>
        <v>#REF!</v>
      </c>
      <c r="BV2593" s="4" t="s">
        <v>3202</v>
      </c>
    </row>
    <row r="2594" spans="1:74" ht="14.4" x14ac:dyDescent="0.3">
      <c r="A2594" s="28"/>
      <c r="D2594" s="29" t="s">
        <v>175</v>
      </c>
      <c r="E2594" s="29" t="s">
        <v>52</v>
      </c>
      <c r="G2594" s="30">
        <v>16</v>
      </c>
      <c r="H2594" s="63"/>
      <c r="N2594" s="31"/>
    </row>
    <row r="2595" spans="1:74" ht="14.4" x14ac:dyDescent="0.3">
      <c r="A2595" s="2" t="s">
        <v>3203</v>
      </c>
      <c r="B2595" s="3" t="s">
        <v>3191</v>
      </c>
      <c r="C2595" s="3" t="s">
        <v>3204</v>
      </c>
      <c r="D2595" s="112" t="s">
        <v>3205</v>
      </c>
      <c r="E2595" s="109"/>
      <c r="F2595" s="3" t="s">
        <v>100</v>
      </c>
      <c r="G2595" s="25">
        <v>10</v>
      </c>
      <c r="H2595" s="62"/>
      <c r="I2595" s="25">
        <f>ROUND(G2595*AM2595,2)</f>
        <v>0</v>
      </c>
      <c r="J2595" s="25">
        <f>ROUND(G2595*AN2595,2)</f>
        <v>0</v>
      </c>
      <c r="K2595" s="25">
        <f>ROUND(G2595*H2595,2)</f>
        <v>0</v>
      </c>
      <c r="L2595" s="25">
        <v>0</v>
      </c>
      <c r="M2595" s="25">
        <f>G2595*L2595</f>
        <v>0</v>
      </c>
      <c r="N2595" s="26"/>
      <c r="X2595" s="25">
        <f>ROUND(IF(AO2595="5",BH2595,0),2)</f>
        <v>0</v>
      </c>
      <c r="Z2595" s="25">
        <f>ROUND(IF(AO2595="1",BF2595,0),2)</f>
        <v>0</v>
      </c>
      <c r="AA2595" s="25">
        <f>ROUND(IF(AO2595="1",BG2595,0),2)</f>
        <v>0</v>
      </c>
      <c r="AB2595" s="25">
        <f>ROUND(IF(AO2595="7",BF2595,0),2)</f>
        <v>0</v>
      </c>
      <c r="AC2595" s="25">
        <f>ROUND(IF(AO2595="7",BG2595,0),2)</f>
        <v>0</v>
      </c>
      <c r="AD2595" s="25">
        <f>ROUND(IF(AO2595="2",BF2595,0),2)</f>
        <v>0</v>
      </c>
      <c r="AE2595" s="25">
        <f>ROUND(IF(AO2595="2",BG2595,0),2)</f>
        <v>0</v>
      </c>
      <c r="AF2595" s="25">
        <f>ROUND(IF(AO2595="0",BH2595,0),2)</f>
        <v>0</v>
      </c>
      <c r="AG2595" s="10" t="s">
        <v>3191</v>
      </c>
      <c r="AH2595" s="25">
        <f>IF(AL2595=0,K2595,0)</f>
        <v>0</v>
      </c>
      <c r="AI2595" s="25">
        <f>IF(AL2595=12,K2595,0)</f>
        <v>0</v>
      </c>
      <c r="AJ2595" s="25">
        <f>IF(AL2595=21,K2595,0)</f>
        <v>0</v>
      </c>
      <c r="AL2595" s="25">
        <v>21</v>
      </c>
      <c r="AM2595" s="25">
        <f>H2595*0</f>
        <v>0</v>
      </c>
      <c r="AN2595" s="25">
        <f>H2595*(1-0)</f>
        <v>0</v>
      </c>
      <c r="AO2595" s="27" t="s">
        <v>81</v>
      </c>
      <c r="AT2595" s="25">
        <f>ROUND(AU2595+AV2595,2)</f>
        <v>0</v>
      </c>
      <c r="AU2595" s="25">
        <f>ROUND(G2595*AM2595,2)</f>
        <v>0</v>
      </c>
      <c r="AV2595" s="25">
        <f>ROUND(G2595*AN2595,2)</f>
        <v>0</v>
      </c>
      <c r="AW2595" s="27" t="s">
        <v>1679</v>
      </c>
      <c r="AX2595" s="27" t="s">
        <v>3196</v>
      </c>
      <c r="AY2595" s="10" t="s">
        <v>3197</v>
      </c>
      <c r="BA2595" s="25">
        <f>AU2595+AV2595</f>
        <v>0</v>
      </c>
      <c r="BB2595" s="25">
        <f>H2595/(100-BC2595)*100</f>
        <v>0</v>
      </c>
      <c r="BC2595" s="25">
        <v>0</v>
      </c>
      <c r="BD2595" s="25">
        <f>M2595</f>
        <v>0</v>
      </c>
      <c r="BF2595" s="25">
        <f>G2595*AM2595</f>
        <v>0</v>
      </c>
      <c r="BG2595" s="25">
        <f>G2595*AN2595</f>
        <v>0</v>
      </c>
      <c r="BH2595" s="25">
        <f>G2595*H2595</f>
        <v>0</v>
      </c>
      <c r="BI2595" s="27" t="s">
        <v>65</v>
      </c>
      <c r="BJ2595" s="25">
        <v>90</v>
      </c>
      <c r="BU2595" s="25" t="e">
        <f>#REF!</f>
        <v>#REF!</v>
      </c>
      <c r="BV2595" s="4" t="s">
        <v>3205</v>
      </c>
    </row>
    <row r="2596" spans="1:74" ht="14.4" x14ac:dyDescent="0.3">
      <c r="A2596" s="28"/>
      <c r="D2596" s="29" t="s">
        <v>129</v>
      </c>
      <c r="E2596" s="29" t="s">
        <v>52</v>
      </c>
      <c r="G2596" s="30">
        <v>10</v>
      </c>
      <c r="H2596" s="63"/>
      <c r="N2596" s="31"/>
    </row>
    <row r="2597" spans="1:74" ht="26.4" x14ac:dyDescent="0.3">
      <c r="A2597" s="2" t="s">
        <v>3206</v>
      </c>
      <c r="B2597" s="3" t="s">
        <v>3191</v>
      </c>
      <c r="C2597" s="3" t="s">
        <v>3207</v>
      </c>
      <c r="D2597" s="112" t="s">
        <v>3208</v>
      </c>
      <c r="E2597" s="109"/>
      <c r="F2597" s="3" t="s">
        <v>2183</v>
      </c>
      <c r="G2597" s="25">
        <v>1</v>
      </c>
      <c r="H2597" s="62"/>
      <c r="I2597" s="25">
        <f>ROUND(G2597*AM2597,2)</f>
        <v>0</v>
      </c>
      <c r="J2597" s="25">
        <f>ROUND(G2597*AN2597,2)</f>
        <v>0</v>
      </c>
      <c r="K2597" s="25">
        <f>ROUND(G2597*H2597,2)</f>
        <v>0</v>
      </c>
      <c r="L2597" s="25">
        <v>0</v>
      </c>
      <c r="M2597" s="25">
        <f>G2597*L2597</f>
        <v>0</v>
      </c>
      <c r="N2597" s="102"/>
      <c r="X2597" s="25">
        <f>ROUND(IF(AO2597="5",BH2597,0),2)</f>
        <v>0</v>
      </c>
      <c r="Z2597" s="25">
        <f>ROUND(IF(AO2597="1",BF2597,0),2)</f>
        <v>0</v>
      </c>
      <c r="AA2597" s="25">
        <f>ROUND(IF(AO2597="1",BG2597,0),2)</f>
        <v>0</v>
      </c>
      <c r="AB2597" s="25">
        <f>ROUND(IF(AO2597="7",BF2597,0),2)</f>
        <v>0</v>
      </c>
      <c r="AC2597" s="25">
        <f>ROUND(IF(AO2597="7",BG2597,0),2)</f>
        <v>0</v>
      </c>
      <c r="AD2597" s="25">
        <f>ROUND(IF(AO2597="2",BF2597,0),2)</f>
        <v>0</v>
      </c>
      <c r="AE2597" s="25">
        <f>ROUND(IF(AO2597="2",BG2597,0),2)</f>
        <v>0</v>
      </c>
      <c r="AF2597" s="25">
        <f>ROUND(IF(AO2597="0",BH2597,0),2)</f>
        <v>0</v>
      </c>
      <c r="AG2597" s="10" t="s">
        <v>3191</v>
      </c>
      <c r="AH2597" s="25">
        <f>IF(AL2597=0,K2597,0)</f>
        <v>0</v>
      </c>
      <c r="AI2597" s="25">
        <f>IF(AL2597=12,K2597,0)</f>
        <v>0</v>
      </c>
      <c r="AJ2597" s="25">
        <f>IF(AL2597=21,K2597,0)</f>
        <v>0</v>
      </c>
      <c r="AL2597" s="25">
        <v>21</v>
      </c>
      <c r="AM2597" s="25">
        <f>H2597*0</f>
        <v>0</v>
      </c>
      <c r="AN2597" s="25">
        <f>H2597*(1-0)</f>
        <v>0</v>
      </c>
      <c r="AO2597" s="27" t="s">
        <v>81</v>
      </c>
      <c r="AT2597" s="25">
        <f>ROUND(AU2597+AV2597,2)</f>
        <v>0</v>
      </c>
      <c r="AU2597" s="25">
        <f>ROUND(G2597*AM2597,2)</f>
        <v>0</v>
      </c>
      <c r="AV2597" s="25">
        <f>ROUND(G2597*AN2597,2)</f>
        <v>0</v>
      </c>
      <c r="AW2597" s="27" t="s">
        <v>1679</v>
      </c>
      <c r="AX2597" s="27" t="s">
        <v>3196</v>
      </c>
      <c r="AY2597" s="10" t="s">
        <v>3197</v>
      </c>
      <c r="BA2597" s="25">
        <f>AU2597+AV2597</f>
        <v>0</v>
      </c>
      <c r="BB2597" s="25">
        <f>H2597/(100-BC2597)*100</f>
        <v>0</v>
      </c>
      <c r="BC2597" s="25">
        <v>0</v>
      </c>
      <c r="BD2597" s="25">
        <f>M2597</f>
        <v>0</v>
      </c>
      <c r="BF2597" s="25">
        <f>G2597*AM2597</f>
        <v>0</v>
      </c>
      <c r="BG2597" s="25">
        <f>G2597*AN2597</f>
        <v>0</v>
      </c>
      <c r="BH2597" s="25">
        <f>G2597*H2597</f>
        <v>0</v>
      </c>
      <c r="BI2597" s="27" t="s">
        <v>65</v>
      </c>
      <c r="BJ2597" s="25">
        <v>90</v>
      </c>
      <c r="BU2597" s="25" t="e">
        <f>#REF!</f>
        <v>#REF!</v>
      </c>
      <c r="BV2597" s="4" t="s">
        <v>3208</v>
      </c>
    </row>
    <row r="2598" spans="1:74" ht="14.4" x14ac:dyDescent="0.3">
      <c r="A2598" s="28"/>
      <c r="D2598" s="29" t="s">
        <v>57</v>
      </c>
      <c r="E2598" s="29" t="s">
        <v>52</v>
      </c>
      <c r="G2598" s="30">
        <v>1</v>
      </c>
      <c r="H2598" s="63"/>
      <c r="N2598" s="31"/>
    </row>
    <row r="2599" spans="1:74" ht="14.4" x14ac:dyDescent="0.3">
      <c r="A2599" s="2" t="s">
        <v>3209</v>
      </c>
      <c r="B2599" s="3" t="s">
        <v>3191</v>
      </c>
      <c r="C2599" s="3" t="s">
        <v>3210</v>
      </c>
      <c r="D2599" s="112" t="s">
        <v>3211</v>
      </c>
      <c r="E2599" s="109"/>
      <c r="F2599" s="3" t="s">
        <v>2183</v>
      </c>
      <c r="G2599" s="25">
        <v>1</v>
      </c>
      <c r="H2599" s="62"/>
      <c r="I2599" s="25">
        <f>ROUND(G2599*AM2599,2)</f>
        <v>0</v>
      </c>
      <c r="J2599" s="25">
        <f>ROUND(G2599*AN2599,2)</f>
        <v>0</v>
      </c>
      <c r="K2599" s="25">
        <f>ROUND(G2599*H2599,2)</f>
        <v>0</v>
      </c>
      <c r="L2599" s="25">
        <v>0</v>
      </c>
      <c r="M2599" s="25">
        <f>G2599*L2599</f>
        <v>0</v>
      </c>
      <c r="N2599" s="102"/>
      <c r="X2599" s="25">
        <f>ROUND(IF(AO2599="5",BH2599,0),2)</f>
        <v>0</v>
      </c>
      <c r="Z2599" s="25">
        <f>ROUND(IF(AO2599="1",BF2599,0),2)</f>
        <v>0</v>
      </c>
      <c r="AA2599" s="25">
        <f>ROUND(IF(AO2599="1",BG2599,0),2)</f>
        <v>0</v>
      </c>
      <c r="AB2599" s="25">
        <f>ROUND(IF(AO2599="7",BF2599,0),2)</f>
        <v>0</v>
      </c>
      <c r="AC2599" s="25">
        <f>ROUND(IF(AO2599="7",BG2599,0),2)</f>
        <v>0</v>
      </c>
      <c r="AD2599" s="25">
        <f>ROUND(IF(AO2599="2",BF2599,0),2)</f>
        <v>0</v>
      </c>
      <c r="AE2599" s="25">
        <f>ROUND(IF(AO2599="2",BG2599,0),2)</f>
        <v>0</v>
      </c>
      <c r="AF2599" s="25">
        <f>ROUND(IF(AO2599="0",BH2599,0),2)</f>
        <v>0</v>
      </c>
      <c r="AG2599" s="10" t="s">
        <v>3191</v>
      </c>
      <c r="AH2599" s="25">
        <f>IF(AL2599=0,K2599,0)</f>
        <v>0</v>
      </c>
      <c r="AI2599" s="25">
        <f>IF(AL2599=12,K2599,0)</f>
        <v>0</v>
      </c>
      <c r="AJ2599" s="25">
        <f>IF(AL2599=21,K2599,0)</f>
        <v>0</v>
      </c>
      <c r="AL2599" s="25">
        <v>21</v>
      </c>
      <c r="AM2599" s="25">
        <f>H2599*0</f>
        <v>0</v>
      </c>
      <c r="AN2599" s="25">
        <f>H2599*(1-0)</f>
        <v>0</v>
      </c>
      <c r="AO2599" s="27" t="s">
        <v>57</v>
      </c>
      <c r="AT2599" s="25">
        <f>ROUND(AU2599+AV2599,2)</f>
        <v>0</v>
      </c>
      <c r="AU2599" s="25">
        <f>ROUND(G2599*AM2599,2)</f>
        <v>0</v>
      </c>
      <c r="AV2599" s="25">
        <f>ROUND(G2599*AN2599,2)</f>
        <v>0</v>
      </c>
      <c r="AW2599" s="27" t="s">
        <v>1679</v>
      </c>
      <c r="AX2599" s="27" t="s">
        <v>3196</v>
      </c>
      <c r="AY2599" s="10" t="s">
        <v>3197</v>
      </c>
      <c r="BA2599" s="25">
        <f>AU2599+AV2599</f>
        <v>0</v>
      </c>
      <c r="BB2599" s="25">
        <f>H2599/(100-BC2599)*100</f>
        <v>0</v>
      </c>
      <c r="BC2599" s="25">
        <v>0</v>
      </c>
      <c r="BD2599" s="25">
        <f>M2599</f>
        <v>0</v>
      </c>
      <c r="BF2599" s="25">
        <f>G2599*AM2599</f>
        <v>0</v>
      </c>
      <c r="BG2599" s="25">
        <f>G2599*AN2599</f>
        <v>0</v>
      </c>
      <c r="BH2599" s="25">
        <f>G2599*H2599</f>
        <v>0</v>
      </c>
      <c r="BI2599" s="27" t="s">
        <v>65</v>
      </c>
      <c r="BJ2599" s="25">
        <v>90</v>
      </c>
      <c r="BU2599" s="25" t="e">
        <f>#REF!</f>
        <v>#REF!</v>
      </c>
      <c r="BV2599" s="4" t="s">
        <v>3211</v>
      </c>
    </row>
    <row r="2600" spans="1:74" ht="14.4" x14ac:dyDescent="0.3">
      <c r="A2600" s="28"/>
      <c r="D2600" s="29" t="s">
        <v>57</v>
      </c>
      <c r="E2600" s="29" t="s">
        <v>52</v>
      </c>
      <c r="G2600" s="30">
        <v>1</v>
      </c>
      <c r="H2600" s="63"/>
      <c r="N2600" s="31"/>
    </row>
    <row r="2601" spans="1:74" ht="14.4" x14ac:dyDescent="0.3">
      <c r="A2601" s="2" t="s">
        <v>3212</v>
      </c>
      <c r="B2601" s="3" t="s">
        <v>3191</v>
      </c>
      <c r="C2601" s="3" t="s">
        <v>3213</v>
      </c>
      <c r="D2601" s="112" t="s">
        <v>3214</v>
      </c>
      <c r="E2601" s="109"/>
      <c r="F2601" s="3" t="s">
        <v>100</v>
      </c>
      <c r="G2601" s="25">
        <v>3</v>
      </c>
      <c r="H2601" s="62"/>
      <c r="I2601" s="25">
        <f>ROUND(G2601*AM2601,2)</f>
        <v>0</v>
      </c>
      <c r="J2601" s="25">
        <f>ROUND(G2601*AN2601,2)</f>
        <v>0</v>
      </c>
      <c r="K2601" s="25">
        <f>ROUND(G2601*H2601,2)</f>
        <v>0</v>
      </c>
      <c r="L2601" s="25">
        <v>0</v>
      </c>
      <c r="M2601" s="25">
        <f>G2601*L2601</f>
        <v>0</v>
      </c>
      <c r="N2601" s="102"/>
      <c r="X2601" s="25">
        <f>ROUND(IF(AO2601="5",BH2601,0),2)</f>
        <v>0</v>
      </c>
      <c r="Z2601" s="25">
        <f>ROUND(IF(AO2601="1",BF2601,0),2)</f>
        <v>0</v>
      </c>
      <c r="AA2601" s="25">
        <f>ROUND(IF(AO2601="1",BG2601,0),2)</f>
        <v>0</v>
      </c>
      <c r="AB2601" s="25">
        <f>ROUND(IF(AO2601="7",BF2601,0),2)</f>
        <v>0</v>
      </c>
      <c r="AC2601" s="25">
        <f>ROUND(IF(AO2601="7",BG2601,0),2)</f>
        <v>0</v>
      </c>
      <c r="AD2601" s="25">
        <f>ROUND(IF(AO2601="2",BF2601,0),2)</f>
        <v>0</v>
      </c>
      <c r="AE2601" s="25">
        <f>ROUND(IF(AO2601="2",BG2601,0),2)</f>
        <v>0</v>
      </c>
      <c r="AF2601" s="25">
        <f>ROUND(IF(AO2601="0",BH2601,0),2)</f>
        <v>0</v>
      </c>
      <c r="AG2601" s="10" t="s">
        <v>3191</v>
      </c>
      <c r="AH2601" s="25">
        <f>IF(AL2601=0,K2601,0)</f>
        <v>0</v>
      </c>
      <c r="AI2601" s="25">
        <f>IF(AL2601=12,K2601,0)</f>
        <v>0</v>
      </c>
      <c r="AJ2601" s="25">
        <f>IF(AL2601=21,K2601,0)</f>
        <v>0</v>
      </c>
      <c r="AL2601" s="25">
        <v>21</v>
      </c>
      <c r="AM2601" s="25">
        <f>H2601*0</f>
        <v>0</v>
      </c>
      <c r="AN2601" s="25">
        <f>H2601*(1-0)</f>
        <v>0</v>
      </c>
      <c r="AO2601" s="27" t="s">
        <v>81</v>
      </c>
      <c r="AT2601" s="25">
        <f>ROUND(AU2601+AV2601,2)</f>
        <v>0</v>
      </c>
      <c r="AU2601" s="25">
        <f>ROUND(G2601*AM2601,2)</f>
        <v>0</v>
      </c>
      <c r="AV2601" s="25">
        <f>ROUND(G2601*AN2601,2)</f>
        <v>0</v>
      </c>
      <c r="AW2601" s="27" t="s">
        <v>1679</v>
      </c>
      <c r="AX2601" s="27" t="s">
        <v>3196</v>
      </c>
      <c r="AY2601" s="10" t="s">
        <v>3197</v>
      </c>
      <c r="BA2601" s="25">
        <f>AU2601+AV2601</f>
        <v>0</v>
      </c>
      <c r="BB2601" s="25">
        <f>H2601/(100-BC2601)*100</f>
        <v>0</v>
      </c>
      <c r="BC2601" s="25">
        <v>0</v>
      </c>
      <c r="BD2601" s="25">
        <f>M2601</f>
        <v>0</v>
      </c>
      <c r="BF2601" s="25">
        <f>G2601*AM2601</f>
        <v>0</v>
      </c>
      <c r="BG2601" s="25">
        <f>G2601*AN2601</f>
        <v>0</v>
      </c>
      <c r="BH2601" s="25">
        <f>G2601*H2601</f>
        <v>0</v>
      </c>
      <c r="BI2601" s="27" t="s">
        <v>65</v>
      </c>
      <c r="BJ2601" s="25">
        <v>90</v>
      </c>
      <c r="BU2601" s="25" t="e">
        <f>#REF!</f>
        <v>#REF!</v>
      </c>
      <c r="BV2601" s="4" t="s">
        <v>3214</v>
      </c>
    </row>
    <row r="2602" spans="1:74" ht="14.4" x14ac:dyDescent="0.3">
      <c r="A2602" s="28"/>
      <c r="D2602" s="29" t="s">
        <v>87</v>
      </c>
      <c r="E2602" s="29" t="s">
        <v>52</v>
      </c>
      <c r="G2602" s="30">
        <v>3</v>
      </c>
      <c r="H2602" s="63"/>
      <c r="N2602" s="31"/>
    </row>
    <row r="2603" spans="1:74" ht="14.4" x14ac:dyDescent="0.3">
      <c r="A2603" s="21" t="s">
        <v>52</v>
      </c>
      <c r="B2603" s="22" t="s">
        <v>3191</v>
      </c>
      <c r="C2603" s="22" t="s">
        <v>3215</v>
      </c>
      <c r="D2603" s="170" t="s">
        <v>3216</v>
      </c>
      <c r="E2603" s="171"/>
      <c r="F2603" s="23" t="s">
        <v>32</v>
      </c>
      <c r="G2603" s="23" t="s">
        <v>32</v>
      </c>
      <c r="H2603" s="64"/>
      <c r="I2603" s="1">
        <f>SUM(I2604:I2621)</f>
        <v>0</v>
      </c>
      <c r="J2603" s="1">
        <f>SUM(J2604:J2621)</f>
        <v>0</v>
      </c>
      <c r="K2603" s="1">
        <f>SUM(K2604:K2621)</f>
        <v>0</v>
      </c>
      <c r="L2603" s="10" t="s">
        <v>52</v>
      </c>
      <c r="M2603" s="1">
        <f>SUM(M2604:M2621)</f>
        <v>0</v>
      </c>
      <c r="N2603" s="24"/>
      <c r="AG2603" s="10" t="s">
        <v>3191</v>
      </c>
      <c r="AQ2603" s="1">
        <f>SUM(AH2604:AH2621)</f>
        <v>0</v>
      </c>
      <c r="AR2603" s="1">
        <f>SUM(AI2604:AI2621)</f>
        <v>0</v>
      </c>
      <c r="AS2603" s="1">
        <f>SUM(AJ2604:AJ2621)</f>
        <v>0</v>
      </c>
    </row>
    <row r="2604" spans="1:74" ht="14.4" x14ac:dyDescent="0.3">
      <c r="A2604" s="2" t="s">
        <v>3217</v>
      </c>
      <c r="B2604" s="3" t="s">
        <v>3191</v>
      </c>
      <c r="C2604" s="3" t="s">
        <v>3218</v>
      </c>
      <c r="D2604" s="112" t="s">
        <v>3219</v>
      </c>
      <c r="E2604" s="109"/>
      <c r="F2604" s="3" t="s">
        <v>2183</v>
      </c>
      <c r="G2604" s="25">
        <v>1</v>
      </c>
      <c r="H2604" s="62"/>
      <c r="I2604" s="25">
        <f>ROUND(G2604*AM2604,2)</f>
        <v>0</v>
      </c>
      <c r="J2604" s="25">
        <f>ROUND(G2604*AN2604,2)</f>
        <v>0</v>
      </c>
      <c r="K2604" s="25">
        <f>ROUND(G2604*H2604,2)</f>
        <v>0</v>
      </c>
      <c r="L2604" s="25">
        <v>0</v>
      </c>
      <c r="M2604" s="25">
        <f>G2604*L2604</f>
        <v>0</v>
      </c>
      <c r="N2604" s="102"/>
      <c r="X2604" s="25">
        <f>ROUND(IF(AO2604="5",BH2604,0),2)</f>
        <v>0</v>
      </c>
      <c r="Z2604" s="25">
        <f>ROUND(IF(AO2604="1",BF2604,0),2)</f>
        <v>0</v>
      </c>
      <c r="AA2604" s="25">
        <f>ROUND(IF(AO2604="1",BG2604,0),2)</f>
        <v>0</v>
      </c>
      <c r="AB2604" s="25">
        <f>ROUND(IF(AO2604="7",BF2604,0),2)</f>
        <v>0</v>
      </c>
      <c r="AC2604" s="25">
        <f>ROUND(IF(AO2604="7",BG2604,0),2)</f>
        <v>0</v>
      </c>
      <c r="AD2604" s="25">
        <f>ROUND(IF(AO2604="2",BF2604,0),2)</f>
        <v>0</v>
      </c>
      <c r="AE2604" s="25">
        <f>ROUND(IF(AO2604="2",BG2604,0),2)</f>
        <v>0</v>
      </c>
      <c r="AF2604" s="25">
        <f>ROUND(IF(AO2604="0",BH2604,0),2)</f>
        <v>0</v>
      </c>
      <c r="AG2604" s="10" t="s">
        <v>3191</v>
      </c>
      <c r="AH2604" s="25">
        <f>IF(AL2604=0,K2604,0)</f>
        <v>0</v>
      </c>
      <c r="AI2604" s="25">
        <f>IF(AL2604=12,K2604,0)</f>
        <v>0</v>
      </c>
      <c r="AJ2604" s="25">
        <f>IF(AL2604=21,K2604,0)</f>
        <v>0</v>
      </c>
      <c r="AL2604" s="25">
        <v>21</v>
      </c>
      <c r="AM2604" s="25">
        <f>H2604*0.973084886</f>
        <v>0</v>
      </c>
      <c r="AN2604" s="25">
        <f>H2604*(1-0.973084886)</f>
        <v>0</v>
      </c>
      <c r="AO2604" s="27" t="s">
        <v>81</v>
      </c>
      <c r="AT2604" s="25">
        <f>ROUND(AU2604+AV2604,2)</f>
        <v>0</v>
      </c>
      <c r="AU2604" s="25">
        <f>ROUND(G2604*AM2604,2)</f>
        <v>0</v>
      </c>
      <c r="AV2604" s="25">
        <f>ROUND(G2604*AN2604,2)</f>
        <v>0</v>
      </c>
      <c r="AW2604" s="27" t="s">
        <v>3220</v>
      </c>
      <c r="AX2604" s="27" t="s">
        <v>3196</v>
      </c>
      <c r="AY2604" s="10" t="s">
        <v>3197</v>
      </c>
      <c r="BA2604" s="25">
        <f>AU2604+AV2604</f>
        <v>0</v>
      </c>
      <c r="BB2604" s="25">
        <f>H2604/(100-BC2604)*100</f>
        <v>0</v>
      </c>
      <c r="BC2604" s="25">
        <v>0</v>
      </c>
      <c r="BD2604" s="25">
        <f>M2604</f>
        <v>0</v>
      </c>
      <c r="BF2604" s="25">
        <f>G2604*AM2604</f>
        <v>0</v>
      </c>
      <c r="BG2604" s="25">
        <f>G2604*AN2604</f>
        <v>0</v>
      </c>
      <c r="BH2604" s="25">
        <f>G2604*H2604</f>
        <v>0</v>
      </c>
      <c r="BI2604" s="27" t="s">
        <v>65</v>
      </c>
      <c r="BJ2604" s="25"/>
      <c r="BU2604" s="25" t="e">
        <f>#REF!</f>
        <v>#REF!</v>
      </c>
      <c r="BV2604" s="4" t="s">
        <v>3219</v>
      </c>
    </row>
    <row r="2605" spans="1:74" ht="14.4" x14ac:dyDescent="0.3">
      <c r="A2605" s="28"/>
      <c r="D2605" s="29" t="s">
        <v>57</v>
      </c>
      <c r="E2605" s="29" t="s">
        <v>52</v>
      </c>
      <c r="G2605" s="30">
        <v>1</v>
      </c>
      <c r="H2605" s="63"/>
      <c r="N2605" s="31"/>
    </row>
    <row r="2606" spans="1:74" ht="14.4" x14ac:dyDescent="0.3">
      <c r="A2606" s="2" t="s">
        <v>3221</v>
      </c>
      <c r="B2606" s="3" t="s">
        <v>3191</v>
      </c>
      <c r="C2606" s="3" t="s">
        <v>3222</v>
      </c>
      <c r="D2606" s="112" t="s">
        <v>3223</v>
      </c>
      <c r="E2606" s="109"/>
      <c r="F2606" s="3" t="s">
        <v>2183</v>
      </c>
      <c r="G2606" s="25">
        <v>1</v>
      </c>
      <c r="H2606" s="62"/>
      <c r="I2606" s="25">
        <f>ROUND(G2606*AM2606,2)</f>
        <v>0</v>
      </c>
      <c r="J2606" s="25">
        <f>ROUND(G2606*AN2606,2)</f>
        <v>0</v>
      </c>
      <c r="K2606" s="25">
        <f>ROUND(G2606*H2606,2)</f>
        <v>0</v>
      </c>
      <c r="L2606" s="25">
        <v>0</v>
      </c>
      <c r="M2606" s="25">
        <f>G2606*L2606</f>
        <v>0</v>
      </c>
      <c r="N2606" s="102"/>
      <c r="X2606" s="25">
        <f>ROUND(IF(AO2606="5",BH2606,0),2)</f>
        <v>0</v>
      </c>
      <c r="Z2606" s="25">
        <f>ROUND(IF(AO2606="1",BF2606,0),2)</f>
        <v>0</v>
      </c>
      <c r="AA2606" s="25">
        <f>ROUND(IF(AO2606="1",BG2606,0),2)</f>
        <v>0</v>
      </c>
      <c r="AB2606" s="25">
        <f>ROUND(IF(AO2606="7",BF2606,0),2)</f>
        <v>0</v>
      </c>
      <c r="AC2606" s="25">
        <f>ROUND(IF(AO2606="7",BG2606,0),2)</f>
        <v>0</v>
      </c>
      <c r="AD2606" s="25">
        <f>ROUND(IF(AO2606="2",BF2606,0),2)</f>
        <v>0</v>
      </c>
      <c r="AE2606" s="25">
        <f>ROUND(IF(AO2606="2",BG2606,0),2)</f>
        <v>0</v>
      </c>
      <c r="AF2606" s="25">
        <f>ROUND(IF(AO2606="0",BH2606,0),2)</f>
        <v>0</v>
      </c>
      <c r="AG2606" s="10" t="s">
        <v>3191</v>
      </c>
      <c r="AH2606" s="25">
        <f>IF(AL2606=0,K2606,0)</f>
        <v>0</v>
      </c>
      <c r="AI2606" s="25">
        <f>IF(AL2606=12,K2606,0)</f>
        <v>0</v>
      </c>
      <c r="AJ2606" s="25">
        <f>IF(AL2606=21,K2606,0)</f>
        <v>0</v>
      </c>
      <c r="AL2606" s="25">
        <v>21</v>
      </c>
      <c r="AM2606" s="25">
        <f>H2606*0.545454545</f>
        <v>0</v>
      </c>
      <c r="AN2606" s="25">
        <f>H2606*(1-0.545454545)</f>
        <v>0</v>
      </c>
      <c r="AO2606" s="27" t="s">
        <v>81</v>
      </c>
      <c r="AT2606" s="25">
        <f>ROUND(AU2606+AV2606,2)</f>
        <v>0</v>
      </c>
      <c r="AU2606" s="25">
        <f>ROUND(G2606*AM2606,2)</f>
        <v>0</v>
      </c>
      <c r="AV2606" s="25">
        <f>ROUND(G2606*AN2606,2)</f>
        <v>0</v>
      </c>
      <c r="AW2606" s="27" t="s">
        <v>3220</v>
      </c>
      <c r="AX2606" s="27" t="s">
        <v>3196</v>
      </c>
      <c r="AY2606" s="10" t="s">
        <v>3197</v>
      </c>
      <c r="BA2606" s="25">
        <f>AU2606+AV2606</f>
        <v>0</v>
      </c>
      <c r="BB2606" s="25">
        <f>H2606/(100-BC2606)*100</f>
        <v>0</v>
      </c>
      <c r="BC2606" s="25">
        <v>0</v>
      </c>
      <c r="BD2606" s="25">
        <f>M2606</f>
        <v>0</v>
      </c>
      <c r="BF2606" s="25">
        <f>G2606*AM2606</f>
        <v>0</v>
      </c>
      <c r="BG2606" s="25">
        <f>G2606*AN2606</f>
        <v>0</v>
      </c>
      <c r="BH2606" s="25">
        <f>G2606*H2606</f>
        <v>0</v>
      </c>
      <c r="BI2606" s="27" t="s">
        <v>65</v>
      </c>
      <c r="BJ2606" s="25"/>
      <c r="BU2606" s="25" t="e">
        <f>#REF!</f>
        <v>#REF!</v>
      </c>
      <c r="BV2606" s="4" t="s">
        <v>3223</v>
      </c>
    </row>
    <row r="2607" spans="1:74" ht="14.4" x14ac:dyDescent="0.3">
      <c r="A2607" s="2" t="s">
        <v>3224</v>
      </c>
      <c r="B2607" s="3" t="s">
        <v>3191</v>
      </c>
      <c r="C2607" s="3" t="s">
        <v>3225</v>
      </c>
      <c r="D2607" s="112" t="s">
        <v>3226</v>
      </c>
      <c r="E2607" s="109"/>
      <c r="F2607" s="3" t="s">
        <v>2183</v>
      </c>
      <c r="G2607" s="25">
        <v>1</v>
      </c>
      <c r="H2607" s="62"/>
      <c r="I2607" s="25">
        <f>ROUND(G2607*AM2607,2)</f>
        <v>0</v>
      </c>
      <c r="J2607" s="25">
        <f>ROUND(G2607*AN2607,2)</f>
        <v>0</v>
      </c>
      <c r="K2607" s="25">
        <f>ROUND(G2607*H2607,2)</f>
        <v>0</v>
      </c>
      <c r="L2607" s="25">
        <v>0</v>
      </c>
      <c r="M2607" s="25">
        <f>G2607*L2607</f>
        <v>0</v>
      </c>
      <c r="N2607" s="102"/>
      <c r="X2607" s="25">
        <f>ROUND(IF(AO2607="5",BH2607,0),2)</f>
        <v>0</v>
      </c>
      <c r="Z2607" s="25">
        <f>ROUND(IF(AO2607="1",BF2607,0),2)</f>
        <v>0</v>
      </c>
      <c r="AA2607" s="25">
        <f>ROUND(IF(AO2607="1",BG2607,0),2)</f>
        <v>0</v>
      </c>
      <c r="AB2607" s="25">
        <f>ROUND(IF(AO2607="7",BF2607,0),2)</f>
        <v>0</v>
      </c>
      <c r="AC2607" s="25">
        <f>ROUND(IF(AO2607="7",BG2607,0),2)</f>
        <v>0</v>
      </c>
      <c r="AD2607" s="25">
        <f>ROUND(IF(AO2607="2",BF2607,0),2)</f>
        <v>0</v>
      </c>
      <c r="AE2607" s="25">
        <f>ROUND(IF(AO2607="2",BG2607,0),2)</f>
        <v>0</v>
      </c>
      <c r="AF2607" s="25">
        <f>ROUND(IF(AO2607="0",BH2607,0),2)</f>
        <v>0</v>
      </c>
      <c r="AG2607" s="10" t="s">
        <v>3191</v>
      </c>
      <c r="AH2607" s="25">
        <f>IF(AL2607=0,K2607,0)</f>
        <v>0</v>
      </c>
      <c r="AI2607" s="25">
        <f>IF(AL2607=12,K2607,0)</f>
        <v>0</v>
      </c>
      <c r="AJ2607" s="25">
        <f>IF(AL2607=21,K2607,0)</f>
        <v>0</v>
      </c>
      <c r="AL2607" s="25">
        <v>21</v>
      </c>
      <c r="AM2607" s="25">
        <f>H2607*0.694889397</f>
        <v>0</v>
      </c>
      <c r="AN2607" s="25">
        <f>H2607*(1-0.694889397)</f>
        <v>0</v>
      </c>
      <c r="AO2607" s="27" t="s">
        <v>81</v>
      </c>
      <c r="AT2607" s="25">
        <f>ROUND(AU2607+AV2607,2)</f>
        <v>0</v>
      </c>
      <c r="AU2607" s="25">
        <f>ROUND(G2607*AM2607,2)</f>
        <v>0</v>
      </c>
      <c r="AV2607" s="25">
        <f>ROUND(G2607*AN2607,2)</f>
        <v>0</v>
      </c>
      <c r="AW2607" s="27" t="s">
        <v>3220</v>
      </c>
      <c r="AX2607" s="27" t="s">
        <v>3196</v>
      </c>
      <c r="AY2607" s="10" t="s">
        <v>3197</v>
      </c>
      <c r="BA2607" s="25">
        <f>AU2607+AV2607</f>
        <v>0</v>
      </c>
      <c r="BB2607" s="25">
        <f>H2607/(100-BC2607)*100</f>
        <v>0</v>
      </c>
      <c r="BC2607" s="25">
        <v>0</v>
      </c>
      <c r="BD2607" s="25">
        <f>M2607</f>
        <v>0</v>
      </c>
      <c r="BF2607" s="25">
        <f>G2607*AM2607</f>
        <v>0</v>
      </c>
      <c r="BG2607" s="25">
        <f>G2607*AN2607</f>
        <v>0</v>
      </c>
      <c r="BH2607" s="25">
        <f>G2607*H2607</f>
        <v>0</v>
      </c>
      <c r="BI2607" s="27" t="s">
        <v>65</v>
      </c>
      <c r="BJ2607" s="25"/>
      <c r="BU2607" s="25" t="e">
        <f>#REF!</f>
        <v>#REF!</v>
      </c>
      <c r="BV2607" s="4" t="s">
        <v>3226</v>
      </c>
    </row>
    <row r="2608" spans="1:74" ht="14.4" x14ac:dyDescent="0.3">
      <c r="A2608" s="28"/>
      <c r="D2608" s="29" t="s">
        <v>57</v>
      </c>
      <c r="E2608" s="29" t="s">
        <v>52</v>
      </c>
      <c r="G2608" s="30">
        <v>1</v>
      </c>
      <c r="H2608" s="63"/>
      <c r="N2608" s="31"/>
    </row>
    <row r="2609" spans="1:74" ht="14.4" x14ac:dyDescent="0.3">
      <c r="A2609" s="2" t="s">
        <v>3227</v>
      </c>
      <c r="B2609" s="3" t="s">
        <v>3191</v>
      </c>
      <c r="C2609" s="3" t="s">
        <v>3228</v>
      </c>
      <c r="D2609" s="112" t="s">
        <v>3229</v>
      </c>
      <c r="E2609" s="109"/>
      <c r="F2609" s="3" t="s">
        <v>2183</v>
      </c>
      <c r="G2609" s="25">
        <v>3</v>
      </c>
      <c r="H2609" s="62"/>
      <c r="I2609" s="25">
        <f>ROUND(G2609*AM2609,2)</f>
        <v>0</v>
      </c>
      <c r="J2609" s="25">
        <f>ROUND(G2609*AN2609,2)</f>
        <v>0</v>
      </c>
      <c r="K2609" s="25">
        <f>ROUND(G2609*H2609,2)</f>
        <v>0</v>
      </c>
      <c r="L2609" s="25">
        <v>0</v>
      </c>
      <c r="M2609" s="25">
        <f>G2609*L2609</f>
        <v>0</v>
      </c>
      <c r="N2609" s="102"/>
      <c r="X2609" s="25">
        <f>ROUND(IF(AO2609="5",BH2609,0),2)</f>
        <v>0</v>
      </c>
      <c r="Z2609" s="25">
        <f>ROUND(IF(AO2609="1",BF2609,0),2)</f>
        <v>0</v>
      </c>
      <c r="AA2609" s="25">
        <f>ROUND(IF(AO2609="1",BG2609,0),2)</f>
        <v>0</v>
      </c>
      <c r="AB2609" s="25">
        <f>ROUND(IF(AO2609="7",BF2609,0),2)</f>
        <v>0</v>
      </c>
      <c r="AC2609" s="25">
        <f>ROUND(IF(AO2609="7",BG2609,0),2)</f>
        <v>0</v>
      </c>
      <c r="AD2609" s="25">
        <f>ROUND(IF(AO2609="2",BF2609,0),2)</f>
        <v>0</v>
      </c>
      <c r="AE2609" s="25">
        <f>ROUND(IF(AO2609="2",BG2609,0),2)</f>
        <v>0</v>
      </c>
      <c r="AF2609" s="25">
        <f>ROUND(IF(AO2609="0",BH2609,0),2)</f>
        <v>0</v>
      </c>
      <c r="AG2609" s="10" t="s">
        <v>3191</v>
      </c>
      <c r="AH2609" s="25">
        <f>IF(AL2609=0,K2609,0)</f>
        <v>0</v>
      </c>
      <c r="AI2609" s="25">
        <f>IF(AL2609=12,K2609,0)</f>
        <v>0</v>
      </c>
      <c r="AJ2609" s="25">
        <f>IF(AL2609=21,K2609,0)</f>
        <v>0</v>
      </c>
      <c r="AL2609" s="25">
        <v>21</v>
      </c>
      <c r="AM2609" s="25">
        <f>H2609*0.935064935</f>
        <v>0</v>
      </c>
      <c r="AN2609" s="25">
        <f>H2609*(1-0.935064935)</f>
        <v>0</v>
      </c>
      <c r="AO2609" s="27" t="s">
        <v>81</v>
      </c>
      <c r="AT2609" s="25">
        <f>ROUND(AU2609+AV2609,2)</f>
        <v>0</v>
      </c>
      <c r="AU2609" s="25">
        <f>ROUND(G2609*AM2609,2)</f>
        <v>0</v>
      </c>
      <c r="AV2609" s="25">
        <f>ROUND(G2609*AN2609,2)</f>
        <v>0</v>
      </c>
      <c r="AW2609" s="27" t="s">
        <v>3220</v>
      </c>
      <c r="AX2609" s="27" t="s">
        <v>3196</v>
      </c>
      <c r="AY2609" s="10" t="s">
        <v>3197</v>
      </c>
      <c r="BA2609" s="25">
        <f>AU2609+AV2609</f>
        <v>0</v>
      </c>
      <c r="BB2609" s="25">
        <f>H2609/(100-BC2609)*100</f>
        <v>0</v>
      </c>
      <c r="BC2609" s="25">
        <v>0</v>
      </c>
      <c r="BD2609" s="25">
        <f>M2609</f>
        <v>0</v>
      </c>
      <c r="BF2609" s="25">
        <f>G2609*AM2609</f>
        <v>0</v>
      </c>
      <c r="BG2609" s="25">
        <f>G2609*AN2609</f>
        <v>0</v>
      </c>
      <c r="BH2609" s="25">
        <f>G2609*H2609</f>
        <v>0</v>
      </c>
      <c r="BI2609" s="27" t="s">
        <v>65</v>
      </c>
      <c r="BJ2609" s="25"/>
      <c r="BU2609" s="25" t="e">
        <f>#REF!</f>
        <v>#REF!</v>
      </c>
      <c r="BV2609" s="4" t="s">
        <v>3229</v>
      </c>
    </row>
    <row r="2610" spans="1:74" ht="14.4" x14ac:dyDescent="0.3">
      <c r="A2610" s="28"/>
      <c r="D2610" s="29" t="s">
        <v>87</v>
      </c>
      <c r="E2610" s="29" t="s">
        <v>52</v>
      </c>
      <c r="G2610" s="30">
        <v>3</v>
      </c>
      <c r="H2610" s="63"/>
      <c r="N2610" s="31"/>
    </row>
    <row r="2611" spans="1:74" ht="14.4" x14ac:dyDescent="0.3">
      <c r="A2611" s="2" t="s">
        <v>3230</v>
      </c>
      <c r="B2611" s="3" t="s">
        <v>3191</v>
      </c>
      <c r="C2611" s="3" t="s">
        <v>3231</v>
      </c>
      <c r="D2611" s="112" t="s">
        <v>3232</v>
      </c>
      <c r="E2611" s="109"/>
      <c r="F2611" s="3" t="s">
        <v>2183</v>
      </c>
      <c r="G2611" s="25">
        <v>2</v>
      </c>
      <c r="H2611" s="62"/>
      <c r="I2611" s="25">
        <f>ROUND(G2611*AM2611,2)</f>
        <v>0</v>
      </c>
      <c r="J2611" s="25">
        <f>ROUND(G2611*AN2611,2)</f>
        <v>0</v>
      </c>
      <c r="K2611" s="25">
        <f>ROUND(G2611*H2611,2)</f>
        <v>0</v>
      </c>
      <c r="L2611" s="25">
        <v>0</v>
      </c>
      <c r="M2611" s="25">
        <f>G2611*L2611</f>
        <v>0</v>
      </c>
      <c r="N2611" s="102"/>
      <c r="X2611" s="25">
        <f>ROUND(IF(AO2611="5",BH2611,0),2)</f>
        <v>0</v>
      </c>
      <c r="Z2611" s="25">
        <f>ROUND(IF(AO2611="1",BF2611,0),2)</f>
        <v>0</v>
      </c>
      <c r="AA2611" s="25">
        <f>ROUND(IF(AO2611="1",BG2611,0),2)</f>
        <v>0</v>
      </c>
      <c r="AB2611" s="25">
        <f>ROUND(IF(AO2611="7",BF2611,0),2)</f>
        <v>0</v>
      </c>
      <c r="AC2611" s="25">
        <f>ROUND(IF(AO2611="7",BG2611,0),2)</f>
        <v>0</v>
      </c>
      <c r="AD2611" s="25">
        <f>ROUND(IF(AO2611="2",BF2611,0),2)</f>
        <v>0</v>
      </c>
      <c r="AE2611" s="25">
        <f>ROUND(IF(AO2611="2",BG2611,0),2)</f>
        <v>0</v>
      </c>
      <c r="AF2611" s="25">
        <f>ROUND(IF(AO2611="0",BH2611,0),2)</f>
        <v>0</v>
      </c>
      <c r="AG2611" s="10" t="s">
        <v>3191</v>
      </c>
      <c r="AH2611" s="25">
        <f>IF(AL2611=0,K2611,0)</f>
        <v>0</v>
      </c>
      <c r="AI2611" s="25">
        <f>IF(AL2611=12,K2611,0)</f>
        <v>0</v>
      </c>
      <c r="AJ2611" s="25">
        <f>IF(AL2611=21,K2611,0)</f>
        <v>0</v>
      </c>
      <c r="AL2611" s="25">
        <v>21</v>
      </c>
      <c r="AM2611" s="25">
        <f>H2611*1</f>
        <v>0</v>
      </c>
      <c r="AN2611" s="25">
        <f>H2611*(1-1)</f>
        <v>0</v>
      </c>
      <c r="AO2611" s="27" t="s">
        <v>81</v>
      </c>
      <c r="AT2611" s="25">
        <f>ROUND(AU2611+AV2611,2)</f>
        <v>0</v>
      </c>
      <c r="AU2611" s="25">
        <f>ROUND(G2611*AM2611,2)</f>
        <v>0</v>
      </c>
      <c r="AV2611" s="25">
        <f>ROUND(G2611*AN2611,2)</f>
        <v>0</v>
      </c>
      <c r="AW2611" s="27" t="s">
        <v>3220</v>
      </c>
      <c r="AX2611" s="27" t="s">
        <v>3196</v>
      </c>
      <c r="AY2611" s="10" t="s">
        <v>3197</v>
      </c>
      <c r="BA2611" s="25">
        <f>AU2611+AV2611</f>
        <v>0</v>
      </c>
      <c r="BB2611" s="25">
        <f>H2611/(100-BC2611)*100</f>
        <v>0</v>
      </c>
      <c r="BC2611" s="25">
        <v>0</v>
      </c>
      <c r="BD2611" s="25">
        <f>M2611</f>
        <v>0</v>
      </c>
      <c r="BF2611" s="25">
        <f>G2611*AM2611</f>
        <v>0</v>
      </c>
      <c r="BG2611" s="25">
        <f>G2611*AN2611</f>
        <v>0</v>
      </c>
      <c r="BH2611" s="25">
        <f>G2611*H2611</f>
        <v>0</v>
      </c>
      <c r="BI2611" s="27" t="s">
        <v>65</v>
      </c>
      <c r="BJ2611" s="25"/>
      <c r="BU2611" s="25" t="e">
        <f>#REF!</f>
        <v>#REF!</v>
      </c>
      <c r="BV2611" s="4" t="s">
        <v>3232</v>
      </c>
    </row>
    <row r="2612" spans="1:74" ht="14.4" x14ac:dyDescent="0.3">
      <c r="A2612" s="2" t="s">
        <v>3233</v>
      </c>
      <c r="B2612" s="3" t="s">
        <v>3191</v>
      </c>
      <c r="C2612" s="3" t="s">
        <v>3234</v>
      </c>
      <c r="D2612" s="112" t="s">
        <v>3235</v>
      </c>
      <c r="E2612" s="109"/>
      <c r="F2612" s="3" t="s">
        <v>2183</v>
      </c>
      <c r="G2612" s="25">
        <v>1</v>
      </c>
      <c r="H2612" s="62"/>
      <c r="I2612" s="25">
        <f>ROUND(G2612*AM2612,2)</f>
        <v>0</v>
      </c>
      <c r="J2612" s="25">
        <f>ROUND(G2612*AN2612,2)</f>
        <v>0</v>
      </c>
      <c r="K2612" s="25">
        <f>ROUND(G2612*H2612,2)</f>
        <v>0</v>
      </c>
      <c r="L2612" s="25">
        <v>0</v>
      </c>
      <c r="M2612" s="25">
        <f>G2612*L2612</f>
        <v>0</v>
      </c>
      <c r="N2612" s="102"/>
      <c r="X2612" s="25">
        <f>ROUND(IF(AO2612="5",BH2612,0),2)</f>
        <v>0</v>
      </c>
      <c r="Z2612" s="25">
        <f>ROUND(IF(AO2612="1",BF2612,0),2)</f>
        <v>0</v>
      </c>
      <c r="AA2612" s="25">
        <f>ROUND(IF(AO2612="1",BG2612,0),2)</f>
        <v>0</v>
      </c>
      <c r="AB2612" s="25">
        <f>ROUND(IF(AO2612="7",BF2612,0),2)</f>
        <v>0</v>
      </c>
      <c r="AC2612" s="25">
        <f>ROUND(IF(AO2612="7",BG2612,0),2)</f>
        <v>0</v>
      </c>
      <c r="AD2612" s="25">
        <f>ROUND(IF(AO2612="2",BF2612,0),2)</f>
        <v>0</v>
      </c>
      <c r="AE2612" s="25">
        <f>ROUND(IF(AO2612="2",BG2612,0),2)</f>
        <v>0</v>
      </c>
      <c r="AF2612" s="25">
        <f>ROUND(IF(AO2612="0",BH2612,0),2)</f>
        <v>0</v>
      </c>
      <c r="AG2612" s="10" t="s">
        <v>3191</v>
      </c>
      <c r="AH2612" s="25">
        <f>IF(AL2612=0,K2612,0)</f>
        <v>0</v>
      </c>
      <c r="AI2612" s="25">
        <f>IF(AL2612=12,K2612,0)</f>
        <v>0</v>
      </c>
      <c r="AJ2612" s="25">
        <f>IF(AL2612=21,K2612,0)</f>
        <v>0</v>
      </c>
      <c r="AL2612" s="25">
        <v>21</v>
      </c>
      <c r="AM2612" s="25">
        <f>H2612*0.844752639</f>
        <v>0</v>
      </c>
      <c r="AN2612" s="25">
        <f>H2612*(1-0.844752639)</f>
        <v>0</v>
      </c>
      <c r="AO2612" s="27" t="s">
        <v>81</v>
      </c>
      <c r="AT2612" s="25">
        <f>ROUND(AU2612+AV2612,2)</f>
        <v>0</v>
      </c>
      <c r="AU2612" s="25">
        <f>ROUND(G2612*AM2612,2)</f>
        <v>0</v>
      </c>
      <c r="AV2612" s="25">
        <f>ROUND(G2612*AN2612,2)</f>
        <v>0</v>
      </c>
      <c r="AW2612" s="27" t="s">
        <v>3220</v>
      </c>
      <c r="AX2612" s="27" t="s">
        <v>3196</v>
      </c>
      <c r="AY2612" s="10" t="s">
        <v>3197</v>
      </c>
      <c r="BA2612" s="25">
        <f>AU2612+AV2612</f>
        <v>0</v>
      </c>
      <c r="BB2612" s="25">
        <f>H2612/(100-BC2612)*100</f>
        <v>0</v>
      </c>
      <c r="BC2612" s="25">
        <v>0</v>
      </c>
      <c r="BD2612" s="25">
        <f>M2612</f>
        <v>0</v>
      </c>
      <c r="BF2612" s="25">
        <f>G2612*AM2612</f>
        <v>0</v>
      </c>
      <c r="BG2612" s="25">
        <f>G2612*AN2612</f>
        <v>0</v>
      </c>
      <c r="BH2612" s="25">
        <f>G2612*H2612</f>
        <v>0</v>
      </c>
      <c r="BI2612" s="27" t="s">
        <v>65</v>
      </c>
      <c r="BJ2612" s="25"/>
      <c r="BU2612" s="25" t="e">
        <f>#REF!</f>
        <v>#REF!</v>
      </c>
      <c r="BV2612" s="4" t="s">
        <v>3235</v>
      </c>
    </row>
    <row r="2613" spans="1:74" ht="14.4" x14ac:dyDescent="0.3">
      <c r="A2613" s="28"/>
      <c r="D2613" s="29" t="s">
        <v>57</v>
      </c>
      <c r="E2613" s="29" t="s">
        <v>52</v>
      </c>
      <c r="G2613" s="30">
        <v>1</v>
      </c>
      <c r="H2613" s="63"/>
      <c r="N2613" s="31"/>
    </row>
    <row r="2614" spans="1:74" ht="14.4" x14ac:dyDescent="0.3">
      <c r="A2614" s="2" t="s">
        <v>3236</v>
      </c>
      <c r="B2614" s="3" t="s">
        <v>3191</v>
      </c>
      <c r="C2614" s="3" t="s">
        <v>3237</v>
      </c>
      <c r="D2614" s="112" t="s">
        <v>3238</v>
      </c>
      <c r="E2614" s="109"/>
      <c r="F2614" s="3" t="s">
        <v>115</v>
      </c>
      <c r="G2614" s="25">
        <v>100</v>
      </c>
      <c r="H2614" s="62"/>
      <c r="I2614" s="25">
        <f>ROUND(G2614*AM2614,2)</f>
        <v>0</v>
      </c>
      <c r="J2614" s="25">
        <f>ROUND(G2614*AN2614,2)</f>
        <v>0</v>
      </c>
      <c r="K2614" s="25">
        <f>ROUND(G2614*H2614,2)</f>
        <v>0</v>
      </c>
      <c r="L2614" s="25">
        <v>0</v>
      </c>
      <c r="M2614" s="25">
        <f>G2614*L2614</f>
        <v>0</v>
      </c>
      <c r="N2614" s="102"/>
      <c r="X2614" s="25">
        <f>ROUND(IF(AO2614="5",BH2614,0),2)</f>
        <v>0</v>
      </c>
      <c r="Z2614" s="25">
        <f>ROUND(IF(AO2614="1",BF2614,0),2)</f>
        <v>0</v>
      </c>
      <c r="AA2614" s="25">
        <f>ROUND(IF(AO2614="1",BG2614,0),2)</f>
        <v>0</v>
      </c>
      <c r="AB2614" s="25">
        <f>ROUND(IF(AO2614="7",BF2614,0),2)</f>
        <v>0</v>
      </c>
      <c r="AC2614" s="25">
        <f>ROUND(IF(AO2614="7",BG2614,0),2)</f>
        <v>0</v>
      </c>
      <c r="AD2614" s="25">
        <f>ROUND(IF(AO2614="2",BF2614,0),2)</f>
        <v>0</v>
      </c>
      <c r="AE2614" s="25">
        <f>ROUND(IF(AO2614="2",BG2614,0),2)</f>
        <v>0</v>
      </c>
      <c r="AF2614" s="25">
        <f>ROUND(IF(AO2614="0",BH2614,0),2)</f>
        <v>0</v>
      </c>
      <c r="AG2614" s="10" t="s">
        <v>3191</v>
      </c>
      <c r="AH2614" s="25">
        <f>IF(AL2614=0,K2614,0)</f>
        <v>0</v>
      </c>
      <c r="AI2614" s="25">
        <f>IF(AL2614=12,K2614,0)</f>
        <v>0</v>
      </c>
      <c r="AJ2614" s="25">
        <f>IF(AL2614=21,K2614,0)</f>
        <v>0</v>
      </c>
      <c r="AL2614" s="25">
        <v>21</v>
      </c>
      <c r="AM2614" s="25">
        <f>H2614*0.669291339</f>
        <v>0</v>
      </c>
      <c r="AN2614" s="25">
        <f>H2614*(1-0.669291339)</f>
        <v>0</v>
      </c>
      <c r="AO2614" s="27" t="s">
        <v>81</v>
      </c>
      <c r="AT2614" s="25">
        <f>ROUND(AU2614+AV2614,2)</f>
        <v>0</v>
      </c>
      <c r="AU2614" s="25">
        <f>ROUND(G2614*AM2614,2)</f>
        <v>0</v>
      </c>
      <c r="AV2614" s="25">
        <f>ROUND(G2614*AN2614,2)</f>
        <v>0</v>
      </c>
      <c r="AW2614" s="27" t="s">
        <v>3220</v>
      </c>
      <c r="AX2614" s="27" t="s">
        <v>3196</v>
      </c>
      <c r="AY2614" s="10" t="s">
        <v>3197</v>
      </c>
      <c r="BA2614" s="25">
        <f>AU2614+AV2614</f>
        <v>0</v>
      </c>
      <c r="BB2614" s="25">
        <f>H2614/(100-BC2614)*100</f>
        <v>0</v>
      </c>
      <c r="BC2614" s="25">
        <v>0</v>
      </c>
      <c r="BD2614" s="25">
        <f>M2614</f>
        <v>0</v>
      </c>
      <c r="BF2614" s="25">
        <f>G2614*AM2614</f>
        <v>0</v>
      </c>
      <c r="BG2614" s="25">
        <f>G2614*AN2614</f>
        <v>0</v>
      </c>
      <c r="BH2614" s="25">
        <f>G2614*H2614</f>
        <v>0</v>
      </c>
      <c r="BI2614" s="27" t="s">
        <v>65</v>
      </c>
      <c r="BJ2614" s="25"/>
      <c r="BU2614" s="25" t="e">
        <f>#REF!</f>
        <v>#REF!</v>
      </c>
      <c r="BV2614" s="4" t="s">
        <v>3238</v>
      </c>
    </row>
    <row r="2615" spans="1:74" ht="14.4" x14ac:dyDescent="0.3">
      <c r="A2615" s="28"/>
      <c r="D2615" s="29" t="s">
        <v>610</v>
      </c>
      <c r="E2615" s="29" t="s">
        <v>52</v>
      </c>
      <c r="G2615" s="30">
        <v>100</v>
      </c>
      <c r="H2615" s="63"/>
      <c r="N2615" s="31"/>
    </row>
    <row r="2616" spans="1:74" ht="14.4" x14ac:dyDescent="0.3">
      <c r="A2616" s="2" t="s">
        <v>3239</v>
      </c>
      <c r="B2616" s="3" t="s">
        <v>3191</v>
      </c>
      <c r="C2616" s="3" t="s">
        <v>3240</v>
      </c>
      <c r="D2616" s="112" t="s">
        <v>3241</v>
      </c>
      <c r="E2616" s="109"/>
      <c r="F2616" s="3" t="s">
        <v>100</v>
      </c>
      <c r="G2616" s="25">
        <v>8</v>
      </c>
      <c r="H2616" s="62"/>
      <c r="I2616" s="25">
        <f>ROUND(G2616*AM2616,2)</f>
        <v>0</v>
      </c>
      <c r="J2616" s="25">
        <f>ROUND(G2616*AN2616,2)</f>
        <v>0</v>
      </c>
      <c r="K2616" s="25">
        <f>ROUND(G2616*H2616,2)</f>
        <v>0</v>
      </c>
      <c r="L2616" s="25">
        <v>0</v>
      </c>
      <c r="M2616" s="25">
        <f>G2616*L2616</f>
        <v>0</v>
      </c>
      <c r="N2616" s="102"/>
      <c r="X2616" s="25">
        <f>ROUND(IF(AO2616="5",BH2616,0),2)</f>
        <v>0</v>
      </c>
      <c r="Z2616" s="25">
        <f>ROUND(IF(AO2616="1",BF2616,0),2)</f>
        <v>0</v>
      </c>
      <c r="AA2616" s="25">
        <f>ROUND(IF(AO2616="1",BG2616,0),2)</f>
        <v>0</v>
      </c>
      <c r="AB2616" s="25">
        <f>ROUND(IF(AO2616="7",BF2616,0),2)</f>
        <v>0</v>
      </c>
      <c r="AC2616" s="25">
        <f>ROUND(IF(AO2616="7",BG2616,0),2)</f>
        <v>0</v>
      </c>
      <c r="AD2616" s="25">
        <f>ROUND(IF(AO2616="2",BF2616,0),2)</f>
        <v>0</v>
      </c>
      <c r="AE2616" s="25">
        <f>ROUND(IF(AO2616="2",BG2616,0),2)</f>
        <v>0</v>
      </c>
      <c r="AF2616" s="25">
        <f>ROUND(IF(AO2616="0",BH2616,0),2)</f>
        <v>0</v>
      </c>
      <c r="AG2616" s="10" t="s">
        <v>3191</v>
      </c>
      <c r="AH2616" s="25">
        <f>IF(AL2616=0,K2616,0)</f>
        <v>0</v>
      </c>
      <c r="AI2616" s="25">
        <f>IF(AL2616=12,K2616,0)</f>
        <v>0</v>
      </c>
      <c r="AJ2616" s="25">
        <f>IF(AL2616=21,K2616,0)</f>
        <v>0</v>
      </c>
      <c r="AL2616" s="25">
        <v>21</v>
      </c>
      <c r="AM2616" s="25">
        <f>H2616*0</f>
        <v>0</v>
      </c>
      <c r="AN2616" s="25">
        <f>H2616*(1-0)</f>
        <v>0</v>
      </c>
      <c r="AO2616" s="27" t="s">
        <v>81</v>
      </c>
      <c r="AT2616" s="25">
        <f>ROUND(AU2616+AV2616,2)</f>
        <v>0</v>
      </c>
      <c r="AU2616" s="25">
        <f>ROUND(G2616*AM2616,2)</f>
        <v>0</v>
      </c>
      <c r="AV2616" s="25">
        <f>ROUND(G2616*AN2616,2)</f>
        <v>0</v>
      </c>
      <c r="AW2616" s="27" t="s">
        <v>3220</v>
      </c>
      <c r="AX2616" s="27" t="s">
        <v>3196</v>
      </c>
      <c r="AY2616" s="10" t="s">
        <v>3197</v>
      </c>
      <c r="BA2616" s="25">
        <f>AU2616+AV2616</f>
        <v>0</v>
      </c>
      <c r="BB2616" s="25">
        <f>H2616/(100-BC2616)*100</f>
        <v>0</v>
      </c>
      <c r="BC2616" s="25">
        <v>0</v>
      </c>
      <c r="BD2616" s="25">
        <f>M2616</f>
        <v>0</v>
      </c>
      <c r="BF2616" s="25">
        <f>G2616*AM2616</f>
        <v>0</v>
      </c>
      <c r="BG2616" s="25">
        <f>G2616*AN2616</f>
        <v>0</v>
      </c>
      <c r="BH2616" s="25">
        <f>G2616*H2616</f>
        <v>0</v>
      </c>
      <c r="BI2616" s="27" t="s">
        <v>65</v>
      </c>
      <c r="BJ2616" s="25"/>
      <c r="BU2616" s="25" t="e">
        <f>#REF!</f>
        <v>#REF!</v>
      </c>
      <c r="BV2616" s="4" t="s">
        <v>3241</v>
      </c>
    </row>
    <row r="2617" spans="1:74" ht="14.4" x14ac:dyDescent="0.3">
      <c r="A2617" s="2" t="s">
        <v>3242</v>
      </c>
      <c r="B2617" s="3" t="s">
        <v>3191</v>
      </c>
      <c r="C2617" s="3" t="s">
        <v>3243</v>
      </c>
      <c r="D2617" s="112" t="s">
        <v>3244</v>
      </c>
      <c r="E2617" s="109"/>
      <c r="F2617" s="3" t="s">
        <v>100</v>
      </c>
      <c r="G2617" s="25">
        <v>2</v>
      </c>
      <c r="H2617" s="62"/>
      <c r="I2617" s="25">
        <f>ROUND(G2617*AM2617,2)</f>
        <v>0</v>
      </c>
      <c r="J2617" s="25">
        <f>ROUND(G2617*AN2617,2)</f>
        <v>0</v>
      </c>
      <c r="K2617" s="25">
        <f>ROUND(G2617*H2617,2)</f>
        <v>0</v>
      </c>
      <c r="L2617" s="25">
        <v>0</v>
      </c>
      <c r="M2617" s="25">
        <f>G2617*L2617</f>
        <v>0</v>
      </c>
      <c r="N2617" s="102"/>
      <c r="X2617" s="25">
        <f>ROUND(IF(AO2617="5",BH2617,0),2)</f>
        <v>0</v>
      </c>
      <c r="Z2617" s="25">
        <f>ROUND(IF(AO2617="1",BF2617,0),2)</f>
        <v>0</v>
      </c>
      <c r="AA2617" s="25">
        <f>ROUND(IF(AO2617="1",BG2617,0),2)</f>
        <v>0</v>
      </c>
      <c r="AB2617" s="25">
        <f>ROUND(IF(AO2617="7",BF2617,0),2)</f>
        <v>0</v>
      </c>
      <c r="AC2617" s="25">
        <f>ROUND(IF(AO2617="7",BG2617,0),2)</f>
        <v>0</v>
      </c>
      <c r="AD2617" s="25">
        <f>ROUND(IF(AO2617="2",BF2617,0),2)</f>
        <v>0</v>
      </c>
      <c r="AE2617" s="25">
        <f>ROUND(IF(AO2617="2",BG2617,0),2)</f>
        <v>0</v>
      </c>
      <c r="AF2617" s="25">
        <f>ROUND(IF(AO2617="0",BH2617,0),2)</f>
        <v>0</v>
      </c>
      <c r="AG2617" s="10" t="s">
        <v>3191</v>
      </c>
      <c r="AH2617" s="25">
        <f>IF(AL2617=0,K2617,0)</f>
        <v>0</v>
      </c>
      <c r="AI2617" s="25">
        <f>IF(AL2617=12,K2617,0)</f>
        <v>0</v>
      </c>
      <c r="AJ2617" s="25">
        <f>IF(AL2617=21,K2617,0)</f>
        <v>0</v>
      </c>
      <c r="AL2617" s="25">
        <v>21</v>
      </c>
      <c r="AM2617" s="25">
        <f>H2617*0</f>
        <v>0</v>
      </c>
      <c r="AN2617" s="25">
        <f>H2617*(1-0)</f>
        <v>0</v>
      </c>
      <c r="AO2617" s="27" t="s">
        <v>81</v>
      </c>
      <c r="AT2617" s="25">
        <f>ROUND(AU2617+AV2617,2)</f>
        <v>0</v>
      </c>
      <c r="AU2617" s="25">
        <f>ROUND(G2617*AM2617,2)</f>
        <v>0</v>
      </c>
      <c r="AV2617" s="25">
        <f>ROUND(G2617*AN2617,2)</f>
        <v>0</v>
      </c>
      <c r="AW2617" s="27" t="s">
        <v>3220</v>
      </c>
      <c r="AX2617" s="27" t="s">
        <v>3196</v>
      </c>
      <c r="AY2617" s="10" t="s">
        <v>3197</v>
      </c>
      <c r="BA2617" s="25">
        <f>AU2617+AV2617</f>
        <v>0</v>
      </c>
      <c r="BB2617" s="25">
        <f>H2617/(100-BC2617)*100</f>
        <v>0</v>
      </c>
      <c r="BC2617" s="25">
        <v>0</v>
      </c>
      <c r="BD2617" s="25">
        <f>M2617</f>
        <v>0</v>
      </c>
      <c r="BF2617" s="25">
        <f>G2617*AM2617</f>
        <v>0</v>
      </c>
      <c r="BG2617" s="25">
        <f>G2617*AN2617</f>
        <v>0</v>
      </c>
      <c r="BH2617" s="25">
        <f>G2617*H2617</f>
        <v>0</v>
      </c>
      <c r="BI2617" s="27" t="s">
        <v>65</v>
      </c>
      <c r="BJ2617" s="25"/>
      <c r="BU2617" s="25" t="e">
        <f>#REF!</f>
        <v>#REF!</v>
      </c>
      <c r="BV2617" s="4" t="s">
        <v>3244</v>
      </c>
    </row>
    <row r="2618" spans="1:74" ht="14.4" x14ac:dyDescent="0.3">
      <c r="A2618" s="28"/>
      <c r="D2618" s="29" t="s">
        <v>81</v>
      </c>
      <c r="E2618" s="29" t="s">
        <v>52</v>
      </c>
      <c r="G2618" s="30">
        <v>2</v>
      </c>
      <c r="H2618" s="63"/>
      <c r="N2618" s="31"/>
    </row>
    <row r="2619" spans="1:74" ht="14.4" x14ac:dyDescent="0.3">
      <c r="A2619" s="2" t="s">
        <v>3245</v>
      </c>
      <c r="B2619" s="3" t="s">
        <v>3191</v>
      </c>
      <c r="C2619" s="3" t="s">
        <v>3246</v>
      </c>
      <c r="D2619" s="112" t="s">
        <v>3247</v>
      </c>
      <c r="E2619" s="109"/>
      <c r="F2619" s="3" t="s">
        <v>2183</v>
      </c>
      <c r="G2619" s="25">
        <v>1</v>
      </c>
      <c r="H2619" s="62"/>
      <c r="I2619" s="25">
        <f>ROUND(G2619*AM2619,2)</f>
        <v>0</v>
      </c>
      <c r="J2619" s="25">
        <f>ROUND(G2619*AN2619,2)</f>
        <v>0</v>
      </c>
      <c r="K2619" s="25">
        <f>ROUND(G2619*H2619,2)</f>
        <v>0</v>
      </c>
      <c r="L2619" s="25">
        <v>0</v>
      </c>
      <c r="M2619" s="25">
        <f>G2619*L2619</f>
        <v>0</v>
      </c>
      <c r="N2619" s="102"/>
      <c r="X2619" s="25">
        <f>ROUND(IF(AO2619="5",BH2619,0),2)</f>
        <v>0</v>
      </c>
      <c r="Z2619" s="25">
        <f>ROUND(IF(AO2619="1",BF2619,0),2)</f>
        <v>0</v>
      </c>
      <c r="AA2619" s="25">
        <f>ROUND(IF(AO2619="1",BG2619,0),2)</f>
        <v>0</v>
      </c>
      <c r="AB2619" s="25">
        <f>ROUND(IF(AO2619="7",BF2619,0),2)</f>
        <v>0</v>
      </c>
      <c r="AC2619" s="25">
        <f>ROUND(IF(AO2619="7",BG2619,0),2)</f>
        <v>0</v>
      </c>
      <c r="AD2619" s="25">
        <f>ROUND(IF(AO2619="2",BF2619,0),2)</f>
        <v>0</v>
      </c>
      <c r="AE2619" s="25">
        <f>ROUND(IF(AO2619="2",BG2619,0),2)</f>
        <v>0</v>
      </c>
      <c r="AF2619" s="25">
        <f>ROUND(IF(AO2619="0",BH2619,0),2)</f>
        <v>0</v>
      </c>
      <c r="AG2619" s="10" t="s">
        <v>3191</v>
      </c>
      <c r="AH2619" s="25">
        <f>IF(AL2619=0,K2619,0)</f>
        <v>0</v>
      </c>
      <c r="AI2619" s="25">
        <f>IF(AL2619=12,K2619,0)</f>
        <v>0</v>
      </c>
      <c r="AJ2619" s="25">
        <f>IF(AL2619=21,K2619,0)</f>
        <v>0</v>
      </c>
      <c r="AL2619" s="25">
        <v>21</v>
      </c>
      <c r="AM2619" s="25">
        <f>H2619*0</f>
        <v>0</v>
      </c>
      <c r="AN2619" s="25">
        <f>H2619*(1-0)</f>
        <v>0</v>
      </c>
      <c r="AO2619" s="27" t="s">
        <v>81</v>
      </c>
      <c r="AT2619" s="25">
        <f>ROUND(AU2619+AV2619,2)</f>
        <v>0</v>
      </c>
      <c r="AU2619" s="25">
        <f>ROUND(G2619*AM2619,2)</f>
        <v>0</v>
      </c>
      <c r="AV2619" s="25">
        <f>ROUND(G2619*AN2619,2)</f>
        <v>0</v>
      </c>
      <c r="AW2619" s="27" t="s">
        <v>3220</v>
      </c>
      <c r="AX2619" s="27" t="s">
        <v>3196</v>
      </c>
      <c r="AY2619" s="10" t="s">
        <v>3197</v>
      </c>
      <c r="BA2619" s="25">
        <f>AU2619+AV2619</f>
        <v>0</v>
      </c>
      <c r="BB2619" s="25">
        <f>H2619/(100-BC2619)*100</f>
        <v>0</v>
      </c>
      <c r="BC2619" s="25">
        <v>0</v>
      </c>
      <c r="BD2619" s="25">
        <f>M2619</f>
        <v>0</v>
      </c>
      <c r="BF2619" s="25">
        <f>G2619*AM2619</f>
        <v>0</v>
      </c>
      <c r="BG2619" s="25">
        <f>G2619*AN2619</f>
        <v>0</v>
      </c>
      <c r="BH2619" s="25">
        <f>G2619*H2619</f>
        <v>0</v>
      </c>
      <c r="BI2619" s="27" t="s">
        <v>65</v>
      </c>
      <c r="BJ2619" s="25"/>
      <c r="BU2619" s="25" t="e">
        <f>#REF!</f>
        <v>#REF!</v>
      </c>
      <c r="BV2619" s="4" t="s">
        <v>3247</v>
      </c>
    </row>
    <row r="2620" spans="1:74" ht="14.4" x14ac:dyDescent="0.3">
      <c r="A2620" s="28"/>
      <c r="D2620" s="29" t="s">
        <v>57</v>
      </c>
      <c r="E2620" s="29" t="s">
        <v>52</v>
      </c>
      <c r="G2620" s="30">
        <v>1</v>
      </c>
      <c r="H2620" s="63"/>
      <c r="N2620" s="31"/>
    </row>
    <row r="2621" spans="1:74" ht="14.4" x14ac:dyDescent="0.3">
      <c r="A2621" s="2" t="s">
        <v>3248</v>
      </c>
      <c r="B2621" s="3" t="s">
        <v>3191</v>
      </c>
      <c r="C2621" s="3" t="s">
        <v>3249</v>
      </c>
      <c r="D2621" s="112" t="s">
        <v>3250</v>
      </c>
      <c r="E2621" s="109"/>
      <c r="F2621" s="3" t="s">
        <v>100</v>
      </c>
      <c r="G2621" s="25">
        <v>8</v>
      </c>
      <c r="H2621" s="62"/>
      <c r="I2621" s="25">
        <f>ROUND(G2621*AM2621,2)</f>
        <v>0</v>
      </c>
      <c r="J2621" s="25">
        <f>ROUND(G2621*AN2621,2)</f>
        <v>0</v>
      </c>
      <c r="K2621" s="25">
        <f>ROUND(G2621*H2621,2)</f>
        <v>0</v>
      </c>
      <c r="L2621" s="25">
        <v>0</v>
      </c>
      <c r="M2621" s="25">
        <f>G2621*L2621</f>
        <v>0</v>
      </c>
      <c r="N2621" s="102"/>
      <c r="X2621" s="25">
        <f>ROUND(IF(AO2621="5",BH2621,0),2)</f>
        <v>0</v>
      </c>
      <c r="Z2621" s="25">
        <f>ROUND(IF(AO2621="1",BF2621,0),2)</f>
        <v>0</v>
      </c>
      <c r="AA2621" s="25">
        <f>ROUND(IF(AO2621="1",BG2621,0),2)</f>
        <v>0</v>
      </c>
      <c r="AB2621" s="25">
        <f>ROUND(IF(AO2621="7",BF2621,0),2)</f>
        <v>0</v>
      </c>
      <c r="AC2621" s="25">
        <f>ROUND(IF(AO2621="7",BG2621,0),2)</f>
        <v>0</v>
      </c>
      <c r="AD2621" s="25">
        <f>ROUND(IF(AO2621="2",BF2621,0),2)</f>
        <v>0</v>
      </c>
      <c r="AE2621" s="25">
        <f>ROUND(IF(AO2621="2",BG2621,0),2)</f>
        <v>0</v>
      </c>
      <c r="AF2621" s="25">
        <f>ROUND(IF(AO2621="0",BH2621,0),2)</f>
        <v>0</v>
      </c>
      <c r="AG2621" s="10" t="s">
        <v>3191</v>
      </c>
      <c r="AH2621" s="25">
        <f>IF(AL2621=0,K2621,0)</f>
        <v>0</v>
      </c>
      <c r="AI2621" s="25">
        <f>IF(AL2621=12,K2621,0)</f>
        <v>0</v>
      </c>
      <c r="AJ2621" s="25">
        <f>IF(AL2621=21,K2621,0)</f>
        <v>0</v>
      </c>
      <c r="AL2621" s="25">
        <v>21</v>
      </c>
      <c r="AM2621" s="25">
        <f>H2621*0</f>
        <v>0</v>
      </c>
      <c r="AN2621" s="25">
        <f>H2621*(1-0)</f>
        <v>0</v>
      </c>
      <c r="AO2621" s="27" t="s">
        <v>81</v>
      </c>
      <c r="AT2621" s="25">
        <f>ROUND(AU2621+AV2621,2)</f>
        <v>0</v>
      </c>
      <c r="AU2621" s="25">
        <f>ROUND(G2621*AM2621,2)</f>
        <v>0</v>
      </c>
      <c r="AV2621" s="25">
        <f>ROUND(G2621*AN2621,2)</f>
        <v>0</v>
      </c>
      <c r="AW2621" s="27" t="s">
        <v>3220</v>
      </c>
      <c r="AX2621" s="27" t="s">
        <v>3196</v>
      </c>
      <c r="AY2621" s="10" t="s">
        <v>3197</v>
      </c>
      <c r="BA2621" s="25">
        <f>AU2621+AV2621</f>
        <v>0</v>
      </c>
      <c r="BB2621" s="25">
        <f>H2621/(100-BC2621)*100</f>
        <v>0</v>
      </c>
      <c r="BC2621" s="25">
        <v>0</v>
      </c>
      <c r="BD2621" s="25">
        <f>M2621</f>
        <v>0</v>
      </c>
      <c r="BF2621" s="25">
        <f>G2621*AM2621</f>
        <v>0</v>
      </c>
      <c r="BG2621" s="25">
        <f>G2621*AN2621</f>
        <v>0</v>
      </c>
      <c r="BH2621" s="25">
        <f>G2621*H2621</f>
        <v>0</v>
      </c>
      <c r="BI2621" s="27" t="s">
        <v>65</v>
      </c>
      <c r="BJ2621" s="25"/>
      <c r="BU2621" s="25" t="e">
        <f>#REF!</f>
        <v>#REF!</v>
      </c>
      <c r="BV2621" s="4" t="s">
        <v>3250</v>
      </c>
    </row>
    <row r="2622" spans="1:74" ht="14.4" x14ac:dyDescent="0.3">
      <c r="A2622" s="28"/>
      <c r="D2622" s="29" t="s">
        <v>119</v>
      </c>
      <c r="E2622" s="29" t="s">
        <v>52</v>
      </c>
      <c r="G2622" s="30">
        <v>8</v>
      </c>
      <c r="H2622" s="63"/>
      <c r="N2622" s="31"/>
    </row>
    <row r="2623" spans="1:74" ht="14.4" x14ac:dyDescent="0.3">
      <c r="A2623" s="21" t="s">
        <v>52</v>
      </c>
      <c r="B2623" s="22" t="s">
        <v>3191</v>
      </c>
      <c r="C2623" s="22" t="s">
        <v>3251</v>
      </c>
      <c r="D2623" s="170" t="s">
        <v>3252</v>
      </c>
      <c r="E2623" s="171"/>
      <c r="F2623" s="23" t="s">
        <v>32</v>
      </c>
      <c r="G2623" s="23" t="s">
        <v>32</v>
      </c>
      <c r="H2623" s="64"/>
      <c r="I2623" s="1">
        <f>SUM(I2624:I2654)</f>
        <v>0</v>
      </c>
      <c r="J2623" s="1">
        <f>SUM(J2624:J2654)</f>
        <v>0</v>
      </c>
      <c r="K2623" s="1">
        <f>SUM(K2624:K2654)</f>
        <v>0</v>
      </c>
      <c r="L2623" s="10" t="s">
        <v>52</v>
      </c>
      <c r="M2623" s="1">
        <f>SUM(M2624:M2654)</f>
        <v>5.5999999999999999E-3</v>
      </c>
      <c r="N2623" s="24"/>
      <c r="AG2623" s="10" t="s">
        <v>3191</v>
      </c>
      <c r="AQ2623" s="1">
        <f>SUM(AH2624:AH2654)</f>
        <v>0</v>
      </c>
      <c r="AR2623" s="1">
        <f>SUM(AI2624:AI2654)</f>
        <v>0</v>
      </c>
      <c r="AS2623" s="1">
        <f>SUM(AJ2624:AJ2654)</f>
        <v>0</v>
      </c>
    </row>
    <row r="2624" spans="1:74" ht="26.4" x14ac:dyDescent="0.3">
      <c r="A2624" s="2" t="s">
        <v>3253</v>
      </c>
      <c r="B2624" s="3" t="s">
        <v>3191</v>
      </c>
      <c r="C2624" s="3" t="s">
        <v>3254</v>
      </c>
      <c r="D2624" s="112" t="s">
        <v>3255</v>
      </c>
      <c r="E2624" s="109"/>
      <c r="F2624" s="3" t="s">
        <v>2183</v>
      </c>
      <c r="G2624" s="25">
        <v>1</v>
      </c>
      <c r="H2624" s="62"/>
      <c r="I2624" s="25">
        <f>ROUND(G2624*AM2624,2)</f>
        <v>0</v>
      </c>
      <c r="J2624" s="25">
        <f>ROUND(G2624*AN2624,2)</f>
        <v>0</v>
      </c>
      <c r="K2624" s="25">
        <f>ROUND(G2624*H2624,2)</f>
        <v>0</v>
      </c>
      <c r="L2624" s="25">
        <v>0</v>
      </c>
      <c r="M2624" s="25">
        <f>G2624*L2624</f>
        <v>0</v>
      </c>
      <c r="N2624" s="102"/>
      <c r="X2624" s="25">
        <f>ROUND(IF(AO2624="5",BH2624,0),2)</f>
        <v>0</v>
      </c>
      <c r="Z2624" s="25">
        <f>ROUND(IF(AO2624="1",BF2624,0),2)</f>
        <v>0</v>
      </c>
      <c r="AA2624" s="25">
        <f>ROUND(IF(AO2624="1",BG2624,0),2)</f>
        <v>0</v>
      </c>
      <c r="AB2624" s="25">
        <f>ROUND(IF(AO2624="7",BF2624,0),2)</f>
        <v>0</v>
      </c>
      <c r="AC2624" s="25">
        <f>ROUND(IF(AO2624="7",BG2624,0),2)</f>
        <v>0</v>
      </c>
      <c r="AD2624" s="25">
        <f>ROUND(IF(AO2624="2",BF2624,0),2)</f>
        <v>0</v>
      </c>
      <c r="AE2624" s="25">
        <f>ROUND(IF(AO2624="2",BG2624,0),2)</f>
        <v>0</v>
      </c>
      <c r="AF2624" s="25">
        <f>ROUND(IF(AO2624="0",BH2624,0),2)</f>
        <v>0</v>
      </c>
      <c r="AG2624" s="10" t="s">
        <v>3191</v>
      </c>
      <c r="AH2624" s="25">
        <f>IF(AL2624=0,K2624,0)</f>
        <v>0</v>
      </c>
      <c r="AI2624" s="25">
        <f>IF(AL2624=12,K2624,0)</f>
        <v>0</v>
      </c>
      <c r="AJ2624" s="25">
        <f>IF(AL2624=21,K2624,0)</f>
        <v>0</v>
      </c>
      <c r="AL2624" s="25">
        <v>21</v>
      </c>
      <c r="AM2624" s="25">
        <f>H2624*0.902991108</f>
        <v>0</v>
      </c>
      <c r="AN2624" s="25">
        <f>H2624*(1-0.902991108)</f>
        <v>0</v>
      </c>
      <c r="AO2624" s="27" t="s">
        <v>81</v>
      </c>
      <c r="AT2624" s="25">
        <f>ROUND(AU2624+AV2624,2)</f>
        <v>0</v>
      </c>
      <c r="AU2624" s="25">
        <f>ROUND(G2624*AM2624,2)</f>
        <v>0</v>
      </c>
      <c r="AV2624" s="25">
        <f>ROUND(G2624*AN2624,2)</f>
        <v>0</v>
      </c>
      <c r="AW2624" s="27" t="s">
        <v>3256</v>
      </c>
      <c r="AX2624" s="27" t="s">
        <v>3196</v>
      </c>
      <c r="AY2624" s="10" t="s">
        <v>3197</v>
      </c>
      <c r="BA2624" s="25">
        <f>AU2624+AV2624</f>
        <v>0</v>
      </c>
      <c r="BB2624" s="25">
        <f>H2624/(100-BC2624)*100</f>
        <v>0</v>
      </c>
      <c r="BC2624" s="25">
        <v>0</v>
      </c>
      <c r="BD2624" s="25">
        <f>M2624</f>
        <v>0</v>
      </c>
      <c r="BF2624" s="25">
        <f>G2624*AM2624</f>
        <v>0</v>
      </c>
      <c r="BG2624" s="25">
        <f>G2624*AN2624</f>
        <v>0</v>
      </c>
      <c r="BH2624" s="25">
        <f>G2624*H2624</f>
        <v>0</v>
      </c>
      <c r="BI2624" s="27" t="s">
        <v>65</v>
      </c>
      <c r="BJ2624" s="25"/>
      <c r="BU2624" s="25" t="e">
        <f>#REF!</f>
        <v>#REF!</v>
      </c>
      <c r="BV2624" s="4" t="s">
        <v>3255</v>
      </c>
    </row>
    <row r="2625" spans="1:74" ht="14.4" x14ac:dyDescent="0.3">
      <c r="A2625" s="28"/>
      <c r="D2625" s="29" t="s">
        <v>57</v>
      </c>
      <c r="E2625" s="29" t="s">
        <v>52</v>
      </c>
      <c r="G2625" s="30">
        <v>1</v>
      </c>
      <c r="H2625" s="63"/>
      <c r="N2625" s="31"/>
    </row>
    <row r="2626" spans="1:74" ht="14.4" x14ac:dyDescent="0.3">
      <c r="A2626" s="2" t="s">
        <v>3257</v>
      </c>
      <c r="B2626" s="3" t="s">
        <v>3191</v>
      </c>
      <c r="C2626" s="3" t="s">
        <v>3258</v>
      </c>
      <c r="D2626" s="112" t="s">
        <v>3259</v>
      </c>
      <c r="E2626" s="109"/>
      <c r="F2626" s="3" t="s">
        <v>2183</v>
      </c>
      <c r="G2626" s="25">
        <v>2</v>
      </c>
      <c r="H2626" s="62"/>
      <c r="I2626" s="25">
        <f>ROUND(G2626*AM2626,2)</f>
        <v>0</v>
      </c>
      <c r="J2626" s="25">
        <f>ROUND(G2626*AN2626,2)</f>
        <v>0</v>
      </c>
      <c r="K2626" s="25">
        <f>ROUND(G2626*H2626,2)</f>
        <v>0</v>
      </c>
      <c r="L2626" s="25">
        <v>0</v>
      </c>
      <c r="M2626" s="25">
        <f>G2626*L2626</f>
        <v>0</v>
      </c>
      <c r="N2626" s="102"/>
      <c r="X2626" s="25">
        <f>ROUND(IF(AO2626="5",BH2626,0),2)</f>
        <v>0</v>
      </c>
      <c r="Z2626" s="25">
        <f>ROUND(IF(AO2626="1",BF2626,0),2)</f>
        <v>0</v>
      </c>
      <c r="AA2626" s="25">
        <f>ROUND(IF(AO2626="1",BG2626,0),2)</f>
        <v>0</v>
      </c>
      <c r="AB2626" s="25">
        <f>ROUND(IF(AO2626="7",BF2626,0),2)</f>
        <v>0</v>
      </c>
      <c r="AC2626" s="25">
        <f>ROUND(IF(AO2626="7",BG2626,0),2)</f>
        <v>0</v>
      </c>
      <c r="AD2626" s="25">
        <f>ROUND(IF(AO2626="2",BF2626,0),2)</f>
        <v>0</v>
      </c>
      <c r="AE2626" s="25">
        <f>ROUND(IF(AO2626="2",BG2626,0),2)</f>
        <v>0</v>
      </c>
      <c r="AF2626" s="25">
        <f>ROUND(IF(AO2626="0",BH2626,0),2)</f>
        <v>0</v>
      </c>
      <c r="AG2626" s="10" t="s">
        <v>3191</v>
      </c>
      <c r="AH2626" s="25">
        <f>IF(AL2626=0,K2626,0)</f>
        <v>0</v>
      </c>
      <c r="AI2626" s="25">
        <f>IF(AL2626=12,K2626,0)</f>
        <v>0</v>
      </c>
      <c r="AJ2626" s="25">
        <f>IF(AL2626=21,K2626,0)</f>
        <v>0</v>
      </c>
      <c r="AL2626" s="25">
        <v>21</v>
      </c>
      <c r="AM2626" s="25">
        <f>H2626*0.78372093</f>
        <v>0</v>
      </c>
      <c r="AN2626" s="25">
        <f>H2626*(1-0.78372093)</f>
        <v>0</v>
      </c>
      <c r="AO2626" s="27" t="s">
        <v>81</v>
      </c>
      <c r="AT2626" s="25">
        <f>ROUND(AU2626+AV2626,2)</f>
        <v>0</v>
      </c>
      <c r="AU2626" s="25">
        <f>ROUND(G2626*AM2626,2)</f>
        <v>0</v>
      </c>
      <c r="AV2626" s="25">
        <f>ROUND(G2626*AN2626,2)</f>
        <v>0</v>
      </c>
      <c r="AW2626" s="27" t="s">
        <v>3256</v>
      </c>
      <c r="AX2626" s="27" t="s">
        <v>3196</v>
      </c>
      <c r="AY2626" s="10" t="s">
        <v>3197</v>
      </c>
      <c r="BA2626" s="25">
        <f>AU2626+AV2626</f>
        <v>0</v>
      </c>
      <c r="BB2626" s="25">
        <f>H2626/(100-BC2626)*100</f>
        <v>0</v>
      </c>
      <c r="BC2626" s="25">
        <v>0</v>
      </c>
      <c r="BD2626" s="25">
        <f>M2626</f>
        <v>0</v>
      </c>
      <c r="BF2626" s="25">
        <f>G2626*AM2626</f>
        <v>0</v>
      </c>
      <c r="BG2626" s="25">
        <f>G2626*AN2626</f>
        <v>0</v>
      </c>
      <c r="BH2626" s="25">
        <f>G2626*H2626</f>
        <v>0</v>
      </c>
      <c r="BI2626" s="27" t="s">
        <v>65</v>
      </c>
      <c r="BJ2626" s="25"/>
      <c r="BU2626" s="25" t="e">
        <f>#REF!</f>
        <v>#REF!</v>
      </c>
      <c r="BV2626" s="4" t="s">
        <v>3259</v>
      </c>
    </row>
    <row r="2627" spans="1:74" ht="14.4" x14ac:dyDescent="0.3">
      <c r="A2627" s="28"/>
      <c r="D2627" s="29" t="s">
        <v>81</v>
      </c>
      <c r="E2627" s="29" t="s">
        <v>52</v>
      </c>
      <c r="G2627" s="30">
        <v>2</v>
      </c>
      <c r="H2627" s="63"/>
      <c r="N2627" s="31"/>
    </row>
    <row r="2628" spans="1:74" ht="14.4" x14ac:dyDescent="0.3">
      <c r="A2628" s="2" t="s">
        <v>3260</v>
      </c>
      <c r="B2628" s="3" t="s">
        <v>3191</v>
      </c>
      <c r="C2628" s="3" t="s">
        <v>3261</v>
      </c>
      <c r="D2628" s="112" t="s">
        <v>3262</v>
      </c>
      <c r="E2628" s="109"/>
      <c r="F2628" s="3" t="s">
        <v>2183</v>
      </c>
      <c r="G2628" s="25">
        <v>1</v>
      </c>
      <c r="H2628" s="62"/>
      <c r="I2628" s="25">
        <f>ROUND(G2628*AM2628,2)</f>
        <v>0</v>
      </c>
      <c r="J2628" s="25">
        <f>ROUND(G2628*AN2628,2)</f>
        <v>0</v>
      </c>
      <c r="K2628" s="25">
        <f>ROUND(G2628*H2628,2)</f>
        <v>0</v>
      </c>
      <c r="L2628" s="25">
        <v>0</v>
      </c>
      <c r="M2628" s="25">
        <f>G2628*L2628</f>
        <v>0</v>
      </c>
      <c r="N2628" s="102"/>
      <c r="X2628" s="25">
        <f>ROUND(IF(AO2628="5",BH2628,0),2)</f>
        <v>0</v>
      </c>
      <c r="Z2628" s="25">
        <f>ROUND(IF(AO2628="1",BF2628,0),2)</f>
        <v>0</v>
      </c>
      <c r="AA2628" s="25">
        <f>ROUND(IF(AO2628="1",BG2628,0),2)</f>
        <v>0</v>
      </c>
      <c r="AB2628" s="25">
        <f>ROUND(IF(AO2628="7",BF2628,0),2)</f>
        <v>0</v>
      </c>
      <c r="AC2628" s="25">
        <f>ROUND(IF(AO2628="7",BG2628,0),2)</f>
        <v>0</v>
      </c>
      <c r="AD2628" s="25">
        <f>ROUND(IF(AO2628="2",BF2628,0),2)</f>
        <v>0</v>
      </c>
      <c r="AE2628" s="25">
        <f>ROUND(IF(AO2628="2",BG2628,0),2)</f>
        <v>0</v>
      </c>
      <c r="AF2628" s="25">
        <f>ROUND(IF(AO2628="0",BH2628,0),2)</f>
        <v>0</v>
      </c>
      <c r="AG2628" s="10" t="s">
        <v>3191</v>
      </c>
      <c r="AH2628" s="25">
        <f>IF(AL2628=0,K2628,0)</f>
        <v>0</v>
      </c>
      <c r="AI2628" s="25">
        <f>IF(AL2628=12,K2628,0)</f>
        <v>0</v>
      </c>
      <c r="AJ2628" s="25">
        <f>IF(AL2628=21,K2628,0)</f>
        <v>0</v>
      </c>
      <c r="AL2628" s="25">
        <v>21</v>
      </c>
      <c r="AM2628" s="25">
        <f>H2628*0.897435897</f>
        <v>0</v>
      </c>
      <c r="AN2628" s="25">
        <f>H2628*(1-0.897435897)</f>
        <v>0</v>
      </c>
      <c r="AO2628" s="27" t="s">
        <v>81</v>
      </c>
      <c r="AT2628" s="25">
        <f>ROUND(AU2628+AV2628,2)</f>
        <v>0</v>
      </c>
      <c r="AU2628" s="25">
        <f>ROUND(G2628*AM2628,2)</f>
        <v>0</v>
      </c>
      <c r="AV2628" s="25">
        <f>ROUND(G2628*AN2628,2)</f>
        <v>0</v>
      </c>
      <c r="AW2628" s="27" t="s">
        <v>3256</v>
      </c>
      <c r="AX2628" s="27" t="s">
        <v>3196</v>
      </c>
      <c r="AY2628" s="10" t="s">
        <v>3197</v>
      </c>
      <c r="BA2628" s="25">
        <f>AU2628+AV2628</f>
        <v>0</v>
      </c>
      <c r="BB2628" s="25">
        <f>H2628/(100-BC2628)*100</f>
        <v>0</v>
      </c>
      <c r="BC2628" s="25">
        <v>0</v>
      </c>
      <c r="BD2628" s="25">
        <f>M2628</f>
        <v>0</v>
      </c>
      <c r="BF2628" s="25">
        <f>G2628*AM2628</f>
        <v>0</v>
      </c>
      <c r="BG2628" s="25">
        <f>G2628*AN2628</f>
        <v>0</v>
      </c>
      <c r="BH2628" s="25">
        <f>G2628*H2628</f>
        <v>0</v>
      </c>
      <c r="BI2628" s="27" t="s">
        <v>65</v>
      </c>
      <c r="BJ2628" s="25"/>
      <c r="BU2628" s="25" t="e">
        <f>#REF!</f>
        <v>#REF!</v>
      </c>
      <c r="BV2628" s="4" t="s">
        <v>3262</v>
      </c>
    </row>
    <row r="2629" spans="1:74" ht="14.4" x14ac:dyDescent="0.3">
      <c r="A2629" s="28"/>
      <c r="D2629" s="29" t="s">
        <v>57</v>
      </c>
      <c r="E2629" s="29" t="s">
        <v>52</v>
      </c>
      <c r="G2629" s="30">
        <v>1</v>
      </c>
      <c r="H2629" s="63"/>
      <c r="N2629" s="31"/>
    </row>
    <row r="2630" spans="1:74" ht="14.4" x14ac:dyDescent="0.3">
      <c r="A2630" s="2" t="s">
        <v>3263</v>
      </c>
      <c r="B2630" s="3" t="s">
        <v>3191</v>
      </c>
      <c r="C2630" s="3" t="s">
        <v>3264</v>
      </c>
      <c r="D2630" s="112" t="s">
        <v>3265</v>
      </c>
      <c r="E2630" s="109"/>
      <c r="F2630" s="3" t="s">
        <v>2183</v>
      </c>
      <c r="G2630" s="25">
        <v>1</v>
      </c>
      <c r="H2630" s="62"/>
      <c r="I2630" s="25">
        <f>ROUND(G2630*AM2630,2)</f>
        <v>0</v>
      </c>
      <c r="J2630" s="25">
        <f>ROUND(G2630*AN2630,2)</f>
        <v>0</v>
      </c>
      <c r="K2630" s="25">
        <f>ROUND(G2630*H2630,2)</f>
        <v>0</v>
      </c>
      <c r="L2630" s="25">
        <v>0</v>
      </c>
      <c r="M2630" s="25">
        <f>G2630*L2630</f>
        <v>0</v>
      </c>
      <c r="N2630" s="102"/>
      <c r="X2630" s="25">
        <f>ROUND(IF(AO2630="5",BH2630,0),2)</f>
        <v>0</v>
      </c>
      <c r="Z2630" s="25">
        <f>ROUND(IF(AO2630="1",BF2630,0),2)</f>
        <v>0</v>
      </c>
      <c r="AA2630" s="25">
        <f>ROUND(IF(AO2630="1",BG2630,0),2)</f>
        <v>0</v>
      </c>
      <c r="AB2630" s="25">
        <f>ROUND(IF(AO2630="7",BF2630,0),2)</f>
        <v>0</v>
      </c>
      <c r="AC2630" s="25">
        <f>ROUND(IF(AO2630="7",BG2630,0),2)</f>
        <v>0</v>
      </c>
      <c r="AD2630" s="25">
        <f>ROUND(IF(AO2630="2",BF2630,0),2)</f>
        <v>0</v>
      </c>
      <c r="AE2630" s="25">
        <f>ROUND(IF(AO2630="2",BG2630,0),2)</f>
        <v>0</v>
      </c>
      <c r="AF2630" s="25">
        <f>ROUND(IF(AO2630="0",BH2630,0),2)</f>
        <v>0</v>
      </c>
      <c r="AG2630" s="10" t="s">
        <v>3191</v>
      </c>
      <c r="AH2630" s="25">
        <f>IF(AL2630=0,K2630,0)</f>
        <v>0</v>
      </c>
      <c r="AI2630" s="25">
        <f>IF(AL2630=12,K2630,0)</f>
        <v>0</v>
      </c>
      <c r="AJ2630" s="25">
        <f>IF(AL2630=21,K2630,0)</f>
        <v>0</v>
      </c>
      <c r="AL2630" s="25">
        <v>21</v>
      </c>
      <c r="AM2630" s="25">
        <f>H2630*0.736726634</f>
        <v>0</v>
      </c>
      <c r="AN2630" s="25">
        <f>H2630*(1-0.736726634)</f>
        <v>0</v>
      </c>
      <c r="AO2630" s="27" t="s">
        <v>81</v>
      </c>
      <c r="AT2630" s="25">
        <f>ROUND(AU2630+AV2630,2)</f>
        <v>0</v>
      </c>
      <c r="AU2630" s="25">
        <f>ROUND(G2630*AM2630,2)</f>
        <v>0</v>
      </c>
      <c r="AV2630" s="25">
        <f>ROUND(G2630*AN2630,2)</f>
        <v>0</v>
      </c>
      <c r="AW2630" s="27" t="s">
        <v>3256</v>
      </c>
      <c r="AX2630" s="27" t="s">
        <v>3196</v>
      </c>
      <c r="AY2630" s="10" t="s">
        <v>3197</v>
      </c>
      <c r="BA2630" s="25">
        <f>AU2630+AV2630</f>
        <v>0</v>
      </c>
      <c r="BB2630" s="25">
        <f>H2630/(100-BC2630)*100</f>
        <v>0</v>
      </c>
      <c r="BC2630" s="25">
        <v>0</v>
      </c>
      <c r="BD2630" s="25">
        <f>M2630</f>
        <v>0</v>
      </c>
      <c r="BF2630" s="25">
        <f>G2630*AM2630</f>
        <v>0</v>
      </c>
      <c r="BG2630" s="25">
        <f>G2630*AN2630</f>
        <v>0</v>
      </c>
      <c r="BH2630" s="25">
        <f>G2630*H2630</f>
        <v>0</v>
      </c>
      <c r="BI2630" s="27" t="s">
        <v>65</v>
      </c>
      <c r="BJ2630" s="25"/>
      <c r="BU2630" s="25" t="e">
        <f>#REF!</f>
        <v>#REF!</v>
      </c>
      <c r="BV2630" s="4" t="s">
        <v>3265</v>
      </c>
    </row>
    <row r="2631" spans="1:74" ht="14.4" x14ac:dyDescent="0.3">
      <c r="A2631" s="28"/>
      <c r="D2631" s="29" t="s">
        <v>57</v>
      </c>
      <c r="E2631" s="29" t="s">
        <v>52</v>
      </c>
      <c r="G2631" s="30">
        <v>1</v>
      </c>
      <c r="H2631" s="63"/>
      <c r="N2631" s="31"/>
    </row>
    <row r="2632" spans="1:74" ht="14.4" x14ac:dyDescent="0.3">
      <c r="A2632" s="2" t="s">
        <v>3266</v>
      </c>
      <c r="B2632" s="3" t="s">
        <v>3191</v>
      </c>
      <c r="C2632" s="3" t="s">
        <v>3267</v>
      </c>
      <c r="D2632" s="112" t="s">
        <v>3268</v>
      </c>
      <c r="E2632" s="109"/>
      <c r="F2632" s="3" t="s">
        <v>2183</v>
      </c>
      <c r="G2632" s="25">
        <v>1</v>
      </c>
      <c r="H2632" s="62"/>
      <c r="I2632" s="25">
        <f>ROUND(G2632*AM2632,2)</f>
        <v>0</v>
      </c>
      <c r="J2632" s="25">
        <f>ROUND(G2632*AN2632,2)</f>
        <v>0</v>
      </c>
      <c r="K2632" s="25">
        <f>ROUND(G2632*H2632,2)</f>
        <v>0</v>
      </c>
      <c r="L2632" s="25">
        <v>0</v>
      </c>
      <c r="M2632" s="25">
        <f>G2632*L2632</f>
        <v>0</v>
      </c>
      <c r="N2632" s="102"/>
      <c r="X2632" s="25">
        <f>ROUND(IF(AO2632="5",BH2632,0),2)</f>
        <v>0</v>
      </c>
      <c r="Z2632" s="25">
        <f>ROUND(IF(AO2632="1",BF2632,0),2)</f>
        <v>0</v>
      </c>
      <c r="AA2632" s="25">
        <f>ROUND(IF(AO2632="1",BG2632,0),2)</f>
        <v>0</v>
      </c>
      <c r="AB2632" s="25">
        <f>ROUND(IF(AO2632="7",BF2632,0),2)</f>
        <v>0</v>
      </c>
      <c r="AC2632" s="25">
        <f>ROUND(IF(AO2632="7",BG2632,0),2)</f>
        <v>0</v>
      </c>
      <c r="AD2632" s="25">
        <f>ROUND(IF(AO2632="2",BF2632,0),2)</f>
        <v>0</v>
      </c>
      <c r="AE2632" s="25">
        <f>ROUND(IF(AO2632="2",BG2632,0),2)</f>
        <v>0</v>
      </c>
      <c r="AF2632" s="25">
        <f>ROUND(IF(AO2632="0",BH2632,0),2)</f>
        <v>0</v>
      </c>
      <c r="AG2632" s="10" t="s">
        <v>3191</v>
      </c>
      <c r="AH2632" s="25">
        <f>IF(AL2632=0,K2632,0)</f>
        <v>0</v>
      </c>
      <c r="AI2632" s="25">
        <f>IF(AL2632=12,K2632,0)</f>
        <v>0</v>
      </c>
      <c r="AJ2632" s="25">
        <f>IF(AL2632=21,K2632,0)</f>
        <v>0</v>
      </c>
      <c r="AL2632" s="25">
        <v>21</v>
      </c>
      <c r="AM2632" s="25">
        <f>H2632*0.521390374</f>
        <v>0</v>
      </c>
      <c r="AN2632" s="25">
        <f>H2632*(1-0.521390374)</f>
        <v>0</v>
      </c>
      <c r="AO2632" s="27" t="s">
        <v>81</v>
      </c>
      <c r="AT2632" s="25">
        <f>ROUND(AU2632+AV2632,2)</f>
        <v>0</v>
      </c>
      <c r="AU2632" s="25">
        <f>ROUND(G2632*AM2632,2)</f>
        <v>0</v>
      </c>
      <c r="AV2632" s="25">
        <f>ROUND(G2632*AN2632,2)</f>
        <v>0</v>
      </c>
      <c r="AW2632" s="27" t="s">
        <v>3256</v>
      </c>
      <c r="AX2632" s="27" t="s">
        <v>3196</v>
      </c>
      <c r="AY2632" s="10" t="s">
        <v>3197</v>
      </c>
      <c r="BA2632" s="25">
        <f>AU2632+AV2632</f>
        <v>0</v>
      </c>
      <c r="BB2632" s="25">
        <f>H2632/(100-BC2632)*100</f>
        <v>0</v>
      </c>
      <c r="BC2632" s="25">
        <v>0</v>
      </c>
      <c r="BD2632" s="25">
        <f>M2632</f>
        <v>0</v>
      </c>
      <c r="BF2632" s="25">
        <f>G2632*AM2632</f>
        <v>0</v>
      </c>
      <c r="BG2632" s="25">
        <f>G2632*AN2632</f>
        <v>0</v>
      </c>
      <c r="BH2632" s="25">
        <f>G2632*H2632</f>
        <v>0</v>
      </c>
      <c r="BI2632" s="27" t="s">
        <v>65</v>
      </c>
      <c r="BJ2632" s="25"/>
      <c r="BU2632" s="25" t="e">
        <f>#REF!</f>
        <v>#REF!</v>
      </c>
      <c r="BV2632" s="4" t="s">
        <v>3268</v>
      </c>
    </row>
    <row r="2633" spans="1:74" ht="14.4" x14ac:dyDescent="0.3">
      <c r="A2633" s="28"/>
      <c r="D2633" s="29" t="s">
        <v>57</v>
      </c>
      <c r="E2633" s="29" t="s">
        <v>52</v>
      </c>
      <c r="G2633" s="30">
        <v>1</v>
      </c>
      <c r="H2633" s="63"/>
      <c r="N2633" s="31"/>
    </row>
    <row r="2634" spans="1:74" ht="14.4" x14ac:dyDescent="0.3">
      <c r="A2634" s="2" t="s">
        <v>3269</v>
      </c>
      <c r="B2634" s="3" t="s">
        <v>3191</v>
      </c>
      <c r="C2634" s="3" t="s">
        <v>3005</v>
      </c>
      <c r="D2634" s="112" t="s">
        <v>3006</v>
      </c>
      <c r="E2634" s="109"/>
      <c r="F2634" s="3" t="s">
        <v>122</v>
      </c>
      <c r="G2634" s="25">
        <v>7</v>
      </c>
      <c r="H2634" s="62"/>
      <c r="I2634" s="25">
        <f>ROUND(G2634*AM2634,2)</f>
        <v>0</v>
      </c>
      <c r="J2634" s="25">
        <f>ROUND(G2634*AN2634,2)</f>
        <v>0</v>
      </c>
      <c r="K2634" s="25">
        <f>ROUND(G2634*H2634,2)</f>
        <v>0</v>
      </c>
      <c r="L2634" s="25">
        <v>0</v>
      </c>
      <c r="M2634" s="25">
        <f>G2634*L2634</f>
        <v>0</v>
      </c>
      <c r="N2634" s="26"/>
      <c r="X2634" s="25">
        <f>ROUND(IF(AO2634="5",BH2634,0),2)</f>
        <v>0</v>
      </c>
      <c r="Z2634" s="25">
        <f>ROUND(IF(AO2634="1",BF2634,0),2)</f>
        <v>0</v>
      </c>
      <c r="AA2634" s="25">
        <f>ROUND(IF(AO2634="1",BG2634,0),2)</f>
        <v>0</v>
      </c>
      <c r="AB2634" s="25">
        <f>ROUND(IF(AO2634="7",BF2634,0),2)</f>
        <v>0</v>
      </c>
      <c r="AC2634" s="25">
        <f>ROUND(IF(AO2634="7",BG2634,0),2)</f>
        <v>0</v>
      </c>
      <c r="AD2634" s="25">
        <f>ROUND(IF(AO2634="2",BF2634,0),2)</f>
        <v>0</v>
      </c>
      <c r="AE2634" s="25">
        <f>ROUND(IF(AO2634="2",BG2634,0),2)</f>
        <v>0</v>
      </c>
      <c r="AF2634" s="25">
        <f>ROUND(IF(AO2634="0",BH2634,0),2)</f>
        <v>0</v>
      </c>
      <c r="AG2634" s="10" t="s">
        <v>3191</v>
      </c>
      <c r="AH2634" s="25">
        <f>IF(AL2634=0,K2634,0)</f>
        <v>0</v>
      </c>
      <c r="AI2634" s="25">
        <f>IF(AL2634=12,K2634,0)</f>
        <v>0</v>
      </c>
      <c r="AJ2634" s="25">
        <f>IF(AL2634=21,K2634,0)</f>
        <v>0</v>
      </c>
      <c r="AL2634" s="25">
        <v>21</v>
      </c>
      <c r="AM2634" s="25">
        <f>H2634*0</f>
        <v>0</v>
      </c>
      <c r="AN2634" s="25">
        <f>H2634*(1-0)</f>
        <v>0</v>
      </c>
      <c r="AO2634" s="27" t="s">
        <v>81</v>
      </c>
      <c r="AT2634" s="25">
        <f>ROUND(AU2634+AV2634,2)</f>
        <v>0</v>
      </c>
      <c r="AU2634" s="25">
        <f>ROUND(G2634*AM2634,2)</f>
        <v>0</v>
      </c>
      <c r="AV2634" s="25">
        <f>ROUND(G2634*AN2634,2)</f>
        <v>0</v>
      </c>
      <c r="AW2634" s="27" t="s">
        <v>3256</v>
      </c>
      <c r="AX2634" s="27" t="s">
        <v>3196</v>
      </c>
      <c r="AY2634" s="10" t="s">
        <v>3197</v>
      </c>
      <c r="BA2634" s="25">
        <f>AU2634+AV2634</f>
        <v>0</v>
      </c>
      <c r="BB2634" s="25">
        <f>H2634/(100-BC2634)*100</f>
        <v>0</v>
      </c>
      <c r="BC2634" s="25">
        <v>0</v>
      </c>
      <c r="BD2634" s="25">
        <f>M2634</f>
        <v>0</v>
      </c>
      <c r="BF2634" s="25">
        <f>G2634*AM2634</f>
        <v>0</v>
      </c>
      <c r="BG2634" s="25">
        <f>G2634*AN2634</f>
        <v>0</v>
      </c>
      <c r="BH2634" s="25">
        <f>G2634*H2634</f>
        <v>0</v>
      </c>
      <c r="BI2634" s="27" t="s">
        <v>65</v>
      </c>
      <c r="BJ2634" s="25"/>
      <c r="BU2634" s="25" t="e">
        <f>#REF!</f>
        <v>#REF!</v>
      </c>
      <c r="BV2634" s="4" t="s">
        <v>3006</v>
      </c>
    </row>
    <row r="2635" spans="1:74" ht="14.4" x14ac:dyDescent="0.3">
      <c r="A2635" s="28"/>
      <c r="D2635" s="29" t="s">
        <v>61</v>
      </c>
      <c r="E2635" s="29" t="s">
        <v>52</v>
      </c>
      <c r="G2635" s="30">
        <v>7</v>
      </c>
      <c r="H2635" s="63"/>
      <c r="N2635" s="31"/>
    </row>
    <row r="2636" spans="1:74" ht="14.4" x14ac:dyDescent="0.3">
      <c r="A2636" s="2" t="s">
        <v>3270</v>
      </c>
      <c r="B2636" s="3" t="s">
        <v>3191</v>
      </c>
      <c r="C2636" s="3" t="s">
        <v>3271</v>
      </c>
      <c r="D2636" s="112" t="s">
        <v>3272</v>
      </c>
      <c r="E2636" s="109"/>
      <c r="F2636" s="3" t="s">
        <v>2183</v>
      </c>
      <c r="G2636" s="25">
        <v>11</v>
      </c>
      <c r="H2636" s="62"/>
      <c r="I2636" s="25">
        <f>ROUND(G2636*AM2636,2)</f>
        <v>0</v>
      </c>
      <c r="J2636" s="25">
        <f>ROUND(G2636*AN2636,2)</f>
        <v>0</v>
      </c>
      <c r="K2636" s="25">
        <f>ROUND(G2636*H2636,2)</f>
        <v>0</v>
      </c>
      <c r="L2636" s="25">
        <v>0</v>
      </c>
      <c r="M2636" s="25">
        <f>G2636*L2636</f>
        <v>0</v>
      </c>
      <c r="N2636" s="102"/>
      <c r="X2636" s="25">
        <f>ROUND(IF(AO2636="5",BH2636,0),2)</f>
        <v>0</v>
      </c>
      <c r="Z2636" s="25">
        <f>ROUND(IF(AO2636="1",BF2636,0),2)</f>
        <v>0</v>
      </c>
      <c r="AA2636" s="25">
        <f>ROUND(IF(AO2636="1",BG2636,0),2)</f>
        <v>0</v>
      </c>
      <c r="AB2636" s="25">
        <f>ROUND(IF(AO2636="7",BF2636,0),2)</f>
        <v>0</v>
      </c>
      <c r="AC2636" s="25">
        <f>ROUND(IF(AO2636="7",BG2636,0),2)</f>
        <v>0</v>
      </c>
      <c r="AD2636" s="25">
        <f>ROUND(IF(AO2636="2",BF2636,0),2)</f>
        <v>0</v>
      </c>
      <c r="AE2636" s="25">
        <f>ROUND(IF(AO2636="2",BG2636,0),2)</f>
        <v>0</v>
      </c>
      <c r="AF2636" s="25">
        <f>ROUND(IF(AO2636="0",BH2636,0),2)</f>
        <v>0</v>
      </c>
      <c r="AG2636" s="10" t="s">
        <v>3191</v>
      </c>
      <c r="AH2636" s="25">
        <f>IF(AL2636=0,K2636,0)</f>
        <v>0</v>
      </c>
      <c r="AI2636" s="25">
        <f>IF(AL2636=12,K2636,0)</f>
        <v>0</v>
      </c>
      <c r="AJ2636" s="25">
        <f>IF(AL2636=21,K2636,0)</f>
        <v>0</v>
      </c>
      <c r="AL2636" s="25">
        <v>21</v>
      </c>
      <c r="AM2636" s="25">
        <f>H2636*0.757180157</f>
        <v>0</v>
      </c>
      <c r="AN2636" s="25">
        <f>H2636*(1-0.757180157)</f>
        <v>0</v>
      </c>
      <c r="AO2636" s="27" t="s">
        <v>81</v>
      </c>
      <c r="AT2636" s="25">
        <f>ROUND(AU2636+AV2636,2)</f>
        <v>0</v>
      </c>
      <c r="AU2636" s="25">
        <f>ROUND(G2636*AM2636,2)</f>
        <v>0</v>
      </c>
      <c r="AV2636" s="25">
        <f>ROUND(G2636*AN2636,2)</f>
        <v>0</v>
      </c>
      <c r="AW2636" s="27" t="s">
        <v>3256</v>
      </c>
      <c r="AX2636" s="27" t="s">
        <v>3196</v>
      </c>
      <c r="AY2636" s="10" t="s">
        <v>3197</v>
      </c>
      <c r="BA2636" s="25">
        <f>AU2636+AV2636</f>
        <v>0</v>
      </c>
      <c r="BB2636" s="25">
        <f>H2636/(100-BC2636)*100</f>
        <v>0</v>
      </c>
      <c r="BC2636" s="25">
        <v>0</v>
      </c>
      <c r="BD2636" s="25">
        <f>M2636</f>
        <v>0</v>
      </c>
      <c r="BF2636" s="25">
        <f>G2636*AM2636</f>
        <v>0</v>
      </c>
      <c r="BG2636" s="25">
        <f>G2636*AN2636</f>
        <v>0</v>
      </c>
      <c r="BH2636" s="25">
        <f>G2636*H2636</f>
        <v>0</v>
      </c>
      <c r="BI2636" s="27" t="s">
        <v>65</v>
      </c>
      <c r="BJ2636" s="25"/>
      <c r="BU2636" s="25" t="e">
        <f>#REF!</f>
        <v>#REF!</v>
      </c>
      <c r="BV2636" s="4" t="s">
        <v>3272</v>
      </c>
    </row>
    <row r="2637" spans="1:74" ht="14.4" x14ac:dyDescent="0.3">
      <c r="A2637" s="28"/>
      <c r="D2637" s="29" t="s">
        <v>140</v>
      </c>
      <c r="E2637" s="29" t="s">
        <v>52</v>
      </c>
      <c r="G2637" s="30">
        <v>11</v>
      </c>
      <c r="H2637" s="63"/>
      <c r="N2637" s="31"/>
    </row>
    <row r="2638" spans="1:74" ht="14.4" x14ac:dyDescent="0.3">
      <c r="A2638" s="2" t="s">
        <v>3273</v>
      </c>
      <c r="B2638" s="3" t="s">
        <v>3191</v>
      </c>
      <c r="C2638" s="3" t="s">
        <v>3274</v>
      </c>
      <c r="D2638" s="112" t="s">
        <v>3275</v>
      </c>
      <c r="E2638" s="109"/>
      <c r="F2638" s="3" t="s">
        <v>2183</v>
      </c>
      <c r="G2638" s="25">
        <v>2</v>
      </c>
      <c r="H2638" s="62"/>
      <c r="I2638" s="25">
        <f>ROUND(G2638*AM2638,2)</f>
        <v>0</v>
      </c>
      <c r="J2638" s="25">
        <f>ROUND(G2638*AN2638,2)</f>
        <v>0</v>
      </c>
      <c r="K2638" s="25">
        <f>ROUND(G2638*H2638,2)</f>
        <v>0</v>
      </c>
      <c r="L2638" s="25">
        <v>0</v>
      </c>
      <c r="M2638" s="25">
        <f>G2638*L2638</f>
        <v>0</v>
      </c>
      <c r="N2638" s="102"/>
      <c r="X2638" s="25">
        <f>ROUND(IF(AO2638="5",BH2638,0),2)</f>
        <v>0</v>
      </c>
      <c r="Z2638" s="25">
        <f>ROUND(IF(AO2638="1",BF2638,0),2)</f>
        <v>0</v>
      </c>
      <c r="AA2638" s="25">
        <f>ROUND(IF(AO2638="1",BG2638,0),2)</f>
        <v>0</v>
      </c>
      <c r="AB2638" s="25">
        <f>ROUND(IF(AO2638="7",BF2638,0),2)</f>
        <v>0</v>
      </c>
      <c r="AC2638" s="25">
        <f>ROUND(IF(AO2638="7",BG2638,0),2)</f>
        <v>0</v>
      </c>
      <c r="AD2638" s="25">
        <f>ROUND(IF(AO2638="2",BF2638,0),2)</f>
        <v>0</v>
      </c>
      <c r="AE2638" s="25">
        <f>ROUND(IF(AO2638="2",BG2638,0),2)</f>
        <v>0</v>
      </c>
      <c r="AF2638" s="25">
        <f>ROUND(IF(AO2638="0",BH2638,0),2)</f>
        <v>0</v>
      </c>
      <c r="AG2638" s="10" t="s">
        <v>3191</v>
      </c>
      <c r="AH2638" s="25">
        <f>IF(AL2638=0,K2638,0)</f>
        <v>0</v>
      </c>
      <c r="AI2638" s="25">
        <f>IF(AL2638=12,K2638,0)</f>
        <v>0</v>
      </c>
      <c r="AJ2638" s="25">
        <f>IF(AL2638=21,K2638,0)</f>
        <v>0</v>
      </c>
      <c r="AL2638" s="25">
        <v>21</v>
      </c>
      <c r="AM2638" s="25">
        <f>H2638*0.866190901</f>
        <v>0</v>
      </c>
      <c r="AN2638" s="25">
        <f>H2638*(1-0.866190901)</f>
        <v>0</v>
      </c>
      <c r="AO2638" s="27" t="s">
        <v>81</v>
      </c>
      <c r="AT2638" s="25">
        <f>ROUND(AU2638+AV2638,2)</f>
        <v>0</v>
      </c>
      <c r="AU2638" s="25">
        <f>ROUND(G2638*AM2638,2)</f>
        <v>0</v>
      </c>
      <c r="AV2638" s="25">
        <f>ROUND(G2638*AN2638,2)</f>
        <v>0</v>
      </c>
      <c r="AW2638" s="27" t="s">
        <v>3256</v>
      </c>
      <c r="AX2638" s="27" t="s">
        <v>3196</v>
      </c>
      <c r="AY2638" s="10" t="s">
        <v>3197</v>
      </c>
      <c r="BA2638" s="25">
        <f>AU2638+AV2638</f>
        <v>0</v>
      </c>
      <c r="BB2638" s="25">
        <f>H2638/(100-BC2638)*100</f>
        <v>0</v>
      </c>
      <c r="BC2638" s="25">
        <v>0</v>
      </c>
      <c r="BD2638" s="25">
        <f>M2638</f>
        <v>0</v>
      </c>
      <c r="BF2638" s="25">
        <f>G2638*AM2638</f>
        <v>0</v>
      </c>
      <c r="BG2638" s="25">
        <f>G2638*AN2638</f>
        <v>0</v>
      </c>
      <c r="BH2638" s="25">
        <f>G2638*H2638</f>
        <v>0</v>
      </c>
      <c r="BI2638" s="27" t="s">
        <v>65</v>
      </c>
      <c r="BJ2638" s="25"/>
      <c r="BU2638" s="25" t="e">
        <f>#REF!</f>
        <v>#REF!</v>
      </c>
      <c r="BV2638" s="4" t="s">
        <v>3275</v>
      </c>
    </row>
    <row r="2639" spans="1:74" ht="14.4" x14ac:dyDescent="0.3">
      <c r="A2639" s="28"/>
      <c r="D2639" s="29" t="s">
        <v>81</v>
      </c>
      <c r="E2639" s="29" t="s">
        <v>52</v>
      </c>
      <c r="G2639" s="30">
        <v>2</v>
      </c>
      <c r="H2639" s="63"/>
      <c r="N2639" s="31"/>
    </row>
    <row r="2640" spans="1:74" ht="14.4" x14ac:dyDescent="0.3">
      <c r="A2640" s="2" t="s">
        <v>3276</v>
      </c>
      <c r="B2640" s="3" t="s">
        <v>3191</v>
      </c>
      <c r="C2640" s="3" t="s">
        <v>3277</v>
      </c>
      <c r="D2640" s="112" t="s">
        <v>3278</v>
      </c>
      <c r="E2640" s="109"/>
      <c r="F2640" s="3" t="s">
        <v>2183</v>
      </c>
      <c r="G2640" s="25">
        <v>1</v>
      </c>
      <c r="H2640" s="62"/>
      <c r="I2640" s="25">
        <f>ROUND(G2640*AM2640,2)</f>
        <v>0</v>
      </c>
      <c r="J2640" s="25">
        <f>ROUND(G2640*AN2640,2)</f>
        <v>0</v>
      </c>
      <c r="K2640" s="25">
        <f>ROUND(G2640*H2640,2)</f>
        <v>0</v>
      </c>
      <c r="L2640" s="25">
        <v>0</v>
      </c>
      <c r="M2640" s="25">
        <f>G2640*L2640</f>
        <v>0</v>
      </c>
      <c r="N2640" s="102"/>
      <c r="X2640" s="25">
        <f>ROUND(IF(AO2640="5",BH2640,0),2)</f>
        <v>0</v>
      </c>
      <c r="Z2640" s="25">
        <f>ROUND(IF(AO2640="1",BF2640,0),2)</f>
        <v>0</v>
      </c>
      <c r="AA2640" s="25">
        <f>ROUND(IF(AO2640="1",BG2640,0),2)</f>
        <v>0</v>
      </c>
      <c r="AB2640" s="25">
        <f>ROUND(IF(AO2640="7",BF2640,0),2)</f>
        <v>0</v>
      </c>
      <c r="AC2640" s="25">
        <f>ROUND(IF(AO2640="7",BG2640,0),2)</f>
        <v>0</v>
      </c>
      <c r="AD2640" s="25">
        <f>ROUND(IF(AO2640="2",BF2640,0),2)</f>
        <v>0</v>
      </c>
      <c r="AE2640" s="25">
        <f>ROUND(IF(AO2640="2",BG2640,0),2)</f>
        <v>0</v>
      </c>
      <c r="AF2640" s="25">
        <f>ROUND(IF(AO2640="0",BH2640,0),2)</f>
        <v>0</v>
      </c>
      <c r="AG2640" s="10" t="s">
        <v>3191</v>
      </c>
      <c r="AH2640" s="25">
        <f>IF(AL2640=0,K2640,0)</f>
        <v>0</v>
      </c>
      <c r="AI2640" s="25">
        <f>IF(AL2640=12,K2640,0)</f>
        <v>0</v>
      </c>
      <c r="AJ2640" s="25">
        <f>IF(AL2640=21,K2640,0)</f>
        <v>0</v>
      </c>
      <c r="AL2640" s="25">
        <v>21</v>
      </c>
      <c r="AM2640" s="25">
        <f>H2640*0.754601227</f>
        <v>0</v>
      </c>
      <c r="AN2640" s="25">
        <f>H2640*(1-0.754601227)</f>
        <v>0</v>
      </c>
      <c r="AO2640" s="27" t="s">
        <v>81</v>
      </c>
      <c r="AT2640" s="25">
        <f>ROUND(AU2640+AV2640,2)</f>
        <v>0</v>
      </c>
      <c r="AU2640" s="25">
        <f>ROUND(G2640*AM2640,2)</f>
        <v>0</v>
      </c>
      <c r="AV2640" s="25">
        <f>ROUND(G2640*AN2640,2)</f>
        <v>0</v>
      </c>
      <c r="AW2640" s="27" t="s">
        <v>3256</v>
      </c>
      <c r="AX2640" s="27" t="s">
        <v>3196</v>
      </c>
      <c r="AY2640" s="10" t="s">
        <v>3197</v>
      </c>
      <c r="BA2640" s="25">
        <f>AU2640+AV2640</f>
        <v>0</v>
      </c>
      <c r="BB2640" s="25">
        <f>H2640/(100-BC2640)*100</f>
        <v>0</v>
      </c>
      <c r="BC2640" s="25">
        <v>0</v>
      </c>
      <c r="BD2640" s="25">
        <f>M2640</f>
        <v>0</v>
      </c>
      <c r="BF2640" s="25">
        <f>G2640*AM2640</f>
        <v>0</v>
      </c>
      <c r="BG2640" s="25">
        <f>G2640*AN2640</f>
        <v>0</v>
      </c>
      <c r="BH2640" s="25">
        <f>G2640*H2640</f>
        <v>0</v>
      </c>
      <c r="BI2640" s="27" t="s">
        <v>65</v>
      </c>
      <c r="BJ2640" s="25"/>
      <c r="BU2640" s="25" t="e">
        <f>#REF!</f>
        <v>#REF!</v>
      </c>
      <c r="BV2640" s="4" t="s">
        <v>3278</v>
      </c>
    </row>
    <row r="2641" spans="1:74" ht="14.4" x14ac:dyDescent="0.3">
      <c r="A2641" s="28"/>
      <c r="D2641" s="29" t="s">
        <v>57</v>
      </c>
      <c r="E2641" s="29" t="s">
        <v>52</v>
      </c>
      <c r="G2641" s="30">
        <v>1</v>
      </c>
      <c r="H2641" s="63"/>
      <c r="N2641" s="31"/>
    </row>
    <row r="2642" spans="1:74" ht="14.4" x14ac:dyDescent="0.3">
      <c r="A2642" s="2" t="s">
        <v>3279</v>
      </c>
      <c r="B2642" s="3" t="s">
        <v>3191</v>
      </c>
      <c r="C2642" s="3" t="s">
        <v>3280</v>
      </c>
      <c r="D2642" s="112" t="s">
        <v>3281</v>
      </c>
      <c r="E2642" s="109"/>
      <c r="F2642" s="3" t="s">
        <v>115</v>
      </c>
      <c r="G2642" s="25">
        <v>250</v>
      </c>
      <c r="H2642" s="62"/>
      <c r="I2642" s="25">
        <f>ROUND(G2642*AM2642,2)</f>
        <v>0</v>
      </c>
      <c r="J2642" s="25">
        <f>ROUND(G2642*AN2642,2)</f>
        <v>0</v>
      </c>
      <c r="K2642" s="25">
        <f>ROUND(G2642*H2642,2)</f>
        <v>0</v>
      </c>
      <c r="L2642" s="25">
        <v>0</v>
      </c>
      <c r="M2642" s="25">
        <f>G2642*L2642</f>
        <v>0</v>
      </c>
      <c r="N2642" s="102"/>
      <c r="X2642" s="25">
        <f>ROUND(IF(AO2642="5",BH2642,0),2)</f>
        <v>0</v>
      </c>
      <c r="Z2642" s="25">
        <f>ROUND(IF(AO2642="1",BF2642,0),2)</f>
        <v>0</v>
      </c>
      <c r="AA2642" s="25">
        <f>ROUND(IF(AO2642="1",BG2642,0),2)</f>
        <v>0</v>
      </c>
      <c r="AB2642" s="25">
        <f>ROUND(IF(AO2642="7",BF2642,0),2)</f>
        <v>0</v>
      </c>
      <c r="AC2642" s="25">
        <f>ROUND(IF(AO2642="7",BG2642,0),2)</f>
        <v>0</v>
      </c>
      <c r="AD2642" s="25">
        <f>ROUND(IF(AO2642="2",BF2642,0),2)</f>
        <v>0</v>
      </c>
      <c r="AE2642" s="25">
        <f>ROUND(IF(AO2642="2",BG2642,0),2)</f>
        <v>0</v>
      </c>
      <c r="AF2642" s="25">
        <f>ROUND(IF(AO2642="0",BH2642,0),2)</f>
        <v>0</v>
      </c>
      <c r="AG2642" s="10" t="s">
        <v>3191</v>
      </c>
      <c r="AH2642" s="25">
        <f>IF(AL2642=0,K2642,0)</f>
        <v>0</v>
      </c>
      <c r="AI2642" s="25">
        <f>IF(AL2642=12,K2642,0)</f>
        <v>0</v>
      </c>
      <c r="AJ2642" s="25">
        <f>IF(AL2642=21,K2642,0)</f>
        <v>0</v>
      </c>
      <c r="AL2642" s="25">
        <v>21</v>
      </c>
      <c r="AM2642" s="25">
        <f>H2642*0.584415584</f>
        <v>0</v>
      </c>
      <c r="AN2642" s="25">
        <f>H2642*(1-0.584415584)</f>
        <v>0</v>
      </c>
      <c r="AO2642" s="27" t="s">
        <v>81</v>
      </c>
      <c r="AT2642" s="25">
        <f>ROUND(AU2642+AV2642,2)</f>
        <v>0</v>
      </c>
      <c r="AU2642" s="25">
        <f>ROUND(G2642*AM2642,2)</f>
        <v>0</v>
      </c>
      <c r="AV2642" s="25">
        <f>ROUND(G2642*AN2642,2)</f>
        <v>0</v>
      </c>
      <c r="AW2642" s="27" t="s">
        <v>3256</v>
      </c>
      <c r="AX2642" s="27" t="s">
        <v>3196</v>
      </c>
      <c r="AY2642" s="10" t="s">
        <v>3197</v>
      </c>
      <c r="BA2642" s="25">
        <f>AU2642+AV2642</f>
        <v>0</v>
      </c>
      <c r="BB2642" s="25">
        <f>H2642/(100-BC2642)*100</f>
        <v>0</v>
      </c>
      <c r="BC2642" s="25">
        <v>0</v>
      </c>
      <c r="BD2642" s="25">
        <f>M2642</f>
        <v>0</v>
      </c>
      <c r="BF2642" s="25">
        <f>G2642*AM2642</f>
        <v>0</v>
      </c>
      <c r="BG2642" s="25">
        <f>G2642*AN2642</f>
        <v>0</v>
      </c>
      <c r="BH2642" s="25">
        <f>G2642*H2642</f>
        <v>0</v>
      </c>
      <c r="BI2642" s="27" t="s">
        <v>65</v>
      </c>
      <c r="BJ2642" s="25"/>
      <c r="BU2642" s="25" t="e">
        <f>#REF!</f>
        <v>#REF!</v>
      </c>
      <c r="BV2642" s="4" t="s">
        <v>3281</v>
      </c>
    </row>
    <row r="2643" spans="1:74" ht="14.4" x14ac:dyDescent="0.3">
      <c r="A2643" s="28"/>
      <c r="D2643" s="29" t="s">
        <v>1336</v>
      </c>
      <c r="E2643" s="29" t="s">
        <v>52</v>
      </c>
      <c r="G2643" s="30">
        <v>250</v>
      </c>
      <c r="H2643" s="63"/>
      <c r="N2643" s="31"/>
    </row>
    <row r="2644" spans="1:74" ht="14.4" x14ac:dyDescent="0.3">
      <c r="A2644" s="2" t="s">
        <v>3282</v>
      </c>
      <c r="B2644" s="3" t="s">
        <v>3191</v>
      </c>
      <c r="C2644" s="3" t="s">
        <v>3283</v>
      </c>
      <c r="D2644" s="112" t="s">
        <v>3241</v>
      </c>
      <c r="E2644" s="109"/>
      <c r="F2644" s="3" t="s">
        <v>100</v>
      </c>
      <c r="G2644" s="25">
        <v>16</v>
      </c>
      <c r="H2644" s="62"/>
      <c r="I2644" s="25">
        <f>ROUND(G2644*AM2644,2)</f>
        <v>0</v>
      </c>
      <c r="J2644" s="25">
        <f>ROUND(G2644*AN2644,2)</f>
        <v>0</v>
      </c>
      <c r="K2644" s="25">
        <f>ROUND(G2644*H2644,2)</f>
        <v>0</v>
      </c>
      <c r="L2644" s="25">
        <v>0</v>
      </c>
      <c r="M2644" s="25">
        <f>G2644*L2644</f>
        <v>0</v>
      </c>
      <c r="N2644" s="102"/>
      <c r="X2644" s="25">
        <f>ROUND(IF(AO2644="5",BH2644,0),2)</f>
        <v>0</v>
      </c>
      <c r="Z2644" s="25">
        <f>ROUND(IF(AO2644="1",BF2644,0),2)</f>
        <v>0</v>
      </c>
      <c r="AA2644" s="25">
        <f>ROUND(IF(AO2644="1",BG2644,0),2)</f>
        <v>0</v>
      </c>
      <c r="AB2644" s="25">
        <f>ROUND(IF(AO2644="7",BF2644,0),2)</f>
        <v>0</v>
      </c>
      <c r="AC2644" s="25">
        <f>ROUND(IF(AO2644="7",BG2644,0),2)</f>
        <v>0</v>
      </c>
      <c r="AD2644" s="25">
        <f>ROUND(IF(AO2644="2",BF2644,0),2)</f>
        <v>0</v>
      </c>
      <c r="AE2644" s="25">
        <f>ROUND(IF(AO2644="2",BG2644,0),2)</f>
        <v>0</v>
      </c>
      <c r="AF2644" s="25">
        <f>ROUND(IF(AO2644="0",BH2644,0),2)</f>
        <v>0</v>
      </c>
      <c r="AG2644" s="10" t="s">
        <v>3191</v>
      </c>
      <c r="AH2644" s="25">
        <f>IF(AL2644=0,K2644,0)</f>
        <v>0</v>
      </c>
      <c r="AI2644" s="25">
        <f>IF(AL2644=12,K2644,0)</f>
        <v>0</v>
      </c>
      <c r="AJ2644" s="25">
        <f>IF(AL2644=21,K2644,0)</f>
        <v>0</v>
      </c>
      <c r="AL2644" s="25">
        <v>21</v>
      </c>
      <c r="AM2644" s="25">
        <f>H2644*0</f>
        <v>0</v>
      </c>
      <c r="AN2644" s="25">
        <f>H2644*(1-0)</f>
        <v>0</v>
      </c>
      <c r="AO2644" s="27" t="s">
        <v>81</v>
      </c>
      <c r="AT2644" s="25">
        <f>ROUND(AU2644+AV2644,2)</f>
        <v>0</v>
      </c>
      <c r="AU2644" s="25">
        <f>ROUND(G2644*AM2644,2)</f>
        <v>0</v>
      </c>
      <c r="AV2644" s="25">
        <f>ROUND(G2644*AN2644,2)</f>
        <v>0</v>
      </c>
      <c r="AW2644" s="27" t="s">
        <v>3256</v>
      </c>
      <c r="AX2644" s="27" t="s">
        <v>3196</v>
      </c>
      <c r="AY2644" s="10" t="s">
        <v>3197</v>
      </c>
      <c r="BA2644" s="25">
        <f>AU2644+AV2644</f>
        <v>0</v>
      </c>
      <c r="BB2644" s="25">
        <f>H2644/(100-BC2644)*100</f>
        <v>0</v>
      </c>
      <c r="BC2644" s="25">
        <v>0</v>
      </c>
      <c r="BD2644" s="25">
        <f>M2644</f>
        <v>0</v>
      </c>
      <c r="BF2644" s="25">
        <f>G2644*AM2644</f>
        <v>0</v>
      </c>
      <c r="BG2644" s="25">
        <f>G2644*AN2644</f>
        <v>0</v>
      </c>
      <c r="BH2644" s="25">
        <f>G2644*H2644</f>
        <v>0</v>
      </c>
      <c r="BI2644" s="27" t="s">
        <v>65</v>
      </c>
      <c r="BJ2644" s="25"/>
      <c r="BU2644" s="25" t="e">
        <f>#REF!</f>
        <v>#REF!</v>
      </c>
      <c r="BV2644" s="4" t="s">
        <v>3241</v>
      </c>
    </row>
    <row r="2645" spans="1:74" ht="14.4" x14ac:dyDescent="0.3">
      <c r="A2645" s="2" t="s">
        <v>3284</v>
      </c>
      <c r="B2645" s="3" t="s">
        <v>3191</v>
      </c>
      <c r="C2645" s="3" t="s">
        <v>3285</v>
      </c>
      <c r="D2645" s="112" t="s">
        <v>3286</v>
      </c>
      <c r="E2645" s="109"/>
      <c r="F2645" s="3" t="s">
        <v>2183</v>
      </c>
      <c r="G2645" s="25">
        <v>1</v>
      </c>
      <c r="H2645" s="62"/>
      <c r="I2645" s="25">
        <f>ROUND(G2645*AM2645,2)</f>
        <v>0</v>
      </c>
      <c r="J2645" s="25">
        <f>ROUND(G2645*AN2645,2)</f>
        <v>0</v>
      </c>
      <c r="K2645" s="25">
        <f>ROUND(G2645*H2645,2)</f>
        <v>0</v>
      </c>
      <c r="L2645" s="25">
        <v>0</v>
      </c>
      <c r="M2645" s="25">
        <f>G2645*L2645</f>
        <v>0</v>
      </c>
      <c r="N2645" s="102"/>
      <c r="X2645" s="25">
        <f>ROUND(IF(AO2645="5",BH2645,0),2)</f>
        <v>0</v>
      </c>
      <c r="Z2645" s="25">
        <f>ROUND(IF(AO2645="1",BF2645,0),2)</f>
        <v>0</v>
      </c>
      <c r="AA2645" s="25">
        <f>ROUND(IF(AO2645="1",BG2645,0),2)</f>
        <v>0</v>
      </c>
      <c r="AB2645" s="25">
        <f>ROUND(IF(AO2645="7",BF2645,0),2)</f>
        <v>0</v>
      </c>
      <c r="AC2645" s="25">
        <f>ROUND(IF(AO2645="7",BG2645,0),2)</f>
        <v>0</v>
      </c>
      <c r="AD2645" s="25">
        <f>ROUND(IF(AO2645="2",BF2645,0),2)</f>
        <v>0</v>
      </c>
      <c r="AE2645" s="25">
        <f>ROUND(IF(AO2645="2",BG2645,0),2)</f>
        <v>0</v>
      </c>
      <c r="AF2645" s="25">
        <f>ROUND(IF(AO2645="0",BH2645,0),2)</f>
        <v>0</v>
      </c>
      <c r="AG2645" s="10" t="s">
        <v>3191</v>
      </c>
      <c r="AH2645" s="25">
        <f>IF(AL2645=0,K2645,0)</f>
        <v>0</v>
      </c>
      <c r="AI2645" s="25">
        <f>IF(AL2645=12,K2645,0)</f>
        <v>0</v>
      </c>
      <c r="AJ2645" s="25">
        <f>IF(AL2645=21,K2645,0)</f>
        <v>0</v>
      </c>
      <c r="AL2645" s="25">
        <v>21</v>
      </c>
      <c r="AM2645" s="25">
        <f>H2645*0</f>
        <v>0</v>
      </c>
      <c r="AN2645" s="25">
        <f>H2645*(1-0)</f>
        <v>0</v>
      </c>
      <c r="AO2645" s="27" t="s">
        <v>81</v>
      </c>
      <c r="AT2645" s="25">
        <f>ROUND(AU2645+AV2645,2)</f>
        <v>0</v>
      </c>
      <c r="AU2645" s="25">
        <f>ROUND(G2645*AM2645,2)</f>
        <v>0</v>
      </c>
      <c r="AV2645" s="25">
        <f>ROUND(G2645*AN2645,2)</f>
        <v>0</v>
      </c>
      <c r="AW2645" s="27" t="s">
        <v>3256</v>
      </c>
      <c r="AX2645" s="27" t="s">
        <v>3196</v>
      </c>
      <c r="AY2645" s="10" t="s">
        <v>3197</v>
      </c>
      <c r="BA2645" s="25">
        <f>AU2645+AV2645</f>
        <v>0</v>
      </c>
      <c r="BB2645" s="25">
        <f>H2645/(100-BC2645)*100</f>
        <v>0</v>
      </c>
      <c r="BC2645" s="25">
        <v>0</v>
      </c>
      <c r="BD2645" s="25">
        <f>M2645</f>
        <v>0</v>
      </c>
      <c r="BF2645" s="25">
        <f>G2645*AM2645</f>
        <v>0</v>
      </c>
      <c r="BG2645" s="25">
        <f>G2645*AN2645</f>
        <v>0</v>
      </c>
      <c r="BH2645" s="25">
        <f>G2645*H2645</f>
        <v>0</v>
      </c>
      <c r="BI2645" s="27" t="s">
        <v>65</v>
      </c>
      <c r="BJ2645" s="25"/>
      <c r="BU2645" s="25" t="e">
        <f>#REF!</f>
        <v>#REF!</v>
      </c>
      <c r="BV2645" s="4" t="s">
        <v>3286</v>
      </c>
    </row>
    <row r="2646" spans="1:74" ht="14.4" x14ac:dyDescent="0.3">
      <c r="A2646" s="2" t="s">
        <v>3287</v>
      </c>
      <c r="B2646" s="3" t="s">
        <v>3191</v>
      </c>
      <c r="C2646" s="3" t="s">
        <v>3288</v>
      </c>
      <c r="D2646" s="112" t="s">
        <v>3250</v>
      </c>
      <c r="E2646" s="109"/>
      <c r="F2646" s="3" t="s">
        <v>100</v>
      </c>
      <c r="G2646" s="25">
        <v>8</v>
      </c>
      <c r="H2646" s="62"/>
      <c r="I2646" s="25">
        <f>ROUND(G2646*AM2646,2)</f>
        <v>0</v>
      </c>
      <c r="J2646" s="25">
        <f>ROUND(G2646*AN2646,2)</f>
        <v>0</v>
      </c>
      <c r="K2646" s="25">
        <f>ROUND(G2646*H2646,2)</f>
        <v>0</v>
      </c>
      <c r="L2646" s="25">
        <v>0</v>
      </c>
      <c r="M2646" s="25">
        <f>G2646*L2646</f>
        <v>0</v>
      </c>
      <c r="N2646" s="102"/>
      <c r="X2646" s="25">
        <f>ROUND(IF(AO2646="5",BH2646,0),2)</f>
        <v>0</v>
      </c>
      <c r="Z2646" s="25">
        <f>ROUND(IF(AO2646="1",BF2646,0),2)</f>
        <v>0</v>
      </c>
      <c r="AA2646" s="25">
        <f>ROUND(IF(AO2646="1",BG2646,0),2)</f>
        <v>0</v>
      </c>
      <c r="AB2646" s="25">
        <f>ROUND(IF(AO2646="7",BF2646,0),2)</f>
        <v>0</v>
      </c>
      <c r="AC2646" s="25">
        <f>ROUND(IF(AO2646="7",BG2646,0),2)</f>
        <v>0</v>
      </c>
      <c r="AD2646" s="25">
        <f>ROUND(IF(AO2646="2",BF2646,0),2)</f>
        <v>0</v>
      </c>
      <c r="AE2646" s="25">
        <f>ROUND(IF(AO2646="2",BG2646,0),2)</f>
        <v>0</v>
      </c>
      <c r="AF2646" s="25">
        <f>ROUND(IF(AO2646="0",BH2646,0),2)</f>
        <v>0</v>
      </c>
      <c r="AG2646" s="10" t="s">
        <v>3191</v>
      </c>
      <c r="AH2646" s="25">
        <f>IF(AL2646=0,K2646,0)</f>
        <v>0</v>
      </c>
      <c r="AI2646" s="25">
        <f>IF(AL2646=12,K2646,0)</f>
        <v>0</v>
      </c>
      <c r="AJ2646" s="25">
        <f>IF(AL2646=21,K2646,0)</f>
        <v>0</v>
      </c>
      <c r="AL2646" s="25">
        <v>21</v>
      </c>
      <c r="AM2646" s="25">
        <f>H2646*0</f>
        <v>0</v>
      </c>
      <c r="AN2646" s="25">
        <f>H2646*(1-0)</f>
        <v>0</v>
      </c>
      <c r="AO2646" s="27" t="s">
        <v>81</v>
      </c>
      <c r="AT2646" s="25">
        <f>ROUND(AU2646+AV2646,2)</f>
        <v>0</v>
      </c>
      <c r="AU2646" s="25">
        <f>ROUND(G2646*AM2646,2)</f>
        <v>0</v>
      </c>
      <c r="AV2646" s="25">
        <f>ROUND(G2646*AN2646,2)</f>
        <v>0</v>
      </c>
      <c r="AW2646" s="27" t="s">
        <v>3256</v>
      </c>
      <c r="AX2646" s="27" t="s">
        <v>3196</v>
      </c>
      <c r="AY2646" s="10" t="s">
        <v>3197</v>
      </c>
      <c r="BA2646" s="25">
        <f>AU2646+AV2646</f>
        <v>0</v>
      </c>
      <c r="BB2646" s="25">
        <f>H2646/(100-BC2646)*100</f>
        <v>0</v>
      </c>
      <c r="BC2646" s="25">
        <v>0</v>
      </c>
      <c r="BD2646" s="25">
        <f>M2646</f>
        <v>0</v>
      </c>
      <c r="BF2646" s="25">
        <f>G2646*AM2646</f>
        <v>0</v>
      </c>
      <c r="BG2646" s="25">
        <f>G2646*AN2646</f>
        <v>0</v>
      </c>
      <c r="BH2646" s="25">
        <f>G2646*H2646</f>
        <v>0</v>
      </c>
      <c r="BI2646" s="27" t="s">
        <v>65</v>
      </c>
      <c r="BJ2646" s="25"/>
      <c r="BU2646" s="25" t="e">
        <f>#REF!</f>
        <v>#REF!</v>
      </c>
      <c r="BV2646" s="4" t="s">
        <v>3250</v>
      </c>
    </row>
    <row r="2647" spans="1:74" ht="14.4" x14ac:dyDescent="0.3">
      <c r="A2647" s="28"/>
      <c r="D2647" s="29" t="s">
        <v>119</v>
      </c>
      <c r="E2647" s="29" t="s">
        <v>52</v>
      </c>
      <c r="G2647" s="30">
        <v>8</v>
      </c>
      <c r="H2647" s="63"/>
      <c r="N2647" s="31"/>
    </row>
    <row r="2648" spans="1:74" ht="14.4" x14ac:dyDescent="0.3">
      <c r="A2648" s="2" t="s">
        <v>3289</v>
      </c>
      <c r="B2648" s="3" t="s">
        <v>3191</v>
      </c>
      <c r="C2648" s="3" t="s">
        <v>1081</v>
      </c>
      <c r="D2648" s="112" t="s">
        <v>1082</v>
      </c>
      <c r="E2648" s="109"/>
      <c r="F2648" s="3" t="s">
        <v>278</v>
      </c>
      <c r="G2648" s="25">
        <v>1.179</v>
      </c>
      <c r="H2648" s="62"/>
      <c r="I2648" s="25">
        <f>ROUND(G2648*AM2648,2)</f>
        <v>0</v>
      </c>
      <c r="J2648" s="25">
        <f>ROUND(G2648*AN2648,2)</f>
        <v>0</v>
      </c>
      <c r="K2648" s="25">
        <f>ROUND(G2648*H2648,2)</f>
        <v>0</v>
      </c>
      <c r="L2648" s="25">
        <v>0</v>
      </c>
      <c r="M2648" s="25">
        <f>G2648*L2648</f>
        <v>0</v>
      </c>
      <c r="N2648" s="26"/>
      <c r="X2648" s="25">
        <f>ROUND(IF(AO2648="5",BH2648,0),2)</f>
        <v>0</v>
      </c>
      <c r="Z2648" s="25">
        <f>ROUND(IF(AO2648="1",BF2648,0),2)</f>
        <v>0</v>
      </c>
      <c r="AA2648" s="25">
        <f>ROUND(IF(AO2648="1",BG2648,0),2)</f>
        <v>0</v>
      </c>
      <c r="AB2648" s="25">
        <f>ROUND(IF(AO2648="7",BF2648,0),2)</f>
        <v>0</v>
      </c>
      <c r="AC2648" s="25">
        <f>ROUND(IF(AO2648="7",BG2648,0),2)</f>
        <v>0</v>
      </c>
      <c r="AD2648" s="25">
        <f>ROUND(IF(AO2648="2",BF2648,0),2)</f>
        <v>0</v>
      </c>
      <c r="AE2648" s="25">
        <f>ROUND(IF(AO2648="2",BG2648,0),2)</f>
        <v>0</v>
      </c>
      <c r="AF2648" s="25">
        <f>ROUND(IF(AO2648="0",BH2648,0),2)</f>
        <v>0</v>
      </c>
      <c r="AG2648" s="10" t="s">
        <v>3191</v>
      </c>
      <c r="AH2648" s="25">
        <f>IF(AL2648=0,K2648,0)</f>
        <v>0</v>
      </c>
      <c r="AI2648" s="25">
        <f>IF(AL2648=12,K2648,0)</f>
        <v>0</v>
      </c>
      <c r="AJ2648" s="25">
        <f>IF(AL2648=21,K2648,0)</f>
        <v>0</v>
      </c>
      <c r="AL2648" s="25">
        <v>21</v>
      </c>
      <c r="AM2648" s="25">
        <f>H2648*0</f>
        <v>0</v>
      </c>
      <c r="AN2648" s="25">
        <f>H2648*(1-0)</f>
        <v>0</v>
      </c>
      <c r="AO2648" s="27" t="s">
        <v>97</v>
      </c>
      <c r="AT2648" s="25">
        <f>ROUND(AU2648+AV2648,2)</f>
        <v>0</v>
      </c>
      <c r="AU2648" s="25">
        <f>ROUND(G2648*AM2648,2)</f>
        <v>0</v>
      </c>
      <c r="AV2648" s="25">
        <f>ROUND(G2648*AN2648,2)</f>
        <v>0</v>
      </c>
      <c r="AW2648" s="27" t="s">
        <v>3256</v>
      </c>
      <c r="AX2648" s="27" t="s">
        <v>3196</v>
      </c>
      <c r="AY2648" s="10" t="s">
        <v>3197</v>
      </c>
      <c r="BA2648" s="25">
        <f>AU2648+AV2648</f>
        <v>0</v>
      </c>
      <c r="BB2648" s="25">
        <f>H2648/(100-BC2648)*100</f>
        <v>0</v>
      </c>
      <c r="BC2648" s="25">
        <v>0</v>
      </c>
      <c r="BD2648" s="25">
        <f>M2648</f>
        <v>0</v>
      </c>
      <c r="BF2648" s="25">
        <f>G2648*AM2648</f>
        <v>0</v>
      </c>
      <c r="BG2648" s="25">
        <f>G2648*AN2648</f>
        <v>0</v>
      </c>
      <c r="BH2648" s="25">
        <f>G2648*H2648</f>
        <v>0</v>
      </c>
      <c r="BI2648" s="27" t="s">
        <v>65</v>
      </c>
      <c r="BJ2648" s="25"/>
      <c r="BU2648" s="25" t="e">
        <f>#REF!</f>
        <v>#REF!</v>
      </c>
      <c r="BV2648" s="4" t="s">
        <v>1082</v>
      </c>
    </row>
    <row r="2649" spans="1:74" ht="14.4" x14ac:dyDescent="0.3">
      <c r="A2649" s="28"/>
      <c r="D2649" s="29" t="s">
        <v>3290</v>
      </c>
      <c r="E2649" s="29" t="s">
        <v>52</v>
      </c>
      <c r="G2649" s="30">
        <v>1.179</v>
      </c>
      <c r="H2649" s="63"/>
      <c r="N2649" s="31"/>
    </row>
    <row r="2650" spans="1:74" ht="14.4" x14ac:dyDescent="0.3">
      <c r="A2650" s="2" t="s">
        <v>3291</v>
      </c>
      <c r="B2650" s="3" t="s">
        <v>3191</v>
      </c>
      <c r="C2650" s="3" t="s">
        <v>3292</v>
      </c>
      <c r="D2650" s="112" t="s">
        <v>3293</v>
      </c>
      <c r="E2650" s="109"/>
      <c r="F2650" s="3" t="s">
        <v>122</v>
      </c>
      <c r="G2650" s="25">
        <v>7</v>
      </c>
      <c r="H2650" s="62"/>
      <c r="I2650" s="25">
        <f>ROUND(G2650*AM2650,2)</f>
        <v>0</v>
      </c>
      <c r="J2650" s="25">
        <f>ROUND(G2650*AN2650,2)</f>
        <v>0</v>
      </c>
      <c r="K2650" s="25">
        <f>ROUND(G2650*H2650,2)</f>
        <v>0</v>
      </c>
      <c r="L2650" s="25">
        <v>2.0000000000000001E-4</v>
      </c>
      <c r="M2650" s="25">
        <f>G2650*L2650</f>
        <v>1.4E-3</v>
      </c>
      <c r="N2650" s="26"/>
      <c r="X2650" s="25">
        <f>ROUND(IF(AO2650="5",BH2650,0),2)</f>
        <v>0</v>
      </c>
      <c r="Z2650" s="25">
        <f>ROUND(IF(AO2650="1",BF2650,0),2)</f>
        <v>0</v>
      </c>
      <c r="AA2650" s="25">
        <f>ROUND(IF(AO2650="1",BG2650,0),2)</f>
        <v>0</v>
      </c>
      <c r="AB2650" s="25">
        <f>ROUND(IF(AO2650="7",BF2650,0),2)</f>
        <v>0</v>
      </c>
      <c r="AC2650" s="25">
        <f>ROUND(IF(AO2650="7",BG2650,0),2)</f>
        <v>0</v>
      </c>
      <c r="AD2650" s="25">
        <f>ROUND(IF(AO2650="2",BF2650,0),2)</f>
        <v>0</v>
      </c>
      <c r="AE2650" s="25">
        <f>ROUND(IF(AO2650="2",BG2650,0),2)</f>
        <v>0</v>
      </c>
      <c r="AF2650" s="25">
        <f>ROUND(IF(AO2650="0",BH2650,0),2)</f>
        <v>0</v>
      </c>
      <c r="AG2650" s="10" t="s">
        <v>3191</v>
      </c>
      <c r="AH2650" s="25">
        <f>IF(AL2650=0,K2650,0)</f>
        <v>0</v>
      </c>
      <c r="AI2650" s="25">
        <f>IF(AL2650=12,K2650,0)</f>
        <v>0</v>
      </c>
      <c r="AJ2650" s="25">
        <f>IF(AL2650=21,K2650,0)</f>
        <v>0</v>
      </c>
      <c r="AL2650" s="25">
        <v>21</v>
      </c>
      <c r="AM2650" s="25">
        <f>H2650*1</f>
        <v>0</v>
      </c>
      <c r="AN2650" s="25">
        <f>H2650*(1-1)</f>
        <v>0</v>
      </c>
      <c r="AO2650" s="27" t="s">
        <v>57</v>
      </c>
      <c r="AT2650" s="25">
        <f>ROUND(AU2650+AV2650,2)</f>
        <v>0</v>
      </c>
      <c r="AU2650" s="25">
        <f>ROUND(G2650*AM2650,2)</f>
        <v>0</v>
      </c>
      <c r="AV2650" s="25">
        <f>ROUND(G2650*AN2650,2)</f>
        <v>0</v>
      </c>
      <c r="AW2650" s="27" t="s">
        <v>3256</v>
      </c>
      <c r="AX2650" s="27" t="s">
        <v>3196</v>
      </c>
      <c r="AY2650" s="10" t="s">
        <v>3197</v>
      </c>
      <c r="BA2650" s="25">
        <f>AU2650+AV2650</f>
        <v>0</v>
      </c>
      <c r="BB2650" s="25">
        <f>H2650/(100-BC2650)*100</f>
        <v>0</v>
      </c>
      <c r="BC2650" s="25">
        <v>0</v>
      </c>
      <c r="BD2650" s="25">
        <f>M2650</f>
        <v>1.4E-3</v>
      </c>
      <c r="BF2650" s="25">
        <f>G2650*AM2650</f>
        <v>0</v>
      </c>
      <c r="BG2650" s="25">
        <f>G2650*AN2650</f>
        <v>0</v>
      </c>
      <c r="BH2650" s="25">
        <f>G2650*H2650</f>
        <v>0</v>
      </c>
      <c r="BI2650" s="27" t="s">
        <v>576</v>
      </c>
      <c r="BJ2650" s="25"/>
      <c r="BU2650" s="25" t="e">
        <f>#REF!</f>
        <v>#REF!</v>
      </c>
      <c r="BV2650" s="4" t="s">
        <v>3293</v>
      </c>
    </row>
    <row r="2651" spans="1:74" ht="14.4" x14ac:dyDescent="0.3">
      <c r="A2651" s="28"/>
      <c r="D2651" s="29" t="s">
        <v>61</v>
      </c>
      <c r="E2651" s="29" t="s">
        <v>52</v>
      </c>
      <c r="G2651" s="30">
        <v>7</v>
      </c>
      <c r="H2651" s="63"/>
      <c r="N2651" s="31"/>
    </row>
    <row r="2652" spans="1:74" ht="14.4" x14ac:dyDescent="0.3">
      <c r="A2652" s="2" t="s">
        <v>3294</v>
      </c>
      <c r="B2652" s="3" t="s">
        <v>3191</v>
      </c>
      <c r="C2652" s="3" t="s">
        <v>3295</v>
      </c>
      <c r="D2652" s="112" t="s">
        <v>3296</v>
      </c>
      <c r="E2652" s="109"/>
      <c r="F2652" s="3" t="s">
        <v>122</v>
      </c>
      <c r="G2652" s="25">
        <v>1</v>
      </c>
      <c r="H2652" s="62"/>
      <c r="I2652" s="25">
        <f>ROUND(G2652*AM2652,2)</f>
        <v>0</v>
      </c>
      <c r="J2652" s="25">
        <f>ROUND(G2652*AN2652,2)</f>
        <v>0</v>
      </c>
      <c r="K2652" s="25">
        <f>ROUND(G2652*H2652,2)</f>
        <v>0</v>
      </c>
      <c r="L2652" s="25">
        <v>2.0000000000000001E-4</v>
      </c>
      <c r="M2652" s="25">
        <f>G2652*L2652</f>
        <v>2.0000000000000001E-4</v>
      </c>
      <c r="N2652" s="102"/>
      <c r="X2652" s="25">
        <f>ROUND(IF(AO2652="5",BH2652,0),2)</f>
        <v>0</v>
      </c>
      <c r="Z2652" s="25">
        <f>ROUND(IF(AO2652="1",BF2652,0),2)</f>
        <v>0</v>
      </c>
      <c r="AA2652" s="25">
        <f>ROUND(IF(AO2652="1",BG2652,0),2)</f>
        <v>0</v>
      </c>
      <c r="AB2652" s="25">
        <f>ROUND(IF(AO2652="7",BF2652,0),2)</f>
        <v>0</v>
      </c>
      <c r="AC2652" s="25">
        <f>ROUND(IF(AO2652="7",BG2652,0),2)</f>
        <v>0</v>
      </c>
      <c r="AD2652" s="25">
        <f>ROUND(IF(AO2652="2",BF2652,0),2)</f>
        <v>0</v>
      </c>
      <c r="AE2652" s="25">
        <f>ROUND(IF(AO2652="2",BG2652,0),2)</f>
        <v>0</v>
      </c>
      <c r="AF2652" s="25">
        <f>ROUND(IF(AO2652="0",BH2652,0),2)</f>
        <v>0</v>
      </c>
      <c r="AG2652" s="10" t="s">
        <v>3191</v>
      </c>
      <c r="AH2652" s="25">
        <f>IF(AL2652=0,K2652,0)</f>
        <v>0</v>
      </c>
      <c r="AI2652" s="25">
        <f>IF(AL2652=12,K2652,0)</f>
        <v>0</v>
      </c>
      <c r="AJ2652" s="25">
        <f>IF(AL2652=21,K2652,0)</f>
        <v>0</v>
      </c>
      <c r="AL2652" s="25">
        <v>21</v>
      </c>
      <c r="AM2652" s="25">
        <f>H2652*1</f>
        <v>0</v>
      </c>
      <c r="AN2652" s="25">
        <f>H2652*(1-1)</f>
        <v>0</v>
      </c>
      <c r="AO2652" s="27" t="s">
        <v>57</v>
      </c>
      <c r="AT2652" s="25">
        <f>ROUND(AU2652+AV2652,2)</f>
        <v>0</v>
      </c>
      <c r="AU2652" s="25">
        <f>ROUND(G2652*AM2652,2)</f>
        <v>0</v>
      </c>
      <c r="AV2652" s="25">
        <f>ROUND(G2652*AN2652,2)</f>
        <v>0</v>
      </c>
      <c r="AW2652" s="27" t="s">
        <v>3256</v>
      </c>
      <c r="AX2652" s="27" t="s">
        <v>3196</v>
      </c>
      <c r="AY2652" s="10" t="s">
        <v>3197</v>
      </c>
      <c r="BA2652" s="25">
        <f>AU2652+AV2652</f>
        <v>0</v>
      </c>
      <c r="BB2652" s="25">
        <f>H2652/(100-BC2652)*100</f>
        <v>0</v>
      </c>
      <c r="BC2652" s="25">
        <v>0</v>
      </c>
      <c r="BD2652" s="25">
        <f>M2652</f>
        <v>2.0000000000000001E-4</v>
      </c>
      <c r="BF2652" s="25">
        <f>G2652*AM2652</f>
        <v>0</v>
      </c>
      <c r="BG2652" s="25">
        <f>G2652*AN2652</f>
        <v>0</v>
      </c>
      <c r="BH2652" s="25">
        <f>G2652*H2652</f>
        <v>0</v>
      </c>
      <c r="BI2652" s="27" t="s">
        <v>576</v>
      </c>
      <c r="BJ2652" s="25"/>
      <c r="BU2652" s="25" t="e">
        <f>#REF!</f>
        <v>#REF!</v>
      </c>
      <c r="BV2652" s="4" t="s">
        <v>3296</v>
      </c>
    </row>
    <row r="2653" spans="1:74" ht="14.4" x14ac:dyDescent="0.3">
      <c r="A2653" s="28"/>
      <c r="D2653" s="29" t="s">
        <v>57</v>
      </c>
      <c r="E2653" s="29" t="s">
        <v>52</v>
      </c>
      <c r="G2653" s="30">
        <v>1</v>
      </c>
      <c r="H2653" s="63"/>
      <c r="N2653" s="31"/>
    </row>
    <row r="2654" spans="1:74" ht="14.4" x14ac:dyDescent="0.3">
      <c r="A2654" s="2" t="s">
        <v>3297</v>
      </c>
      <c r="B2654" s="3" t="s">
        <v>3191</v>
      </c>
      <c r="C2654" s="3" t="s">
        <v>3298</v>
      </c>
      <c r="D2654" s="112" t="s">
        <v>3299</v>
      </c>
      <c r="E2654" s="109"/>
      <c r="F2654" s="3" t="s">
        <v>122</v>
      </c>
      <c r="G2654" s="25">
        <v>20</v>
      </c>
      <c r="H2654" s="62"/>
      <c r="I2654" s="25">
        <f>ROUND(G2654*AM2654,2)</f>
        <v>0</v>
      </c>
      <c r="J2654" s="25">
        <f>ROUND(G2654*AN2654,2)</f>
        <v>0</v>
      </c>
      <c r="K2654" s="25">
        <f>ROUND(G2654*H2654,2)</f>
        <v>0</v>
      </c>
      <c r="L2654" s="25">
        <v>2.0000000000000001E-4</v>
      </c>
      <c r="M2654" s="25">
        <f>G2654*L2654</f>
        <v>4.0000000000000001E-3</v>
      </c>
      <c r="N2654" s="102"/>
      <c r="X2654" s="25">
        <f>ROUND(IF(AO2654="5",BH2654,0),2)</f>
        <v>0</v>
      </c>
      <c r="Z2654" s="25">
        <f>ROUND(IF(AO2654="1",BF2654,0),2)</f>
        <v>0</v>
      </c>
      <c r="AA2654" s="25">
        <f>ROUND(IF(AO2654="1",BG2654,0),2)</f>
        <v>0</v>
      </c>
      <c r="AB2654" s="25">
        <f>ROUND(IF(AO2654="7",BF2654,0),2)</f>
        <v>0</v>
      </c>
      <c r="AC2654" s="25">
        <f>ROUND(IF(AO2654="7",BG2654,0),2)</f>
        <v>0</v>
      </c>
      <c r="AD2654" s="25">
        <f>ROUND(IF(AO2654="2",BF2654,0),2)</f>
        <v>0</v>
      </c>
      <c r="AE2654" s="25">
        <f>ROUND(IF(AO2654="2",BG2654,0),2)</f>
        <v>0</v>
      </c>
      <c r="AF2654" s="25">
        <f>ROUND(IF(AO2654="0",BH2654,0),2)</f>
        <v>0</v>
      </c>
      <c r="AG2654" s="10" t="s">
        <v>3191</v>
      </c>
      <c r="AH2654" s="25">
        <f>IF(AL2654=0,K2654,0)</f>
        <v>0</v>
      </c>
      <c r="AI2654" s="25">
        <f>IF(AL2654=12,K2654,0)</f>
        <v>0</v>
      </c>
      <c r="AJ2654" s="25">
        <f>IF(AL2654=21,K2654,0)</f>
        <v>0</v>
      </c>
      <c r="AL2654" s="25">
        <v>21</v>
      </c>
      <c r="AM2654" s="25">
        <f>H2654*1</f>
        <v>0</v>
      </c>
      <c r="AN2654" s="25">
        <f>H2654*(1-1)</f>
        <v>0</v>
      </c>
      <c r="AO2654" s="27" t="s">
        <v>57</v>
      </c>
      <c r="AT2654" s="25">
        <f>ROUND(AU2654+AV2654,2)</f>
        <v>0</v>
      </c>
      <c r="AU2654" s="25">
        <f>ROUND(G2654*AM2654,2)</f>
        <v>0</v>
      </c>
      <c r="AV2654" s="25">
        <f>ROUND(G2654*AN2654,2)</f>
        <v>0</v>
      </c>
      <c r="AW2654" s="27" t="s">
        <v>3256</v>
      </c>
      <c r="AX2654" s="27" t="s">
        <v>3196</v>
      </c>
      <c r="AY2654" s="10" t="s">
        <v>3197</v>
      </c>
      <c r="BA2654" s="25">
        <f>AU2654+AV2654</f>
        <v>0</v>
      </c>
      <c r="BB2654" s="25">
        <f>H2654/(100-BC2654)*100</f>
        <v>0</v>
      </c>
      <c r="BC2654" s="25">
        <v>0</v>
      </c>
      <c r="BD2654" s="25">
        <f>M2654</f>
        <v>4.0000000000000001E-3</v>
      </c>
      <c r="BF2654" s="25">
        <f>G2654*AM2654</f>
        <v>0</v>
      </c>
      <c r="BG2654" s="25">
        <f>G2654*AN2654</f>
        <v>0</v>
      </c>
      <c r="BH2654" s="25">
        <f>G2654*H2654</f>
        <v>0</v>
      </c>
      <c r="BI2654" s="27" t="s">
        <v>576</v>
      </c>
      <c r="BJ2654" s="25"/>
      <c r="BU2654" s="25" t="e">
        <f>#REF!</f>
        <v>#REF!</v>
      </c>
      <c r="BV2654" s="4" t="s">
        <v>3299</v>
      </c>
    </row>
    <row r="2655" spans="1:74" ht="14.4" x14ac:dyDescent="0.3">
      <c r="A2655" s="21" t="s">
        <v>52</v>
      </c>
      <c r="B2655" s="22" t="s">
        <v>3191</v>
      </c>
      <c r="C2655" s="22" t="s">
        <v>3300</v>
      </c>
      <c r="D2655" s="170" t="s">
        <v>3301</v>
      </c>
      <c r="E2655" s="171"/>
      <c r="F2655" s="23" t="s">
        <v>32</v>
      </c>
      <c r="G2655" s="23" t="s">
        <v>32</v>
      </c>
      <c r="H2655" s="64"/>
      <c r="I2655" s="1">
        <f>SUM(I2656:I2705)</f>
        <v>0</v>
      </c>
      <c r="J2655" s="1">
        <f>SUM(J2656:J2705)</f>
        <v>0</v>
      </c>
      <c r="K2655" s="1">
        <f>SUM(K2656:K2705)</f>
        <v>0</v>
      </c>
      <c r="L2655" s="10" t="s">
        <v>52</v>
      </c>
      <c r="M2655" s="1">
        <f>SUM(M2656:M2705)</f>
        <v>31.087310000000002</v>
      </c>
      <c r="N2655" s="24"/>
      <c r="AG2655" s="10" t="s">
        <v>3191</v>
      </c>
      <c r="AQ2655" s="1">
        <f>SUM(AH2656:AH2705)</f>
        <v>0</v>
      </c>
      <c r="AR2655" s="1">
        <f>SUM(AI2656:AI2705)</f>
        <v>0</v>
      </c>
      <c r="AS2655" s="1">
        <f>SUM(AJ2656:AJ2705)</f>
        <v>0</v>
      </c>
    </row>
    <row r="2656" spans="1:74" ht="14.4" x14ac:dyDescent="0.3">
      <c r="A2656" s="2" t="s">
        <v>3302</v>
      </c>
      <c r="B2656" s="3" t="s">
        <v>3191</v>
      </c>
      <c r="C2656" s="3" t="s">
        <v>3303</v>
      </c>
      <c r="D2656" s="112" t="s">
        <v>3304</v>
      </c>
      <c r="E2656" s="109"/>
      <c r="F2656" s="3" t="s">
        <v>115</v>
      </c>
      <c r="G2656" s="25">
        <v>158</v>
      </c>
      <c r="H2656" s="62"/>
      <c r="I2656" s="25">
        <f>ROUND(G2656*AM2656,2)</f>
        <v>0</v>
      </c>
      <c r="J2656" s="25">
        <f>ROUND(G2656*AN2656,2)</f>
        <v>0</v>
      </c>
      <c r="K2656" s="25">
        <f>ROUND(G2656*H2656,2)</f>
        <v>0</v>
      </c>
      <c r="L2656" s="25">
        <v>1.6199999999999999E-3</v>
      </c>
      <c r="M2656" s="25">
        <f>G2656*L2656</f>
        <v>0.25595999999999997</v>
      </c>
      <c r="N2656" s="26"/>
      <c r="X2656" s="25">
        <f>ROUND(IF(AO2656="5",BH2656,0),2)</f>
        <v>0</v>
      </c>
      <c r="Z2656" s="25">
        <f>ROUND(IF(AO2656="1",BF2656,0),2)</f>
        <v>0</v>
      </c>
      <c r="AA2656" s="25">
        <f>ROUND(IF(AO2656="1",BG2656,0),2)</f>
        <v>0</v>
      </c>
      <c r="AB2656" s="25">
        <f>ROUND(IF(AO2656="7",BF2656,0),2)</f>
        <v>0</v>
      </c>
      <c r="AC2656" s="25">
        <f>ROUND(IF(AO2656="7",BG2656,0),2)</f>
        <v>0</v>
      </c>
      <c r="AD2656" s="25">
        <f>ROUND(IF(AO2656="2",BF2656,0),2)</f>
        <v>0</v>
      </c>
      <c r="AE2656" s="25">
        <f>ROUND(IF(AO2656="2",BG2656,0),2)</f>
        <v>0</v>
      </c>
      <c r="AF2656" s="25">
        <f>ROUND(IF(AO2656="0",BH2656,0),2)</f>
        <v>0</v>
      </c>
      <c r="AG2656" s="10" t="s">
        <v>3191</v>
      </c>
      <c r="AH2656" s="25">
        <f>IF(AL2656=0,K2656,0)</f>
        <v>0</v>
      </c>
      <c r="AI2656" s="25">
        <f>IF(AL2656=12,K2656,0)</f>
        <v>0</v>
      </c>
      <c r="AJ2656" s="25">
        <f>IF(AL2656=21,K2656,0)</f>
        <v>0</v>
      </c>
      <c r="AL2656" s="25">
        <v>21</v>
      </c>
      <c r="AM2656" s="25">
        <f>H2656*0.138222222</f>
        <v>0</v>
      </c>
      <c r="AN2656" s="25">
        <f>H2656*(1-0.138222222)</f>
        <v>0</v>
      </c>
      <c r="AO2656" s="27" t="s">
        <v>57</v>
      </c>
      <c r="AT2656" s="25">
        <f>ROUND(AU2656+AV2656,2)</f>
        <v>0</v>
      </c>
      <c r="AU2656" s="25">
        <f>ROUND(G2656*AM2656,2)</f>
        <v>0</v>
      </c>
      <c r="AV2656" s="25">
        <f>ROUND(G2656*AN2656,2)</f>
        <v>0</v>
      </c>
      <c r="AW2656" s="27" t="s">
        <v>3305</v>
      </c>
      <c r="AX2656" s="27" t="s">
        <v>3196</v>
      </c>
      <c r="AY2656" s="10" t="s">
        <v>3197</v>
      </c>
      <c r="BA2656" s="25">
        <f>AU2656+AV2656</f>
        <v>0</v>
      </c>
      <c r="BB2656" s="25">
        <f>H2656/(100-BC2656)*100</f>
        <v>0</v>
      </c>
      <c r="BC2656" s="25">
        <v>0</v>
      </c>
      <c r="BD2656" s="25">
        <f>M2656</f>
        <v>0.25595999999999997</v>
      </c>
      <c r="BF2656" s="25">
        <f>G2656*AM2656</f>
        <v>0</v>
      </c>
      <c r="BG2656" s="25">
        <f>G2656*AN2656</f>
        <v>0</v>
      </c>
      <c r="BH2656" s="25">
        <f>G2656*H2656</f>
        <v>0</v>
      </c>
      <c r="BI2656" s="27" t="s">
        <v>65</v>
      </c>
      <c r="BJ2656" s="25"/>
      <c r="BU2656" s="25" t="e">
        <f>#REF!</f>
        <v>#REF!</v>
      </c>
      <c r="BV2656" s="4" t="s">
        <v>3304</v>
      </c>
    </row>
    <row r="2657" spans="1:74" ht="14.4" x14ac:dyDescent="0.3">
      <c r="A2657" s="28"/>
      <c r="D2657" s="29" t="s">
        <v>901</v>
      </c>
      <c r="E2657" s="29" t="s">
        <v>52</v>
      </c>
      <c r="G2657" s="30">
        <v>158</v>
      </c>
      <c r="H2657" s="63"/>
      <c r="N2657" s="31"/>
    </row>
    <row r="2658" spans="1:74" ht="14.4" x14ac:dyDescent="0.3">
      <c r="A2658" s="2" t="s">
        <v>3306</v>
      </c>
      <c r="B2658" s="3" t="s">
        <v>3191</v>
      </c>
      <c r="C2658" s="3" t="s">
        <v>3307</v>
      </c>
      <c r="D2658" s="112" t="s">
        <v>3308</v>
      </c>
      <c r="E2658" s="109"/>
      <c r="F2658" s="3" t="s">
        <v>115</v>
      </c>
      <c r="G2658" s="25">
        <v>158</v>
      </c>
      <c r="H2658" s="62"/>
      <c r="I2658" s="25">
        <f>ROUND(G2658*AM2658,2)</f>
        <v>0</v>
      </c>
      <c r="J2658" s="25">
        <f>ROUND(G2658*AN2658,2)</f>
        <v>0</v>
      </c>
      <c r="K2658" s="25">
        <f>ROUND(G2658*H2658,2)</f>
        <v>0</v>
      </c>
      <c r="L2658" s="25">
        <v>0</v>
      </c>
      <c r="M2658" s="25">
        <f>G2658*L2658</f>
        <v>0</v>
      </c>
      <c r="N2658" s="26"/>
      <c r="X2658" s="25">
        <f>ROUND(IF(AO2658="5",BH2658,0),2)</f>
        <v>0</v>
      </c>
      <c r="Z2658" s="25">
        <f>ROUND(IF(AO2658="1",BF2658,0),2)</f>
        <v>0</v>
      </c>
      <c r="AA2658" s="25">
        <f>ROUND(IF(AO2658="1",BG2658,0),2)</f>
        <v>0</v>
      </c>
      <c r="AB2658" s="25">
        <f>ROUND(IF(AO2658="7",BF2658,0),2)</f>
        <v>0</v>
      </c>
      <c r="AC2658" s="25">
        <f>ROUND(IF(AO2658="7",BG2658,0),2)</f>
        <v>0</v>
      </c>
      <c r="AD2658" s="25">
        <f>ROUND(IF(AO2658="2",BF2658,0),2)</f>
        <v>0</v>
      </c>
      <c r="AE2658" s="25">
        <f>ROUND(IF(AO2658="2",BG2658,0),2)</f>
        <v>0</v>
      </c>
      <c r="AF2658" s="25">
        <f>ROUND(IF(AO2658="0",BH2658,0),2)</f>
        <v>0</v>
      </c>
      <c r="AG2658" s="10" t="s">
        <v>3191</v>
      </c>
      <c r="AH2658" s="25">
        <f>IF(AL2658=0,K2658,0)</f>
        <v>0</v>
      </c>
      <c r="AI2658" s="25">
        <f>IF(AL2658=12,K2658,0)</f>
        <v>0</v>
      </c>
      <c r="AJ2658" s="25">
        <f>IF(AL2658=21,K2658,0)</f>
        <v>0</v>
      </c>
      <c r="AL2658" s="25">
        <v>21</v>
      </c>
      <c r="AM2658" s="25">
        <f>H2658*0.097256858</f>
        <v>0</v>
      </c>
      <c r="AN2658" s="25">
        <f>H2658*(1-0.097256858)</f>
        <v>0</v>
      </c>
      <c r="AO2658" s="27" t="s">
        <v>81</v>
      </c>
      <c r="AT2658" s="25">
        <f>ROUND(AU2658+AV2658,2)</f>
        <v>0</v>
      </c>
      <c r="AU2658" s="25">
        <f>ROUND(G2658*AM2658,2)</f>
        <v>0</v>
      </c>
      <c r="AV2658" s="25">
        <f>ROUND(G2658*AN2658,2)</f>
        <v>0</v>
      </c>
      <c r="AW2658" s="27" t="s">
        <v>3305</v>
      </c>
      <c r="AX2658" s="27" t="s">
        <v>3196</v>
      </c>
      <c r="AY2658" s="10" t="s">
        <v>3197</v>
      </c>
      <c r="BA2658" s="25">
        <f>AU2658+AV2658</f>
        <v>0</v>
      </c>
      <c r="BB2658" s="25">
        <f>H2658/(100-BC2658)*100</f>
        <v>0</v>
      </c>
      <c r="BC2658" s="25">
        <v>0</v>
      </c>
      <c r="BD2658" s="25">
        <f>M2658</f>
        <v>0</v>
      </c>
      <c r="BF2658" s="25">
        <f>G2658*AM2658</f>
        <v>0</v>
      </c>
      <c r="BG2658" s="25">
        <f>G2658*AN2658</f>
        <v>0</v>
      </c>
      <c r="BH2658" s="25">
        <f>G2658*H2658</f>
        <v>0</v>
      </c>
      <c r="BI2658" s="27" t="s">
        <v>65</v>
      </c>
      <c r="BJ2658" s="25"/>
      <c r="BU2658" s="25" t="e">
        <f>#REF!</f>
        <v>#REF!</v>
      </c>
      <c r="BV2658" s="4" t="s">
        <v>3308</v>
      </c>
    </row>
    <row r="2659" spans="1:74" ht="14.4" x14ac:dyDescent="0.3">
      <c r="A2659" s="28"/>
      <c r="D2659" s="29" t="s">
        <v>901</v>
      </c>
      <c r="E2659" s="29" t="s">
        <v>52</v>
      </c>
      <c r="G2659" s="30">
        <v>158</v>
      </c>
      <c r="H2659" s="63"/>
      <c r="N2659" s="31"/>
    </row>
    <row r="2660" spans="1:74" ht="26.4" x14ac:dyDescent="0.3">
      <c r="A2660" s="2" t="s">
        <v>3309</v>
      </c>
      <c r="B2660" s="3" t="s">
        <v>3191</v>
      </c>
      <c r="C2660" s="3" t="s">
        <v>3310</v>
      </c>
      <c r="D2660" s="112" t="s">
        <v>3311</v>
      </c>
      <c r="E2660" s="109"/>
      <c r="F2660" s="3" t="s">
        <v>2183</v>
      </c>
      <c r="G2660" s="25">
        <v>1</v>
      </c>
      <c r="H2660" s="62"/>
      <c r="I2660" s="25">
        <f>ROUND(G2660*AM2660,2)</f>
        <v>0</v>
      </c>
      <c r="J2660" s="25">
        <f>ROUND(G2660*AN2660,2)</f>
        <v>0</v>
      </c>
      <c r="K2660" s="25">
        <f>ROUND(G2660*H2660,2)</f>
        <v>0</v>
      </c>
      <c r="L2660" s="25">
        <v>0</v>
      </c>
      <c r="M2660" s="25">
        <f>G2660*L2660</f>
        <v>0</v>
      </c>
      <c r="N2660" s="102"/>
      <c r="X2660" s="25">
        <f>ROUND(IF(AO2660="5",BH2660,0),2)</f>
        <v>0</v>
      </c>
      <c r="Z2660" s="25">
        <f>ROUND(IF(AO2660="1",BF2660,0),2)</f>
        <v>0</v>
      </c>
      <c r="AA2660" s="25">
        <f>ROUND(IF(AO2660="1",BG2660,0),2)</f>
        <v>0</v>
      </c>
      <c r="AB2660" s="25">
        <f>ROUND(IF(AO2660="7",BF2660,0),2)</f>
        <v>0</v>
      </c>
      <c r="AC2660" s="25">
        <f>ROUND(IF(AO2660="7",BG2660,0),2)</f>
        <v>0</v>
      </c>
      <c r="AD2660" s="25">
        <f>ROUND(IF(AO2660="2",BF2660,0),2)</f>
        <v>0</v>
      </c>
      <c r="AE2660" s="25">
        <f>ROUND(IF(AO2660="2",BG2660,0),2)</f>
        <v>0</v>
      </c>
      <c r="AF2660" s="25">
        <f>ROUND(IF(AO2660="0",BH2660,0),2)</f>
        <v>0</v>
      </c>
      <c r="AG2660" s="10" t="s">
        <v>3191</v>
      </c>
      <c r="AH2660" s="25">
        <f>IF(AL2660=0,K2660,0)</f>
        <v>0</v>
      </c>
      <c r="AI2660" s="25">
        <f>IF(AL2660=12,K2660,0)</f>
        <v>0</v>
      </c>
      <c r="AJ2660" s="25">
        <f>IF(AL2660=21,K2660,0)</f>
        <v>0</v>
      </c>
      <c r="AL2660" s="25">
        <v>21</v>
      </c>
      <c r="AM2660" s="25">
        <f>H2660*0.856060606</f>
        <v>0</v>
      </c>
      <c r="AN2660" s="25">
        <f>H2660*(1-0.856060606)</f>
        <v>0</v>
      </c>
      <c r="AO2660" s="27" t="s">
        <v>81</v>
      </c>
      <c r="AT2660" s="25">
        <f>ROUND(AU2660+AV2660,2)</f>
        <v>0</v>
      </c>
      <c r="AU2660" s="25">
        <f>ROUND(G2660*AM2660,2)</f>
        <v>0</v>
      </c>
      <c r="AV2660" s="25">
        <f>ROUND(G2660*AN2660,2)</f>
        <v>0</v>
      </c>
      <c r="AW2660" s="27" t="s">
        <v>3305</v>
      </c>
      <c r="AX2660" s="27" t="s">
        <v>3196</v>
      </c>
      <c r="AY2660" s="10" t="s">
        <v>3197</v>
      </c>
      <c r="BA2660" s="25">
        <f>AU2660+AV2660</f>
        <v>0</v>
      </c>
      <c r="BB2660" s="25">
        <f>H2660/(100-BC2660)*100</f>
        <v>0</v>
      </c>
      <c r="BC2660" s="25">
        <v>0</v>
      </c>
      <c r="BD2660" s="25">
        <f>M2660</f>
        <v>0</v>
      </c>
      <c r="BF2660" s="25">
        <f>G2660*AM2660</f>
        <v>0</v>
      </c>
      <c r="BG2660" s="25">
        <f>G2660*AN2660</f>
        <v>0</v>
      </c>
      <c r="BH2660" s="25">
        <f>G2660*H2660</f>
        <v>0</v>
      </c>
      <c r="BI2660" s="27" t="s">
        <v>65</v>
      </c>
      <c r="BJ2660" s="25"/>
      <c r="BU2660" s="25" t="e">
        <f>#REF!</f>
        <v>#REF!</v>
      </c>
      <c r="BV2660" s="4" t="s">
        <v>3311</v>
      </c>
    </row>
    <row r="2661" spans="1:74" ht="14.4" x14ac:dyDescent="0.3">
      <c r="A2661" s="28"/>
      <c r="D2661" s="29" t="s">
        <v>57</v>
      </c>
      <c r="E2661" s="29" t="s">
        <v>52</v>
      </c>
      <c r="G2661" s="30">
        <v>1</v>
      </c>
      <c r="H2661" s="63"/>
      <c r="N2661" s="31"/>
    </row>
    <row r="2662" spans="1:74" ht="14.4" x14ac:dyDescent="0.3">
      <c r="A2662" s="2" t="s">
        <v>3312</v>
      </c>
      <c r="B2662" s="3" t="s">
        <v>3191</v>
      </c>
      <c r="C2662" s="3" t="s">
        <v>3313</v>
      </c>
      <c r="D2662" s="112" t="s">
        <v>3314</v>
      </c>
      <c r="E2662" s="109"/>
      <c r="F2662" s="3" t="s">
        <v>2183</v>
      </c>
      <c r="G2662" s="25">
        <v>3</v>
      </c>
      <c r="H2662" s="62"/>
      <c r="I2662" s="25">
        <f>ROUND(G2662*AM2662,2)</f>
        <v>0</v>
      </c>
      <c r="J2662" s="25">
        <f>ROUND(G2662*AN2662,2)</f>
        <v>0</v>
      </c>
      <c r="K2662" s="25">
        <f>ROUND(G2662*H2662,2)</f>
        <v>0</v>
      </c>
      <c r="L2662" s="25">
        <v>0</v>
      </c>
      <c r="M2662" s="25">
        <f>G2662*L2662</f>
        <v>0</v>
      </c>
      <c r="N2662" s="102"/>
      <c r="X2662" s="25">
        <f>ROUND(IF(AO2662="5",BH2662,0),2)</f>
        <v>0</v>
      </c>
      <c r="Z2662" s="25">
        <f>ROUND(IF(AO2662="1",BF2662,0),2)</f>
        <v>0</v>
      </c>
      <c r="AA2662" s="25">
        <f>ROUND(IF(AO2662="1",BG2662,0),2)</f>
        <v>0</v>
      </c>
      <c r="AB2662" s="25">
        <f>ROUND(IF(AO2662="7",BF2662,0),2)</f>
        <v>0</v>
      </c>
      <c r="AC2662" s="25">
        <f>ROUND(IF(AO2662="7",BG2662,0),2)</f>
        <v>0</v>
      </c>
      <c r="AD2662" s="25">
        <f>ROUND(IF(AO2662="2",BF2662,0),2)</f>
        <v>0</v>
      </c>
      <c r="AE2662" s="25">
        <f>ROUND(IF(AO2662="2",BG2662,0),2)</f>
        <v>0</v>
      </c>
      <c r="AF2662" s="25">
        <f>ROUND(IF(AO2662="0",BH2662,0),2)</f>
        <v>0</v>
      </c>
      <c r="AG2662" s="10" t="s">
        <v>3191</v>
      </c>
      <c r="AH2662" s="25">
        <f>IF(AL2662=0,K2662,0)</f>
        <v>0</v>
      </c>
      <c r="AI2662" s="25">
        <f>IF(AL2662=12,K2662,0)</f>
        <v>0</v>
      </c>
      <c r="AJ2662" s="25">
        <f>IF(AL2662=21,K2662,0)</f>
        <v>0</v>
      </c>
      <c r="AL2662" s="25">
        <v>21</v>
      </c>
      <c r="AM2662" s="25">
        <f>H2662*0.912126538</f>
        <v>0</v>
      </c>
      <c r="AN2662" s="25">
        <f>H2662*(1-0.912126538)</f>
        <v>0</v>
      </c>
      <c r="AO2662" s="27" t="s">
        <v>81</v>
      </c>
      <c r="AT2662" s="25">
        <f>ROUND(AU2662+AV2662,2)</f>
        <v>0</v>
      </c>
      <c r="AU2662" s="25">
        <f>ROUND(G2662*AM2662,2)</f>
        <v>0</v>
      </c>
      <c r="AV2662" s="25">
        <f>ROUND(G2662*AN2662,2)</f>
        <v>0</v>
      </c>
      <c r="AW2662" s="27" t="s">
        <v>3305</v>
      </c>
      <c r="AX2662" s="27" t="s">
        <v>3196</v>
      </c>
      <c r="AY2662" s="10" t="s">
        <v>3197</v>
      </c>
      <c r="BA2662" s="25">
        <f>AU2662+AV2662</f>
        <v>0</v>
      </c>
      <c r="BB2662" s="25">
        <f>H2662/(100-BC2662)*100</f>
        <v>0</v>
      </c>
      <c r="BC2662" s="25">
        <v>0</v>
      </c>
      <c r="BD2662" s="25">
        <f>M2662</f>
        <v>0</v>
      </c>
      <c r="BF2662" s="25">
        <f>G2662*AM2662</f>
        <v>0</v>
      </c>
      <c r="BG2662" s="25">
        <f>G2662*AN2662</f>
        <v>0</v>
      </c>
      <c r="BH2662" s="25">
        <f>G2662*H2662</f>
        <v>0</v>
      </c>
      <c r="BI2662" s="27" t="s">
        <v>65</v>
      </c>
      <c r="BJ2662" s="25"/>
      <c r="BU2662" s="25" t="e">
        <f>#REF!</f>
        <v>#REF!</v>
      </c>
      <c r="BV2662" s="4" t="s">
        <v>3314</v>
      </c>
    </row>
    <row r="2663" spans="1:74" ht="14.4" x14ac:dyDescent="0.3">
      <c r="A2663" s="28"/>
      <c r="D2663" s="29" t="s">
        <v>87</v>
      </c>
      <c r="E2663" s="29" t="s">
        <v>52</v>
      </c>
      <c r="G2663" s="30">
        <v>3</v>
      </c>
      <c r="H2663" s="63"/>
      <c r="N2663" s="31"/>
    </row>
    <row r="2664" spans="1:74" ht="14.4" x14ac:dyDescent="0.3">
      <c r="A2664" s="2" t="s">
        <v>3315</v>
      </c>
      <c r="B2664" s="3" t="s">
        <v>3191</v>
      </c>
      <c r="C2664" s="3" t="s">
        <v>3316</v>
      </c>
      <c r="D2664" s="112" t="s">
        <v>3317</v>
      </c>
      <c r="E2664" s="109"/>
      <c r="F2664" s="3" t="s">
        <v>2183</v>
      </c>
      <c r="G2664" s="25">
        <v>3</v>
      </c>
      <c r="H2664" s="62"/>
      <c r="I2664" s="25">
        <f>ROUND(G2664*AM2664,2)</f>
        <v>0</v>
      </c>
      <c r="J2664" s="25">
        <f>ROUND(G2664*AN2664,2)</f>
        <v>0</v>
      </c>
      <c r="K2664" s="25">
        <f>ROUND(G2664*H2664,2)</f>
        <v>0</v>
      </c>
      <c r="L2664" s="25">
        <v>0</v>
      </c>
      <c r="M2664" s="25">
        <f>G2664*L2664</f>
        <v>0</v>
      </c>
      <c r="N2664" s="102"/>
      <c r="X2664" s="25">
        <f>ROUND(IF(AO2664="5",BH2664,0),2)</f>
        <v>0</v>
      </c>
      <c r="Z2664" s="25">
        <f>ROUND(IF(AO2664="1",BF2664,0),2)</f>
        <v>0</v>
      </c>
      <c r="AA2664" s="25">
        <f>ROUND(IF(AO2664="1",BG2664,0),2)</f>
        <v>0</v>
      </c>
      <c r="AB2664" s="25">
        <f>ROUND(IF(AO2664="7",BF2664,0),2)</f>
        <v>0</v>
      </c>
      <c r="AC2664" s="25">
        <f>ROUND(IF(AO2664="7",BG2664,0),2)</f>
        <v>0</v>
      </c>
      <c r="AD2664" s="25">
        <f>ROUND(IF(AO2664="2",BF2664,0),2)</f>
        <v>0</v>
      </c>
      <c r="AE2664" s="25">
        <f>ROUND(IF(AO2664="2",BG2664,0),2)</f>
        <v>0</v>
      </c>
      <c r="AF2664" s="25">
        <f>ROUND(IF(AO2664="0",BH2664,0),2)</f>
        <v>0</v>
      </c>
      <c r="AG2664" s="10" t="s">
        <v>3191</v>
      </c>
      <c r="AH2664" s="25">
        <f>IF(AL2664=0,K2664,0)</f>
        <v>0</v>
      </c>
      <c r="AI2664" s="25">
        <f>IF(AL2664=12,K2664,0)</f>
        <v>0</v>
      </c>
      <c r="AJ2664" s="25">
        <f>IF(AL2664=21,K2664,0)</f>
        <v>0</v>
      </c>
      <c r="AL2664" s="25">
        <v>21</v>
      </c>
      <c r="AM2664" s="25">
        <f>H2664*0.90619137</f>
        <v>0</v>
      </c>
      <c r="AN2664" s="25">
        <f>H2664*(1-0.90619137)</f>
        <v>0</v>
      </c>
      <c r="AO2664" s="27" t="s">
        <v>81</v>
      </c>
      <c r="AT2664" s="25">
        <f>ROUND(AU2664+AV2664,2)</f>
        <v>0</v>
      </c>
      <c r="AU2664" s="25">
        <f>ROUND(G2664*AM2664,2)</f>
        <v>0</v>
      </c>
      <c r="AV2664" s="25">
        <f>ROUND(G2664*AN2664,2)</f>
        <v>0</v>
      </c>
      <c r="AW2664" s="27" t="s">
        <v>3305</v>
      </c>
      <c r="AX2664" s="27" t="s">
        <v>3196</v>
      </c>
      <c r="AY2664" s="10" t="s">
        <v>3197</v>
      </c>
      <c r="BA2664" s="25">
        <f>AU2664+AV2664</f>
        <v>0</v>
      </c>
      <c r="BB2664" s="25">
        <f>H2664/(100-BC2664)*100</f>
        <v>0</v>
      </c>
      <c r="BC2664" s="25">
        <v>0</v>
      </c>
      <c r="BD2664" s="25">
        <f>M2664</f>
        <v>0</v>
      </c>
      <c r="BF2664" s="25">
        <f>G2664*AM2664</f>
        <v>0</v>
      </c>
      <c r="BG2664" s="25">
        <f>G2664*AN2664</f>
        <v>0</v>
      </c>
      <c r="BH2664" s="25">
        <f>G2664*H2664</f>
        <v>0</v>
      </c>
      <c r="BI2664" s="27" t="s">
        <v>65</v>
      </c>
      <c r="BJ2664" s="25"/>
      <c r="BU2664" s="25" t="e">
        <f>#REF!</f>
        <v>#REF!</v>
      </c>
      <c r="BV2664" s="4" t="s">
        <v>3317</v>
      </c>
    </row>
    <row r="2665" spans="1:74" ht="14.4" x14ac:dyDescent="0.3">
      <c r="A2665" s="28"/>
      <c r="D2665" s="29" t="s">
        <v>87</v>
      </c>
      <c r="E2665" s="29" t="s">
        <v>52</v>
      </c>
      <c r="G2665" s="30">
        <v>3</v>
      </c>
      <c r="H2665" s="63"/>
      <c r="N2665" s="31"/>
    </row>
    <row r="2666" spans="1:74" ht="14.4" x14ac:dyDescent="0.3">
      <c r="A2666" s="2" t="s">
        <v>3318</v>
      </c>
      <c r="B2666" s="3" t="s">
        <v>3191</v>
      </c>
      <c r="C2666" s="3" t="s">
        <v>3319</v>
      </c>
      <c r="D2666" s="112" t="s">
        <v>3320</v>
      </c>
      <c r="E2666" s="109"/>
      <c r="F2666" s="3" t="s">
        <v>2183</v>
      </c>
      <c r="G2666" s="25">
        <v>3</v>
      </c>
      <c r="H2666" s="62"/>
      <c r="I2666" s="25">
        <f>ROUND(G2666*AM2666,2)</f>
        <v>0</v>
      </c>
      <c r="J2666" s="25">
        <f>ROUND(G2666*AN2666,2)</f>
        <v>0</v>
      </c>
      <c r="K2666" s="25">
        <f>ROUND(G2666*H2666,2)</f>
        <v>0</v>
      </c>
      <c r="L2666" s="25">
        <v>0</v>
      </c>
      <c r="M2666" s="25">
        <f>G2666*L2666</f>
        <v>0</v>
      </c>
      <c r="N2666" s="102"/>
      <c r="X2666" s="25">
        <f>ROUND(IF(AO2666="5",BH2666,0),2)</f>
        <v>0</v>
      </c>
      <c r="Z2666" s="25">
        <f>ROUND(IF(AO2666="1",BF2666,0),2)</f>
        <v>0</v>
      </c>
      <c r="AA2666" s="25">
        <f>ROUND(IF(AO2666="1",BG2666,0),2)</f>
        <v>0</v>
      </c>
      <c r="AB2666" s="25">
        <f>ROUND(IF(AO2666="7",BF2666,0),2)</f>
        <v>0</v>
      </c>
      <c r="AC2666" s="25">
        <f>ROUND(IF(AO2666="7",BG2666,0),2)</f>
        <v>0</v>
      </c>
      <c r="AD2666" s="25">
        <f>ROUND(IF(AO2666="2",BF2666,0),2)</f>
        <v>0</v>
      </c>
      <c r="AE2666" s="25">
        <f>ROUND(IF(AO2666="2",BG2666,0),2)</f>
        <v>0</v>
      </c>
      <c r="AF2666" s="25">
        <f>ROUND(IF(AO2666="0",BH2666,0),2)</f>
        <v>0</v>
      </c>
      <c r="AG2666" s="10" t="s">
        <v>3191</v>
      </c>
      <c r="AH2666" s="25">
        <f>IF(AL2666=0,K2666,0)</f>
        <v>0</v>
      </c>
      <c r="AI2666" s="25">
        <f>IF(AL2666=12,K2666,0)</f>
        <v>0</v>
      </c>
      <c r="AJ2666" s="25">
        <f>IF(AL2666=21,K2666,0)</f>
        <v>0</v>
      </c>
      <c r="AL2666" s="25">
        <v>21</v>
      </c>
      <c r="AM2666" s="25">
        <f>H2666*0.904351985</f>
        <v>0</v>
      </c>
      <c r="AN2666" s="25">
        <f>H2666*(1-0.904351985)</f>
        <v>0</v>
      </c>
      <c r="AO2666" s="27" t="s">
        <v>81</v>
      </c>
      <c r="AT2666" s="25">
        <f>ROUND(AU2666+AV2666,2)</f>
        <v>0</v>
      </c>
      <c r="AU2666" s="25">
        <f>ROUND(G2666*AM2666,2)</f>
        <v>0</v>
      </c>
      <c r="AV2666" s="25">
        <f>ROUND(G2666*AN2666,2)</f>
        <v>0</v>
      </c>
      <c r="AW2666" s="27" t="s">
        <v>3305</v>
      </c>
      <c r="AX2666" s="27" t="s">
        <v>3196</v>
      </c>
      <c r="AY2666" s="10" t="s">
        <v>3197</v>
      </c>
      <c r="BA2666" s="25">
        <f>AU2666+AV2666</f>
        <v>0</v>
      </c>
      <c r="BB2666" s="25">
        <f>H2666/(100-BC2666)*100</f>
        <v>0</v>
      </c>
      <c r="BC2666" s="25">
        <v>0</v>
      </c>
      <c r="BD2666" s="25">
        <f>M2666</f>
        <v>0</v>
      </c>
      <c r="BF2666" s="25">
        <f>G2666*AM2666</f>
        <v>0</v>
      </c>
      <c r="BG2666" s="25">
        <f>G2666*AN2666</f>
        <v>0</v>
      </c>
      <c r="BH2666" s="25">
        <f>G2666*H2666</f>
        <v>0</v>
      </c>
      <c r="BI2666" s="27" t="s">
        <v>65</v>
      </c>
      <c r="BJ2666" s="25"/>
      <c r="BU2666" s="25" t="e">
        <f>#REF!</f>
        <v>#REF!</v>
      </c>
      <c r="BV2666" s="4" t="s">
        <v>3320</v>
      </c>
    </row>
    <row r="2667" spans="1:74" ht="14.4" x14ac:dyDescent="0.3">
      <c r="A2667" s="28"/>
      <c r="D2667" s="29" t="s">
        <v>87</v>
      </c>
      <c r="E2667" s="29" t="s">
        <v>52</v>
      </c>
      <c r="G2667" s="30">
        <v>3</v>
      </c>
      <c r="H2667" s="63"/>
      <c r="N2667" s="31"/>
    </row>
    <row r="2668" spans="1:74" ht="14.4" x14ac:dyDescent="0.3">
      <c r="A2668" s="2" t="s">
        <v>3321</v>
      </c>
      <c r="B2668" s="3" t="s">
        <v>3191</v>
      </c>
      <c r="C2668" s="3" t="s">
        <v>3322</v>
      </c>
      <c r="D2668" s="112" t="s">
        <v>3323</v>
      </c>
      <c r="E2668" s="109"/>
      <c r="F2668" s="3" t="s">
        <v>2183</v>
      </c>
      <c r="G2668" s="25">
        <v>1</v>
      </c>
      <c r="H2668" s="62"/>
      <c r="I2668" s="25">
        <f>ROUND(G2668*AM2668,2)</f>
        <v>0</v>
      </c>
      <c r="J2668" s="25">
        <f>ROUND(G2668*AN2668,2)</f>
        <v>0</v>
      </c>
      <c r="K2668" s="25">
        <f>ROUND(G2668*H2668,2)</f>
        <v>0</v>
      </c>
      <c r="L2668" s="25">
        <v>0</v>
      </c>
      <c r="M2668" s="25">
        <f>G2668*L2668</f>
        <v>0</v>
      </c>
      <c r="N2668" s="102"/>
      <c r="X2668" s="25">
        <f>ROUND(IF(AO2668="5",BH2668,0),2)</f>
        <v>0</v>
      </c>
      <c r="Z2668" s="25">
        <f>ROUND(IF(AO2668="1",BF2668,0),2)</f>
        <v>0</v>
      </c>
      <c r="AA2668" s="25">
        <f>ROUND(IF(AO2668="1",BG2668,0),2)</f>
        <v>0</v>
      </c>
      <c r="AB2668" s="25">
        <f>ROUND(IF(AO2668="7",BF2668,0),2)</f>
        <v>0</v>
      </c>
      <c r="AC2668" s="25">
        <f>ROUND(IF(AO2668="7",BG2668,0),2)</f>
        <v>0</v>
      </c>
      <c r="AD2668" s="25">
        <f>ROUND(IF(AO2668="2",BF2668,0),2)</f>
        <v>0</v>
      </c>
      <c r="AE2668" s="25">
        <f>ROUND(IF(AO2668="2",BG2668,0),2)</f>
        <v>0</v>
      </c>
      <c r="AF2668" s="25">
        <f>ROUND(IF(AO2668="0",BH2668,0),2)</f>
        <v>0</v>
      </c>
      <c r="AG2668" s="10" t="s">
        <v>3191</v>
      </c>
      <c r="AH2668" s="25">
        <f>IF(AL2668=0,K2668,0)</f>
        <v>0</v>
      </c>
      <c r="AI2668" s="25">
        <f>IF(AL2668=12,K2668,0)</f>
        <v>0</v>
      </c>
      <c r="AJ2668" s="25">
        <f>IF(AL2668=21,K2668,0)</f>
        <v>0</v>
      </c>
      <c r="AL2668" s="25">
        <v>21</v>
      </c>
      <c r="AM2668" s="25">
        <f>H2668*0.981234049</f>
        <v>0</v>
      </c>
      <c r="AN2668" s="25">
        <f>H2668*(1-0.981234049)</f>
        <v>0</v>
      </c>
      <c r="AO2668" s="27" t="s">
        <v>81</v>
      </c>
      <c r="AT2668" s="25">
        <f>ROUND(AU2668+AV2668,2)</f>
        <v>0</v>
      </c>
      <c r="AU2668" s="25">
        <f>ROUND(G2668*AM2668,2)</f>
        <v>0</v>
      </c>
      <c r="AV2668" s="25">
        <f>ROUND(G2668*AN2668,2)</f>
        <v>0</v>
      </c>
      <c r="AW2668" s="27" t="s">
        <v>3305</v>
      </c>
      <c r="AX2668" s="27" t="s">
        <v>3196</v>
      </c>
      <c r="AY2668" s="10" t="s">
        <v>3197</v>
      </c>
      <c r="BA2668" s="25">
        <f>AU2668+AV2668</f>
        <v>0</v>
      </c>
      <c r="BB2668" s="25">
        <f>H2668/(100-BC2668)*100</f>
        <v>0</v>
      </c>
      <c r="BC2668" s="25">
        <v>0</v>
      </c>
      <c r="BD2668" s="25">
        <f>M2668</f>
        <v>0</v>
      </c>
      <c r="BF2668" s="25">
        <f>G2668*AM2668</f>
        <v>0</v>
      </c>
      <c r="BG2668" s="25">
        <f>G2668*AN2668</f>
        <v>0</v>
      </c>
      <c r="BH2668" s="25">
        <f>G2668*H2668</f>
        <v>0</v>
      </c>
      <c r="BI2668" s="27" t="s">
        <v>65</v>
      </c>
      <c r="BJ2668" s="25"/>
      <c r="BU2668" s="25" t="e">
        <f>#REF!</f>
        <v>#REF!</v>
      </c>
      <c r="BV2668" s="4" t="s">
        <v>3323</v>
      </c>
    </row>
    <row r="2669" spans="1:74" ht="14.4" x14ac:dyDescent="0.3">
      <c r="A2669" s="28"/>
      <c r="D2669" s="29" t="s">
        <v>57</v>
      </c>
      <c r="E2669" s="29" t="s">
        <v>52</v>
      </c>
      <c r="G2669" s="30">
        <v>1</v>
      </c>
      <c r="H2669" s="63"/>
      <c r="N2669" s="31"/>
    </row>
    <row r="2670" spans="1:74" ht="14.4" x14ac:dyDescent="0.3">
      <c r="A2670" s="2" t="s">
        <v>3324</v>
      </c>
      <c r="B2670" s="3" t="s">
        <v>3191</v>
      </c>
      <c r="C2670" s="3" t="s">
        <v>3325</v>
      </c>
      <c r="D2670" s="112" t="s">
        <v>3326</v>
      </c>
      <c r="E2670" s="109"/>
      <c r="F2670" s="3" t="s">
        <v>2183</v>
      </c>
      <c r="G2670" s="25">
        <v>1</v>
      </c>
      <c r="H2670" s="62"/>
      <c r="I2670" s="25">
        <f>ROUND(G2670*AM2670,2)</f>
        <v>0</v>
      </c>
      <c r="J2670" s="25">
        <f>ROUND(G2670*AN2670,2)</f>
        <v>0</v>
      </c>
      <c r="K2670" s="25">
        <f>ROUND(G2670*H2670,2)</f>
        <v>0</v>
      </c>
      <c r="L2670" s="25">
        <v>0</v>
      </c>
      <c r="M2670" s="25">
        <f>G2670*L2670</f>
        <v>0</v>
      </c>
      <c r="N2670" s="102"/>
      <c r="X2670" s="25">
        <f>ROUND(IF(AO2670="5",BH2670,0),2)</f>
        <v>0</v>
      </c>
      <c r="Z2670" s="25">
        <f>ROUND(IF(AO2670="1",BF2670,0),2)</f>
        <v>0</v>
      </c>
      <c r="AA2670" s="25">
        <f>ROUND(IF(AO2670="1",BG2670,0),2)</f>
        <v>0</v>
      </c>
      <c r="AB2670" s="25">
        <f>ROUND(IF(AO2670="7",BF2670,0),2)</f>
        <v>0</v>
      </c>
      <c r="AC2670" s="25">
        <f>ROUND(IF(AO2670="7",BG2670,0),2)</f>
        <v>0</v>
      </c>
      <c r="AD2670" s="25">
        <f>ROUND(IF(AO2670="2",BF2670,0),2)</f>
        <v>0</v>
      </c>
      <c r="AE2670" s="25">
        <f>ROUND(IF(AO2670="2",BG2670,0),2)</f>
        <v>0</v>
      </c>
      <c r="AF2670" s="25">
        <f>ROUND(IF(AO2670="0",BH2670,0),2)</f>
        <v>0</v>
      </c>
      <c r="AG2670" s="10" t="s">
        <v>3191</v>
      </c>
      <c r="AH2670" s="25">
        <f>IF(AL2670=0,K2670,0)</f>
        <v>0</v>
      </c>
      <c r="AI2670" s="25">
        <f>IF(AL2670=12,K2670,0)</f>
        <v>0</v>
      </c>
      <c r="AJ2670" s="25">
        <f>IF(AL2670=21,K2670,0)</f>
        <v>0</v>
      </c>
      <c r="AL2670" s="25">
        <v>21</v>
      </c>
      <c r="AM2670" s="25">
        <f>H2670*0.970383275</f>
        <v>0</v>
      </c>
      <c r="AN2670" s="25">
        <f>H2670*(1-0.970383275)</f>
        <v>0</v>
      </c>
      <c r="AO2670" s="27" t="s">
        <v>81</v>
      </c>
      <c r="AT2670" s="25">
        <f>ROUND(AU2670+AV2670,2)</f>
        <v>0</v>
      </c>
      <c r="AU2670" s="25">
        <f>ROUND(G2670*AM2670,2)</f>
        <v>0</v>
      </c>
      <c r="AV2670" s="25">
        <f>ROUND(G2670*AN2670,2)</f>
        <v>0</v>
      </c>
      <c r="AW2670" s="27" t="s">
        <v>3305</v>
      </c>
      <c r="AX2670" s="27" t="s">
        <v>3196</v>
      </c>
      <c r="AY2670" s="10" t="s">
        <v>3197</v>
      </c>
      <c r="BA2670" s="25">
        <f>AU2670+AV2670</f>
        <v>0</v>
      </c>
      <c r="BB2670" s="25">
        <f>H2670/(100-BC2670)*100</f>
        <v>0</v>
      </c>
      <c r="BC2670" s="25">
        <v>0</v>
      </c>
      <c r="BD2670" s="25">
        <f>M2670</f>
        <v>0</v>
      </c>
      <c r="BF2670" s="25">
        <f>G2670*AM2670</f>
        <v>0</v>
      </c>
      <c r="BG2670" s="25">
        <f>G2670*AN2670</f>
        <v>0</v>
      </c>
      <c r="BH2670" s="25">
        <f>G2670*H2670</f>
        <v>0</v>
      </c>
      <c r="BI2670" s="27" t="s">
        <v>65</v>
      </c>
      <c r="BJ2670" s="25"/>
      <c r="BU2670" s="25" t="e">
        <f>#REF!</f>
        <v>#REF!</v>
      </c>
      <c r="BV2670" s="4" t="s">
        <v>3326</v>
      </c>
    </row>
    <row r="2671" spans="1:74" ht="14.4" x14ac:dyDescent="0.3">
      <c r="A2671" s="28"/>
      <c r="D2671" s="29" t="s">
        <v>57</v>
      </c>
      <c r="E2671" s="29" t="s">
        <v>52</v>
      </c>
      <c r="G2671" s="30">
        <v>1</v>
      </c>
      <c r="H2671" s="63"/>
      <c r="N2671" s="31"/>
    </row>
    <row r="2672" spans="1:74" ht="14.4" x14ac:dyDescent="0.3">
      <c r="A2672" s="2" t="s">
        <v>3327</v>
      </c>
      <c r="B2672" s="3" t="s">
        <v>3191</v>
      </c>
      <c r="C2672" s="3" t="s">
        <v>3328</v>
      </c>
      <c r="D2672" s="112" t="s">
        <v>3329</v>
      </c>
      <c r="E2672" s="109"/>
      <c r="F2672" s="3" t="s">
        <v>2183</v>
      </c>
      <c r="G2672" s="25">
        <v>1</v>
      </c>
      <c r="H2672" s="62"/>
      <c r="I2672" s="25">
        <f>ROUND(G2672*AM2672,2)</f>
        <v>0</v>
      </c>
      <c r="J2672" s="25">
        <f>ROUND(G2672*AN2672,2)</f>
        <v>0</v>
      </c>
      <c r="K2672" s="25">
        <f>ROUND(G2672*H2672,2)</f>
        <v>0</v>
      </c>
      <c r="L2672" s="25">
        <v>0</v>
      </c>
      <c r="M2672" s="25">
        <f>G2672*L2672</f>
        <v>0</v>
      </c>
      <c r="N2672" s="102"/>
      <c r="X2672" s="25">
        <f>ROUND(IF(AO2672="5",BH2672,0),2)</f>
        <v>0</v>
      </c>
      <c r="Z2672" s="25">
        <f>ROUND(IF(AO2672="1",BF2672,0),2)</f>
        <v>0</v>
      </c>
      <c r="AA2672" s="25">
        <f>ROUND(IF(AO2672="1",BG2672,0),2)</f>
        <v>0</v>
      </c>
      <c r="AB2672" s="25">
        <f>ROUND(IF(AO2672="7",BF2672,0),2)</f>
        <v>0</v>
      </c>
      <c r="AC2672" s="25">
        <f>ROUND(IF(AO2672="7",BG2672,0),2)</f>
        <v>0</v>
      </c>
      <c r="AD2672" s="25">
        <f>ROUND(IF(AO2672="2",BF2672,0),2)</f>
        <v>0</v>
      </c>
      <c r="AE2672" s="25">
        <f>ROUND(IF(AO2672="2",BG2672,0),2)</f>
        <v>0</v>
      </c>
      <c r="AF2672" s="25">
        <f>ROUND(IF(AO2672="0",BH2672,0),2)</f>
        <v>0</v>
      </c>
      <c r="AG2672" s="10" t="s">
        <v>3191</v>
      </c>
      <c r="AH2672" s="25">
        <f>IF(AL2672=0,K2672,0)</f>
        <v>0</v>
      </c>
      <c r="AI2672" s="25">
        <f>IF(AL2672=12,K2672,0)</f>
        <v>0</v>
      </c>
      <c r="AJ2672" s="25">
        <f>IF(AL2672=21,K2672,0)</f>
        <v>0</v>
      </c>
      <c r="AL2672" s="25">
        <v>21</v>
      </c>
      <c r="AM2672" s="25">
        <f>H2672*0.948275862</f>
        <v>0</v>
      </c>
      <c r="AN2672" s="25">
        <f>H2672*(1-0.948275862)</f>
        <v>0</v>
      </c>
      <c r="AO2672" s="27" t="s">
        <v>81</v>
      </c>
      <c r="AT2672" s="25">
        <f>ROUND(AU2672+AV2672,2)</f>
        <v>0</v>
      </c>
      <c r="AU2672" s="25">
        <f>ROUND(G2672*AM2672,2)</f>
        <v>0</v>
      </c>
      <c r="AV2672" s="25">
        <f>ROUND(G2672*AN2672,2)</f>
        <v>0</v>
      </c>
      <c r="AW2672" s="27" t="s">
        <v>3305</v>
      </c>
      <c r="AX2672" s="27" t="s">
        <v>3196</v>
      </c>
      <c r="AY2672" s="10" t="s">
        <v>3197</v>
      </c>
      <c r="BA2672" s="25">
        <f>AU2672+AV2672</f>
        <v>0</v>
      </c>
      <c r="BB2672" s="25">
        <f>H2672/(100-BC2672)*100</f>
        <v>0</v>
      </c>
      <c r="BC2672" s="25">
        <v>0</v>
      </c>
      <c r="BD2672" s="25">
        <f>M2672</f>
        <v>0</v>
      </c>
      <c r="BF2672" s="25">
        <f>G2672*AM2672</f>
        <v>0</v>
      </c>
      <c r="BG2672" s="25">
        <f>G2672*AN2672</f>
        <v>0</v>
      </c>
      <c r="BH2672" s="25">
        <f>G2672*H2672</f>
        <v>0</v>
      </c>
      <c r="BI2672" s="27" t="s">
        <v>65</v>
      </c>
      <c r="BJ2672" s="25"/>
      <c r="BU2672" s="25" t="e">
        <f>#REF!</f>
        <v>#REF!</v>
      </c>
      <c r="BV2672" s="4" t="s">
        <v>3329</v>
      </c>
    </row>
    <row r="2673" spans="1:74" ht="14.4" x14ac:dyDescent="0.3">
      <c r="A2673" s="28"/>
      <c r="D2673" s="29" t="s">
        <v>57</v>
      </c>
      <c r="E2673" s="29" t="s">
        <v>52</v>
      </c>
      <c r="G2673" s="30">
        <v>1</v>
      </c>
      <c r="H2673" s="63"/>
      <c r="N2673" s="31"/>
    </row>
    <row r="2674" spans="1:74" ht="14.4" x14ac:dyDescent="0.3">
      <c r="A2674" s="2" t="s">
        <v>3330</v>
      </c>
      <c r="B2674" s="3" t="s">
        <v>3191</v>
      </c>
      <c r="C2674" s="3" t="s">
        <v>3331</v>
      </c>
      <c r="D2674" s="112" t="s">
        <v>3332</v>
      </c>
      <c r="E2674" s="109"/>
      <c r="F2674" s="3" t="s">
        <v>2183</v>
      </c>
      <c r="G2674" s="25">
        <v>2</v>
      </c>
      <c r="H2674" s="62"/>
      <c r="I2674" s="25">
        <f>ROUND(G2674*AM2674,2)</f>
        <v>0</v>
      </c>
      <c r="J2674" s="25">
        <f>ROUND(G2674*AN2674,2)</f>
        <v>0</v>
      </c>
      <c r="K2674" s="25">
        <f>ROUND(G2674*H2674,2)</f>
        <v>0</v>
      </c>
      <c r="L2674" s="25">
        <v>0</v>
      </c>
      <c r="M2674" s="25">
        <f>G2674*L2674</f>
        <v>0</v>
      </c>
      <c r="N2674" s="102"/>
      <c r="X2674" s="25">
        <f>ROUND(IF(AO2674="5",BH2674,0),2)</f>
        <v>0</v>
      </c>
      <c r="Z2674" s="25">
        <f>ROUND(IF(AO2674="1",BF2674,0),2)</f>
        <v>0</v>
      </c>
      <c r="AA2674" s="25">
        <f>ROUND(IF(AO2674="1",BG2674,0),2)</f>
        <v>0</v>
      </c>
      <c r="AB2674" s="25">
        <f>ROUND(IF(AO2674="7",BF2674,0),2)</f>
        <v>0</v>
      </c>
      <c r="AC2674" s="25">
        <f>ROUND(IF(AO2674="7",BG2674,0),2)</f>
        <v>0</v>
      </c>
      <c r="AD2674" s="25">
        <f>ROUND(IF(AO2674="2",BF2674,0),2)</f>
        <v>0</v>
      </c>
      <c r="AE2674" s="25">
        <f>ROUND(IF(AO2674="2",BG2674,0),2)</f>
        <v>0</v>
      </c>
      <c r="AF2674" s="25">
        <f>ROUND(IF(AO2674="0",BH2674,0),2)</f>
        <v>0</v>
      </c>
      <c r="AG2674" s="10" t="s">
        <v>3191</v>
      </c>
      <c r="AH2674" s="25">
        <f>IF(AL2674=0,K2674,0)</f>
        <v>0</v>
      </c>
      <c r="AI2674" s="25">
        <f>IF(AL2674=12,K2674,0)</f>
        <v>0</v>
      </c>
      <c r="AJ2674" s="25">
        <f>IF(AL2674=21,K2674,0)</f>
        <v>0</v>
      </c>
      <c r="AL2674" s="25">
        <v>21</v>
      </c>
      <c r="AM2674" s="25">
        <f>H2674*0.863636364</f>
        <v>0</v>
      </c>
      <c r="AN2674" s="25">
        <f>H2674*(1-0.863636364)</f>
        <v>0</v>
      </c>
      <c r="AO2674" s="27" t="s">
        <v>81</v>
      </c>
      <c r="AT2674" s="25">
        <f>ROUND(AU2674+AV2674,2)</f>
        <v>0</v>
      </c>
      <c r="AU2674" s="25">
        <f>ROUND(G2674*AM2674,2)</f>
        <v>0</v>
      </c>
      <c r="AV2674" s="25">
        <f>ROUND(G2674*AN2674,2)</f>
        <v>0</v>
      </c>
      <c r="AW2674" s="27" t="s">
        <v>3305</v>
      </c>
      <c r="AX2674" s="27" t="s">
        <v>3196</v>
      </c>
      <c r="AY2674" s="10" t="s">
        <v>3197</v>
      </c>
      <c r="BA2674" s="25">
        <f>AU2674+AV2674</f>
        <v>0</v>
      </c>
      <c r="BB2674" s="25">
        <f>H2674/(100-BC2674)*100</f>
        <v>0</v>
      </c>
      <c r="BC2674" s="25">
        <v>0</v>
      </c>
      <c r="BD2674" s="25">
        <f>M2674</f>
        <v>0</v>
      </c>
      <c r="BF2674" s="25">
        <f>G2674*AM2674</f>
        <v>0</v>
      </c>
      <c r="BG2674" s="25">
        <f>G2674*AN2674</f>
        <v>0</v>
      </c>
      <c r="BH2674" s="25">
        <f>G2674*H2674</f>
        <v>0</v>
      </c>
      <c r="BI2674" s="27" t="s">
        <v>65</v>
      </c>
      <c r="BJ2674" s="25"/>
      <c r="BU2674" s="25" t="e">
        <f>#REF!</f>
        <v>#REF!</v>
      </c>
      <c r="BV2674" s="4" t="s">
        <v>3332</v>
      </c>
    </row>
    <row r="2675" spans="1:74" ht="14.4" x14ac:dyDescent="0.3">
      <c r="A2675" s="28"/>
      <c r="D2675" s="29" t="s">
        <v>81</v>
      </c>
      <c r="E2675" s="29" t="s">
        <v>52</v>
      </c>
      <c r="G2675" s="30">
        <v>2</v>
      </c>
      <c r="H2675" s="63"/>
      <c r="N2675" s="31"/>
    </row>
    <row r="2676" spans="1:74" ht="14.4" x14ac:dyDescent="0.3">
      <c r="A2676" s="2" t="s">
        <v>3333</v>
      </c>
      <c r="B2676" s="3" t="s">
        <v>3191</v>
      </c>
      <c r="C2676" s="3" t="s">
        <v>3334</v>
      </c>
      <c r="D2676" s="112" t="s">
        <v>3335</v>
      </c>
      <c r="E2676" s="109"/>
      <c r="F2676" s="3" t="s">
        <v>115</v>
      </c>
      <c r="G2676" s="25">
        <v>320</v>
      </c>
      <c r="H2676" s="62"/>
      <c r="I2676" s="25">
        <f>ROUND(G2676*AM2676,2)</f>
        <v>0</v>
      </c>
      <c r="J2676" s="25">
        <f>ROUND(G2676*AN2676,2)</f>
        <v>0</v>
      </c>
      <c r="K2676" s="25">
        <f>ROUND(G2676*H2676,2)</f>
        <v>0</v>
      </c>
      <c r="L2676" s="25">
        <v>0</v>
      </c>
      <c r="M2676" s="25">
        <f>G2676*L2676</f>
        <v>0</v>
      </c>
      <c r="N2676" s="26"/>
      <c r="X2676" s="25">
        <f>ROUND(IF(AO2676="5",BH2676,0),2)</f>
        <v>0</v>
      </c>
      <c r="Z2676" s="25">
        <f>ROUND(IF(AO2676="1",BF2676,0),2)</f>
        <v>0</v>
      </c>
      <c r="AA2676" s="25">
        <f>ROUND(IF(AO2676="1",BG2676,0),2)</f>
        <v>0</v>
      </c>
      <c r="AB2676" s="25">
        <f>ROUND(IF(AO2676="7",BF2676,0),2)</f>
        <v>0</v>
      </c>
      <c r="AC2676" s="25">
        <f>ROUND(IF(AO2676="7",BG2676,0),2)</f>
        <v>0</v>
      </c>
      <c r="AD2676" s="25">
        <f>ROUND(IF(AO2676="2",BF2676,0),2)</f>
        <v>0</v>
      </c>
      <c r="AE2676" s="25">
        <f>ROUND(IF(AO2676="2",BG2676,0),2)</f>
        <v>0</v>
      </c>
      <c r="AF2676" s="25">
        <f>ROUND(IF(AO2676="0",BH2676,0),2)</f>
        <v>0</v>
      </c>
      <c r="AG2676" s="10" t="s">
        <v>3191</v>
      </c>
      <c r="AH2676" s="25">
        <f>IF(AL2676=0,K2676,0)</f>
        <v>0</v>
      </c>
      <c r="AI2676" s="25">
        <f>IF(AL2676=12,K2676,0)</f>
        <v>0</v>
      </c>
      <c r="AJ2676" s="25">
        <f>IF(AL2676=21,K2676,0)</f>
        <v>0</v>
      </c>
      <c r="AL2676" s="25">
        <v>21</v>
      </c>
      <c r="AM2676" s="25">
        <f>H2676*0</f>
        <v>0</v>
      </c>
      <c r="AN2676" s="25">
        <f>H2676*(1-0)</f>
        <v>0</v>
      </c>
      <c r="AO2676" s="27" t="s">
        <v>81</v>
      </c>
      <c r="AT2676" s="25">
        <f>ROUND(AU2676+AV2676,2)</f>
        <v>0</v>
      </c>
      <c r="AU2676" s="25">
        <f>ROUND(G2676*AM2676,2)</f>
        <v>0</v>
      </c>
      <c r="AV2676" s="25">
        <f>ROUND(G2676*AN2676,2)</f>
        <v>0</v>
      </c>
      <c r="AW2676" s="27" t="s">
        <v>3305</v>
      </c>
      <c r="AX2676" s="27" t="s">
        <v>3196</v>
      </c>
      <c r="AY2676" s="10" t="s">
        <v>3197</v>
      </c>
      <c r="BA2676" s="25">
        <f>AU2676+AV2676</f>
        <v>0</v>
      </c>
      <c r="BB2676" s="25">
        <f>H2676/(100-BC2676)*100</f>
        <v>0</v>
      </c>
      <c r="BC2676" s="25">
        <v>0</v>
      </c>
      <c r="BD2676" s="25">
        <f>M2676</f>
        <v>0</v>
      </c>
      <c r="BF2676" s="25">
        <f>G2676*AM2676</f>
        <v>0</v>
      </c>
      <c r="BG2676" s="25">
        <f>G2676*AN2676</f>
        <v>0</v>
      </c>
      <c r="BH2676" s="25">
        <f>G2676*H2676</f>
        <v>0</v>
      </c>
      <c r="BI2676" s="27" t="s">
        <v>65</v>
      </c>
      <c r="BJ2676" s="25"/>
      <c r="BU2676" s="25" t="e">
        <f>#REF!</f>
        <v>#REF!</v>
      </c>
      <c r="BV2676" s="4" t="s">
        <v>3335</v>
      </c>
    </row>
    <row r="2677" spans="1:74" ht="14.4" x14ac:dyDescent="0.3">
      <c r="A2677" s="28"/>
      <c r="D2677" s="29" t="s">
        <v>3336</v>
      </c>
      <c r="E2677" s="29" t="s">
        <v>52</v>
      </c>
      <c r="G2677" s="30">
        <v>320</v>
      </c>
      <c r="H2677" s="63"/>
      <c r="N2677" s="31"/>
    </row>
    <row r="2678" spans="1:74" ht="14.4" x14ac:dyDescent="0.3">
      <c r="A2678" s="2" t="s">
        <v>3337</v>
      </c>
      <c r="B2678" s="3" t="s">
        <v>3191</v>
      </c>
      <c r="C2678" s="3" t="s">
        <v>3338</v>
      </c>
      <c r="D2678" s="112" t="s">
        <v>3339</v>
      </c>
      <c r="E2678" s="109"/>
      <c r="F2678" s="3" t="s">
        <v>115</v>
      </c>
      <c r="G2678" s="25">
        <v>180</v>
      </c>
      <c r="H2678" s="62"/>
      <c r="I2678" s="25">
        <f>ROUND(G2678*AM2678,2)</f>
        <v>0</v>
      </c>
      <c r="J2678" s="25">
        <f>ROUND(G2678*AN2678,2)</f>
        <v>0</v>
      </c>
      <c r="K2678" s="25">
        <f>ROUND(G2678*H2678,2)</f>
        <v>0</v>
      </c>
      <c r="L2678" s="25">
        <v>5.0000000000000002E-5</v>
      </c>
      <c r="M2678" s="25">
        <f>G2678*L2678</f>
        <v>9.0000000000000011E-3</v>
      </c>
      <c r="N2678" s="26"/>
      <c r="X2678" s="25">
        <f>ROUND(IF(AO2678="5",BH2678,0),2)</f>
        <v>0</v>
      </c>
      <c r="Z2678" s="25">
        <f>ROUND(IF(AO2678="1",BF2678,0),2)</f>
        <v>0</v>
      </c>
      <c r="AA2678" s="25">
        <f>ROUND(IF(AO2678="1",BG2678,0),2)</f>
        <v>0</v>
      </c>
      <c r="AB2678" s="25">
        <f>ROUND(IF(AO2678="7",BF2678,0),2)</f>
        <v>0</v>
      </c>
      <c r="AC2678" s="25">
        <f>ROUND(IF(AO2678="7",BG2678,0),2)</f>
        <v>0</v>
      </c>
      <c r="AD2678" s="25">
        <f>ROUND(IF(AO2678="2",BF2678,0),2)</f>
        <v>0</v>
      </c>
      <c r="AE2678" s="25">
        <f>ROUND(IF(AO2678="2",BG2678,0),2)</f>
        <v>0</v>
      </c>
      <c r="AF2678" s="25">
        <f>ROUND(IF(AO2678="0",BH2678,0),2)</f>
        <v>0</v>
      </c>
      <c r="AG2678" s="10" t="s">
        <v>3191</v>
      </c>
      <c r="AH2678" s="25">
        <f>IF(AL2678=0,K2678,0)</f>
        <v>0</v>
      </c>
      <c r="AI2678" s="25">
        <f>IF(AL2678=12,K2678,0)</f>
        <v>0</v>
      </c>
      <c r="AJ2678" s="25">
        <f>IF(AL2678=21,K2678,0)</f>
        <v>0</v>
      </c>
      <c r="AL2678" s="25">
        <v>21</v>
      </c>
      <c r="AM2678" s="25">
        <f>H2678*0.102293056</f>
        <v>0</v>
      </c>
      <c r="AN2678" s="25">
        <f>H2678*(1-0.102293056)</f>
        <v>0</v>
      </c>
      <c r="AO2678" s="27" t="s">
        <v>81</v>
      </c>
      <c r="AT2678" s="25">
        <f>ROUND(AU2678+AV2678,2)</f>
        <v>0</v>
      </c>
      <c r="AU2678" s="25">
        <f>ROUND(G2678*AM2678,2)</f>
        <v>0</v>
      </c>
      <c r="AV2678" s="25">
        <f>ROUND(G2678*AN2678,2)</f>
        <v>0</v>
      </c>
      <c r="AW2678" s="27" t="s">
        <v>3305</v>
      </c>
      <c r="AX2678" s="27" t="s">
        <v>3196</v>
      </c>
      <c r="AY2678" s="10" t="s">
        <v>3197</v>
      </c>
      <c r="BA2678" s="25">
        <f>AU2678+AV2678</f>
        <v>0</v>
      </c>
      <c r="BB2678" s="25">
        <f>H2678/(100-BC2678)*100</f>
        <v>0</v>
      </c>
      <c r="BC2678" s="25">
        <v>0</v>
      </c>
      <c r="BD2678" s="25">
        <f>M2678</f>
        <v>9.0000000000000011E-3</v>
      </c>
      <c r="BF2678" s="25">
        <f>G2678*AM2678</f>
        <v>0</v>
      </c>
      <c r="BG2678" s="25">
        <f>G2678*AN2678</f>
        <v>0</v>
      </c>
      <c r="BH2678" s="25">
        <f>G2678*H2678</f>
        <v>0</v>
      </c>
      <c r="BI2678" s="27" t="s">
        <v>65</v>
      </c>
      <c r="BJ2678" s="25"/>
      <c r="BU2678" s="25" t="e">
        <f>#REF!</f>
        <v>#REF!</v>
      </c>
      <c r="BV2678" s="4" t="s">
        <v>3339</v>
      </c>
    </row>
    <row r="2679" spans="1:74" ht="14.4" x14ac:dyDescent="0.3">
      <c r="A2679" s="28"/>
      <c r="D2679" s="29" t="s">
        <v>999</v>
      </c>
      <c r="E2679" s="29" t="s">
        <v>52</v>
      </c>
      <c r="G2679" s="30">
        <v>180</v>
      </c>
      <c r="H2679" s="63"/>
      <c r="N2679" s="31"/>
    </row>
    <row r="2680" spans="1:74" ht="14.4" x14ac:dyDescent="0.3">
      <c r="A2680" s="2" t="s">
        <v>3340</v>
      </c>
      <c r="B2680" s="3" t="s">
        <v>3191</v>
      </c>
      <c r="C2680" s="3" t="s">
        <v>3011</v>
      </c>
      <c r="D2680" s="112" t="s">
        <v>3341</v>
      </c>
      <c r="E2680" s="109"/>
      <c r="F2680" s="3" t="s">
        <v>115</v>
      </c>
      <c r="G2680" s="25">
        <v>140</v>
      </c>
      <c r="H2680" s="62"/>
      <c r="I2680" s="25">
        <f>ROUND(G2680*AM2680,2)</f>
        <v>0</v>
      </c>
      <c r="J2680" s="25">
        <f>ROUND(G2680*AN2680,2)</f>
        <v>0</v>
      </c>
      <c r="K2680" s="25">
        <f>ROUND(G2680*H2680,2)</f>
        <v>0</v>
      </c>
      <c r="L2680" s="25">
        <v>1.6000000000000001E-4</v>
      </c>
      <c r="M2680" s="25">
        <f>G2680*L2680</f>
        <v>2.2400000000000003E-2</v>
      </c>
      <c r="N2680" s="26"/>
      <c r="X2680" s="25">
        <f>ROUND(IF(AO2680="5",BH2680,0),2)</f>
        <v>0</v>
      </c>
      <c r="Z2680" s="25">
        <f>ROUND(IF(AO2680="1",BF2680,0),2)</f>
        <v>0</v>
      </c>
      <c r="AA2680" s="25">
        <f>ROUND(IF(AO2680="1",BG2680,0),2)</f>
        <v>0</v>
      </c>
      <c r="AB2680" s="25">
        <f>ROUND(IF(AO2680="7",BF2680,0),2)</f>
        <v>0</v>
      </c>
      <c r="AC2680" s="25">
        <f>ROUND(IF(AO2680="7",BG2680,0),2)</f>
        <v>0</v>
      </c>
      <c r="AD2680" s="25">
        <f>ROUND(IF(AO2680="2",BF2680,0),2)</f>
        <v>0</v>
      </c>
      <c r="AE2680" s="25">
        <f>ROUND(IF(AO2680="2",BG2680,0),2)</f>
        <v>0</v>
      </c>
      <c r="AF2680" s="25">
        <f>ROUND(IF(AO2680="0",BH2680,0),2)</f>
        <v>0</v>
      </c>
      <c r="AG2680" s="10" t="s">
        <v>3191</v>
      </c>
      <c r="AH2680" s="25">
        <f>IF(AL2680=0,K2680,0)</f>
        <v>0</v>
      </c>
      <c r="AI2680" s="25">
        <f>IF(AL2680=12,K2680,0)</f>
        <v>0</v>
      </c>
      <c r="AJ2680" s="25">
        <f>IF(AL2680=21,K2680,0)</f>
        <v>0</v>
      </c>
      <c r="AL2680" s="25">
        <v>21</v>
      </c>
      <c r="AM2680" s="25">
        <f>H2680*0.652580645</f>
        <v>0</v>
      </c>
      <c r="AN2680" s="25">
        <f>H2680*(1-0.652580645)</f>
        <v>0</v>
      </c>
      <c r="AO2680" s="27" t="s">
        <v>81</v>
      </c>
      <c r="AT2680" s="25">
        <f>ROUND(AU2680+AV2680,2)</f>
        <v>0</v>
      </c>
      <c r="AU2680" s="25">
        <f>ROUND(G2680*AM2680,2)</f>
        <v>0</v>
      </c>
      <c r="AV2680" s="25">
        <f>ROUND(G2680*AN2680,2)</f>
        <v>0</v>
      </c>
      <c r="AW2680" s="27" t="s">
        <v>3305</v>
      </c>
      <c r="AX2680" s="27" t="s">
        <v>3196</v>
      </c>
      <c r="AY2680" s="10" t="s">
        <v>3197</v>
      </c>
      <c r="BA2680" s="25">
        <f>AU2680+AV2680</f>
        <v>0</v>
      </c>
      <c r="BB2680" s="25">
        <f>H2680/(100-BC2680)*100</f>
        <v>0</v>
      </c>
      <c r="BC2680" s="25">
        <v>0</v>
      </c>
      <c r="BD2680" s="25">
        <f>M2680</f>
        <v>2.2400000000000003E-2</v>
      </c>
      <c r="BF2680" s="25">
        <f>G2680*AM2680</f>
        <v>0</v>
      </c>
      <c r="BG2680" s="25">
        <f>G2680*AN2680</f>
        <v>0</v>
      </c>
      <c r="BH2680" s="25">
        <f>G2680*H2680</f>
        <v>0</v>
      </c>
      <c r="BI2680" s="27" t="s">
        <v>65</v>
      </c>
      <c r="BJ2680" s="25"/>
      <c r="BU2680" s="25" t="e">
        <f>#REF!</f>
        <v>#REF!</v>
      </c>
      <c r="BV2680" s="4" t="s">
        <v>3341</v>
      </c>
    </row>
    <row r="2681" spans="1:74" ht="14.4" x14ac:dyDescent="0.3">
      <c r="A2681" s="28"/>
      <c r="D2681" s="29" t="s">
        <v>837</v>
      </c>
      <c r="E2681" s="29" t="s">
        <v>52</v>
      </c>
      <c r="G2681" s="30">
        <v>140</v>
      </c>
      <c r="H2681" s="63"/>
      <c r="N2681" s="31"/>
    </row>
    <row r="2682" spans="1:74" ht="14.4" x14ac:dyDescent="0.3">
      <c r="A2682" s="2" t="s">
        <v>3342</v>
      </c>
      <c r="B2682" s="3" t="s">
        <v>3191</v>
      </c>
      <c r="C2682" s="3" t="s">
        <v>3343</v>
      </c>
      <c r="D2682" s="112" t="s">
        <v>3344</v>
      </c>
      <c r="E2682" s="109"/>
      <c r="F2682" s="3" t="s">
        <v>2183</v>
      </c>
      <c r="G2682" s="25">
        <v>15</v>
      </c>
      <c r="H2682" s="62"/>
      <c r="I2682" s="25">
        <f>ROUND(G2682*AM2682,2)</f>
        <v>0</v>
      </c>
      <c r="J2682" s="25">
        <f>ROUND(G2682*AN2682,2)</f>
        <v>0</v>
      </c>
      <c r="K2682" s="25">
        <f>ROUND(G2682*H2682,2)</f>
        <v>0</v>
      </c>
      <c r="L2682" s="25">
        <v>0</v>
      </c>
      <c r="M2682" s="25">
        <f>G2682*L2682</f>
        <v>0</v>
      </c>
      <c r="N2682" s="26"/>
      <c r="X2682" s="25">
        <f>ROUND(IF(AO2682="5",BH2682,0),2)</f>
        <v>0</v>
      </c>
      <c r="Z2682" s="25">
        <f>ROUND(IF(AO2682="1",BF2682,0),2)</f>
        <v>0</v>
      </c>
      <c r="AA2682" s="25">
        <f>ROUND(IF(AO2682="1",BG2682,0),2)</f>
        <v>0</v>
      </c>
      <c r="AB2682" s="25">
        <f>ROUND(IF(AO2682="7",BF2682,0),2)</f>
        <v>0</v>
      </c>
      <c r="AC2682" s="25">
        <f>ROUND(IF(AO2682="7",BG2682,0),2)</f>
        <v>0</v>
      </c>
      <c r="AD2682" s="25">
        <f>ROUND(IF(AO2682="2",BF2682,0),2)</f>
        <v>0</v>
      </c>
      <c r="AE2682" s="25">
        <f>ROUND(IF(AO2682="2",BG2682,0),2)</f>
        <v>0</v>
      </c>
      <c r="AF2682" s="25">
        <f>ROUND(IF(AO2682="0",BH2682,0),2)</f>
        <v>0</v>
      </c>
      <c r="AG2682" s="10" t="s">
        <v>3191</v>
      </c>
      <c r="AH2682" s="25">
        <f>IF(AL2682=0,K2682,0)</f>
        <v>0</v>
      </c>
      <c r="AI2682" s="25">
        <f>IF(AL2682=12,K2682,0)</f>
        <v>0</v>
      </c>
      <c r="AJ2682" s="25">
        <f>IF(AL2682=21,K2682,0)</f>
        <v>0</v>
      </c>
      <c r="AL2682" s="25">
        <v>21</v>
      </c>
      <c r="AM2682" s="25">
        <f>H2682*1</f>
        <v>0</v>
      </c>
      <c r="AN2682" s="25">
        <f>H2682*(1-1)</f>
        <v>0</v>
      </c>
      <c r="AO2682" s="27" t="s">
        <v>81</v>
      </c>
      <c r="AT2682" s="25">
        <f>ROUND(AU2682+AV2682,2)</f>
        <v>0</v>
      </c>
      <c r="AU2682" s="25">
        <f>ROUND(G2682*AM2682,2)</f>
        <v>0</v>
      </c>
      <c r="AV2682" s="25">
        <f>ROUND(G2682*AN2682,2)</f>
        <v>0</v>
      </c>
      <c r="AW2682" s="27" t="s">
        <v>3305</v>
      </c>
      <c r="AX2682" s="27" t="s">
        <v>3196</v>
      </c>
      <c r="AY2682" s="10" t="s">
        <v>3197</v>
      </c>
      <c r="BA2682" s="25">
        <f>AU2682+AV2682</f>
        <v>0</v>
      </c>
      <c r="BB2682" s="25">
        <f>H2682/(100-BC2682)*100</f>
        <v>0</v>
      </c>
      <c r="BC2682" s="25">
        <v>0</v>
      </c>
      <c r="BD2682" s="25">
        <f>M2682</f>
        <v>0</v>
      </c>
      <c r="BF2682" s="25">
        <f>G2682*AM2682</f>
        <v>0</v>
      </c>
      <c r="BG2682" s="25">
        <f>G2682*AN2682</f>
        <v>0</v>
      </c>
      <c r="BH2682" s="25">
        <f>G2682*H2682</f>
        <v>0</v>
      </c>
      <c r="BI2682" s="27" t="s">
        <v>65</v>
      </c>
      <c r="BJ2682" s="25"/>
      <c r="BU2682" s="25" t="e">
        <f>#REF!</f>
        <v>#REF!</v>
      </c>
      <c r="BV2682" s="4" t="s">
        <v>3344</v>
      </c>
    </row>
    <row r="2683" spans="1:74" ht="14.4" x14ac:dyDescent="0.3">
      <c r="A2683" s="2" t="s">
        <v>3345</v>
      </c>
      <c r="B2683" s="3" t="s">
        <v>3191</v>
      </c>
      <c r="C2683" s="3" t="s">
        <v>3346</v>
      </c>
      <c r="D2683" s="112" t="s">
        <v>3347</v>
      </c>
      <c r="E2683" s="109"/>
      <c r="F2683" s="3" t="s">
        <v>122</v>
      </c>
      <c r="G2683" s="25">
        <v>3</v>
      </c>
      <c r="H2683" s="62"/>
      <c r="I2683" s="25">
        <f>ROUND(G2683*AM2683,2)</f>
        <v>0</v>
      </c>
      <c r="J2683" s="25">
        <f>ROUND(G2683*AN2683,2)</f>
        <v>0</v>
      </c>
      <c r="K2683" s="25">
        <f>ROUND(G2683*H2683,2)</f>
        <v>0</v>
      </c>
      <c r="L2683" s="25">
        <v>0</v>
      </c>
      <c r="M2683" s="25">
        <f>G2683*L2683</f>
        <v>0</v>
      </c>
      <c r="N2683" s="26"/>
      <c r="X2683" s="25">
        <f>ROUND(IF(AO2683="5",BH2683,0),2)</f>
        <v>0</v>
      </c>
      <c r="Z2683" s="25">
        <f>ROUND(IF(AO2683="1",BF2683,0),2)</f>
        <v>0</v>
      </c>
      <c r="AA2683" s="25">
        <f>ROUND(IF(AO2683="1",BG2683,0),2)</f>
        <v>0</v>
      </c>
      <c r="AB2683" s="25">
        <f>ROUND(IF(AO2683="7",BF2683,0),2)</f>
        <v>0</v>
      </c>
      <c r="AC2683" s="25">
        <f>ROUND(IF(AO2683="7",BG2683,0),2)</f>
        <v>0</v>
      </c>
      <c r="AD2683" s="25">
        <f>ROUND(IF(AO2683="2",BF2683,0),2)</f>
        <v>0</v>
      </c>
      <c r="AE2683" s="25">
        <f>ROUND(IF(AO2683="2",BG2683,0),2)</f>
        <v>0</v>
      </c>
      <c r="AF2683" s="25">
        <f>ROUND(IF(AO2683="0",BH2683,0),2)</f>
        <v>0</v>
      </c>
      <c r="AG2683" s="10" t="s">
        <v>3191</v>
      </c>
      <c r="AH2683" s="25">
        <f>IF(AL2683=0,K2683,0)</f>
        <v>0</v>
      </c>
      <c r="AI2683" s="25">
        <f>IF(AL2683=12,K2683,0)</f>
        <v>0</v>
      </c>
      <c r="AJ2683" s="25">
        <f>IF(AL2683=21,K2683,0)</f>
        <v>0</v>
      </c>
      <c r="AL2683" s="25">
        <v>21</v>
      </c>
      <c r="AM2683" s="25">
        <f>H2683*0</f>
        <v>0</v>
      </c>
      <c r="AN2683" s="25">
        <f>H2683*(1-0)</f>
        <v>0</v>
      </c>
      <c r="AO2683" s="27" t="s">
        <v>81</v>
      </c>
      <c r="AT2683" s="25">
        <f>ROUND(AU2683+AV2683,2)</f>
        <v>0</v>
      </c>
      <c r="AU2683" s="25">
        <f>ROUND(G2683*AM2683,2)</f>
        <v>0</v>
      </c>
      <c r="AV2683" s="25">
        <f>ROUND(G2683*AN2683,2)</f>
        <v>0</v>
      </c>
      <c r="AW2683" s="27" t="s">
        <v>3305</v>
      </c>
      <c r="AX2683" s="27" t="s">
        <v>3196</v>
      </c>
      <c r="AY2683" s="10" t="s">
        <v>3197</v>
      </c>
      <c r="BA2683" s="25">
        <f>AU2683+AV2683</f>
        <v>0</v>
      </c>
      <c r="BB2683" s="25">
        <f>H2683/(100-BC2683)*100</f>
        <v>0</v>
      </c>
      <c r="BC2683" s="25">
        <v>0</v>
      </c>
      <c r="BD2683" s="25">
        <f>M2683</f>
        <v>0</v>
      </c>
      <c r="BF2683" s="25">
        <f>G2683*AM2683</f>
        <v>0</v>
      </c>
      <c r="BG2683" s="25">
        <f>G2683*AN2683</f>
        <v>0</v>
      </c>
      <c r="BH2683" s="25">
        <f>G2683*H2683</f>
        <v>0</v>
      </c>
      <c r="BI2683" s="27" t="s">
        <v>65</v>
      </c>
      <c r="BJ2683" s="25"/>
      <c r="BU2683" s="25" t="e">
        <f>#REF!</f>
        <v>#REF!</v>
      </c>
      <c r="BV2683" s="4" t="s">
        <v>3347</v>
      </c>
    </row>
    <row r="2684" spans="1:74" ht="14.4" x14ac:dyDescent="0.3">
      <c r="A2684" s="28"/>
      <c r="D2684" s="29" t="s">
        <v>87</v>
      </c>
      <c r="E2684" s="29" t="s">
        <v>52</v>
      </c>
      <c r="G2684" s="30">
        <v>3</v>
      </c>
      <c r="H2684" s="63"/>
      <c r="N2684" s="31"/>
    </row>
    <row r="2685" spans="1:74" ht="14.4" x14ac:dyDescent="0.3">
      <c r="A2685" s="2" t="s">
        <v>3348</v>
      </c>
      <c r="B2685" s="3" t="s">
        <v>3191</v>
      </c>
      <c r="C2685" s="3" t="s">
        <v>3349</v>
      </c>
      <c r="D2685" s="112" t="s">
        <v>3015</v>
      </c>
      <c r="E2685" s="109"/>
      <c r="F2685" s="3" t="s">
        <v>60</v>
      </c>
      <c r="G2685" s="25">
        <v>0.3</v>
      </c>
      <c r="H2685" s="62"/>
      <c r="I2685" s="25">
        <f>ROUND(G2685*AM2685,2)</f>
        <v>0</v>
      </c>
      <c r="J2685" s="25">
        <f>ROUND(G2685*AN2685,2)</f>
        <v>0</v>
      </c>
      <c r="K2685" s="25">
        <f>ROUND(G2685*H2685,2)</f>
        <v>0</v>
      </c>
      <c r="L2685" s="25">
        <v>0</v>
      </c>
      <c r="M2685" s="25">
        <f>G2685*L2685</f>
        <v>0</v>
      </c>
      <c r="N2685" s="102"/>
      <c r="X2685" s="25">
        <f>ROUND(IF(AO2685="5",BH2685,0),2)</f>
        <v>0</v>
      </c>
      <c r="Z2685" s="25">
        <f>ROUND(IF(AO2685="1",BF2685,0),2)</f>
        <v>0</v>
      </c>
      <c r="AA2685" s="25">
        <f>ROUND(IF(AO2685="1",BG2685,0),2)</f>
        <v>0</v>
      </c>
      <c r="AB2685" s="25">
        <f>ROUND(IF(AO2685="7",BF2685,0),2)</f>
        <v>0</v>
      </c>
      <c r="AC2685" s="25">
        <f>ROUND(IF(AO2685="7",BG2685,0),2)</f>
        <v>0</v>
      </c>
      <c r="AD2685" s="25">
        <f>ROUND(IF(AO2685="2",BF2685,0),2)</f>
        <v>0</v>
      </c>
      <c r="AE2685" s="25">
        <f>ROUND(IF(AO2685="2",BG2685,0),2)</f>
        <v>0</v>
      </c>
      <c r="AF2685" s="25">
        <f>ROUND(IF(AO2685="0",BH2685,0),2)</f>
        <v>0</v>
      </c>
      <c r="AG2685" s="10" t="s">
        <v>3191</v>
      </c>
      <c r="AH2685" s="25">
        <f>IF(AL2685=0,K2685,0)</f>
        <v>0</v>
      </c>
      <c r="AI2685" s="25">
        <f>IF(AL2685=12,K2685,0)</f>
        <v>0</v>
      </c>
      <c r="AJ2685" s="25">
        <f>IF(AL2685=21,K2685,0)</f>
        <v>0</v>
      </c>
      <c r="AL2685" s="25">
        <v>21</v>
      </c>
      <c r="AM2685" s="25">
        <f>H2685*0</f>
        <v>0</v>
      </c>
      <c r="AN2685" s="25">
        <f>H2685*(1-0)</f>
        <v>0</v>
      </c>
      <c r="AO2685" s="27" t="s">
        <v>81</v>
      </c>
      <c r="AT2685" s="25">
        <f>ROUND(AU2685+AV2685,2)</f>
        <v>0</v>
      </c>
      <c r="AU2685" s="25">
        <f>ROUND(G2685*AM2685,2)</f>
        <v>0</v>
      </c>
      <c r="AV2685" s="25">
        <f>ROUND(G2685*AN2685,2)</f>
        <v>0</v>
      </c>
      <c r="AW2685" s="27" t="s">
        <v>3305</v>
      </c>
      <c r="AX2685" s="27" t="s">
        <v>3196</v>
      </c>
      <c r="AY2685" s="10" t="s">
        <v>3197</v>
      </c>
      <c r="BA2685" s="25">
        <f>AU2685+AV2685</f>
        <v>0</v>
      </c>
      <c r="BB2685" s="25">
        <f>H2685/(100-BC2685)*100</f>
        <v>0</v>
      </c>
      <c r="BC2685" s="25">
        <v>0</v>
      </c>
      <c r="BD2685" s="25">
        <f>M2685</f>
        <v>0</v>
      </c>
      <c r="BF2685" s="25">
        <f>G2685*AM2685</f>
        <v>0</v>
      </c>
      <c r="BG2685" s="25">
        <f>G2685*AN2685</f>
        <v>0</v>
      </c>
      <c r="BH2685" s="25">
        <f>G2685*H2685</f>
        <v>0</v>
      </c>
      <c r="BI2685" s="27" t="s">
        <v>65</v>
      </c>
      <c r="BJ2685" s="25"/>
      <c r="BU2685" s="25" t="e">
        <f>#REF!</f>
        <v>#REF!</v>
      </c>
      <c r="BV2685" s="4" t="s">
        <v>3015</v>
      </c>
    </row>
    <row r="2686" spans="1:74" ht="14.4" x14ac:dyDescent="0.3">
      <c r="A2686" s="28"/>
      <c r="D2686" s="29" t="s">
        <v>272</v>
      </c>
      <c r="E2686" s="29" t="s">
        <v>52</v>
      </c>
      <c r="G2686" s="30">
        <v>0.3</v>
      </c>
      <c r="H2686" s="63"/>
      <c r="N2686" s="31"/>
    </row>
    <row r="2687" spans="1:74" ht="14.4" x14ac:dyDescent="0.3">
      <c r="A2687" s="2" t="s">
        <v>3350</v>
      </c>
      <c r="B2687" s="3" t="s">
        <v>3191</v>
      </c>
      <c r="C2687" s="3" t="s">
        <v>3351</v>
      </c>
      <c r="D2687" s="112" t="s">
        <v>3352</v>
      </c>
      <c r="E2687" s="109"/>
      <c r="F2687" s="3" t="s">
        <v>100</v>
      </c>
      <c r="G2687" s="25">
        <v>18</v>
      </c>
      <c r="H2687" s="62"/>
      <c r="I2687" s="25">
        <f>ROUND(G2687*AM2687,2)</f>
        <v>0</v>
      </c>
      <c r="J2687" s="25">
        <f>ROUND(G2687*AN2687,2)</f>
        <v>0</v>
      </c>
      <c r="K2687" s="25">
        <f>ROUND(G2687*H2687,2)</f>
        <v>0</v>
      </c>
      <c r="L2687" s="25">
        <v>0</v>
      </c>
      <c r="M2687" s="25">
        <f>G2687*L2687</f>
        <v>0</v>
      </c>
      <c r="N2687" s="26"/>
      <c r="X2687" s="25">
        <f>ROUND(IF(AO2687="5",BH2687,0),2)</f>
        <v>0</v>
      </c>
      <c r="Z2687" s="25">
        <f>ROUND(IF(AO2687="1",BF2687,0),2)</f>
        <v>0</v>
      </c>
      <c r="AA2687" s="25">
        <f>ROUND(IF(AO2687="1",BG2687,0),2)</f>
        <v>0</v>
      </c>
      <c r="AB2687" s="25">
        <f>ROUND(IF(AO2687="7",BF2687,0),2)</f>
        <v>0</v>
      </c>
      <c r="AC2687" s="25">
        <f>ROUND(IF(AO2687="7",BG2687,0),2)</f>
        <v>0</v>
      </c>
      <c r="AD2687" s="25">
        <f>ROUND(IF(AO2687="2",BF2687,0),2)</f>
        <v>0</v>
      </c>
      <c r="AE2687" s="25">
        <f>ROUND(IF(AO2687="2",BG2687,0),2)</f>
        <v>0</v>
      </c>
      <c r="AF2687" s="25">
        <f>ROUND(IF(AO2687="0",BH2687,0),2)</f>
        <v>0</v>
      </c>
      <c r="AG2687" s="10" t="s">
        <v>3191</v>
      </c>
      <c r="AH2687" s="25">
        <f>IF(AL2687=0,K2687,0)</f>
        <v>0</v>
      </c>
      <c r="AI2687" s="25">
        <f>IF(AL2687=12,K2687,0)</f>
        <v>0</v>
      </c>
      <c r="AJ2687" s="25">
        <f>IF(AL2687=21,K2687,0)</f>
        <v>0</v>
      </c>
      <c r="AL2687" s="25">
        <v>21</v>
      </c>
      <c r="AM2687" s="25">
        <f>H2687*0</f>
        <v>0</v>
      </c>
      <c r="AN2687" s="25">
        <f>H2687*(1-0)</f>
        <v>0</v>
      </c>
      <c r="AO2687" s="27" t="s">
        <v>57</v>
      </c>
      <c r="AT2687" s="25">
        <f>ROUND(AU2687+AV2687,2)</f>
        <v>0</v>
      </c>
      <c r="AU2687" s="25">
        <f>ROUND(G2687*AM2687,2)</f>
        <v>0</v>
      </c>
      <c r="AV2687" s="25">
        <f>ROUND(G2687*AN2687,2)</f>
        <v>0</v>
      </c>
      <c r="AW2687" s="27" t="s">
        <v>3305</v>
      </c>
      <c r="AX2687" s="27" t="s">
        <v>3196</v>
      </c>
      <c r="AY2687" s="10" t="s">
        <v>3197</v>
      </c>
      <c r="BA2687" s="25">
        <f>AU2687+AV2687</f>
        <v>0</v>
      </c>
      <c r="BB2687" s="25">
        <f>H2687/(100-BC2687)*100</f>
        <v>0</v>
      </c>
      <c r="BC2687" s="25">
        <v>0</v>
      </c>
      <c r="BD2687" s="25">
        <f>M2687</f>
        <v>0</v>
      </c>
      <c r="BF2687" s="25">
        <f>G2687*AM2687</f>
        <v>0</v>
      </c>
      <c r="BG2687" s="25">
        <f>G2687*AN2687</f>
        <v>0</v>
      </c>
      <c r="BH2687" s="25">
        <f>G2687*H2687</f>
        <v>0</v>
      </c>
      <c r="BI2687" s="27" t="s">
        <v>65</v>
      </c>
      <c r="BJ2687" s="25"/>
      <c r="BU2687" s="25" t="e">
        <f>#REF!</f>
        <v>#REF!</v>
      </c>
      <c r="BV2687" s="4" t="s">
        <v>3352</v>
      </c>
    </row>
    <row r="2688" spans="1:74" ht="14.4" x14ac:dyDescent="0.3">
      <c r="A2688" s="28"/>
      <c r="D2688" s="29" t="s">
        <v>187</v>
      </c>
      <c r="E2688" s="29" t="s">
        <v>52</v>
      </c>
      <c r="G2688" s="30">
        <v>18</v>
      </c>
      <c r="H2688" s="63"/>
      <c r="N2688" s="31"/>
    </row>
    <row r="2689" spans="1:74" ht="14.4" x14ac:dyDescent="0.3">
      <c r="A2689" s="2" t="s">
        <v>3353</v>
      </c>
      <c r="B2689" s="3" t="s">
        <v>3191</v>
      </c>
      <c r="C2689" s="3" t="s">
        <v>3354</v>
      </c>
      <c r="D2689" s="112" t="s">
        <v>3355</v>
      </c>
      <c r="E2689" s="109"/>
      <c r="F2689" s="3" t="s">
        <v>860</v>
      </c>
      <c r="G2689" s="25">
        <v>1</v>
      </c>
      <c r="H2689" s="62"/>
      <c r="I2689" s="25">
        <f>ROUND(G2689*AM2689,2)</f>
        <v>0</v>
      </c>
      <c r="J2689" s="25">
        <f>ROUND(G2689*AN2689,2)</f>
        <v>0</v>
      </c>
      <c r="K2689" s="25">
        <f>ROUND(G2689*H2689,2)</f>
        <v>0</v>
      </c>
      <c r="L2689" s="25">
        <v>0</v>
      </c>
      <c r="M2689" s="25">
        <f>G2689*L2689</f>
        <v>0</v>
      </c>
      <c r="N2689" s="102"/>
      <c r="X2689" s="25">
        <f>ROUND(IF(AO2689="5",BH2689,0),2)</f>
        <v>0</v>
      </c>
      <c r="Z2689" s="25">
        <f>ROUND(IF(AO2689="1",BF2689,0),2)</f>
        <v>0</v>
      </c>
      <c r="AA2689" s="25">
        <f>ROUND(IF(AO2689="1",BG2689,0),2)</f>
        <v>0</v>
      </c>
      <c r="AB2689" s="25">
        <f>ROUND(IF(AO2689="7",BF2689,0),2)</f>
        <v>0</v>
      </c>
      <c r="AC2689" s="25">
        <f>ROUND(IF(AO2689="7",BG2689,0),2)</f>
        <v>0</v>
      </c>
      <c r="AD2689" s="25">
        <f>ROUND(IF(AO2689="2",BF2689,0),2)</f>
        <v>0</v>
      </c>
      <c r="AE2689" s="25">
        <f>ROUND(IF(AO2689="2",BG2689,0),2)</f>
        <v>0</v>
      </c>
      <c r="AF2689" s="25">
        <f>ROUND(IF(AO2689="0",BH2689,0),2)</f>
        <v>0</v>
      </c>
      <c r="AG2689" s="10" t="s">
        <v>3191</v>
      </c>
      <c r="AH2689" s="25">
        <f>IF(AL2689=0,K2689,0)</f>
        <v>0</v>
      </c>
      <c r="AI2689" s="25">
        <f>IF(AL2689=12,K2689,0)</f>
        <v>0</v>
      </c>
      <c r="AJ2689" s="25">
        <f>IF(AL2689=21,K2689,0)</f>
        <v>0</v>
      </c>
      <c r="AL2689" s="25">
        <v>21</v>
      </c>
      <c r="AM2689" s="25">
        <f>H2689*0</f>
        <v>0</v>
      </c>
      <c r="AN2689" s="25">
        <f>H2689*(1-0)</f>
        <v>0</v>
      </c>
      <c r="AO2689" s="27" t="s">
        <v>81</v>
      </c>
      <c r="AT2689" s="25">
        <f>ROUND(AU2689+AV2689,2)</f>
        <v>0</v>
      </c>
      <c r="AU2689" s="25">
        <f>ROUND(G2689*AM2689,2)</f>
        <v>0</v>
      </c>
      <c r="AV2689" s="25">
        <f>ROUND(G2689*AN2689,2)</f>
        <v>0</v>
      </c>
      <c r="AW2689" s="27" t="s">
        <v>3305</v>
      </c>
      <c r="AX2689" s="27" t="s">
        <v>3196</v>
      </c>
      <c r="AY2689" s="10" t="s">
        <v>3197</v>
      </c>
      <c r="BA2689" s="25">
        <f>AU2689+AV2689</f>
        <v>0</v>
      </c>
      <c r="BB2689" s="25">
        <f>H2689/(100-BC2689)*100</f>
        <v>0</v>
      </c>
      <c r="BC2689" s="25">
        <v>0</v>
      </c>
      <c r="BD2689" s="25">
        <f>M2689</f>
        <v>0</v>
      </c>
      <c r="BF2689" s="25">
        <f>G2689*AM2689</f>
        <v>0</v>
      </c>
      <c r="BG2689" s="25">
        <f>G2689*AN2689</f>
        <v>0</v>
      </c>
      <c r="BH2689" s="25">
        <f>G2689*H2689</f>
        <v>0</v>
      </c>
      <c r="BI2689" s="27" t="s">
        <v>65</v>
      </c>
      <c r="BJ2689" s="25"/>
      <c r="BU2689" s="25" t="e">
        <f>#REF!</f>
        <v>#REF!</v>
      </c>
      <c r="BV2689" s="4" t="s">
        <v>3355</v>
      </c>
    </row>
    <row r="2690" spans="1:74" ht="14.4" x14ac:dyDescent="0.3">
      <c r="A2690" s="28"/>
      <c r="D2690" s="29" t="s">
        <v>57</v>
      </c>
      <c r="E2690" s="29" t="s">
        <v>52</v>
      </c>
      <c r="G2690" s="30">
        <v>1</v>
      </c>
      <c r="H2690" s="63"/>
      <c r="N2690" s="31"/>
    </row>
    <row r="2691" spans="1:74" ht="14.4" x14ac:dyDescent="0.3">
      <c r="A2691" s="2" t="s">
        <v>3356</v>
      </c>
      <c r="B2691" s="3" t="s">
        <v>3191</v>
      </c>
      <c r="C2691" s="3" t="s">
        <v>3357</v>
      </c>
      <c r="D2691" s="112" t="s">
        <v>3358</v>
      </c>
      <c r="E2691" s="109"/>
      <c r="F2691" s="3" t="s">
        <v>2183</v>
      </c>
      <c r="G2691" s="25">
        <v>40</v>
      </c>
      <c r="H2691" s="62"/>
      <c r="I2691" s="25">
        <f>ROUND(G2691*AM2691,2)</f>
        <v>0</v>
      </c>
      <c r="J2691" s="25">
        <f>ROUND(G2691*AN2691,2)</f>
        <v>0</v>
      </c>
      <c r="K2691" s="25">
        <f>ROUND(G2691*H2691,2)</f>
        <v>0</v>
      </c>
      <c r="L2691" s="25">
        <v>0</v>
      </c>
      <c r="M2691" s="25">
        <f>G2691*L2691</f>
        <v>0</v>
      </c>
      <c r="N2691" s="102"/>
      <c r="X2691" s="25">
        <f>ROUND(IF(AO2691="5",BH2691,0),2)</f>
        <v>0</v>
      </c>
      <c r="Z2691" s="25">
        <f>ROUND(IF(AO2691="1",BF2691,0),2)</f>
        <v>0</v>
      </c>
      <c r="AA2691" s="25">
        <f>ROUND(IF(AO2691="1",BG2691,0),2)</f>
        <v>0</v>
      </c>
      <c r="AB2691" s="25">
        <f>ROUND(IF(AO2691="7",BF2691,0),2)</f>
        <v>0</v>
      </c>
      <c r="AC2691" s="25">
        <f>ROUND(IF(AO2691="7",BG2691,0),2)</f>
        <v>0</v>
      </c>
      <c r="AD2691" s="25">
        <f>ROUND(IF(AO2691="2",BF2691,0),2)</f>
        <v>0</v>
      </c>
      <c r="AE2691" s="25">
        <f>ROUND(IF(AO2691="2",BG2691,0),2)</f>
        <v>0</v>
      </c>
      <c r="AF2691" s="25">
        <f>ROUND(IF(AO2691="0",BH2691,0),2)</f>
        <v>0</v>
      </c>
      <c r="AG2691" s="10" t="s">
        <v>3191</v>
      </c>
      <c r="AH2691" s="25">
        <f>IF(AL2691=0,K2691,0)</f>
        <v>0</v>
      </c>
      <c r="AI2691" s="25">
        <f>IF(AL2691=12,K2691,0)</f>
        <v>0</v>
      </c>
      <c r="AJ2691" s="25">
        <f>IF(AL2691=21,K2691,0)</f>
        <v>0</v>
      </c>
      <c r="AL2691" s="25">
        <v>21</v>
      </c>
      <c r="AM2691" s="25">
        <f>H2691*0</f>
        <v>0</v>
      </c>
      <c r="AN2691" s="25">
        <f>H2691*(1-0)</f>
        <v>0</v>
      </c>
      <c r="AO2691" s="27" t="s">
        <v>81</v>
      </c>
      <c r="AT2691" s="25">
        <f>ROUND(AU2691+AV2691,2)</f>
        <v>0</v>
      </c>
      <c r="AU2691" s="25">
        <f>ROUND(G2691*AM2691,2)</f>
        <v>0</v>
      </c>
      <c r="AV2691" s="25">
        <f>ROUND(G2691*AN2691,2)</f>
        <v>0</v>
      </c>
      <c r="AW2691" s="27" t="s">
        <v>3305</v>
      </c>
      <c r="AX2691" s="27" t="s">
        <v>3196</v>
      </c>
      <c r="AY2691" s="10" t="s">
        <v>3197</v>
      </c>
      <c r="BA2691" s="25">
        <f>AU2691+AV2691</f>
        <v>0</v>
      </c>
      <c r="BB2691" s="25">
        <f>H2691/(100-BC2691)*100</f>
        <v>0</v>
      </c>
      <c r="BC2691" s="25">
        <v>0</v>
      </c>
      <c r="BD2691" s="25">
        <f>M2691</f>
        <v>0</v>
      </c>
      <c r="BF2691" s="25">
        <f>G2691*AM2691</f>
        <v>0</v>
      </c>
      <c r="BG2691" s="25">
        <f>G2691*AN2691</f>
        <v>0</v>
      </c>
      <c r="BH2691" s="25">
        <f>G2691*H2691</f>
        <v>0</v>
      </c>
      <c r="BI2691" s="27" t="s">
        <v>65</v>
      </c>
      <c r="BJ2691" s="25"/>
      <c r="BU2691" s="25" t="e">
        <f>#REF!</f>
        <v>#REF!</v>
      </c>
      <c r="BV2691" s="4" t="s">
        <v>3358</v>
      </c>
    </row>
    <row r="2692" spans="1:74" ht="14.4" x14ac:dyDescent="0.3">
      <c r="A2692" s="2" t="s">
        <v>3359</v>
      </c>
      <c r="B2692" s="3" t="s">
        <v>3191</v>
      </c>
      <c r="C2692" s="3" t="s">
        <v>3360</v>
      </c>
      <c r="D2692" s="112" t="s">
        <v>3361</v>
      </c>
      <c r="E2692" s="109"/>
      <c r="F2692" s="3" t="s">
        <v>2183</v>
      </c>
      <c r="G2692" s="25">
        <v>80</v>
      </c>
      <c r="H2692" s="62"/>
      <c r="I2692" s="25">
        <f>ROUND(G2692*AM2692,2)</f>
        <v>0</v>
      </c>
      <c r="J2692" s="25">
        <f>ROUND(G2692*AN2692,2)</f>
        <v>0</v>
      </c>
      <c r="K2692" s="25">
        <f>ROUND(G2692*H2692,2)</f>
        <v>0</v>
      </c>
      <c r="L2692" s="25">
        <v>0</v>
      </c>
      <c r="M2692" s="25">
        <f>G2692*L2692</f>
        <v>0</v>
      </c>
      <c r="N2692" s="102"/>
      <c r="X2692" s="25">
        <f>ROUND(IF(AO2692="5",BH2692,0),2)</f>
        <v>0</v>
      </c>
      <c r="Z2692" s="25">
        <f>ROUND(IF(AO2692="1",BF2692,0),2)</f>
        <v>0</v>
      </c>
      <c r="AA2692" s="25">
        <f>ROUND(IF(AO2692="1",BG2692,0),2)</f>
        <v>0</v>
      </c>
      <c r="AB2692" s="25">
        <f>ROUND(IF(AO2692="7",BF2692,0),2)</f>
        <v>0</v>
      </c>
      <c r="AC2692" s="25">
        <f>ROUND(IF(AO2692="7",BG2692,0),2)</f>
        <v>0</v>
      </c>
      <c r="AD2692" s="25">
        <f>ROUND(IF(AO2692="2",BF2692,0),2)</f>
        <v>0</v>
      </c>
      <c r="AE2692" s="25">
        <f>ROUND(IF(AO2692="2",BG2692,0),2)</f>
        <v>0</v>
      </c>
      <c r="AF2692" s="25">
        <f>ROUND(IF(AO2692="0",BH2692,0),2)</f>
        <v>0</v>
      </c>
      <c r="AG2692" s="10" t="s">
        <v>3191</v>
      </c>
      <c r="AH2692" s="25">
        <f>IF(AL2692=0,K2692,0)</f>
        <v>0</v>
      </c>
      <c r="AI2692" s="25">
        <f>IF(AL2692=12,K2692,0)</f>
        <v>0</v>
      </c>
      <c r="AJ2692" s="25">
        <f>IF(AL2692=21,K2692,0)</f>
        <v>0</v>
      </c>
      <c r="AL2692" s="25">
        <v>21</v>
      </c>
      <c r="AM2692" s="25">
        <f>H2692*0</f>
        <v>0</v>
      </c>
      <c r="AN2692" s="25">
        <f>H2692*(1-0)</f>
        <v>0</v>
      </c>
      <c r="AO2692" s="27" t="s">
        <v>81</v>
      </c>
      <c r="AT2692" s="25">
        <f>ROUND(AU2692+AV2692,2)</f>
        <v>0</v>
      </c>
      <c r="AU2692" s="25">
        <f>ROUND(G2692*AM2692,2)</f>
        <v>0</v>
      </c>
      <c r="AV2692" s="25">
        <f>ROUND(G2692*AN2692,2)</f>
        <v>0</v>
      </c>
      <c r="AW2692" s="27" t="s">
        <v>3305</v>
      </c>
      <c r="AX2692" s="27" t="s">
        <v>3196</v>
      </c>
      <c r="AY2692" s="10" t="s">
        <v>3197</v>
      </c>
      <c r="BA2692" s="25">
        <f>AU2692+AV2692</f>
        <v>0</v>
      </c>
      <c r="BB2692" s="25">
        <f>H2692/(100-BC2692)*100</f>
        <v>0</v>
      </c>
      <c r="BC2692" s="25">
        <v>0</v>
      </c>
      <c r="BD2692" s="25">
        <f>M2692</f>
        <v>0</v>
      </c>
      <c r="BF2692" s="25">
        <f>G2692*AM2692</f>
        <v>0</v>
      </c>
      <c r="BG2692" s="25">
        <f>G2692*AN2692</f>
        <v>0</v>
      </c>
      <c r="BH2692" s="25">
        <f>G2692*H2692</f>
        <v>0</v>
      </c>
      <c r="BI2692" s="27" t="s">
        <v>65</v>
      </c>
      <c r="BJ2692" s="25"/>
      <c r="BU2692" s="25" t="e">
        <f>#REF!</f>
        <v>#REF!</v>
      </c>
      <c r="BV2692" s="4" t="s">
        <v>3361</v>
      </c>
    </row>
    <row r="2693" spans="1:74" ht="14.4" x14ac:dyDescent="0.3">
      <c r="A2693" s="2" t="s">
        <v>3362</v>
      </c>
      <c r="B2693" s="3" t="s">
        <v>3191</v>
      </c>
      <c r="C2693" s="3" t="s">
        <v>3363</v>
      </c>
      <c r="D2693" s="112" t="s">
        <v>3364</v>
      </c>
      <c r="E2693" s="109"/>
      <c r="F2693" s="3" t="s">
        <v>2183</v>
      </c>
      <c r="G2693" s="25">
        <v>40</v>
      </c>
      <c r="H2693" s="62"/>
      <c r="I2693" s="25">
        <f>ROUND(G2693*AM2693,2)</f>
        <v>0</v>
      </c>
      <c r="J2693" s="25">
        <f>ROUND(G2693*AN2693,2)</f>
        <v>0</v>
      </c>
      <c r="K2693" s="25">
        <f>ROUND(G2693*H2693,2)</f>
        <v>0</v>
      </c>
      <c r="L2693" s="25">
        <v>0</v>
      </c>
      <c r="M2693" s="25">
        <f>G2693*L2693</f>
        <v>0</v>
      </c>
      <c r="N2693" s="102"/>
      <c r="X2693" s="25">
        <f>ROUND(IF(AO2693="5",BH2693,0),2)</f>
        <v>0</v>
      </c>
      <c r="Z2693" s="25">
        <f>ROUND(IF(AO2693="1",BF2693,0),2)</f>
        <v>0</v>
      </c>
      <c r="AA2693" s="25">
        <f>ROUND(IF(AO2693="1",BG2693,0),2)</f>
        <v>0</v>
      </c>
      <c r="AB2693" s="25">
        <f>ROUND(IF(AO2693="7",BF2693,0),2)</f>
        <v>0</v>
      </c>
      <c r="AC2693" s="25">
        <f>ROUND(IF(AO2693="7",BG2693,0),2)</f>
        <v>0</v>
      </c>
      <c r="AD2693" s="25">
        <f>ROUND(IF(AO2693="2",BF2693,0),2)</f>
        <v>0</v>
      </c>
      <c r="AE2693" s="25">
        <f>ROUND(IF(AO2693="2",BG2693,0),2)</f>
        <v>0</v>
      </c>
      <c r="AF2693" s="25">
        <f>ROUND(IF(AO2693="0",BH2693,0),2)</f>
        <v>0</v>
      </c>
      <c r="AG2693" s="10" t="s">
        <v>3191</v>
      </c>
      <c r="AH2693" s="25">
        <f>IF(AL2693=0,K2693,0)</f>
        <v>0</v>
      </c>
      <c r="AI2693" s="25">
        <f>IF(AL2693=12,K2693,0)</f>
        <v>0</v>
      </c>
      <c r="AJ2693" s="25">
        <f>IF(AL2693=21,K2693,0)</f>
        <v>0</v>
      </c>
      <c r="AL2693" s="25">
        <v>21</v>
      </c>
      <c r="AM2693" s="25">
        <f>H2693*0</f>
        <v>0</v>
      </c>
      <c r="AN2693" s="25">
        <f>H2693*(1-0)</f>
        <v>0</v>
      </c>
      <c r="AO2693" s="27" t="s">
        <v>81</v>
      </c>
      <c r="AT2693" s="25">
        <f>ROUND(AU2693+AV2693,2)</f>
        <v>0</v>
      </c>
      <c r="AU2693" s="25">
        <f>ROUND(G2693*AM2693,2)</f>
        <v>0</v>
      </c>
      <c r="AV2693" s="25">
        <f>ROUND(G2693*AN2693,2)</f>
        <v>0</v>
      </c>
      <c r="AW2693" s="27" t="s">
        <v>3305</v>
      </c>
      <c r="AX2693" s="27" t="s">
        <v>3196</v>
      </c>
      <c r="AY2693" s="10" t="s">
        <v>3197</v>
      </c>
      <c r="BA2693" s="25">
        <f>AU2693+AV2693</f>
        <v>0</v>
      </c>
      <c r="BB2693" s="25">
        <f>H2693/(100-BC2693)*100</f>
        <v>0</v>
      </c>
      <c r="BC2693" s="25">
        <v>0</v>
      </c>
      <c r="BD2693" s="25">
        <f>M2693</f>
        <v>0</v>
      </c>
      <c r="BF2693" s="25">
        <f>G2693*AM2693</f>
        <v>0</v>
      </c>
      <c r="BG2693" s="25">
        <f>G2693*AN2693</f>
        <v>0</v>
      </c>
      <c r="BH2693" s="25">
        <f>G2693*H2693</f>
        <v>0</v>
      </c>
      <c r="BI2693" s="27" t="s">
        <v>65</v>
      </c>
      <c r="BJ2693" s="25"/>
      <c r="BU2693" s="25" t="e">
        <f>#REF!</f>
        <v>#REF!</v>
      </c>
      <c r="BV2693" s="4" t="s">
        <v>3364</v>
      </c>
    </row>
    <row r="2694" spans="1:74" ht="14.4" x14ac:dyDescent="0.3">
      <c r="A2694" s="2" t="s">
        <v>3365</v>
      </c>
      <c r="B2694" s="3" t="s">
        <v>3191</v>
      </c>
      <c r="C2694" s="3" t="s">
        <v>3366</v>
      </c>
      <c r="D2694" s="112" t="s">
        <v>3367</v>
      </c>
      <c r="E2694" s="109"/>
      <c r="F2694" s="3" t="s">
        <v>2183</v>
      </c>
      <c r="G2694" s="25">
        <v>20</v>
      </c>
      <c r="H2694" s="62"/>
      <c r="I2694" s="25">
        <f>ROUND(G2694*AM2694,2)</f>
        <v>0</v>
      </c>
      <c r="J2694" s="25">
        <f>ROUND(G2694*AN2694,2)</f>
        <v>0</v>
      </c>
      <c r="K2694" s="25">
        <f>ROUND(G2694*H2694,2)</f>
        <v>0</v>
      </c>
      <c r="L2694" s="25">
        <v>0</v>
      </c>
      <c r="M2694" s="25">
        <f>G2694*L2694</f>
        <v>0</v>
      </c>
      <c r="N2694" s="102"/>
      <c r="X2694" s="25">
        <f>ROUND(IF(AO2694="5",BH2694,0),2)</f>
        <v>0</v>
      </c>
      <c r="Z2694" s="25">
        <f>ROUND(IF(AO2694="1",BF2694,0),2)</f>
        <v>0</v>
      </c>
      <c r="AA2694" s="25">
        <f>ROUND(IF(AO2694="1",BG2694,0),2)</f>
        <v>0</v>
      </c>
      <c r="AB2694" s="25">
        <f>ROUND(IF(AO2694="7",BF2694,0),2)</f>
        <v>0</v>
      </c>
      <c r="AC2694" s="25">
        <f>ROUND(IF(AO2694="7",BG2694,0),2)</f>
        <v>0</v>
      </c>
      <c r="AD2694" s="25">
        <f>ROUND(IF(AO2694="2",BF2694,0),2)</f>
        <v>0</v>
      </c>
      <c r="AE2694" s="25">
        <f>ROUND(IF(AO2694="2",BG2694,0),2)</f>
        <v>0</v>
      </c>
      <c r="AF2694" s="25">
        <f>ROUND(IF(AO2694="0",BH2694,0),2)</f>
        <v>0</v>
      </c>
      <c r="AG2694" s="10" t="s">
        <v>3191</v>
      </c>
      <c r="AH2694" s="25">
        <f>IF(AL2694=0,K2694,0)</f>
        <v>0</v>
      </c>
      <c r="AI2694" s="25">
        <f>IF(AL2694=12,K2694,0)</f>
        <v>0</v>
      </c>
      <c r="AJ2694" s="25">
        <f>IF(AL2694=21,K2694,0)</f>
        <v>0</v>
      </c>
      <c r="AL2694" s="25">
        <v>21</v>
      </c>
      <c r="AM2694" s="25">
        <f>H2694*0</f>
        <v>0</v>
      </c>
      <c r="AN2694" s="25">
        <f>H2694*(1-0)</f>
        <v>0</v>
      </c>
      <c r="AO2694" s="27" t="s">
        <v>81</v>
      </c>
      <c r="AT2694" s="25">
        <f>ROUND(AU2694+AV2694,2)</f>
        <v>0</v>
      </c>
      <c r="AU2694" s="25">
        <f>ROUND(G2694*AM2694,2)</f>
        <v>0</v>
      </c>
      <c r="AV2694" s="25">
        <f>ROUND(G2694*AN2694,2)</f>
        <v>0</v>
      </c>
      <c r="AW2694" s="27" t="s">
        <v>3305</v>
      </c>
      <c r="AX2694" s="27" t="s">
        <v>3196</v>
      </c>
      <c r="AY2694" s="10" t="s">
        <v>3197</v>
      </c>
      <c r="BA2694" s="25">
        <f>AU2694+AV2694</f>
        <v>0</v>
      </c>
      <c r="BB2694" s="25">
        <f>H2694/(100-BC2694)*100</f>
        <v>0</v>
      </c>
      <c r="BC2694" s="25">
        <v>0</v>
      </c>
      <c r="BD2694" s="25">
        <f>M2694</f>
        <v>0</v>
      </c>
      <c r="BF2694" s="25">
        <f>G2694*AM2694</f>
        <v>0</v>
      </c>
      <c r="BG2694" s="25">
        <f>G2694*AN2694</f>
        <v>0</v>
      </c>
      <c r="BH2694" s="25">
        <f>G2694*H2694</f>
        <v>0</v>
      </c>
      <c r="BI2694" s="27" t="s">
        <v>65</v>
      </c>
      <c r="BJ2694" s="25"/>
      <c r="BU2694" s="25" t="e">
        <f>#REF!</f>
        <v>#REF!</v>
      </c>
      <c r="BV2694" s="4" t="s">
        <v>3367</v>
      </c>
    </row>
    <row r="2695" spans="1:74" ht="14.4" x14ac:dyDescent="0.3">
      <c r="A2695" s="2" t="s">
        <v>3368</v>
      </c>
      <c r="B2695" s="3" t="s">
        <v>3191</v>
      </c>
      <c r="C2695" s="3" t="s">
        <v>3369</v>
      </c>
      <c r="D2695" s="112" t="s">
        <v>3244</v>
      </c>
      <c r="E2695" s="109"/>
      <c r="F2695" s="3" t="s">
        <v>100</v>
      </c>
      <c r="G2695" s="25">
        <v>8</v>
      </c>
      <c r="H2695" s="62"/>
      <c r="I2695" s="25">
        <f>ROUND(G2695*AM2695,2)</f>
        <v>0</v>
      </c>
      <c r="J2695" s="25">
        <f>ROUND(G2695*AN2695,2)</f>
        <v>0</v>
      </c>
      <c r="K2695" s="25">
        <f>ROUND(G2695*H2695,2)</f>
        <v>0</v>
      </c>
      <c r="L2695" s="25">
        <v>0</v>
      </c>
      <c r="M2695" s="25">
        <f>G2695*L2695</f>
        <v>0</v>
      </c>
      <c r="N2695" s="102"/>
      <c r="X2695" s="25">
        <f>ROUND(IF(AO2695="5",BH2695,0),2)</f>
        <v>0</v>
      </c>
      <c r="Z2695" s="25">
        <f>ROUND(IF(AO2695="1",BF2695,0),2)</f>
        <v>0</v>
      </c>
      <c r="AA2695" s="25">
        <f>ROUND(IF(AO2695="1",BG2695,0),2)</f>
        <v>0</v>
      </c>
      <c r="AB2695" s="25">
        <f>ROUND(IF(AO2695="7",BF2695,0),2)</f>
        <v>0</v>
      </c>
      <c r="AC2695" s="25">
        <f>ROUND(IF(AO2695="7",BG2695,0),2)</f>
        <v>0</v>
      </c>
      <c r="AD2695" s="25">
        <f>ROUND(IF(AO2695="2",BF2695,0),2)</f>
        <v>0</v>
      </c>
      <c r="AE2695" s="25">
        <f>ROUND(IF(AO2695="2",BG2695,0),2)</f>
        <v>0</v>
      </c>
      <c r="AF2695" s="25">
        <f>ROUND(IF(AO2695="0",BH2695,0),2)</f>
        <v>0</v>
      </c>
      <c r="AG2695" s="10" t="s">
        <v>3191</v>
      </c>
      <c r="AH2695" s="25">
        <f>IF(AL2695=0,K2695,0)</f>
        <v>0</v>
      </c>
      <c r="AI2695" s="25">
        <f>IF(AL2695=12,K2695,0)</f>
        <v>0</v>
      </c>
      <c r="AJ2695" s="25">
        <f>IF(AL2695=21,K2695,0)</f>
        <v>0</v>
      </c>
      <c r="AL2695" s="25">
        <v>21</v>
      </c>
      <c r="AM2695" s="25">
        <f>H2695*0</f>
        <v>0</v>
      </c>
      <c r="AN2695" s="25">
        <f>H2695*(1-0)</f>
        <v>0</v>
      </c>
      <c r="AO2695" s="27" t="s">
        <v>81</v>
      </c>
      <c r="AT2695" s="25">
        <f>ROUND(AU2695+AV2695,2)</f>
        <v>0</v>
      </c>
      <c r="AU2695" s="25">
        <f>ROUND(G2695*AM2695,2)</f>
        <v>0</v>
      </c>
      <c r="AV2695" s="25">
        <f>ROUND(G2695*AN2695,2)</f>
        <v>0</v>
      </c>
      <c r="AW2695" s="27" t="s">
        <v>3305</v>
      </c>
      <c r="AX2695" s="27" t="s">
        <v>3196</v>
      </c>
      <c r="AY2695" s="10" t="s">
        <v>3197</v>
      </c>
      <c r="BA2695" s="25">
        <f>AU2695+AV2695</f>
        <v>0</v>
      </c>
      <c r="BB2695" s="25">
        <f>H2695/(100-BC2695)*100</f>
        <v>0</v>
      </c>
      <c r="BC2695" s="25">
        <v>0</v>
      </c>
      <c r="BD2695" s="25">
        <f>M2695</f>
        <v>0</v>
      </c>
      <c r="BF2695" s="25">
        <f>G2695*AM2695</f>
        <v>0</v>
      </c>
      <c r="BG2695" s="25">
        <f>G2695*AN2695</f>
        <v>0</v>
      </c>
      <c r="BH2695" s="25">
        <f>G2695*H2695</f>
        <v>0</v>
      </c>
      <c r="BI2695" s="27" t="s">
        <v>65</v>
      </c>
      <c r="BJ2695" s="25"/>
      <c r="BU2695" s="25" t="e">
        <f>#REF!</f>
        <v>#REF!</v>
      </c>
      <c r="BV2695" s="4" t="s">
        <v>3244</v>
      </c>
    </row>
    <row r="2696" spans="1:74" ht="14.4" x14ac:dyDescent="0.3">
      <c r="A2696" s="28"/>
      <c r="D2696" s="29" t="s">
        <v>119</v>
      </c>
      <c r="E2696" s="29" t="s">
        <v>52</v>
      </c>
      <c r="G2696" s="30">
        <v>8</v>
      </c>
      <c r="H2696" s="63"/>
      <c r="N2696" s="31"/>
    </row>
    <row r="2697" spans="1:74" ht="14.4" x14ac:dyDescent="0.3">
      <c r="A2697" s="2" t="s">
        <v>3370</v>
      </c>
      <c r="B2697" s="3" t="s">
        <v>3191</v>
      </c>
      <c r="C2697" s="3" t="s">
        <v>3371</v>
      </c>
      <c r="D2697" s="112" t="s">
        <v>3372</v>
      </c>
      <c r="E2697" s="109"/>
      <c r="F2697" s="3" t="s">
        <v>2183</v>
      </c>
      <c r="G2697" s="25">
        <v>1</v>
      </c>
      <c r="H2697" s="62"/>
      <c r="I2697" s="25">
        <f>ROUND(G2697*AM2697,2)</f>
        <v>0</v>
      </c>
      <c r="J2697" s="25">
        <f>ROUND(G2697*AN2697,2)</f>
        <v>0</v>
      </c>
      <c r="K2697" s="25">
        <f>ROUND(G2697*H2697,2)</f>
        <v>0</v>
      </c>
      <c r="L2697" s="25">
        <v>0</v>
      </c>
      <c r="M2697" s="25">
        <f>G2697*L2697</f>
        <v>0</v>
      </c>
      <c r="N2697" s="102"/>
      <c r="X2697" s="25">
        <f>ROUND(IF(AO2697="5",BH2697,0),2)</f>
        <v>0</v>
      </c>
      <c r="Z2697" s="25">
        <f>ROUND(IF(AO2697="1",BF2697,0),2)</f>
        <v>0</v>
      </c>
      <c r="AA2697" s="25">
        <f>ROUND(IF(AO2697="1",BG2697,0),2)</f>
        <v>0</v>
      </c>
      <c r="AB2697" s="25">
        <f>ROUND(IF(AO2697="7",BF2697,0),2)</f>
        <v>0</v>
      </c>
      <c r="AC2697" s="25">
        <f>ROUND(IF(AO2697="7",BG2697,0),2)</f>
        <v>0</v>
      </c>
      <c r="AD2697" s="25">
        <f>ROUND(IF(AO2697="2",BF2697,0),2)</f>
        <v>0</v>
      </c>
      <c r="AE2697" s="25">
        <f>ROUND(IF(AO2697="2",BG2697,0),2)</f>
        <v>0</v>
      </c>
      <c r="AF2697" s="25">
        <f>ROUND(IF(AO2697="0",BH2697,0),2)</f>
        <v>0</v>
      </c>
      <c r="AG2697" s="10" t="s">
        <v>3191</v>
      </c>
      <c r="AH2697" s="25">
        <f>IF(AL2697=0,K2697,0)</f>
        <v>0</v>
      </c>
      <c r="AI2697" s="25">
        <f>IF(AL2697=12,K2697,0)</f>
        <v>0</v>
      </c>
      <c r="AJ2697" s="25">
        <f>IF(AL2697=21,K2697,0)</f>
        <v>0</v>
      </c>
      <c r="AL2697" s="25">
        <v>21</v>
      </c>
      <c r="AM2697" s="25">
        <f>H2697*0</f>
        <v>0</v>
      </c>
      <c r="AN2697" s="25">
        <f>H2697*(1-0)</f>
        <v>0</v>
      </c>
      <c r="AO2697" s="27" t="s">
        <v>81</v>
      </c>
      <c r="AT2697" s="25">
        <f>ROUND(AU2697+AV2697,2)</f>
        <v>0</v>
      </c>
      <c r="AU2697" s="25">
        <f>ROUND(G2697*AM2697,2)</f>
        <v>0</v>
      </c>
      <c r="AV2697" s="25">
        <f>ROUND(G2697*AN2697,2)</f>
        <v>0</v>
      </c>
      <c r="AW2697" s="27" t="s">
        <v>3305</v>
      </c>
      <c r="AX2697" s="27" t="s">
        <v>3196</v>
      </c>
      <c r="AY2697" s="10" t="s">
        <v>3197</v>
      </c>
      <c r="BA2697" s="25">
        <f>AU2697+AV2697</f>
        <v>0</v>
      </c>
      <c r="BB2697" s="25">
        <f>H2697/(100-BC2697)*100</f>
        <v>0</v>
      </c>
      <c r="BC2697" s="25">
        <v>0</v>
      </c>
      <c r="BD2697" s="25">
        <f>M2697</f>
        <v>0</v>
      </c>
      <c r="BF2697" s="25">
        <f>G2697*AM2697</f>
        <v>0</v>
      </c>
      <c r="BG2697" s="25">
        <f>G2697*AN2697</f>
        <v>0</v>
      </c>
      <c r="BH2697" s="25">
        <f>G2697*H2697</f>
        <v>0</v>
      </c>
      <c r="BI2697" s="27" t="s">
        <v>65</v>
      </c>
      <c r="BJ2697" s="25"/>
      <c r="BU2697" s="25" t="e">
        <f>#REF!</f>
        <v>#REF!</v>
      </c>
      <c r="BV2697" s="4" t="s">
        <v>3372</v>
      </c>
    </row>
    <row r="2698" spans="1:74" ht="14.4" x14ac:dyDescent="0.3">
      <c r="A2698" s="28"/>
      <c r="D2698" s="29" t="s">
        <v>57</v>
      </c>
      <c r="E2698" s="29" t="s">
        <v>52</v>
      </c>
      <c r="G2698" s="30">
        <v>1</v>
      </c>
      <c r="H2698" s="63"/>
      <c r="N2698" s="31"/>
    </row>
    <row r="2699" spans="1:74" ht="14.4" x14ac:dyDescent="0.3">
      <c r="A2699" s="2" t="s">
        <v>3373</v>
      </c>
      <c r="B2699" s="3" t="s">
        <v>3191</v>
      </c>
      <c r="C2699" s="3" t="s">
        <v>3374</v>
      </c>
      <c r="D2699" s="112" t="s">
        <v>3250</v>
      </c>
      <c r="E2699" s="109"/>
      <c r="F2699" s="3" t="s">
        <v>100</v>
      </c>
      <c r="G2699" s="25">
        <v>8</v>
      </c>
      <c r="H2699" s="62"/>
      <c r="I2699" s="25">
        <f>ROUND(G2699*AM2699,2)</f>
        <v>0</v>
      </c>
      <c r="J2699" s="25">
        <f>ROUND(G2699*AN2699,2)</f>
        <v>0</v>
      </c>
      <c r="K2699" s="25">
        <f>ROUND(G2699*H2699,2)</f>
        <v>0</v>
      </c>
      <c r="L2699" s="25">
        <v>0</v>
      </c>
      <c r="M2699" s="25">
        <f>G2699*L2699</f>
        <v>0</v>
      </c>
      <c r="N2699" s="102"/>
      <c r="X2699" s="25">
        <f>ROUND(IF(AO2699="5",BH2699,0),2)</f>
        <v>0</v>
      </c>
      <c r="Z2699" s="25">
        <f>ROUND(IF(AO2699="1",BF2699,0),2)</f>
        <v>0</v>
      </c>
      <c r="AA2699" s="25">
        <f>ROUND(IF(AO2699="1",BG2699,0),2)</f>
        <v>0</v>
      </c>
      <c r="AB2699" s="25">
        <f>ROUND(IF(AO2699="7",BF2699,0),2)</f>
        <v>0</v>
      </c>
      <c r="AC2699" s="25">
        <f>ROUND(IF(AO2699="7",BG2699,0),2)</f>
        <v>0</v>
      </c>
      <c r="AD2699" s="25">
        <f>ROUND(IF(AO2699="2",BF2699,0),2)</f>
        <v>0</v>
      </c>
      <c r="AE2699" s="25">
        <f>ROUND(IF(AO2699="2",BG2699,0),2)</f>
        <v>0</v>
      </c>
      <c r="AF2699" s="25">
        <f>ROUND(IF(AO2699="0",BH2699,0),2)</f>
        <v>0</v>
      </c>
      <c r="AG2699" s="10" t="s">
        <v>3191</v>
      </c>
      <c r="AH2699" s="25">
        <f>IF(AL2699=0,K2699,0)</f>
        <v>0</v>
      </c>
      <c r="AI2699" s="25">
        <f>IF(AL2699=12,K2699,0)</f>
        <v>0</v>
      </c>
      <c r="AJ2699" s="25">
        <f>IF(AL2699=21,K2699,0)</f>
        <v>0</v>
      </c>
      <c r="AL2699" s="25">
        <v>21</v>
      </c>
      <c r="AM2699" s="25">
        <f>H2699*0</f>
        <v>0</v>
      </c>
      <c r="AN2699" s="25">
        <f>H2699*(1-0)</f>
        <v>0</v>
      </c>
      <c r="AO2699" s="27" t="s">
        <v>81</v>
      </c>
      <c r="AT2699" s="25">
        <f>ROUND(AU2699+AV2699,2)</f>
        <v>0</v>
      </c>
      <c r="AU2699" s="25">
        <f>ROUND(G2699*AM2699,2)</f>
        <v>0</v>
      </c>
      <c r="AV2699" s="25">
        <f>ROUND(G2699*AN2699,2)</f>
        <v>0</v>
      </c>
      <c r="AW2699" s="27" t="s">
        <v>3305</v>
      </c>
      <c r="AX2699" s="27" t="s">
        <v>3196</v>
      </c>
      <c r="AY2699" s="10" t="s">
        <v>3197</v>
      </c>
      <c r="BA2699" s="25">
        <f>AU2699+AV2699</f>
        <v>0</v>
      </c>
      <c r="BB2699" s="25">
        <f>H2699/(100-BC2699)*100</f>
        <v>0</v>
      </c>
      <c r="BC2699" s="25">
        <v>0</v>
      </c>
      <c r="BD2699" s="25">
        <f>M2699</f>
        <v>0</v>
      </c>
      <c r="BF2699" s="25">
        <f>G2699*AM2699</f>
        <v>0</v>
      </c>
      <c r="BG2699" s="25">
        <f>G2699*AN2699</f>
        <v>0</v>
      </c>
      <c r="BH2699" s="25">
        <f>G2699*H2699</f>
        <v>0</v>
      </c>
      <c r="BI2699" s="27" t="s">
        <v>65</v>
      </c>
      <c r="BJ2699" s="25"/>
      <c r="BU2699" s="25" t="e">
        <f>#REF!</f>
        <v>#REF!</v>
      </c>
      <c r="BV2699" s="4" t="s">
        <v>3250</v>
      </c>
    </row>
    <row r="2700" spans="1:74" ht="14.4" x14ac:dyDescent="0.3">
      <c r="A2700" s="28"/>
      <c r="D2700" s="29" t="s">
        <v>119</v>
      </c>
      <c r="E2700" s="29" t="s">
        <v>52</v>
      </c>
      <c r="G2700" s="30">
        <v>8</v>
      </c>
      <c r="H2700" s="63"/>
      <c r="N2700" s="31"/>
    </row>
    <row r="2701" spans="1:74" ht="14.4" x14ac:dyDescent="0.3">
      <c r="A2701" s="2" t="s">
        <v>3375</v>
      </c>
      <c r="B2701" s="3" t="s">
        <v>3191</v>
      </c>
      <c r="C2701" s="3" t="s">
        <v>3376</v>
      </c>
      <c r="D2701" s="112" t="s">
        <v>3377</v>
      </c>
      <c r="E2701" s="109"/>
      <c r="F2701" s="3" t="s">
        <v>100</v>
      </c>
      <c r="G2701" s="25">
        <v>8</v>
      </c>
      <c r="H2701" s="62"/>
      <c r="I2701" s="25">
        <f>ROUND(G2701*AM2701,2)</f>
        <v>0</v>
      </c>
      <c r="J2701" s="25">
        <f>ROUND(G2701*AN2701,2)</f>
        <v>0</v>
      </c>
      <c r="K2701" s="25">
        <f>ROUND(G2701*H2701,2)</f>
        <v>0</v>
      </c>
      <c r="L2701" s="25">
        <v>0</v>
      </c>
      <c r="M2701" s="25">
        <f>G2701*L2701</f>
        <v>0</v>
      </c>
      <c r="N2701" s="102"/>
      <c r="X2701" s="25">
        <f>ROUND(IF(AO2701="5",BH2701,0),2)</f>
        <v>0</v>
      </c>
      <c r="Z2701" s="25">
        <f>ROUND(IF(AO2701="1",BF2701,0),2)</f>
        <v>0</v>
      </c>
      <c r="AA2701" s="25">
        <f>ROUND(IF(AO2701="1",BG2701,0),2)</f>
        <v>0</v>
      </c>
      <c r="AB2701" s="25">
        <f>ROUND(IF(AO2701="7",BF2701,0),2)</f>
        <v>0</v>
      </c>
      <c r="AC2701" s="25">
        <f>ROUND(IF(AO2701="7",BG2701,0),2)</f>
        <v>0</v>
      </c>
      <c r="AD2701" s="25">
        <f>ROUND(IF(AO2701="2",BF2701,0),2)</f>
        <v>0</v>
      </c>
      <c r="AE2701" s="25">
        <f>ROUND(IF(AO2701="2",BG2701,0),2)</f>
        <v>0</v>
      </c>
      <c r="AF2701" s="25">
        <f>ROUND(IF(AO2701="0",BH2701,0),2)</f>
        <v>0</v>
      </c>
      <c r="AG2701" s="10" t="s">
        <v>3191</v>
      </c>
      <c r="AH2701" s="25">
        <f>IF(AL2701=0,K2701,0)</f>
        <v>0</v>
      </c>
      <c r="AI2701" s="25">
        <f>IF(AL2701=12,K2701,0)</f>
        <v>0</v>
      </c>
      <c r="AJ2701" s="25">
        <f>IF(AL2701=21,K2701,0)</f>
        <v>0</v>
      </c>
      <c r="AL2701" s="25">
        <v>21</v>
      </c>
      <c r="AM2701" s="25">
        <f>H2701*0</f>
        <v>0</v>
      </c>
      <c r="AN2701" s="25">
        <f>H2701*(1-0)</f>
        <v>0</v>
      </c>
      <c r="AO2701" s="27" t="s">
        <v>81</v>
      </c>
      <c r="AT2701" s="25">
        <f>ROUND(AU2701+AV2701,2)</f>
        <v>0</v>
      </c>
      <c r="AU2701" s="25">
        <f>ROUND(G2701*AM2701,2)</f>
        <v>0</v>
      </c>
      <c r="AV2701" s="25">
        <f>ROUND(G2701*AN2701,2)</f>
        <v>0</v>
      </c>
      <c r="AW2701" s="27" t="s">
        <v>3305</v>
      </c>
      <c r="AX2701" s="27" t="s">
        <v>3196</v>
      </c>
      <c r="AY2701" s="10" t="s">
        <v>3197</v>
      </c>
      <c r="BA2701" s="25">
        <f>AU2701+AV2701</f>
        <v>0</v>
      </c>
      <c r="BB2701" s="25">
        <f>H2701/(100-BC2701)*100</f>
        <v>0</v>
      </c>
      <c r="BC2701" s="25">
        <v>0</v>
      </c>
      <c r="BD2701" s="25">
        <f>M2701</f>
        <v>0</v>
      </c>
      <c r="BF2701" s="25">
        <f>G2701*AM2701</f>
        <v>0</v>
      </c>
      <c r="BG2701" s="25">
        <f>G2701*AN2701</f>
        <v>0</v>
      </c>
      <c r="BH2701" s="25">
        <f>G2701*H2701</f>
        <v>0</v>
      </c>
      <c r="BI2701" s="27" t="s">
        <v>65</v>
      </c>
      <c r="BJ2701" s="25"/>
      <c r="BU2701" s="25" t="e">
        <f>#REF!</f>
        <v>#REF!</v>
      </c>
      <c r="BV2701" s="4" t="s">
        <v>3377</v>
      </c>
    </row>
    <row r="2702" spans="1:74" ht="14.4" x14ac:dyDescent="0.3">
      <c r="A2702" s="2" t="s">
        <v>3378</v>
      </c>
      <c r="B2702" s="3" t="s">
        <v>3191</v>
      </c>
      <c r="C2702" s="3" t="s">
        <v>3354</v>
      </c>
      <c r="D2702" s="112" t="s">
        <v>3355</v>
      </c>
      <c r="E2702" s="109"/>
      <c r="F2702" s="3" t="s">
        <v>3379</v>
      </c>
      <c r="G2702" s="25">
        <v>1</v>
      </c>
      <c r="H2702" s="62"/>
      <c r="I2702" s="25">
        <f>ROUND(G2702*AM2702,2)</f>
        <v>0</v>
      </c>
      <c r="J2702" s="25">
        <f>ROUND(G2702*AN2702,2)</f>
        <v>0</v>
      </c>
      <c r="K2702" s="25">
        <f>ROUND(G2702*H2702,2)</f>
        <v>0</v>
      </c>
      <c r="L2702" s="25">
        <v>0</v>
      </c>
      <c r="M2702" s="25">
        <f>G2702*L2702</f>
        <v>0</v>
      </c>
      <c r="N2702" s="102"/>
      <c r="X2702" s="25">
        <f>ROUND(IF(AO2702="5",BH2702,0),2)</f>
        <v>0</v>
      </c>
      <c r="Z2702" s="25">
        <f>ROUND(IF(AO2702="1",BF2702,0),2)</f>
        <v>0</v>
      </c>
      <c r="AA2702" s="25">
        <f>ROUND(IF(AO2702="1",BG2702,0),2)</f>
        <v>0</v>
      </c>
      <c r="AB2702" s="25">
        <f>ROUND(IF(AO2702="7",BF2702,0),2)</f>
        <v>0</v>
      </c>
      <c r="AC2702" s="25">
        <f>ROUND(IF(AO2702="7",BG2702,0),2)</f>
        <v>0</v>
      </c>
      <c r="AD2702" s="25">
        <f>ROUND(IF(AO2702="2",BF2702,0),2)</f>
        <v>0</v>
      </c>
      <c r="AE2702" s="25">
        <f>ROUND(IF(AO2702="2",BG2702,0),2)</f>
        <v>0</v>
      </c>
      <c r="AF2702" s="25">
        <f>ROUND(IF(AO2702="0",BH2702,0),2)</f>
        <v>0</v>
      </c>
      <c r="AG2702" s="10" t="s">
        <v>3191</v>
      </c>
      <c r="AH2702" s="25">
        <f>IF(AL2702=0,K2702,0)</f>
        <v>0</v>
      </c>
      <c r="AI2702" s="25">
        <f>IF(AL2702=12,K2702,0)</f>
        <v>0</v>
      </c>
      <c r="AJ2702" s="25">
        <f>IF(AL2702=21,K2702,0)</f>
        <v>0</v>
      </c>
      <c r="AL2702" s="25">
        <v>21</v>
      </c>
      <c r="AM2702" s="25">
        <f>H2702*0</f>
        <v>0</v>
      </c>
      <c r="AN2702" s="25">
        <f>H2702*(1-0)</f>
        <v>0</v>
      </c>
      <c r="AO2702" s="27" t="s">
        <v>81</v>
      </c>
      <c r="AT2702" s="25">
        <f>ROUND(AU2702+AV2702,2)</f>
        <v>0</v>
      </c>
      <c r="AU2702" s="25">
        <f>ROUND(G2702*AM2702,2)</f>
        <v>0</v>
      </c>
      <c r="AV2702" s="25">
        <f>ROUND(G2702*AN2702,2)</f>
        <v>0</v>
      </c>
      <c r="AW2702" s="27" t="s">
        <v>3305</v>
      </c>
      <c r="AX2702" s="27" t="s">
        <v>3196</v>
      </c>
      <c r="AY2702" s="10" t="s">
        <v>3197</v>
      </c>
      <c r="BA2702" s="25">
        <f>AU2702+AV2702</f>
        <v>0</v>
      </c>
      <c r="BB2702" s="25">
        <f>H2702/(100-BC2702)*100</f>
        <v>0</v>
      </c>
      <c r="BC2702" s="25">
        <v>0</v>
      </c>
      <c r="BD2702" s="25">
        <f>M2702</f>
        <v>0</v>
      </c>
      <c r="BF2702" s="25">
        <f>G2702*AM2702</f>
        <v>0</v>
      </c>
      <c r="BG2702" s="25">
        <f>G2702*AN2702</f>
        <v>0</v>
      </c>
      <c r="BH2702" s="25">
        <f>G2702*H2702</f>
        <v>0</v>
      </c>
      <c r="BI2702" s="27" t="s">
        <v>65</v>
      </c>
      <c r="BJ2702" s="25"/>
      <c r="BU2702" s="25" t="e">
        <f>#REF!</f>
        <v>#REF!</v>
      </c>
      <c r="BV2702" s="4" t="s">
        <v>3355</v>
      </c>
    </row>
    <row r="2703" spans="1:74" ht="14.4" x14ac:dyDescent="0.3">
      <c r="A2703" s="2" t="s">
        <v>3380</v>
      </c>
      <c r="B2703" s="3" t="s">
        <v>3191</v>
      </c>
      <c r="C2703" s="3" t="s">
        <v>3381</v>
      </c>
      <c r="D2703" s="112" t="s">
        <v>3382</v>
      </c>
      <c r="E2703" s="109"/>
      <c r="F2703" s="3" t="s">
        <v>115</v>
      </c>
      <c r="G2703" s="25">
        <v>580</v>
      </c>
      <c r="H2703" s="62"/>
      <c r="I2703" s="25">
        <f>ROUND(G2703*AM2703,2)</f>
        <v>0</v>
      </c>
      <c r="J2703" s="25">
        <f>ROUND(G2703*AN2703,2)</f>
        <v>0</v>
      </c>
      <c r="K2703" s="25">
        <f>ROUND(G2703*H2703,2)</f>
        <v>0</v>
      </c>
      <c r="L2703" s="25">
        <v>5.3100000000000001E-2</v>
      </c>
      <c r="M2703" s="25">
        <f>G2703*L2703</f>
        <v>30.798000000000002</v>
      </c>
      <c r="N2703" s="26"/>
      <c r="X2703" s="25">
        <f>ROUND(IF(AO2703="5",BH2703,0),2)</f>
        <v>0</v>
      </c>
      <c r="Z2703" s="25">
        <f>ROUND(IF(AO2703="1",BF2703,0),2)</f>
        <v>0</v>
      </c>
      <c r="AA2703" s="25">
        <f>ROUND(IF(AO2703="1",BG2703,0),2)</f>
        <v>0</v>
      </c>
      <c r="AB2703" s="25">
        <f>ROUND(IF(AO2703="7",BF2703,0),2)</f>
        <v>0</v>
      </c>
      <c r="AC2703" s="25">
        <f>ROUND(IF(AO2703="7",BG2703,0),2)</f>
        <v>0</v>
      </c>
      <c r="AD2703" s="25">
        <f>ROUND(IF(AO2703="2",BF2703,0),2)</f>
        <v>0</v>
      </c>
      <c r="AE2703" s="25">
        <f>ROUND(IF(AO2703="2",BG2703,0),2)</f>
        <v>0</v>
      </c>
      <c r="AF2703" s="25">
        <f>ROUND(IF(AO2703="0",BH2703,0),2)</f>
        <v>0</v>
      </c>
      <c r="AG2703" s="10" t="s">
        <v>3191</v>
      </c>
      <c r="AH2703" s="25">
        <f>IF(AL2703=0,K2703,0)</f>
        <v>0</v>
      </c>
      <c r="AI2703" s="25">
        <f>IF(AL2703=12,K2703,0)</f>
        <v>0</v>
      </c>
      <c r="AJ2703" s="25">
        <f>IF(AL2703=21,K2703,0)</f>
        <v>0</v>
      </c>
      <c r="AL2703" s="25">
        <v>21</v>
      </c>
      <c r="AM2703" s="25">
        <f>H2703*1</f>
        <v>0</v>
      </c>
      <c r="AN2703" s="25">
        <f>H2703*(1-1)</f>
        <v>0</v>
      </c>
      <c r="AO2703" s="27" t="s">
        <v>57</v>
      </c>
      <c r="AT2703" s="25">
        <f>ROUND(AU2703+AV2703,2)</f>
        <v>0</v>
      </c>
      <c r="AU2703" s="25">
        <f>ROUND(G2703*AM2703,2)</f>
        <v>0</v>
      </c>
      <c r="AV2703" s="25">
        <f>ROUND(G2703*AN2703,2)</f>
        <v>0</v>
      </c>
      <c r="AW2703" s="27" t="s">
        <v>3305</v>
      </c>
      <c r="AX2703" s="27" t="s">
        <v>3196</v>
      </c>
      <c r="AY2703" s="10" t="s">
        <v>3197</v>
      </c>
      <c r="BA2703" s="25">
        <f>AU2703+AV2703</f>
        <v>0</v>
      </c>
      <c r="BB2703" s="25">
        <f>H2703/(100-BC2703)*100</f>
        <v>0</v>
      </c>
      <c r="BC2703" s="25">
        <v>0</v>
      </c>
      <c r="BD2703" s="25">
        <f>M2703</f>
        <v>30.798000000000002</v>
      </c>
      <c r="BF2703" s="25">
        <f>G2703*AM2703</f>
        <v>0</v>
      </c>
      <c r="BG2703" s="25">
        <f>G2703*AN2703</f>
        <v>0</v>
      </c>
      <c r="BH2703" s="25">
        <f>G2703*H2703</f>
        <v>0</v>
      </c>
      <c r="BI2703" s="27" t="s">
        <v>576</v>
      </c>
      <c r="BJ2703" s="25"/>
      <c r="BU2703" s="25" t="e">
        <f>#REF!</f>
        <v>#REF!</v>
      </c>
      <c r="BV2703" s="4" t="s">
        <v>3382</v>
      </c>
    </row>
    <row r="2704" spans="1:74" ht="14.4" x14ac:dyDescent="0.3">
      <c r="A2704" s="28"/>
      <c r="D2704" s="29" t="s">
        <v>2381</v>
      </c>
      <c r="E2704" s="29" t="s">
        <v>52</v>
      </c>
      <c r="G2704" s="30">
        <v>580</v>
      </c>
      <c r="H2704" s="63"/>
      <c r="N2704" s="31"/>
    </row>
    <row r="2705" spans="1:74" ht="14.4" x14ac:dyDescent="0.3">
      <c r="A2705" s="2" t="s">
        <v>3383</v>
      </c>
      <c r="B2705" s="3" t="s">
        <v>3191</v>
      </c>
      <c r="C2705" s="3" t="s">
        <v>3384</v>
      </c>
      <c r="D2705" s="112" t="s">
        <v>3385</v>
      </c>
      <c r="E2705" s="109"/>
      <c r="F2705" s="3" t="s">
        <v>122</v>
      </c>
      <c r="G2705" s="25">
        <v>3</v>
      </c>
      <c r="H2705" s="62"/>
      <c r="I2705" s="25">
        <f>ROUND(G2705*AM2705,2)</f>
        <v>0</v>
      </c>
      <c r="J2705" s="25">
        <f>ROUND(G2705*AN2705,2)</f>
        <v>0</v>
      </c>
      <c r="K2705" s="25">
        <f>ROUND(G2705*H2705,2)</f>
        <v>0</v>
      </c>
      <c r="L2705" s="25">
        <v>6.4999999999999997E-4</v>
      </c>
      <c r="M2705" s="25">
        <f>G2705*L2705</f>
        <v>1.9499999999999999E-3</v>
      </c>
      <c r="N2705" s="26"/>
      <c r="X2705" s="25">
        <f>ROUND(IF(AO2705="5",BH2705,0),2)</f>
        <v>0</v>
      </c>
      <c r="Z2705" s="25">
        <f>ROUND(IF(AO2705="1",BF2705,0),2)</f>
        <v>0</v>
      </c>
      <c r="AA2705" s="25">
        <f>ROUND(IF(AO2705="1",BG2705,0),2)</f>
        <v>0</v>
      </c>
      <c r="AB2705" s="25">
        <f>ROUND(IF(AO2705="7",BF2705,0),2)</f>
        <v>0</v>
      </c>
      <c r="AC2705" s="25">
        <f>ROUND(IF(AO2705="7",BG2705,0),2)</f>
        <v>0</v>
      </c>
      <c r="AD2705" s="25">
        <f>ROUND(IF(AO2705="2",BF2705,0),2)</f>
        <v>0</v>
      </c>
      <c r="AE2705" s="25">
        <f>ROUND(IF(AO2705="2",BG2705,0),2)</f>
        <v>0</v>
      </c>
      <c r="AF2705" s="25">
        <f>ROUND(IF(AO2705="0",BH2705,0),2)</f>
        <v>0</v>
      </c>
      <c r="AG2705" s="10" t="s">
        <v>3191</v>
      </c>
      <c r="AH2705" s="25">
        <f>IF(AL2705=0,K2705,0)</f>
        <v>0</v>
      </c>
      <c r="AI2705" s="25">
        <f>IF(AL2705=12,K2705,0)</f>
        <v>0</v>
      </c>
      <c r="AJ2705" s="25">
        <f>IF(AL2705=21,K2705,0)</f>
        <v>0</v>
      </c>
      <c r="AL2705" s="25">
        <v>21</v>
      </c>
      <c r="AM2705" s="25">
        <f>H2705*1</f>
        <v>0</v>
      </c>
      <c r="AN2705" s="25">
        <f>H2705*(1-1)</f>
        <v>0</v>
      </c>
      <c r="AO2705" s="27" t="s">
        <v>57</v>
      </c>
      <c r="AT2705" s="25">
        <f>ROUND(AU2705+AV2705,2)</f>
        <v>0</v>
      </c>
      <c r="AU2705" s="25">
        <f>ROUND(G2705*AM2705,2)</f>
        <v>0</v>
      </c>
      <c r="AV2705" s="25">
        <f>ROUND(G2705*AN2705,2)</f>
        <v>0</v>
      </c>
      <c r="AW2705" s="27" t="s">
        <v>3305</v>
      </c>
      <c r="AX2705" s="27" t="s">
        <v>3196</v>
      </c>
      <c r="AY2705" s="10" t="s">
        <v>3197</v>
      </c>
      <c r="BA2705" s="25">
        <f>AU2705+AV2705</f>
        <v>0</v>
      </c>
      <c r="BB2705" s="25">
        <f>H2705/(100-BC2705)*100</f>
        <v>0</v>
      </c>
      <c r="BC2705" s="25">
        <v>0</v>
      </c>
      <c r="BD2705" s="25">
        <f>M2705</f>
        <v>1.9499999999999999E-3</v>
      </c>
      <c r="BF2705" s="25">
        <f>G2705*AM2705</f>
        <v>0</v>
      </c>
      <c r="BG2705" s="25">
        <f>G2705*AN2705</f>
        <v>0</v>
      </c>
      <c r="BH2705" s="25">
        <f>G2705*H2705</f>
        <v>0</v>
      </c>
      <c r="BI2705" s="27" t="s">
        <v>576</v>
      </c>
      <c r="BJ2705" s="25"/>
      <c r="BU2705" s="25" t="e">
        <f>#REF!</f>
        <v>#REF!</v>
      </c>
      <c r="BV2705" s="4" t="s">
        <v>3385</v>
      </c>
    </row>
    <row r="2706" spans="1:74" ht="14.4" x14ac:dyDescent="0.3">
      <c r="A2706" s="95" t="s">
        <v>52</v>
      </c>
      <c r="B2706" s="96" t="s">
        <v>3386</v>
      </c>
      <c r="C2706" s="96" t="s">
        <v>52</v>
      </c>
      <c r="D2706" s="182" t="s">
        <v>3546</v>
      </c>
      <c r="E2706" s="180"/>
      <c r="F2706" s="97" t="s">
        <v>32</v>
      </c>
      <c r="G2706" s="97" t="s">
        <v>32</v>
      </c>
      <c r="H2706" s="98"/>
      <c r="I2706" s="99">
        <f>I2707+I2730</f>
        <v>0</v>
      </c>
      <c r="J2706" s="99">
        <f>J2707+J2730</f>
        <v>0</v>
      </c>
      <c r="K2706" s="99">
        <f>K2707+K2730</f>
        <v>0</v>
      </c>
      <c r="L2706" s="100" t="s">
        <v>52</v>
      </c>
      <c r="M2706" s="99">
        <f>M2707+M2730</f>
        <v>4.8700000000000002E-3</v>
      </c>
      <c r="N2706" s="101"/>
    </row>
    <row r="2707" spans="1:74" ht="14.4" x14ac:dyDescent="0.3">
      <c r="A2707" s="21" t="s">
        <v>52</v>
      </c>
      <c r="B2707" s="22" t="s">
        <v>3386</v>
      </c>
      <c r="C2707" s="22" t="s">
        <v>3387</v>
      </c>
      <c r="D2707" s="170" t="s">
        <v>3388</v>
      </c>
      <c r="E2707" s="171"/>
      <c r="F2707" s="23" t="s">
        <v>32</v>
      </c>
      <c r="G2707" s="23" t="s">
        <v>32</v>
      </c>
      <c r="H2707" s="64"/>
      <c r="I2707" s="1">
        <f>SUM(I2708:I2728)</f>
        <v>0</v>
      </c>
      <c r="J2707" s="1">
        <f>SUM(J2708:J2728)</f>
        <v>0</v>
      </c>
      <c r="K2707" s="1">
        <f>SUM(K2708:K2728)</f>
        <v>0</v>
      </c>
      <c r="L2707" s="10" t="s">
        <v>52</v>
      </c>
      <c r="M2707" s="1">
        <f>SUM(M2708:M2728)</f>
        <v>4.8700000000000002E-3</v>
      </c>
      <c r="N2707" s="24"/>
      <c r="AG2707" s="10" t="s">
        <v>3386</v>
      </c>
      <c r="AQ2707" s="1">
        <f>SUM(AH2708:AH2728)</f>
        <v>0</v>
      </c>
      <c r="AR2707" s="1">
        <f>SUM(AI2708:AI2728)</f>
        <v>0</v>
      </c>
      <c r="AS2707" s="1">
        <f>SUM(AJ2708:AJ2728)</f>
        <v>0</v>
      </c>
    </row>
    <row r="2708" spans="1:74" ht="14.4" x14ac:dyDescent="0.3">
      <c r="A2708" s="2" t="s">
        <v>3389</v>
      </c>
      <c r="B2708" s="3" t="s">
        <v>3386</v>
      </c>
      <c r="C2708" s="3" t="s">
        <v>3390</v>
      </c>
      <c r="D2708" s="112" t="s">
        <v>3391</v>
      </c>
      <c r="E2708" s="109"/>
      <c r="F2708" s="3" t="s">
        <v>860</v>
      </c>
      <c r="G2708" s="25">
        <v>1</v>
      </c>
      <c r="H2708" s="62"/>
      <c r="I2708" s="25">
        <f>ROUND(G2708*AM2708,2)</f>
        <v>0</v>
      </c>
      <c r="J2708" s="25">
        <f>ROUND(G2708*AN2708,2)</f>
        <v>0</v>
      </c>
      <c r="K2708" s="25">
        <f>ROUND(G2708*H2708,2)</f>
        <v>0</v>
      </c>
      <c r="L2708" s="25">
        <v>0</v>
      </c>
      <c r="M2708" s="25">
        <f>G2708*L2708</f>
        <v>0</v>
      </c>
      <c r="N2708" s="102"/>
      <c r="X2708" s="25">
        <f>ROUND(IF(AO2708="5",BH2708,0),2)</f>
        <v>0</v>
      </c>
      <c r="Z2708" s="25">
        <f>ROUND(IF(AO2708="1",BF2708,0),2)</f>
        <v>0</v>
      </c>
      <c r="AA2708" s="25">
        <f>ROUND(IF(AO2708="1",BG2708,0),2)</f>
        <v>0</v>
      </c>
      <c r="AB2708" s="25">
        <f>ROUND(IF(AO2708="7",BF2708,0),2)</f>
        <v>0</v>
      </c>
      <c r="AC2708" s="25">
        <f>ROUND(IF(AO2708="7",BG2708,0),2)</f>
        <v>0</v>
      </c>
      <c r="AD2708" s="25">
        <f>ROUND(IF(AO2708="2",BF2708,0),2)</f>
        <v>0</v>
      </c>
      <c r="AE2708" s="25">
        <f>ROUND(IF(AO2708="2",BG2708,0),2)</f>
        <v>0</v>
      </c>
      <c r="AF2708" s="25">
        <f>ROUND(IF(AO2708="0",BH2708,0),2)</f>
        <v>0</v>
      </c>
      <c r="AG2708" s="10" t="s">
        <v>3386</v>
      </c>
      <c r="AH2708" s="25">
        <f>IF(AL2708=0,K2708,0)</f>
        <v>0</v>
      </c>
      <c r="AI2708" s="25">
        <f>IF(AL2708=12,K2708,0)</f>
        <v>0</v>
      </c>
      <c r="AJ2708" s="25">
        <f>IF(AL2708=21,K2708,0)</f>
        <v>0</v>
      </c>
      <c r="AL2708" s="25">
        <v>21</v>
      </c>
      <c r="AM2708" s="25">
        <f>H2708*0</f>
        <v>0</v>
      </c>
      <c r="AN2708" s="25">
        <f>H2708*(1-0)</f>
        <v>0</v>
      </c>
      <c r="AO2708" s="27" t="s">
        <v>57</v>
      </c>
      <c r="AT2708" s="25">
        <f>ROUND(AU2708+AV2708,2)</f>
        <v>0</v>
      </c>
      <c r="AU2708" s="25">
        <f>ROUND(G2708*AM2708,2)</f>
        <v>0</v>
      </c>
      <c r="AV2708" s="25">
        <f>ROUND(G2708*AN2708,2)</f>
        <v>0</v>
      </c>
      <c r="AW2708" s="27" t="s">
        <v>3392</v>
      </c>
      <c r="AX2708" s="27" t="s">
        <v>3393</v>
      </c>
      <c r="AY2708" s="10" t="s">
        <v>3394</v>
      </c>
      <c r="BA2708" s="25">
        <f>AU2708+AV2708</f>
        <v>0</v>
      </c>
      <c r="BB2708" s="25">
        <f>H2708/(100-BC2708)*100</f>
        <v>0</v>
      </c>
      <c r="BC2708" s="25">
        <v>0</v>
      </c>
      <c r="BD2708" s="25">
        <f>M2708</f>
        <v>0</v>
      </c>
      <c r="BF2708" s="25">
        <f>G2708*AM2708</f>
        <v>0</v>
      </c>
      <c r="BG2708" s="25">
        <f>G2708*AN2708</f>
        <v>0</v>
      </c>
      <c r="BH2708" s="25">
        <f>G2708*H2708</f>
        <v>0</v>
      </c>
      <c r="BI2708" s="27" t="s">
        <v>65</v>
      </c>
      <c r="BJ2708" s="25"/>
      <c r="BU2708" s="25" t="e">
        <f>#REF!</f>
        <v>#REF!</v>
      </c>
      <c r="BV2708" s="4" t="s">
        <v>3391</v>
      </c>
    </row>
    <row r="2709" spans="1:74" ht="14.4" x14ac:dyDescent="0.3">
      <c r="A2709" s="28"/>
      <c r="D2709" s="29" t="s">
        <v>57</v>
      </c>
      <c r="E2709" s="29" t="s">
        <v>52</v>
      </c>
      <c r="G2709" s="30">
        <v>1</v>
      </c>
      <c r="H2709" s="63"/>
      <c r="N2709" s="31"/>
    </row>
    <row r="2710" spans="1:74" ht="26.4" x14ac:dyDescent="0.3">
      <c r="A2710" s="2" t="s">
        <v>3395</v>
      </c>
      <c r="B2710" s="3" t="s">
        <v>3386</v>
      </c>
      <c r="C2710" s="3" t="s">
        <v>3396</v>
      </c>
      <c r="D2710" s="112" t="s">
        <v>3397</v>
      </c>
      <c r="E2710" s="109"/>
      <c r="F2710" s="3" t="s">
        <v>2183</v>
      </c>
      <c r="G2710" s="25">
        <v>1</v>
      </c>
      <c r="H2710" s="62"/>
      <c r="I2710" s="25">
        <f>ROUND(G2710*AM2710,2)</f>
        <v>0</v>
      </c>
      <c r="J2710" s="25">
        <f>ROUND(G2710*AN2710,2)</f>
        <v>0</v>
      </c>
      <c r="K2710" s="25">
        <f>ROUND(G2710*H2710,2)</f>
        <v>0</v>
      </c>
      <c r="L2710" s="25">
        <v>0</v>
      </c>
      <c r="M2710" s="25">
        <f>G2710*L2710</f>
        <v>0</v>
      </c>
      <c r="N2710" s="102"/>
      <c r="X2710" s="25">
        <f>ROUND(IF(AO2710="5",BH2710,0),2)</f>
        <v>0</v>
      </c>
      <c r="Z2710" s="25">
        <f>ROUND(IF(AO2710="1",BF2710,0),2)</f>
        <v>0</v>
      </c>
      <c r="AA2710" s="25">
        <f>ROUND(IF(AO2710="1",BG2710,0),2)</f>
        <v>0</v>
      </c>
      <c r="AB2710" s="25">
        <f>ROUND(IF(AO2710="7",BF2710,0),2)</f>
        <v>0</v>
      </c>
      <c r="AC2710" s="25">
        <f>ROUND(IF(AO2710="7",BG2710,0),2)</f>
        <v>0</v>
      </c>
      <c r="AD2710" s="25">
        <f>ROUND(IF(AO2710="2",BF2710,0),2)</f>
        <v>0</v>
      </c>
      <c r="AE2710" s="25">
        <f>ROUND(IF(AO2710="2",BG2710,0),2)</f>
        <v>0</v>
      </c>
      <c r="AF2710" s="25">
        <f>ROUND(IF(AO2710="0",BH2710,0),2)</f>
        <v>0</v>
      </c>
      <c r="AG2710" s="10" t="s">
        <v>3386</v>
      </c>
      <c r="AH2710" s="25">
        <f>IF(AL2710=0,K2710,0)</f>
        <v>0</v>
      </c>
      <c r="AI2710" s="25">
        <f>IF(AL2710=12,K2710,0)</f>
        <v>0</v>
      </c>
      <c r="AJ2710" s="25">
        <f>IF(AL2710=21,K2710,0)</f>
        <v>0</v>
      </c>
      <c r="AL2710" s="25">
        <v>21</v>
      </c>
      <c r="AM2710" s="25">
        <f>H2710*0</f>
        <v>0</v>
      </c>
      <c r="AN2710" s="25">
        <f>H2710*(1-0)</f>
        <v>0</v>
      </c>
      <c r="AO2710" s="27" t="s">
        <v>57</v>
      </c>
      <c r="AT2710" s="25">
        <f>ROUND(AU2710+AV2710,2)</f>
        <v>0</v>
      </c>
      <c r="AU2710" s="25">
        <f>ROUND(G2710*AM2710,2)</f>
        <v>0</v>
      </c>
      <c r="AV2710" s="25">
        <f>ROUND(G2710*AN2710,2)</f>
        <v>0</v>
      </c>
      <c r="AW2710" s="27" t="s">
        <v>3392</v>
      </c>
      <c r="AX2710" s="27" t="s">
        <v>3393</v>
      </c>
      <c r="AY2710" s="10" t="s">
        <v>3394</v>
      </c>
      <c r="BA2710" s="25">
        <f>AU2710+AV2710</f>
        <v>0</v>
      </c>
      <c r="BB2710" s="25">
        <f>H2710/(100-BC2710)*100</f>
        <v>0</v>
      </c>
      <c r="BC2710" s="25">
        <v>0</v>
      </c>
      <c r="BD2710" s="25">
        <f>M2710</f>
        <v>0</v>
      </c>
      <c r="BF2710" s="25">
        <f>G2710*AM2710</f>
        <v>0</v>
      </c>
      <c r="BG2710" s="25">
        <f>G2710*AN2710</f>
        <v>0</v>
      </c>
      <c r="BH2710" s="25">
        <f>G2710*H2710</f>
        <v>0</v>
      </c>
      <c r="BI2710" s="27" t="s">
        <v>65</v>
      </c>
      <c r="BJ2710" s="25"/>
      <c r="BU2710" s="25" t="e">
        <f>#REF!</f>
        <v>#REF!</v>
      </c>
      <c r="BV2710" s="4" t="s">
        <v>3397</v>
      </c>
    </row>
    <row r="2711" spans="1:74" ht="14.4" x14ac:dyDescent="0.3">
      <c r="A2711" s="28"/>
      <c r="D2711" s="29" t="s">
        <v>57</v>
      </c>
      <c r="E2711" s="29" t="s">
        <v>52</v>
      </c>
      <c r="G2711" s="30">
        <v>1</v>
      </c>
      <c r="H2711" s="63"/>
      <c r="N2711" s="31"/>
    </row>
    <row r="2712" spans="1:74" ht="14.4" x14ac:dyDescent="0.3">
      <c r="A2712" s="2" t="s">
        <v>3398</v>
      </c>
      <c r="B2712" s="3" t="s">
        <v>3386</v>
      </c>
      <c r="C2712" s="3" t="s">
        <v>3399</v>
      </c>
      <c r="D2712" s="112" t="s">
        <v>3400</v>
      </c>
      <c r="E2712" s="109"/>
      <c r="F2712" s="3" t="s">
        <v>860</v>
      </c>
      <c r="G2712" s="25">
        <v>1</v>
      </c>
      <c r="H2712" s="62"/>
      <c r="I2712" s="25">
        <f>ROUND(G2712*AM2712,2)</f>
        <v>0</v>
      </c>
      <c r="J2712" s="25">
        <f>ROUND(G2712*AN2712,2)</f>
        <v>0</v>
      </c>
      <c r="K2712" s="25">
        <f>ROUND(G2712*H2712,2)</f>
        <v>0</v>
      </c>
      <c r="L2712" s="25">
        <v>0</v>
      </c>
      <c r="M2712" s="25">
        <f>G2712*L2712</f>
        <v>0</v>
      </c>
      <c r="N2712" s="102"/>
      <c r="X2712" s="25">
        <f>ROUND(IF(AO2712="5",BH2712,0),2)</f>
        <v>0</v>
      </c>
      <c r="Z2712" s="25">
        <f>ROUND(IF(AO2712="1",BF2712,0),2)</f>
        <v>0</v>
      </c>
      <c r="AA2712" s="25">
        <f>ROUND(IF(AO2712="1",BG2712,0),2)</f>
        <v>0</v>
      </c>
      <c r="AB2712" s="25">
        <f>ROUND(IF(AO2712="7",BF2712,0),2)</f>
        <v>0</v>
      </c>
      <c r="AC2712" s="25">
        <f>ROUND(IF(AO2712="7",BG2712,0),2)</f>
        <v>0</v>
      </c>
      <c r="AD2712" s="25">
        <f>ROUND(IF(AO2712="2",BF2712,0),2)</f>
        <v>0</v>
      </c>
      <c r="AE2712" s="25">
        <f>ROUND(IF(AO2712="2",BG2712,0),2)</f>
        <v>0</v>
      </c>
      <c r="AF2712" s="25">
        <f>ROUND(IF(AO2712="0",BH2712,0),2)</f>
        <v>0</v>
      </c>
      <c r="AG2712" s="10" t="s">
        <v>3386</v>
      </c>
      <c r="AH2712" s="25">
        <f>IF(AL2712=0,K2712,0)</f>
        <v>0</v>
      </c>
      <c r="AI2712" s="25">
        <f>IF(AL2712=12,K2712,0)</f>
        <v>0</v>
      </c>
      <c r="AJ2712" s="25">
        <f>IF(AL2712=21,K2712,0)</f>
        <v>0</v>
      </c>
      <c r="AL2712" s="25">
        <v>21</v>
      </c>
      <c r="AM2712" s="25">
        <f>H2712*0</f>
        <v>0</v>
      </c>
      <c r="AN2712" s="25">
        <f>H2712*(1-0)</f>
        <v>0</v>
      </c>
      <c r="AO2712" s="27" t="s">
        <v>57</v>
      </c>
      <c r="AT2712" s="25">
        <f>ROUND(AU2712+AV2712,2)</f>
        <v>0</v>
      </c>
      <c r="AU2712" s="25">
        <f>ROUND(G2712*AM2712,2)</f>
        <v>0</v>
      </c>
      <c r="AV2712" s="25">
        <f>ROUND(G2712*AN2712,2)</f>
        <v>0</v>
      </c>
      <c r="AW2712" s="27" t="s">
        <v>3392</v>
      </c>
      <c r="AX2712" s="27" t="s">
        <v>3393</v>
      </c>
      <c r="AY2712" s="10" t="s">
        <v>3394</v>
      </c>
      <c r="BA2712" s="25">
        <f>AU2712+AV2712</f>
        <v>0</v>
      </c>
      <c r="BB2712" s="25">
        <f>H2712/(100-BC2712)*100</f>
        <v>0</v>
      </c>
      <c r="BC2712" s="25">
        <v>0</v>
      </c>
      <c r="BD2712" s="25">
        <f>M2712</f>
        <v>0</v>
      </c>
      <c r="BF2712" s="25">
        <f>G2712*AM2712</f>
        <v>0</v>
      </c>
      <c r="BG2712" s="25">
        <f>G2712*AN2712</f>
        <v>0</v>
      </c>
      <c r="BH2712" s="25">
        <f>G2712*H2712</f>
        <v>0</v>
      </c>
      <c r="BI2712" s="27" t="s">
        <v>65</v>
      </c>
      <c r="BJ2712" s="25"/>
      <c r="BU2712" s="25" t="e">
        <f>#REF!</f>
        <v>#REF!</v>
      </c>
      <c r="BV2712" s="4" t="s">
        <v>3400</v>
      </c>
    </row>
    <row r="2713" spans="1:74" ht="14.4" x14ac:dyDescent="0.3">
      <c r="A2713" s="28"/>
      <c r="D2713" s="29" t="s">
        <v>57</v>
      </c>
      <c r="E2713" s="29" t="s">
        <v>52</v>
      </c>
      <c r="G2713" s="30">
        <v>1</v>
      </c>
      <c r="H2713" s="63"/>
      <c r="N2713" s="31"/>
    </row>
    <row r="2714" spans="1:74" ht="14.4" x14ac:dyDescent="0.3">
      <c r="A2714" s="2" t="s">
        <v>3401</v>
      </c>
      <c r="B2714" s="3" t="s">
        <v>3386</v>
      </c>
      <c r="C2714" s="3" t="s">
        <v>3402</v>
      </c>
      <c r="D2714" s="112" t="s">
        <v>3403</v>
      </c>
      <c r="E2714" s="109"/>
      <c r="F2714" s="3" t="s">
        <v>860</v>
      </c>
      <c r="G2714" s="25">
        <v>1</v>
      </c>
      <c r="H2714" s="62"/>
      <c r="I2714" s="25">
        <f>ROUND(G2714*AM2714,2)</f>
        <v>0</v>
      </c>
      <c r="J2714" s="25">
        <f>ROUND(G2714*AN2714,2)</f>
        <v>0</v>
      </c>
      <c r="K2714" s="25">
        <f>ROUND(G2714*H2714,2)</f>
        <v>0</v>
      </c>
      <c r="L2714" s="25">
        <v>0</v>
      </c>
      <c r="M2714" s="25">
        <f>G2714*L2714</f>
        <v>0</v>
      </c>
      <c r="N2714" s="102"/>
      <c r="X2714" s="25">
        <f>ROUND(IF(AO2714="5",BH2714,0),2)</f>
        <v>0</v>
      </c>
      <c r="Z2714" s="25">
        <f>ROUND(IF(AO2714="1",BF2714,0),2)</f>
        <v>0</v>
      </c>
      <c r="AA2714" s="25">
        <f>ROUND(IF(AO2714="1",BG2714,0),2)</f>
        <v>0</v>
      </c>
      <c r="AB2714" s="25">
        <f>ROUND(IF(AO2714="7",BF2714,0),2)</f>
        <v>0</v>
      </c>
      <c r="AC2714" s="25">
        <f>ROUND(IF(AO2714="7",BG2714,0),2)</f>
        <v>0</v>
      </c>
      <c r="AD2714" s="25">
        <f>ROUND(IF(AO2714="2",BF2714,0),2)</f>
        <v>0</v>
      </c>
      <c r="AE2714" s="25">
        <f>ROUND(IF(AO2714="2",BG2714,0),2)</f>
        <v>0</v>
      </c>
      <c r="AF2714" s="25">
        <f>ROUND(IF(AO2714="0",BH2714,0),2)</f>
        <v>0</v>
      </c>
      <c r="AG2714" s="10" t="s">
        <v>3386</v>
      </c>
      <c r="AH2714" s="25">
        <f>IF(AL2714=0,K2714,0)</f>
        <v>0</v>
      </c>
      <c r="AI2714" s="25">
        <f>IF(AL2714=12,K2714,0)</f>
        <v>0</v>
      </c>
      <c r="AJ2714" s="25">
        <f>IF(AL2714=21,K2714,0)</f>
        <v>0</v>
      </c>
      <c r="AL2714" s="25">
        <v>21</v>
      </c>
      <c r="AM2714" s="25">
        <f>H2714*0</f>
        <v>0</v>
      </c>
      <c r="AN2714" s="25">
        <f>H2714*(1-0)</f>
        <v>0</v>
      </c>
      <c r="AO2714" s="27" t="s">
        <v>57</v>
      </c>
      <c r="AT2714" s="25">
        <f>ROUND(AU2714+AV2714,2)</f>
        <v>0</v>
      </c>
      <c r="AU2714" s="25">
        <f>ROUND(G2714*AM2714,2)</f>
        <v>0</v>
      </c>
      <c r="AV2714" s="25">
        <f>ROUND(G2714*AN2714,2)</f>
        <v>0</v>
      </c>
      <c r="AW2714" s="27" t="s">
        <v>3392</v>
      </c>
      <c r="AX2714" s="27" t="s">
        <v>3393</v>
      </c>
      <c r="AY2714" s="10" t="s">
        <v>3394</v>
      </c>
      <c r="BA2714" s="25">
        <f>AU2714+AV2714</f>
        <v>0</v>
      </c>
      <c r="BB2714" s="25">
        <f>H2714/(100-BC2714)*100</f>
        <v>0</v>
      </c>
      <c r="BC2714" s="25">
        <v>0</v>
      </c>
      <c r="BD2714" s="25">
        <f>M2714</f>
        <v>0</v>
      </c>
      <c r="BF2714" s="25">
        <f>G2714*AM2714</f>
        <v>0</v>
      </c>
      <c r="BG2714" s="25">
        <f>G2714*AN2714</f>
        <v>0</v>
      </c>
      <c r="BH2714" s="25">
        <f>G2714*H2714</f>
        <v>0</v>
      </c>
      <c r="BI2714" s="27" t="s">
        <v>65</v>
      </c>
      <c r="BJ2714" s="25"/>
      <c r="BU2714" s="25" t="e">
        <f>#REF!</f>
        <v>#REF!</v>
      </c>
      <c r="BV2714" s="4" t="s">
        <v>3403</v>
      </c>
    </row>
    <row r="2715" spans="1:74" ht="14.4" x14ac:dyDescent="0.3">
      <c r="A2715" s="28"/>
      <c r="D2715" s="29" t="s">
        <v>57</v>
      </c>
      <c r="E2715" s="29" t="s">
        <v>52</v>
      </c>
      <c r="G2715" s="30">
        <v>1</v>
      </c>
      <c r="H2715" s="63"/>
      <c r="N2715" s="31"/>
    </row>
    <row r="2716" spans="1:74" ht="26.4" x14ac:dyDescent="0.3">
      <c r="A2716" s="2" t="s">
        <v>3404</v>
      </c>
      <c r="B2716" s="3" t="s">
        <v>3386</v>
      </c>
      <c r="C2716" s="3" t="s">
        <v>3405</v>
      </c>
      <c r="D2716" s="112" t="s">
        <v>3406</v>
      </c>
      <c r="E2716" s="109"/>
      <c r="F2716" s="3" t="s">
        <v>100</v>
      </c>
      <c r="G2716" s="25">
        <v>40</v>
      </c>
      <c r="H2716" s="62"/>
      <c r="I2716" s="25">
        <f>ROUND(G2716*AM2716,2)</f>
        <v>0</v>
      </c>
      <c r="J2716" s="25">
        <f>ROUND(G2716*AN2716,2)</f>
        <v>0</v>
      </c>
      <c r="K2716" s="25">
        <f>ROUND(G2716*H2716,2)</f>
        <v>0</v>
      </c>
      <c r="L2716" s="25">
        <v>0</v>
      </c>
      <c r="M2716" s="25">
        <f>G2716*L2716</f>
        <v>0</v>
      </c>
      <c r="N2716" s="102"/>
      <c r="X2716" s="25">
        <f>ROUND(IF(AO2716="5",BH2716,0),2)</f>
        <v>0</v>
      </c>
      <c r="Z2716" s="25">
        <f>ROUND(IF(AO2716="1",BF2716,0),2)</f>
        <v>0</v>
      </c>
      <c r="AA2716" s="25">
        <f>ROUND(IF(AO2716="1",BG2716,0),2)</f>
        <v>0</v>
      </c>
      <c r="AB2716" s="25">
        <f>ROUND(IF(AO2716="7",BF2716,0),2)</f>
        <v>0</v>
      </c>
      <c r="AC2716" s="25">
        <f>ROUND(IF(AO2716="7",BG2716,0),2)</f>
        <v>0</v>
      </c>
      <c r="AD2716" s="25">
        <f>ROUND(IF(AO2716="2",BF2716,0),2)</f>
        <v>0</v>
      </c>
      <c r="AE2716" s="25">
        <f>ROUND(IF(AO2716="2",BG2716,0),2)</f>
        <v>0</v>
      </c>
      <c r="AF2716" s="25">
        <f>ROUND(IF(AO2716="0",BH2716,0),2)</f>
        <v>0</v>
      </c>
      <c r="AG2716" s="10" t="s">
        <v>3386</v>
      </c>
      <c r="AH2716" s="25">
        <f>IF(AL2716=0,K2716,0)</f>
        <v>0</v>
      </c>
      <c r="AI2716" s="25">
        <f>IF(AL2716=12,K2716,0)</f>
        <v>0</v>
      </c>
      <c r="AJ2716" s="25">
        <f>IF(AL2716=21,K2716,0)</f>
        <v>0</v>
      </c>
      <c r="AL2716" s="25">
        <v>21</v>
      </c>
      <c r="AM2716" s="25">
        <f>H2716*0</f>
        <v>0</v>
      </c>
      <c r="AN2716" s="25">
        <f>H2716*(1-0)</f>
        <v>0</v>
      </c>
      <c r="AO2716" s="27" t="s">
        <v>81</v>
      </c>
      <c r="AT2716" s="25">
        <f>ROUND(AU2716+AV2716,2)</f>
        <v>0</v>
      </c>
      <c r="AU2716" s="25">
        <f>ROUND(G2716*AM2716,2)</f>
        <v>0</v>
      </c>
      <c r="AV2716" s="25">
        <f>ROUND(G2716*AN2716,2)</f>
        <v>0</v>
      </c>
      <c r="AW2716" s="27" t="s">
        <v>3392</v>
      </c>
      <c r="AX2716" s="27" t="s">
        <v>3393</v>
      </c>
      <c r="AY2716" s="10" t="s">
        <v>3394</v>
      </c>
      <c r="BA2716" s="25">
        <f>AU2716+AV2716</f>
        <v>0</v>
      </c>
      <c r="BB2716" s="25">
        <f>H2716/(100-BC2716)*100</f>
        <v>0</v>
      </c>
      <c r="BC2716" s="25">
        <v>0</v>
      </c>
      <c r="BD2716" s="25">
        <f>M2716</f>
        <v>0</v>
      </c>
      <c r="BF2716" s="25">
        <f>G2716*AM2716</f>
        <v>0</v>
      </c>
      <c r="BG2716" s="25">
        <f>G2716*AN2716</f>
        <v>0</v>
      </c>
      <c r="BH2716" s="25">
        <f>G2716*H2716</f>
        <v>0</v>
      </c>
      <c r="BI2716" s="27" t="s">
        <v>65</v>
      </c>
      <c r="BJ2716" s="25"/>
      <c r="BU2716" s="25" t="e">
        <f>#REF!</f>
        <v>#REF!</v>
      </c>
      <c r="BV2716" s="4" t="s">
        <v>3406</v>
      </c>
    </row>
    <row r="2717" spans="1:74" ht="14.4" x14ac:dyDescent="0.3">
      <c r="A2717" s="28"/>
      <c r="D2717" s="29" t="s">
        <v>323</v>
      </c>
      <c r="E2717" s="29" t="s">
        <v>52</v>
      </c>
      <c r="G2717" s="30">
        <v>40</v>
      </c>
      <c r="H2717" s="63"/>
      <c r="N2717" s="31"/>
    </row>
    <row r="2718" spans="1:74" ht="14.4" x14ac:dyDescent="0.3">
      <c r="A2718" s="2" t="s">
        <v>3407</v>
      </c>
      <c r="B2718" s="3" t="s">
        <v>3386</v>
      </c>
      <c r="C2718" s="3" t="s">
        <v>3408</v>
      </c>
      <c r="D2718" s="112" t="s">
        <v>3409</v>
      </c>
      <c r="E2718" s="109"/>
      <c r="F2718" s="3" t="s">
        <v>860</v>
      </c>
      <c r="G2718" s="25">
        <v>1</v>
      </c>
      <c r="H2718" s="62"/>
      <c r="I2718" s="25">
        <f>ROUND(G2718*AM2718,2)</f>
        <v>0</v>
      </c>
      <c r="J2718" s="25">
        <f>ROUND(G2718*AN2718,2)</f>
        <v>0</v>
      </c>
      <c r="K2718" s="25">
        <f>ROUND(G2718*H2718,2)</f>
        <v>0</v>
      </c>
      <c r="L2718" s="25">
        <v>0</v>
      </c>
      <c r="M2718" s="25">
        <f>G2718*L2718</f>
        <v>0</v>
      </c>
      <c r="N2718" s="102"/>
      <c r="X2718" s="25">
        <f>ROUND(IF(AO2718="5",BH2718,0),2)</f>
        <v>0</v>
      </c>
      <c r="Z2718" s="25">
        <f>ROUND(IF(AO2718="1",BF2718,0),2)</f>
        <v>0</v>
      </c>
      <c r="AA2718" s="25">
        <f>ROUND(IF(AO2718="1",BG2718,0),2)</f>
        <v>0</v>
      </c>
      <c r="AB2718" s="25">
        <f>ROUND(IF(AO2718="7",BF2718,0),2)</f>
        <v>0</v>
      </c>
      <c r="AC2718" s="25">
        <f>ROUND(IF(AO2718="7",BG2718,0),2)</f>
        <v>0</v>
      </c>
      <c r="AD2718" s="25">
        <f>ROUND(IF(AO2718="2",BF2718,0),2)</f>
        <v>0</v>
      </c>
      <c r="AE2718" s="25">
        <f>ROUND(IF(AO2718="2",BG2718,0),2)</f>
        <v>0</v>
      </c>
      <c r="AF2718" s="25">
        <f>ROUND(IF(AO2718="0",BH2718,0),2)</f>
        <v>0</v>
      </c>
      <c r="AG2718" s="10" t="s">
        <v>3386</v>
      </c>
      <c r="AH2718" s="25">
        <f>IF(AL2718=0,K2718,0)</f>
        <v>0</v>
      </c>
      <c r="AI2718" s="25">
        <f>IF(AL2718=12,K2718,0)</f>
        <v>0</v>
      </c>
      <c r="AJ2718" s="25">
        <f>IF(AL2718=21,K2718,0)</f>
        <v>0</v>
      </c>
      <c r="AL2718" s="25">
        <v>21</v>
      </c>
      <c r="AM2718" s="25">
        <f>H2718*0</f>
        <v>0</v>
      </c>
      <c r="AN2718" s="25">
        <f>H2718*(1-0)</f>
        <v>0</v>
      </c>
      <c r="AO2718" s="27" t="s">
        <v>57</v>
      </c>
      <c r="AT2718" s="25">
        <f>ROUND(AU2718+AV2718,2)</f>
        <v>0</v>
      </c>
      <c r="AU2718" s="25">
        <f>ROUND(G2718*AM2718,2)</f>
        <v>0</v>
      </c>
      <c r="AV2718" s="25">
        <f>ROUND(G2718*AN2718,2)</f>
        <v>0</v>
      </c>
      <c r="AW2718" s="27" t="s">
        <v>3392</v>
      </c>
      <c r="AX2718" s="27" t="s">
        <v>3393</v>
      </c>
      <c r="AY2718" s="10" t="s">
        <v>3394</v>
      </c>
      <c r="BA2718" s="25">
        <f>AU2718+AV2718</f>
        <v>0</v>
      </c>
      <c r="BB2718" s="25">
        <f>H2718/(100-BC2718)*100</f>
        <v>0</v>
      </c>
      <c r="BC2718" s="25">
        <v>0</v>
      </c>
      <c r="BD2718" s="25">
        <f>M2718</f>
        <v>0</v>
      </c>
      <c r="BF2718" s="25">
        <f>G2718*AM2718</f>
        <v>0</v>
      </c>
      <c r="BG2718" s="25">
        <f>G2718*AN2718</f>
        <v>0</v>
      </c>
      <c r="BH2718" s="25">
        <f>G2718*H2718</f>
        <v>0</v>
      </c>
      <c r="BI2718" s="27" t="s">
        <v>65</v>
      </c>
      <c r="BJ2718" s="25"/>
      <c r="BU2718" s="25" t="e">
        <f>#REF!</f>
        <v>#REF!</v>
      </c>
      <c r="BV2718" s="4" t="s">
        <v>3409</v>
      </c>
    </row>
    <row r="2719" spans="1:74" ht="14.4" x14ac:dyDescent="0.3">
      <c r="A2719" s="28"/>
      <c r="D2719" s="29" t="s">
        <v>57</v>
      </c>
      <c r="E2719" s="29" t="s">
        <v>52</v>
      </c>
      <c r="G2719" s="30">
        <v>1</v>
      </c>
      <c r="H2719" s="63"/>
      <c r="N2719" s="31"/>
    </row>
    <row r="2720" spans="1:74" ht="26.4" x14ac:dyDescent="0.3">
      <c r="A2720" s="2" t="s">
        <v>3410</v>
      </c>
      <c r="B2720" s="3" t="s">
        <v>3386</v>
      </c>
      <c r="C2720" s="3" t="s">
        <v>3411</v>
      </c>
      <c r="D2720" s="112" t="s">
        <v>3412</v>
      </c>
      <c r="E2720" s="109"/>
      <c r="F2720" s="3" t="s">
        <v>860</v>
      </c>
      <c r="G2720" s="25">
        <v>1</v>
      </c>
      <c r="H2720" s="62"/>
      <c r="I2720" s="25">
        <f>ROUND(G2720*AM2720,2)</f>
        <v>0</v>
      </c>
      <c r="J2720" s="25">
        <f>ROUND(G2720*AN2720,2)</f>
        <v>0</v>
      </c>
      <c r="K2720" s="25">
        <f>ROUND(G2720*H2720,2)</f>
        <v>0</v>
      </c>
      <c r="L2720" s="25">
        <v>0</v>
      </c>
      <c r="M2720" s="25">
        <f>G2720*L2720</f>
        <v>0</v>
      </c>
      <c r="N2720" s="102"/>
      <c r="X2720" s="25">
        <f>ROUND(IF(AO2720="5",BH2720,0),2)</f>
        <v>0</v>
      </c>
      <c r="Z2720" s="25">
        <f>ROUND(IF(AO2720="1",BF2720,0),2)</f>
        <v>0</v>
      </c>
      <c r="AA2720" s="25">
        <f>ROUND(IF(AO2720="1",BG2720,0),2)</f>
        <v>0</v>
      </c>
      <c r="AB2720" s="25">
        <f>ROUND(IF(AO2720="7",BF2720,0),2)</f>
        <v>0</v>
      </c>
      <c r="AC2720" s="25">
        <f>ROUND(IF(AO2720="7",BG2720,0),2)</f>
        <v>0</v>
      </c>
      <c r="AD2720" s="25">
        <f>ROUND(IF(AO2720="2",BF2720,0),2)</f>
        <v>0</v>
      </c>
      <c r="AE2720" s="25">
        <f>ROUND(IF(AO2720="2",BG2720,0),2)</f>
        <v>0</v>
      </c>
      <c r="AF2720" s="25">
        <f>ROUND(IF(AO2720="0",BH2720,0),2)</f>
        <v>0</v>
      </c>
      <c r="AG2720" s="10" t="s">
        <v>3386</v>
      </c>
      <c r="AH2720" s="25">
        <f>IF(AL2720=0,K2720,0)</f>
        <v>0</v>
      </c>
      <c r="AI2720" s="25">
        <f>IF(AL2720=12,K2720,0)</f>
        <v>0</v>
      </c>
      <c r="AJ2720" s="25">
        <f>IF(AL2720=21,K2720,0)</f>
        <v>0</v>
      </c>
      <c r="AL2720" s="25">
        <v>21</v>
      </c>
      <c r="AM2720" s="25">
        <f>H2720*0</f>
        <v>0</v>
      </c>
      <c r="AN2720" s="25">
        <f>H2720*(1-0)</f>
        <v>0</v>
      </c>
      <c r="AO2720" s="27" t="s">
        <v>57</v>
      </c>
      <c r="AT2720" s="25">
        <f>ROUND(AU2720+AV2720,2)</f>
        <v>0</v>
      </c>
      <c r="AU2720" s="25">
        <f>ROUND(G2720*AM2720,2)</f>
        <v>0</v>
      </c>
      <c r="AV2720" s="25">
        <f>ROUND(G2720*AN2720,2)</f>
        <v>0</v>
      </c>
      <c r="AW2720" s="27" t="s">
        <v>3392</v>
      </c>
      <c r="AX2720" s="27" t="s">
        <v>3393</v>
      </c>
      <c r="AY2720" s="10" t="s">
        <v>3394</v>
      </c>
      <c r="BA2720" s="25">
        <f>AU2720+AV2720</f>
        <v>0</v>
      </c>
      <c r="BB2720" s="25">
        <f>H2720/(100-BC2720)*100</f>
        <v>0</v>
      </c>
      <c r="BC2720" s="25">
        <v>0</v>
      </c>
      <c r="BD2720" s="25">
        <f>M2720</f>
        <v>0</v>
      </c>
      <c r="BF2720" s="25">
        <f>G2720*AM2720</f>
        <v>0</v>
      </c>
      <c r="BG2720" s="25">
        <f>G2720*AN2720</f>
        <v>0</v>
      </c>
      <c r="BH2720" s="25">
        <f>G2720*H2720</f>
        <v>0</v>
      </c>
      <c r="BI2720" s="27" t="s">
        <v>65</v>
      </c>
      <c r="BJ2720" s="25"/>
      <c r="BU2720" s="25" t="e">
        <f>#REF!</f>
        <v>#REF!</v>
      </c>
      <c r="BV2720" s="4" t="s">
        <v>3412</v>
      </c>
    </row>
    <row r="2721" spans="1:74" ht="14.4" x14ac:dyDescent="0.3">
      <c r="A2721" s="28"/>
      <c r="D2721" s="29" t="s">
        <v>57</v>
      </c>
      <c r="E2721" s="29" t="s">
        <v>52</v>
      </c>
      <c r="G2721" s="30">
        <v>1</v>
      </c>
      <c r="H2721" s="63"/>
      <c r="N2721" s="31"/>
    </row>
    <row r="2722" spans="1:74" ht="26.4" x14ac:dyDescent="0.3">
      <c r="A2722" s="2" t="s">
        <v>3413</v>
      </c>
      <c r="B2722" s="3" t="s">
        <v>3386</v>
      </c>
      <c r="C2722" s="3" t="s">
        <v>3414</v>
      </c>
      <c r="D2722" s="112" t="s">
        <v>3415</v>
      </c>
      <c r="E2722" s="109"/>
      <c r="F2722" s="3" t="s">
        <v>860</v>
      </c>
      <c r="G2722" s="25">
        <v>1</v>
      </c>
      <c r="H2722" s="62"/>
      <c r="I2722" s="25">
        <f>ROUND(G2722*AM2722,2)</f>
        <v>0</v>
      </c>
      <c r="J2722" s="25">
        <f>ROUND(G2722*AN2722,2)</f>
        <v>0</v>
      </c>
      <c r="K2722" s="25">
        <f>ROUND(G2722*H2722,2)</f>
        <v>0</v>
      </c>
      <c r="L2722" s="25">
        <v>0</v>
      </c>
      <c r="M2722" s="25">
        <f>G2722*L2722</f>
        <v>0</v>
      </c>
      <c r="N2722" s="102"/>
      <c r="X2722" s="25">
        <f>ROUND(IF(AO2722="5",BH2722,0),2)</f>
        <v>0</v>
      </c>
      <c r="Z2722" s="25">
        <f>ROUND(IF(AO2722="1",BF2722,0),2)</f>
        <v>0</v>
      </c>
      <c r="AA2722" s="25">
        <f>ROUND(IF(AO2722="1",BG2722,0),2)</f>
        <v>0</v>
      </c>
      <c r="AB2722" s="25">
        <f>ROUND(IF(AO2722="7",BF2722,0),2)</f>
        <v>0</v>
      </c>
      <c r="AC2722" s="25">
        <f>ROUND(IF(AO2722="7",BG2722,0),2)</f>
        <v>0</v>
      </c>
      <c r="AD2722" s="25">
        <f>ROUND(IF(AO2722="2",BF2722,0),2)</f>
        <v>0</v>
      </c>
      <c r="AE2722" s="25">
        <f>ROUND(IF(AO2722="2",BG2722,0),2)</f>
        <v>0</v>
      </c>
      <c r="AF2722" s="25">
        <f>ROUND(IF(AO2722="0",BH2722,0),2)</f>
        <v>0</v>
      </c>
      <c r="AG2722" s="10" t="s">
        <v>3386</v>
      </c>
      <c r="AH2722" s="25">
        <f>IF(AL2722=0,K2722,0)</f>
        <v>0</v>
      </c>
      <c r="AI2722" s="25">
        <f>IF(AL2722=12,K2722,0)</f>
        <v>0</v>
      </c>
      <c r="AJ2722" s="25">
        <f>IF(AL2722=21,K2722,0)</f>
        <v>0</v>
      </c>
      <c r="AL2722" s="25">
        <v>21</v>
      </c>
      <c r="AM2722" s="25">
        <f>H2722*0</f>
        <v>0</v>
      </c>
      <c r="AN2722" s="25">
        <f>H2722*(1-0)</f>
        <v>0</v>
      </c>
      <c r="AO2722" s="27" t="s">
        <v>57</v>
      </c>
      <c r="AT2722" s="25">
        <f>ROUND(AU2722+AV2722,2)</f>
        <v>0</v>
      </c>
      <c r="AU2722" s="25">
        <f>ROUND(G2722*AM2722,2)</f>
        <v>0</v>
      </c>
      <c r="AV2722" s="25">
        <f>ROUND(G2722*AN2722,2)</f>
        <v>0</v>
      </c>
      <c r="AW2722" s="27" t="s">
        <v>3392</v>
      </c>
      <c r="AX2722" s="27" t="s">
        <v>3393</v>
      </c>
      <c r="AY2722" s="10" t="s">
        <v>3394</v>
      </c>
      <c r="BA2722" s="25">
        <f>AU2722+AV2722</f>
        <v>0</v>
      </c>
      <c r="BB2722" s="25">
        <f>H2722/(100-BC2722)*100</f>
        <v>0</v>
      </c>
      <c r="BC2722" s="25">
        <v>0</v>
      </c>
      <c r="BD2722" s="25">
        <f>M2722</f>
        <v>0</v>
      </c>
      <c r="BF2722" s="25">
        <f>G2722*AM2722</f>
        <v>0</v>
      </c>
      <c r="BG2722" s="25">
        <f>G2722*AN2722</f>
        <v>0</v>
      </c>
      <c r="BH2722" s="25">
        <f>G2722*H2722</f>
        <v>0</v>
      </c>
      <c r="BI2722" s="27" t="s">
        <v>65</v>
      </c>
      <c r="BJ2722" s="25"/>
      <c r="BU2722" s="25" t="e">
        <f>#REF!</f>
        <v>#REF!</v>
      </c>
      <c r="BV2722" s="4" t="s">
        <v>3415</v>
      </c>
    </row>
    <row r="2723" spans="1:74" ht="14.4" x14ac:dyDescent="0.3">
      <c r="A2723" s="28"/>
      <c r="D2723" s="29" t="s">
        <v>57</v>
      </c>
      <c r="E2723" s="29" t="s">
        <v>52</v>
      </c>
      <c r="G2723" s="30">
        <v>1</v>
      </c>
      <c r="H2723" s="63"/>
      <c r="N2723" s="31"/>
    </row>
    <row r="2724" spans="1:74" ht="26.4" x14ac:dyDescent="0.3">
      <c r="A2724" s="2" t="s">
        <v>3416</v>
      </c>
      <c r="B2724" s="3" t="s">
        <v>3386</v>
      </c>
      <c r="C2724" s="3" t="s">
        <v>3417</v>
      </c>
      <c r="D2724" s="112" t="s">
        <v>3418</v>
      </c>
      <c r="E2724" s="109"/>
      <c r="F2724" s="3" t="s">
        <v>860</v>
      </c>
      <c r="G2724" s="25">
        <v>1</v>
      </c>
      <c r="H2724" s="62"/>
      <c r="I2724" s="25">
        <f>ROUND(G2724*AM2724,2)</f>
        <v>0</v>
      </c>
      <c r="J2724" s="25">
        <f>ROUND(G2724*AN2724,2)</f>
        <v>0</v>
      </c>
      <c r="K2724" s="25">
        <f>ROUND(G2724*H2724,2)</f>
        <v>0</v>
      </c>
      <c r="L2724" s="25">
        <v>0</v>
      </c>
      <c r="M2724" s="25">
        <f>G2724*L2724</f>
        <v>0</v>
      </c>
      <c r="N2724" s="102"/>
      <c r="X2724" s="25">
        <f>ROUND(IF(AO2724="5",BH2724,0),2)</f>
        <v>0</v>
      </c>
      <c r="Z2724" s="25">
        <f>ROUND(IF(AO2724="1",BF2724,0),2)</f>
        <v>0</v>
      </c>
      <c r="AA2724" s="25">
        <f>ROUND(IF(AO2724="1",BG2724,0),2)</f>
        <v>0</v>
      </c>
      <c r="AB2724" s="25">
        <f>ROUND(IF(AO2724="7",BF2724,0),2)</f>
        <v>0</v>
      </c>
      <c r="AC2724" s="25">
        <f>ROUND(IF(AO2724="7",BG2724,0),2)</f>
        <v>0</v>
      </c>
      <c r="AD2724" s="25">
        <f>ROUND(IF(AO2724="2",BF2724,0),2)</f>
        <v>0</v>
      </c>
      <c r="AE2724" s="25">
        <f>ROUND(IF(AO2724="2",BG2724,0),2)</f>
        <v>0</v>
      </c>
      <c r="AF2724" s="25">
        <f>ROUND(IF(AO2724="0",BH2724,0),2)</f>
        <v>0</v>
      </c>
      <c r="AG2724" s="10" t="s">
        <v>3386</v>
      </c>
      <c r="AH2724" s="25">
        <f>IF(AL2724=0,K2724,0)</f>
        <v>0</v>
      </c>
      <c r="AI2724" s="25">
        <f>IF(AL2724=12,K2724,0)</f>
        <v>0</v>
      </c>
      <c r="AJ2724" s="25">
        <f>IF(AL2724=21,K2724,0)</f>
        <v>0</v>
      </c>
      <c r="AL2724" s="25">
        <v>21</v>
      </c>
      <c r="AM2724" s="25">
        <f>H2724*0</f>
        <v>0</v>
      </c>
      <c r="AN2724" s="25">
        <f>H2724*(1-0)</f>
        <v>0</v>
      </c>
      <c r="AO2724" s="27" t="s">
        <v>57</v>
      </c>
      <c r="AT2724" s="25">
        <f>ROUND(AU2724+AV2724,2)</f>
        <v>0</v>
      </c>
      <c r="AU2724" s="25">
        <f>ROUND(G2724*AM2724,2)</f>
        <v>0</v>
      </c>
      <c r="AV2724" s="25">
        <f>ROUND(G2724*AN2724,2)</f>
        <v>0</v>
      </c>
      <c r="AW2724" s="27" t="s">
        <v>3392</v>
      </c>
      <c r="AX2724" s="27" t="s">
        <v>3393</v>
      </c>
      <c r="AY2724" s="10" t="s">
        <v>3394</v>
      </c>
      <c r="BA2724" s="25">
        <f>AU2724+AV2724</f>
        <v>0</v>
      </c>
      <c r="BB2724" s="25">
        <f>H2724/(100-BC2724)*100</f>
        <v>0</v>
      </c>
      <c r="BC2724" s="25">
        <v>0</v>
      </c>
      <c r="BD2724" s="25">
        <f>M2724</f>
        <v>0</v>
      </c>
      <c r="BF2724" s="25">
        <f>G2724*AM2724</f>
        <v>0</v>
      </c>
      <c r="BG2724" s="25">
        <f>G2724*AN2724</f>
        <v>0</v>
      </c>
      <c r="BH2724" s="25">
        <f>G2724*H2724</f>
        <v>0</v>
      </c>
      <c r="BI2724" s="27" t="s">
        <v>65</v>
      </c>
      <c r="BJ2724" s="25"/>
      <c r="BU2724" s="25" t="e">
        <f>#REF!</f>
        <v>#REF!</v>
      </c>
      <c r="BV2724" s="4" t="s">
        <v>3418</v>
      </c>
    </row>
    <row r="2725" spans="1:74" ht="14.4" x14ac:dyDescent="0.3">
      <c r="A2725" s="28"/>
      <c r="D2725" s="29" t="s">
        <v>57</v>
      </c>
      <c r="E2725" s="29" t="s">
        <v>52</v>
      </c>
      <c r="G2725" s="30">
        <v>1</v>
      </c>
      <c r="H2725" s="63"/>
      <c r="N2725" s="31"/>
    </row>
    <row r="2726" spans="1:74" ht="14.4" x14ac:dyDescent="0.3">
      <c r="A2726" s="2" t="s">
        <v>3419</v>
      </c>
      <c r="B2726" s="3" t="s">
        <v>3386</v>
      </c>
      <c r="C2726" s="3" t="s">
        <v>3420</v>
      </c>
      <c r="D2726" s="112" t="s">
        <v>3421</v>
      </c>
      <c r="E2726" s="109"/>
      <c r="F2726" s="3" t="s">
        <v>860</v>
      </c>
      <c r="G2726" s="25">
        <v>1</v>
      </c>
      <c r="H2726" s="62"/>
      <c r="I2726" s="25">
        <f>ROUND(G2726*AM2726,2)</f>
        <v>0</v>
      </c>
      <c r="J2726" s="25">
        <f>ROUND(G2726*AN2726,2)</f>
        <v>0</v>
      </c>
      <c r="K2726" s="25">
        <f>ROUND(G2726*H2726,2)</f>
        <v>0</v>
      </c>
      <c r="L2726" s="25">
        <v>0</v>
      </c>
      <c r="M2726" s="25">
        <f>G2726*L2726</f>
        <v>0</v>
      </c>
      <c r="N2726" s="102"/>
      <c r="X2726" s="25">
        <f>ROUND(IF(AO2726="5",BH2726,0),2)</f>
        <v>0</v>
      </c>
      <c r="Z2726" s="25">
        <f>ROUND(IF(AO2726="1",BF2726,0),2)</f>
        <v>0</v>
      </c>
      <c r="AA2726" s="25">
        <f>ROUND(IF(AO2726="1",BG2726,0),2)</f>
        <v>0</v>
      </c>
      <c r="AB2726" s="25">
        <f>ROUND(IF(AO2726="7",BF2726,0),2)</f>
        <v>0</v>
      </c>
      <c r="AC2726" s="25">
        <f>ROUND(IF(AO2726="7",BG2726,0),2)</f>
        <v>0</v>
      </c>
      <c r="AD2726" s="25">
        <f>ROUND(IF(AO2726="2",BF2726,0),2)</f>
        <v>0</v>
      </c>
      <c r="AE2726" s="25">
        <f>ROUND(IF(AO2726="2",BG2726,0),2)</f>
        <v>0</v>
      </c>
      <c r="AF2726" s="25">
        <f>ROUND(IF(AO2726="0",BH2726,0),2)</f>
        <v>0</v>
      </c>
      <c r="AG2726" s="10" t="s">
        <v>3386</v>
      </c>
      <c r="AH2726" s="25">
        <f>IF(AL2726=0,K2726,0)</f>
        <v>0</v>
      </c>
      <c r="AI2726" s="25">
        <f>IF(AL2726=12,K2726,0)</f>
        <v>0</v>
      </c>
      <c r="AJ2726" s="25">
        <f>IF(AL2726=21,K2726,0)</f>
        <v>0</v>
      </c>
      <c r="AL2726" s="25">
        <v>21</v>
      </c>
      <c r="AM2726" s="25">
        <f>H2726*0</f>
        <v>0</v>
      </c>
      <c r="AN2726" s="25">
        <f>H2726*(1-0)</f>
        <v>0</v>
      </c>
      <c r="AO2726" s="27" t="s">
        <v>57</v>
      </c>
      <c r="AT2726" s="25">
        <f>ROUND(AU2726+AV2726,2)</f>
        <v>0</v>
      </c>
      <c r="AU2726" s="25">
        <f>ROUND(G2726*AM2726,2)</f>
        <v>0</v>
      </c>
      <c r="AV2726" s="25">
        <f>ROUND(G2726*AN2726,2)</f>
        <v>0</v>
      </c>
      <c r="AW2726" s="27" t="s">
        <v>3392</v>
      </c>
      <c r="AX2726" s="27" t="s">
        <v>3393</v>
      </c>
      <c r="AY2726" s="10" t="s">
        <v>3394</v>
      </c>
      <c r="BA2726" s="25">
        <f>AU2726+AV2726</f>
        <v>0</v>
      </c>
      <c r="BB2726" s="25">
        <f>H2726/(100-BC2726)*100</f>
        <v>0</v>
      </c>
      <c r="BC2726" s="25">
        <v>0</v>
      </c>
      <c r="BD2726" s="25">
        <f>M2726</f>
        <v>0</v>
      </c>
      <c r="BF2726" s="25">
        <f>G2726*AM2726</f>
        <v>0</v>
      </c>
      <c r="BG2726" s="25">
        <f>G2726*AN2726</f>
        <v>0</v>
      </c>
      <c r="BH2726" s="25">
        <f>G2726*H2726</f>
        <v>0</v>
      </c>
      <c r="BI2726" s="27" t="s">
        <v>65</v>
      </c>
      <c r="BJ2726" s="25"/>
      <c r="BU2726" s="25" t="e">
        <f>#REF!</f>
        <v>#REF!</v>
      </c>
      <c r="BV2726" s="4" t="s">
        <v>3421</v>
      </c>
    </row>
    <row r="2727" spans="1:74" ht="14.4" x14ac:dyDescent="0.3">
      <c r="A2727" s="28"/>
      <c r="D2727" s="29" t="s">
        <v>57</v>
      </c>
      <c r="E2727" s="29" t="s">
        <v>52</v>
      </c>
      <c r="G2727" s="30">
        <v>1</v>
      </c>
      <c r="H2727" s="63"/>
      <c r="N2727" s="31"/>
    </row>
    <row r="2728" spans="1:74" ht="14.4" x14ac:dyDescent="0.3">
      <c r="A2728" s="2" t="s">
        <v>3422</v>
      </c>
      <c r="B2728" s="3" t="s">
        <v>3386</v>
      </c>
      <c r="C2728" s="3" t="s">
        <v>3423</v>
      </c>
      <c r="D2728" s="112" t="s">
        <v>3424</v>
      </c>
      <c r="E2728" s="109"/>
      <c r="F2728" s="3" t="s">
        <v>860</v>
      </c>
      <c r="G2728" s="25">
        <v>1</v>
      </c>
      <c r="H2728" s="62"/>
      <c r="I2728" s="25">
        <f>ROUND(G2728*AM2728,2)</f>
        <v>0</v>
      </c>
      <c r="J2728" s="25">
        <f>ROUND(G2728*AN2728,2)</f>
        <v>0</v>
      </c>
      <c r="K2728" s="25">
        <f>ROUND(G2728*H2728,2)</f>
        <v>0</v>
      </c>
      <c r="L2728" s="25">
        <v>4.8700000000000002E-3</v>
      </c>
      <c r="M2728" s="25">
        <f>G2728*L2728</f>
        <v>4.8700000000000002E-3</v>
      </c>
      <c r="N2728" s="102"/>
      <c r="X2728" s="25">
        <f>ROUND(IF(AO2728="5",BH2728,0),2)</f>
        <v>0</v>
      </c>
      <c r="Z2728" s="25">
        <f>ROUND(IF(AO2728="1",BF2728,0),2)</f>
        <v>0</v>
      </c>
      <c r="AA2728" s="25">
        <f>ROUND(IF(AO2728="1",BG2728,0),2)</f>
        <v>0</v>
      </c>
      <c r="AB2728" s="25">
        <f>ROUND(IF(AO2728="7",BF2728,0),2)</f>
        <v>0</v>
      </c>
      <c r="AC2728" s="25">
        <f>ROUND(IF(AO2728="7",BG2728,0),2)</f>
        <v>0</v>
      </c>
      <c r="AD2728" s="25">
        <f>ROUND(IF(AO2728="2",BF2728,0),2)</f>
        <v>0</v>
      </c>
      <c r="AE2728" s="25">
        <f>ROUND(IF(AO2728="2",BG2728,0),2)</f>
        <v>0</v>
      </c>
      <c r="AF2728" s="25">
        <f>ROUND(IF(AO2728="0",BH2728,0),2)</f>
        <v>0</v>
      </c>
      <c r="AG2728" s="10" t="s">
        <v>3386</v>
      </c>
      <c r="AH2728" s="25">
        <f>IF(AL2728=0,K2728,0)</f>
        <v>0</v>
      </c>
      <c r="AI2728" s="25">
        <f>IF(AL2728=12,K2728,0)</f>
        <v>0</v>
      </c>
      <c r="AJ2728" s="25">
        <f>IF(AL2728=21,K2728,0)</f>
        <v>0</v>
      </c>
      <c r="AL2728" s="25">
        <v>21</v>
      </c>
      <c r="AM2728" s="25">
        <f>H2728*0</f>
        <v>0</v>
      </c>
      <c r="AN2728" s="25">
        <f>H2728*(1-0)</f>
        <v>0</v>
      </c>
      <c r="AO2728" s="27" t="s">
        <v>57</v>
      </c>
      <c r="AT2728" s="25">
        <f>ROUND(AU2728+AV2728,2)</f>
        <v>0</v>
      </c>
      <c r="AU2728" s="25">
        <f>ROUND(G2728*AM2728,2)</f>
        <v>0</v>
      </c>
      <c r="AV2728" s="25">
        <f>ROUND(G2728*AN2728,2)</f>
        <v>0</v>
      </c>
      <c r="AW2728" s="27" t="s">
        <v>3392</v>
      </c>
      <c r="AX2728" s="27" t="s">
        <v>3393</v>
      </c>
      <c r="AY2728" s="10" t="s">
        <v>3394</v>
      </c>
      <c r="BA2728" s="25">
        <f>AU2728+AV2728</f>
        <v>0</v>
      </c>
      <c r="BB2728" s="25">
        <f>H2728/(100-BC2728)*100</f>
        <v>0</v>
      </c>
      <c r="BC2728" s="25">
        <v>0</v>
      </c>
      <c r="BD2728" s="25">
        <f>M2728</f>
        <v>4.8700000000000002E-3</v>
      </c>
      <c r="BF2728" s="25">
        <f>G2728*AM2728</f>
        <v>0</v>
      </c>
      <c r="BG2728" s="25">
        <f>G2728*AN2728</f>
        <v>0</v>
      </c>
      <c r="BH2728" s="25">
        <f>G2728*H2728</f>
        <v>0</v>
      </c>
      <c r="BI2728" s="27" t="s">
        <v>65</v>
      </c>
      <c r="BJ2728" s="25"/>
      <c r="BU2728" s="25" t="e">
        <f>#REF!</f>
        <v>#REF!</v>
      </c>
      <c r="BV2728" s="4" t="s">
        <v>3424</v>
      </c>
    </row>
    <row r="2729" spans="1:74" ht="14.4" x14ac:dyDescent="0.3">
      <c r="A2729" s="28"/>
      <c r="D2729" s="29" t="s">
        <v>57</v>
      </c>
      <c r="E2729" s="29" t="s">
        <v>52</v>
      </c>
      <c r="G2729" s="30">
        <v>1</v>
      </c>
      <c r="H2729" s="63"/>
      <c r="N2729" s="31"/>
    </row>
    <row r="2730" spans="1:74" ht="14.4" x14ac:dyDescent="0.3">
      <c r="A2730" s="21" t="s">
        <v>52</v>
      </c>
      <c r="B2730" s="22" t="s">
        <v>3386</v>
      </c>
      <c r="C2730" s="22" t="s">
        <v>576</v>
      </c>
      <c r="D2730" s="170" t="s">
        <v>3425</v>
      </c>
      <c r="E2730" s="171"/>
      <c r="F2730" s="23" t="s">
        <v>32</v>
      </c>
      <c r="G2730" s="23" t="s">
        <v>32</v>
      </c>
      <c r="H2730" s="64"/>
      <c r="I2730" s="1">
        <f>SUM(I2731:I2745)</f>
        <v>0</v>
      </c>
      <c r="J2730" s="1">
        <f>SUM(J2731:J2745)</f>
        <v>0</v>
      </c>
      <c r="K2730" s="1">
        <f>SUM(K2731:K2745)</f>
        <v>0</v>
      </c>
      <c r="L2730" s="10" t="s">
        <v>52</v>
      </c>
      <c r="M2730" s="1">
        <f>SUM(M2731:M2745)</f>
        <v>0</v>
      </c>
      <c r="N2730" s="24"/>
      <c r="AG2730" s="10" t="s">
        <v>3386</v>
      </c>
      <c r="AQ2730" s="1">
        <f>SUM(AH2731:AH2745)</f>
        <v>0</v>
      </c>
      <c r="AR2730" s="1">
        <f>SUM(AI2731:AI2745)</f>
        <v>0</v>
      </c>
      <c r="AS2730" s="1">
        <f>SUM(AJ2731:AJ2745)</f>
        <v>0</v>
      </c>
    </row>
    <row r="2731" spans="1:74" ht="26.4" x14ac:dyDescent="0.3">
      <c r="A2731" s="2" t="s">
        <v>3426</v>
      </c>
      <c r="B2731" s="3" t="s">
        <v>3386</v>
      </c>
      <c r="C2731" s="3" t="s">
        <v>3405</v>
      </c>
      <c r="D2731" s="112" t="s">
        <v>3427</v>
      </c>
      <c r="E2731" s="109"/>
      <c r="F2731" s="3" t="s">
        <v>100</v>
      </c>
      <c r="G2731" s="25">
        <v>10</v>
      </c>
      <c r="H2731" s="62"/>
      <c r="I2731" s="25">
        <f>ROUND(G2731*AM2731,2)</f>
        <v>0</v>
      </c>
      <c r="J2731" s="25">
        <f>ROUND(G2731*AN2731,2)</f>
        <v>0</v>
      </c>
      <c r="K2731" s="25">
        <f>ROUND(G2731*H2731,2)</f>
        <v>0</v>
      </c>
      <c r="L2731" s="25">
        <v>0</v>
      </c>
      <c r="M2731" s="25">
        <f>G2731*L2731</f>
        <v>0</v>
      </c>
      <c r="N2731" s="102"/>
      <c r="X2731" s="25">
        <f>ROUND(IF(AO2731="5",BH2731,0),2)</f>
        <v>0</v>
      </c>
      <c r="Z2731" s="25">
        <f>ROUND(IF(AO2731="1",BF2731,0),2)</f>
        <v>0</v>
      </c>
      <c r="AA2731" s="25">
        <f>ROUND(IF(AO2731="1",BG2731,0),2)</f>
        <v>0</v>
      </c>
      <c r="AB2731" s="25">
        <f>ROUND(IF(AO2731="7",BF2731,0),2)</f>
        <v>0</v>
      </c>
      <c r="AC2731" s="25">
        <f>ROUND(IF(AO2731="7",BG2731,0),2)</f>
        <v>0</v>
      </c>
      <c r="AD2731" s="25">
        <f>ROUND(IF(AO2731="2",BF2731,0),2)</f>
        <v>0</v>
      </c>
      <c r="AE2731" s="25">
        <f>ROUND(IF(AO2731="2",BG2731,0),2)</f>
        <v>0</v>
      </c>
      <c r="AF2731" s="25">
        <f>ROUND(IF(AO2731="0",BH2731,0),2)</f>
        <v>0</v>
      </c>
      <c r="AG2731" s="10" t="s">
        <v>3386</v>
      </c>
      <c r="AH2731" s="25">
        <f>IF(AL2731=0,K2731,0)</f>
        <v>0</v>
      </c>
      <c r="AI2731" s="25">
        <f>IF(AL2731=12,K2731,0)</f>
        <v>0</v>
      </c>
      <c r="AJ2731" s="25">
        <f>IF(AL2731=21,K2731,0)</f>
        <v>0</v>
      </c>
      <c r="AL2731" s="25">
        <v>21</v>
      </c>
      <c r="AM2731" s="25">
        <f>H2731*0</f>
        <v>0</v>
      </c>
      <c r="AN2731" s="25">
        <f>H2731*(1-0)</f>
        <v>0</v>
      </c>
      <c r="AO2731" s="27" t="s">
        <v>81</v>
      </c>
      <c r="AT2731" s="25">
        <f>ROUND(AU2731+AV2731,2)</f>
        <v>0</v>
      </c>
      <c r="AU2731" s="25">
        <f>ROUND(G2731*AM2731,2)</f>
        <v>0</v>
      </c>
      <c r="AV2731" s="25">
        <f>ROUND(G2731*AN2731,2)</f>
        <v>0</v>
      </c>
      <c r="AW2731" s="27" t="s">
        <v>3428</v>
      </c>
      <c r="AX2731" s="27" t="s">
        <v>3429</v>
      </c>
      <c r="AY2731" s="10" t="s">
        <v>3394</v>
      </c>
      <c r="BA2731" s="25">
        <f>AU2731+AV2731</f>
        <v>0</v>
      </c>
      <c r="BB2731" s="25">
        <f>H2731/(100-BC2731)*100</f>
        <v>0</v>
      </c>
      <c r="BC2731" s="25">
        <v>0</v>
      </c>
      <c r="BD2731" s="25">
        <f>M2731</f>
        <v>0</v>
      </c>
      <c r="BF2731" s="25">
        <f>G2731*AM2731</f>
        <v>0</v>
      </c>
      <c r="BG2731" s="25">
        <f>G2731*AN2731</f>
        <v>0</v>
      </c>
      <c r="BH2731" s="25">
        <f>G2731*H2731</f>
        <v>0</v>
      </c>
      <c r="BI2731" s="27" t="s">
        <v>65</v>
      </c>
      <c r="BJ2731" s="25"/>
      <c r="BU2731" s="25" t="e">
        <f>#REF!</f>
        <v>#REF!</v>
      </c>
      <c r="BV2731" s="4" t="s">
        <v>3427</v>
      </c>
    </row>
    <row r="2732" spans="1:74" ht="14.4" x14ac:dyDescent="0.3">
      <c r="A2732" s="28"/>
      <c r="D2732" s="29" t="s">
        <v>129</v>
      </c>
      <c r="E2732" s="29" t="s">
        <v>52</v>
      </c>
      <c r="G2732" s="30">
        <v>10</v>
      </c>
      <c r="H2732" s="63"/>
      <c r="N2732" s="31"/>
    </row>
    <row r="2733" spans="1:74" ht="26.4" x14ac:dyDescent="0.3">
      <c r="A2733" s="2" t="s">
        <v>3430</v>
      </c>
      <c r="B2733" s="3" t="s">
        <v>3386</v>
      </c>
      <c r="C2733" s="3" t="s">
        <v>3405</v>
      </c>
      <c r="D2733" s="112" t="s">
        <v>3431</v>
      </c>
      <c r="E2733" s="109"/>
      <c r="F2733" s="3" t="s">
        <v>100</v>
      </c>
      <c r="G2733" s="25">
        <v>16</v>
      </c>
      <c r="H2733" s="62"/>
      <c r="I2733" s="25">
        <f>ROUND(G2733*AM2733,2)</f>
        <v>0</v>
      </c>
      <c r="J2733" s="25">
        <f>ROUND(G2733*AN2733,2)</f>
        <v>0</v>
      </c>
      <c r="K2733" s="25">
        <f>ROUND(G2733*H2733,2)</f>
        <v>0</v>
      </c>
      <c r="L2733" s="25">
        <v>0</v>
      </c>
      <c r="M2733" s="25">
        <f>G2733*L2733</f>
        <v>0</v>
      </c>
      <c r="N2733" s="102"/>
      <c r="X2733" s="25">
        <f>ROUND(IF(AO2733="5",BH2733,0),2)</f>
        <v>0</v>
      </c>
      <c r="Z2733" s="25">
        <f>ROUND(IF(AO2733="1",BF2733,0),2)</f>
        <v>0</v>
      </c>
      <c r="AA2733" s="25">
        <f>ROUND(IF(AO2733="1",BG2733,0),2)</f>
        <v>0</v>
      </c>
      <c r="AB2733" s="25">
        <f>ROUND(IF(AO2733="7",BF2733,0),2)</f>
        <v>0</v>
      </c>
      <c r="AC2733" s="25">
        <f>ROUND(IF(AO2733="7",BG2733,0),2)</f>
        <v>0</v>
      </c>
      <c r="AD2733" s="25">
        <f>ROUND(IF(AO2733="2",BF2733,0),2)</f>
        <v>0</v>
      </c>
      <c r="AE2733" s="25">
        <f>ROUND(IF(AO2733="2",BG2733,0),2)</f>
        <v>0</v>
      </c>
      <c r="AF2733" s="25">
        <f>ROUND(IF(AO2733="0",BH2733,0),2)</f>
        <v>0</v>
      </c>
      <c r="AG2733" s="10" t="s">
        <v>3386</v>
      </c>
      <c r="AH2733" s="25">
        <f>IF(AL2733=0,K2733,0)</f>
        <v>0</v>
      </c>
      <c r="AI2733" s="25">
        <f>IF(AL2733=12,K2733,0)</f>
        <v>0</v>
      </c>
      <c r="AJ2733" s="25">
        <f>IF(AL2733=21,K2733,0)</f>
        <v>0</v>
      </c>
      <c r="AL2733" s="25">
        <v>21</v>
      </c>
      <c r="AM2733" s="25">
        <f>H2733*0</f>
        <v>0</v>
      </c>
      <c r="AN2733" s="25">
        <f>H2733*(1-0)</f>
        <v>0</v>
      </c>
      <c r="AO2733" s="27" t="s">
        <v>81</v>
      </c>
      <c r="AT2733" s="25">
        <f>ROUND(AU2733+AV2733,2)</f>
        <v>0</v>
      </c>
      <c r="AU2733" s="25">
        <f>ROUND(G2733*AM2733,2)</f>
        <v>0</v>
      </c>
      <c r="AV2733" s="25">
        <f>ROUND(G2733*AN2733,2)</f>
        <v>0</v>
      </c>
      <c r="AW2733" s="27" t="s">
        <v>3428</v>
      </c>
      <c r="AX2733" s="27" t="s">
        <v>3429</v>
      </c>
      <c r="AY2733" s="10" t="s">
        <v>3394</v>
      </c>
      <c r="BA2733" s="25">
        <f>AU2733+AV2733</f>
        <v>0</v>
      </c>
      <c r="BB2733" s="25">
        <f>H2733/(100-BC2733)*100</f>
        <v>0</v>
      </c>
      <c r="BC2733" s="25">
        <v>0</v>
      </c>
      <c r="BD2733" s="25">
        <f>M2733</f>
        <v>0</v>
      </c>
      <c r="BF2733" s="25">
        <f>G2733*AM2733</f>
        <v>0</v>
      </c>
      <c r="BG2733" s="25">
        <f>G2733*AN2733</f>
        <v>0</v>
      </c>
      <c r="BH2733" s="25">
        <f>G2733*H2733</f>
        <v>0</v>
      </c>
      <c r="BI2733" s="27" t="s">
        <v>65</v>
      </c>
      <c r="BJ2733" s="25"/>
      <c r="BU2733" s="25" t="e">
        <f>#REF!</f>
        <v>#REF!</v>
      </c>
      <c r="BV2733" s="4" t="s">
        <v>3431</v>
      </c>
    </row>
    <row r="2734" spans="1:74" ht="14.4" x14ac:dyDescent="0.3">
      <c r="A2734" s="28"/>
      <c r="D2734" s="29" t="s">
        <v>175</v>
      </c>
      <c r="E2734" s="29" t="s">
        <v>52</v>
      </c>
      <c r="G2734" s="30">
        <v>16</v>
      </c>
      <c r="H2734" s="63"/>
      <c r="N2734" s="31"/>
    </row>
    <row r="2735" spans="1:74" ht="14.4" x14ac:dyDescent="0.3">
      <c r="A2735" s="2" t="s">
        <v>3432</v>
      </c>
      <c r="B2735" s="3" t="s">
        <v>3386</v>
      </c>
      <c r="C2735" s="3" t="s">
        <v>3405</v>
      </c>
      <c r="D2735" s="112" t="s">
        <v>3433</v>
      </c>
      <c r="E2735" s="109"/>
      <c r="F2735" s="3" t="s">
        <v>100</v>
      </c>
      <c r="G2735" s="25">
        <v>16</v>
      </c>
      <c r="H2735" s="62"/>
      <c r="I2735" s="25">
        <f>ROUND(G2735*AM2735,2)</f>
        <v>0</v>
      </c>
      <c r="J2735" s="25">
        <f>ROUND(G2735*AN2735,2)</f>
        <v>0</v>
      </c>
      <c r="K2735" s="25">
        <f>ROUND(G2735*H2735,2)</f>
        <v>0</v>
      </c>
      <c r="L2735" s="25">
        <v>0</v>
      </c>
      <c r="M2735" s="25">
        <f>G2735*L2735</f>
        <v>0</v>
      </c>
      <c r="N2735" s="102"/>
      <c r="X2735" s="25">
        <f>ROUND(IF(AO2735="5",BH2735,0),2)</f>
        <v>0</v>
      </c>
      <c r="Z2735" s="25">
        <f>ROUND(IF(AO2735="1",BF2735,0),2)</f>
        <v>0</v>
      </c>
      <c r="AA2735" s="25">
        <f>ROUND(IF(AO2735="1",BG2735,0),2)</f>
        <v>0</v>
      </c>
      <c r="AB2735" s="25">
        <f>ROUND(IF(AO2735="7",BF2735,0),2)</f>
        <v>0</v>
      </c>
      <c r="AC2735" s="25">
        <f>ROUND(IF(AO2735="7",BG2735,0),2)</f>
        <v>0</v>
      </c>
      <c r="AD2735" s="25">
        <f>ROUND(IF(AO2735="2",BF2735,0),2)</f>
        <v>0</v>
      </c>
      <c r="AE2735" s="25">
        <f>ROUND(IF(AO2735="2",BG2735,0),2)</f>
        <v>0</v>
      </c>
      <c r="AF2735" s="25">
        <f>ROUND(IF(AO2735="0",BH2735,0),2)</f>
        <v>0</v>
      </c>
      <c r="AG2735" s="10" t="s">
        <v>3386</v>
      </c>
      <c r="AH2735" s="25">
        <f>IF(AL2735=0,K2735,0)</f>
        <v>0</v>
      </c>
      <c r="AI2735" s="25">
        <f>IF(AL2735=12,K2735,0)</f>
        <v>0</v>
      </c>
      <c r="AJ2735" s="25">
        <f>IF(AL2735=21,K2735,0)</f>
        <v>0</v>
      </c>
      <c r="AL2735" s="25">
        <v>21</v>
      </c>
      <c r="AM2735" s="25">
        <f>H2735*0</f>
        <v>0</v>
      </c>
      <c r="AN2735" s="25">
        <f>H2735*(1-0)</f>
        <v>0</v>
      </c>
      <c r="AO2735" s="27" t="s">
        <v>81</v>
      </c>
      <c r="AT2735" s="25">
        <f>ROUND(AU2735+AV2735,2)</f>
        <v>0</v>
      </c>
      <c r="AU2735" s="25">
        <f>ROUND(G2735*AM2735,2)</f>
        <v>0</v>
      </c>
      <c r="AV2735" s="25">
        <f>ROUND(G2735*AN2735,2)</f>
        <v>0</v>
      </c>
      <c r="AW2735" s="27" t="s">
        <v>3428</v>
      </c>
      <c r="AX2735" s="27" t="s">
        <v>3429</v>
      </c>
      <c r="AY2735" s="10" t="s">
        <v>3394</v>
      </c>
      <c r="BA2735" s="25">
        <f>AU2735+AV2735</f>
        <v>0</v>
      </c>
      <c r="BB2735" s="25">
        <f>H2735/(100-BC2735)*100</f>
        <v>0</v>
      </c>
      <c r="BC2735" s="25">
        <v>0</v>
      </c>
      <c r="BD2735" s="25">
        <f>M2735</f>
        <v>0</v>
      </c>
      <c r="BF2735" s="25">
        <f>G2735*AM2735</f>
        <v>0</v>
      </c>
      <c r="BG2735" s="25">
        <f>G2735*AN2735</f>
        <v>0</v>
      </c>
      <c r="BH2735" s="25">
        <f>G2735*H2735</f>
        <v>0</v>
      </c>
      <c r="BI2735" s="27" t="s">
        <v>65</v>
      </c>
      <c r="BJ2735" s="25"/>
      <c r="BU2735" s="25" t="e">
        <f>#REF!</f>
        <v>#REF!</v>
      </c>
      <c r="BV2735" s="4" t="s">
        <v>3433</v>
      </c>
    </row>
    <row r="2736" spans="1:74" ht="14.4" x14ac:dyDescent="0.3">
      <c r="A2736" s="28"/>
      <c r="D2736" s="29" t="s">
        <v>175</v>
      </c>
      <c r="E2736" s="29" t="s">
        <v>52</v>
      </c>
      <c r="G2736" s="30">
        <v>16</v>
      </c>
      <c r="H2736" s="63"/>
      <c r="N2736" s="31"/>
    </row>
    <row r="2737" spans="1:74" ht="26.4" x14ac:dyDescent="0.3">
      <c r="A2737" s="2" t="s">
        <v>3434</v>
      </c>
      <c r="B2737" s="3" t="s">
        <v>3386</v>
      </c>
      <c r="C2737" s="3" t="s">
        <v>3405</v>
      </c>
      <c r="D2737" s="112" t="s">
        <v>3435</v>
      </c>
      <c r="E2737" s="109"/>
      <c r="F2737" s="3" t="s">
        <v>100</v>
      </c>
      <c r="G2737" s="25">
        <v>40</v>
      </c>
      <c r="H2737" s="62"/>
      <c r="I2737" s="25">
        <f>ROUND(G2737*AM2737,2)</f>
        <v>0</v>
      </c>
      <c r="J2737" s="25">
        <f>ROUND(G2737*AN2737,2)</f>
        <v>0</v>
      </c>
      <c r="K2737" s="25">
        <f>ROUND(G2737*H2737,2)</f>
        <v>0</v>
      </c>
      <c r="L2737" s="25">
        <v>0</v>
      </c>
      <c r="M2737" s="25">
        <f>G2737*L2737</f>
        <v>0</v>
      </c>
      <c r="N2737" s="102"/>
      <c r="X2737" s="25">
        <f>ROUND(IF(AO2737="5",BH2737,0),2)</f>
        <v>0</v>
      </c>
      <c r="Z2737" s="25">
        <f>ROUND(IF(AO2737="1",BF2737,0),2)</f>
        <v>0</v>
      </c>
      <c r="AA2737" s="25">
        <f>ROUND(IF(AO2737="1",BG2737,0),2)</f>
        <v>0</v>
      </c>
      <c r="AB2737" s="25">
        <f>ROUND(IF(AO2737="7",BF2737,0),2)</f>
        <v>0</v>
      </c>
      <c r="AC2737" s="25">
        <f>ROUND(IF(AO2737="7",BG2737,0),2)</f>
        <v>0</v>
      </c>
      <c r="AD2737" s="25">
        <f>ROUND(IF(AO2737="2",BF2737,0),2)</f>
        <v>0</v>
      </c>
      <c r="AE2737" s="25">
        <f>ROUND(IF(AO2737="2",BG2737,0),2)</f>
        <v>0</v>
      </c>
      <c r="AF2737" s="25">
        <f>ROUND(IF(AO2737="0",BH2737,0),2)</f>
        <v>0</v>
      </c>
      <c r="AG2737" s="10" t="s">
        <v>3386</v>
      </c>
      <c r="AH2737" s="25">
        <f>IF(AL2737=0,K2737,0)</f>
        <v>0</v>
      </c>
      <c r="AI2737" s="25">
        <f>IF(AL2737=12,K2737,0)</f>
        <v>0</v>
      </c>
      <c r="AJ2737" s="25">
        <f>IF(AL2737=21,K2737,0)</f>
        <v>0</v>
      </c>
      <c r="AL2737" s="25">
        <v>21</v>
      </c>
      <c r="AM2737" s="25">
        <f>H2737*0</f>
        <v>0</v>
      </c>
      <c r="AN2737" s="25">
        <f>H2737*(1-0)</f>
        <v>0</v>
      </c>
      <c r="AO2737" s="27" t="s">
        <v>81</v>
      </c>
      <c r="AT2737" s="25">
        <f>ROUND(AU2737+AV2737,2)</f>
        <v>0</v>
      </c>
      <c r="AU2737" s="25">
        <f>ROUND(G2737*AM2737,2)</f>
        <v>0</v>
      </c>
      <c r="AV2737" s="25">
        <f>ROUND(G2737*AN2737,2)</f>
        <v>0</v>
      </c>
      <c r="AW2737" s="27" t="s">
        <v>3428</v>
      </c>
      <c r="AX2737" s="27" t="s">
        <v>3429</v>
      </c>
      <c r="AY2737" s="10" t="s">
        <v>3394</v>
      </c>
      <c r="BA2737" s="25">
        <f>AU2737+AV2737</f>
        <v>0</v>
      </c>
      <c r="BB2737" s="25">
        <f>H2737/(100-BC2737)*100</f>
        <v>0</v>
      </c>
      <c r="BC2737" s="25">
        <v>0</v>
      </c>
      <c r="BD2737" s="25">
        <f>M2737</f>
        <v>0</v>
      </c>
      <c r="BF2737" s="25">
        <f>G2737*AM2737</f>
        <v>0</v>
      </c>
      <c r="BG2737" s="25">
        <f>G2737*AN2737</f>
        <v>0</v>
      </c>
      <c r="BH2737" s="25">
        <f>G2737*H2737</f>
        <v>0</v>
      </c>
      <c r="BI2737" s="27" t="s">
        <v>65</v>
      </c>
      <c r="BJ2737" s="25"/>
      <c r="BU2737" s="25" t="e">
        <f>#REF!</f>
        <v>#REF!</v>
      </c>
      <c r="BV2737" s="4" t="s">
        <v>3435</v>
      </c>
    </row>
    <row r="2738" spans="1:74" ht="14.4" x14ac:dyDescent="0.3">
      <c r="A2738" s="28"/>
      <c r="D2738" s="29" t="s">
        <v>323</v>
      </c>
      <c r="E2738" s="29" t="s">
        <v>52</v>
      </c>
      <c r="G2738" s="30">
        <v>40</v>
      </c>
      <c r="H2738" s="63"/>
      <c r="N2738" s="31"/>
    </row>
    <row r="2739" spans="1:74" ht="14.4" x14ac:dyDescent="0.3">
      <c r="A2739" s="2" t="s">
        <v>3436</v>
      </c>
      <c r="B2739" s="3" t="s">
        <v>3386</v>
      </c>
      <c r="C2739" s="3" t="s">
        <v>3437</v>
      </c>
      <c r="D2739" s="112" t="s">
        <v>3438</v>
      </c>
      <c r="E2739" s="109"/>
      <c r="F2739" s="3" t="s">
        <v>860</v>
      </c>
      <c r="G2739" s="25">
        <v>1</v>
      </c>
      <c r="H2739" s="62"/>
      <c r="I2739" s="25">
        <f>ROUND(G2739*AM2739,2)</f>
        <v>0</v>
      </c>
      <c r="J2739" s="25">
        <f>ROUND(G2739*AN2739,2)</f>
        <v>0</v>
      </c>
      <c r="K2739" s="25">
        <f>ROUND(G2739*H2739,2)</f>
        <v>0</v>
      </c>
      <c r="L2739" s="25">
        <v>0</v>
      </c>
      <c r="M2739" s="25">
        <f>G2739*L2739</f>
        <v>0</v>
      </c>
      <c r="N2739" s="102"/>
      <c r="X2739" s="25">
        <f>ROUND(IF(AO2739="5",BH2739,0),2)</f>
        <v>0</v>
      </c>
      <c r="Z2739" s="25">
        <f>ROUND(IF(AO2739="1",BF2739,0),2)</f>
        <v>0</v>
      </c>
      <c r="AA2739" s="25">
        <f>ROUND(IF(AO2739="1",BG2739,0),2)</f>
        <v>0</v>
      </c>
      <c r="AB2739" s="25">
        <f>ROUND(IF(AO2739="7",BF2739,0),2)</f>
        <v>0</v>
      </c>
      <c r="AC2739" s="25">
        <f>ROUND(IF(AO2739="7",BG2739,0),2)</f>
        <v>0</v>
      </c>
      <c r="AD2739" s="25">
        <f>ROUND(IF(AO2739="2",BF2739,0),2)</f>
        <v>0</v>
      </c>
      <c r="AE2739" s="25">
        <f>ROUND(IF(AO2739="2",BG2739,0),2)</f>
        <v>0</v>
      </c>
      <c r="AF2739" s="25">
        <f>ROUND(IF(AO2739="0",BH2739,0),2)</f>
        <v>0</v>
      </c>
      <c r="AG2739" s="10" t="s">
        <v>3386</v>
      </c>
      <c r="AH2739" s="25">
        <f>IF(AL2739=0,K2739,0)</f>
        <v>0</v>
      </c>
      <c r="AI2739" s="25">
        <f>IF(AL2739=12,K2739,0)</f>
        <v>0</v>
      </c>
      <c r="AJ2739" s="25">
        <f>IF(AL2739=21,K2739,0)</f>
        <v>0</v>
      </c>
      <c r="AL2739" s="25">
        <v>21</v>
      </c>
      <c r="AM2739" s="25">
        <f>H2739*0</f>
        <v>0</v>
      </c>
      <c r="AN2739" s="25">
        <f>H2739*(1-0)</f>
        <v>0</v>
      </c>
      <c r="AO2739" s="27" t="s">
        <v>57</v>
      </c>
      <c r="AT2739" s="25">
        <f>ROUND(AU2739+AV2739,2)</f>
        <v>0</v>
      </c>
      <c r="AU2739" s="25">
        <f>ROUND(G2739*AM2739,2)</f>
        <v>0</v>
      </c>
      <c r="AV2739" s="25">
        <f>ROUND(G2739*AN2739,2)</f>
        <v>0</v>
      </c>
      <c r="AW2739" s="27" t="s">
        <v>3428</v>
      </c>
      <c r="AX2739" s="27" t="s">
        <v>3429</v>
      </c>
      <c r="AY2739" s="10" t="s">
        <v>3394</v>
      </c>
      <c r="BA2739" s="25">
        <f>AU2739+AV2739</f>
        <v>0</v>
      </c>
      <c r="BB2739" s="25">
        <f>H2739/(100-BC2739)*100</f>
        <v>0</v>
      </c>
      <c r="BC2739" s="25">
        <v>0</v>
      </c>
      <c r="BD2739" s="25">
        <f>M2739</f>
        <v>0</v>
      </c>
      <c r="BF2739" s="25">
        <f>G2739*AM2739</f>
        <v>0</v>
      </c>
      <c r="BG2739" s="25">
        <f>G2739*AN2739</f>
        <v>0</v>
      </c>
      <c r="BH2739" s="25">
        <f>G2739*H2739</f>
        <v>0</v>
      </c>
      <c r="BI2739" s="27" t="s">
        <v>65</v>
      </c>
      <c r="BJ2739" s="25"/>
      <c r="BU2739" s="25" t="e">
        <f>#REF!</f>
        <v>#REF!</v>
      </c>
      <c r="BV2739" s="4" t="s">
        <v>3438</v>
      </c>
    </row>
    <row r="2740" spans="1:74" ht="14.4" x14ac:dyDescent="0.3">
      <c r="A2740" s="28"/>
      <c r="D2740" s="29" t="s">
        <v>57</v>
      </c>
      <c r="E2740" s="29" t="s">
        <v>52</v>
      </c>
      <c r="G2740" s="30">
        <v>1</v>
      </c>
      <c r="H2740" s="63"/>
      <c r="N2740" s="31"/>
    </row>
    <row r="2741" spans="1:74" ht="26.4" x14ac:dyDescent="0.3">
      <c r="A2741" s="2" t="s">
        <v>3439</v>
      </c>
      <c r="B2741" s="3" t="s">
        <v>3386</v>
      </c>
      <c r="C2741" s="3" t="s">
        <v>3440</v>
      </c>
      <c r="D2741" s="112" t="s">
        <v>3441</v>
      </c>
      <c r="E2741" s="109"/>
      <c r="F2741" s="3" t="s">
        <v>860</v>
      </c>
      <c r="G2741" s="25">
        <v>1</v>
      </c>
      <c r="H2741" s="62"/>
      <c r="I2741" s="25">
        <f>ROUND(G2741*AM2741,2)</f>
        <v>0</v>
      </c>
      <c r="J2741" s="25">
        <f>ROUND(G2741*AN2741,2)</f>
        <v>0</v>
      </c>
      <c r="K2741" s="25">
        <f>ROUND(G2741*H2741,2)</f>
        <v>0</v>
      </c>
      <c r="L2741" s="25">
        <v>0</v>
      </c>
      <c r="M2741" s="25">
        <f>G2741*L2741</f>
        <v>0</v>
      </c>
      <c r="N2741" s="102"/>
      <c r="X2741" s="25">
        <f>ROUND(IF(AO2741="5",BH2741,0),2)</f>
        <v>0</v>
      </c>
      <c r="Z2741" s="25">
        <f>ROUND(IF(AO2741="1",BF2741,0),2)</f>
        <v>0</v>
      </c>
      <c r="AA2741" s="25">
        <f>ROUND(IF(AO2741="1",BG2741,0),2)</f>
        <v>0</v>
      </c>
      <c r="AB2741" s="25">
        <f>ROUND(IF(AO2741="7",BF2741,0),2)</f>
        <v>0</v>
      </c>
      <c r="AC2741" s="25">
        <f>ROUND(IF(AO2741="7",BG2741,0),2)</f>
        <v>0</v>
      </c>
      <c r="AD2741" s="25">
        <f>ROUND(IF(AO2741="2",BF2741,0),2)</f>
        <v>0</v>
      </c>
      <c r="AE2741" s="25">
        <f>ROUND(IF(AO2741="2",BG2741,0),2)</f>
        <v>0</v>
      </c>
      <c r="AF2741" s="25">
        <f>ROUND(IF(AO2741="0",BH2741,0),2)</f>
        <v>0</v>
      </c>
      <c r="AG2741" s="10" t="s">
        <v>3386</v>
      </c>
      <c r="AH2741" s="25">
        <f>IF(AL2741=0,K2741,0)</f>
        <v>0</v>
      </c>
      <c r="AI2741" s="25">
        <f>IF(AL2741=12,K2741,0)</f>
        <v>0</v>
      </c>
      <c r="AJ2741" s="25">
        <f>IF(AL2741=21,K2741,0)</f>
        <v>0</v>
      </c>
      <c r="AL2741" s="25">
        <v>21</v>
      </c>
      <c r="AM2741" s="25">
        <f>H2741*0</f>
        <v>0</v>
      </c>
      <c r="AN2741" s="25">
        <f>H2741*(1-0)</f>
        <v>0</v>
      </c>
      <c r="AO2741" s="27" t="s">
        <v>57</v>
      </c>
      <c r="AT2741" s="25">
        <f>ROUND(AU2741+AV2741,2)</f>
        <v>0</v>
      </c>
      <c r="AU2741" s="25">
        <f>ROUND(G2741*AM2741,2)</f>
        <v>0</v>
      </c>
      <c r="AV2741" s="25">
        <f>ROUND(G2741*AN2741,2)</f>
        <v>0</v>
      </c>
      <c r="AW2741" s="27" t="s">
        <v>3428</v>
      </c>
      <c r="AX2741" s="27" t="s">
        <v>3429</v>
      </c>
      <c r="AY2741" s="10" t="s">
        <v>3394</v>
      </c>
      <c r="BA2741" s="25">
        <f>AU2741+AV2741</f>
        <v>0</v>
      </c>
      <c r="BB2741" s="25">
        <f>H2741/(100-BC2741)*100</f>
        <v>0</v>
      </c>
      <c r="BC2741" s="25">
        <v>0</v>
      </c>
      <c r="BD2741" s="25">
        <f>M2741</f>
        <v>0</v>
      </c>
      <c r="BF2741" s="25">
        <f>G2741*AM2741</f>
        <v>0</v>
      </c>
      <c r="BG2741" s="25">
        <f>G2741*AN2741</f>
        <v>0</v>
      </c>
      <c r="BH2741" s="25">
        <f>G2741*H2741</f>
        <v>0</v>
      </c>
      <c r="BI2741" s="27" t="s">
        <v>65</v>
      </c>
      <c r="BJ2741" s="25"/>
      <c r="BU2741" s="25" t="e">
        <f>#REF!</f>
        <v>#REF!</v>
      </c>
      <c r="BV2741" s="4" t="s">
        <v>3441</v>
      </c>
    </row>
    <row r="2742" spans="1:74" ht="14.4" x14ac:dyDescent="0.3">
      <c r="A2742" s="28"/>
      <c r="D2742" s="29" t="s">
        <v>57</v>
      </c>
      <c r="E2742" s="29" t="s">
        <v>52</v>
      </c>
      <c r="G2742" s="30">
        <v>1</v>
      </c>
      <c r="H2742" s="63"/>
      <c r="N2742" s="31"/>
    </row>
    <row r="2743" spans="1:74" ht="14.4" x14ac:dyDescent="0.3">
      <c r="A2743" s="2" t="s">
        <v>3442</v>
      </c>
      <c r="B2743" s="3" t="s">
        <v>3386</v>
      </c>
      <c r="C2743" s="3" t="s">
        <v>3443</v>
      </c>
      <c r="D2743" s="112" t="s">
        <v>3444</v>
      </c>
      <c r="E2743" s="109"/>
      <c r="F2743" s="3" t="s">
        <v>3445</v>
      </c>
      <c r="G2743" s="25">
        <v>68921.171000000002</v>
      </c>
      <c r="H2743" s="62"/>
      <c r="I2743" s="25">
        <f>ROUND(G2743*AM2743,2)</f>
        <v>0</v>
      </c>
      <c r="J2743" s="25">
        <f>ROUND(G2743*AN2743,2)</f>
        <v>0</v>
      </c>
      <c r="K2743" s="25">
        <f>ROUND(G2743*H2743,2)</f>
        <v>0</v>
      </c>
      <c r="L2743" s="25">
        <v>0</v>
      </c>
      <c r="M2743" s="25">
        <f>G2743*L2743</f>
        <v>0</v>
      </c>
      <c r="N2743" s="102"/>
      <c r="X2743" s="25">
        <f>ROUND(IF(AO2743="5",BH2743,0),2)</f>
        <v>0</v>
      </c>
      <c r="Z2743" s="25">
        <f>ROUND(IF(AO2743="1",BF2743,0),2)</f>
        <v>0</v>
      </c>
      <c r="AA2743" s="25">
        <f>ROUND(IF(AO2743="1",BG2743,0),2)</f>
        <v>0</v>
      </c>
      <c r="AB2743" s="25">
        <f>ROUND(IF(AO2743="7",BF2743,0),2)</f>
        <v>0</v>
      </c>
      <c r="AC2743" s="25">
        <f>ROUND(IF(AO2743="7",BG2743,0),2)</f>
        <v>0</v>
      </c>
      <c r="AD2743" s="25">
        <f>ROUND(IF(AO2743="2",BF2743,0),2)</f>
        <v>0</v>
      </c>
      <c r="AE2743" s="25">
        <f>ROUND(IF(AO2743="2",BG2743,0),2)</f>
        <v>0</v>
      </c>
      <c r="AF2743" s="25">
        <f>ROUND(IF(AO2743="0",BH2743,0),2)</f>
        <v>0</v>
      </c>
      <c r="AG2743" s="10" t="s">
        <v>3386</v>
      </c>
      <c r="AH2743" s="25">
        <f>IF(AL2743=0,K2743,0)</f>
        <v>0</v>
      </c>
      <c r="AI2743" s="25">
        <f>IF(AL2743=12,K2743,0)</f>
        <v>0</v>
      </c>
      <c r="AJ2743" s="25">
        <f>IF(AL2743=21,K2743,0)</f>
        <v>0</v>
      </c>
      <c r="AL2743" s="25">
        <v>21</v>
      </c>
      <c r="AM2743" s="25">
        <f>H2743*0</f>
        <v>0</v>
      </c>
      <c r="AN2743" s="25">
        <f>H2743*(1-0)</f>
        <v>0</v>
      </c>
      <c r="AO2743" s="27" t="s">
        <v>81</v>
      </c>
      <c r="AT2743" s="25">
        <f>ROUND(AU2743+AV2743,2)</f>
        <v>0</v>
      </c>
      <c r="AU2743" s="25">
        <f>ROUND(G2743*AM2743,2)</f>
        <v>0</v>
      </c>
      <c r="AV2743" s="25">
        <f>ROUND(G2743*AN2743,2)</f>
        <v>0</v>
      </c>
      <c r="AW2743" s="27" t="s">
        <v>3428</v>
      </c>
      <c r="AX2743" s="27" t="s">
        <v>3429</v>
      </c>
      <c r="AY2743" s="10" t="s">
        <v>3394</v>
      </c>
      <c r="BA2743" s="25">
        <f>AU2743+AV2743</f>
        <v>0</v>
      </c>
      <c r="BB2743" s="25">
        <f>H2743/(100-BC2743)*100</f>
        <v>0</v>
      </c>
      <c r="BC2743" s="25">
        <v>0</v>
      </c>
      <c r="BD2743" s="25">
        <f>M2743</f>
        <v>0</v>
      </c>
      <c r="BF2743" s="25">
        <f>G2743*AM2743</f>
        <v>0</v>
      </c>
      <c r="BG2743" s="25">
        <f>G2743*AN2743</f>
        <v>0</v>
      </c>
      <c r="BH2743" s="25">
        <f>G2743*H2743</f>
        <v>0</v>
      </c>
      <c r="BI2743" s="27" t="s">
        <v>65</v>
      </c>
      <c r="BJ2743" s="25"/>
      <c r="BU2743" s="25" t="e">
        <f>#REF!</f>
        <v>#REF!</v>
      </c>
      <c r="BV2743" s="4" t="s">
        <v>3444</v>
      </c>
    </row>
    <row r="2744" spans="1:74" ht="14.4" x14ac:dyDescent="0.3">
      <c r="A2744" s="28"/>
      <c r="D2744" s="29" t="s">
        <v>3446</v>
      </c>
      <c r="E2744" s="29" t="s">
        <v>52</v>
      </c>
      <c r="G2744" s="30">
        <v>68921.171000000002</v>
      </c>
      <c r="H2744" s="63"/>
      <c r="N2744" s="31"/>
    </row>
    <row r="2745" spans="1:74" ht="14.4" x14ac:dyDescent="0.3">
      <c r="A2745" s="2" t="s">
        <v>3447</v>
      </c>
      <c r="B2745" s="3" t="s">
        <v>3386</v>
      </c>
      <c r="C2745" s="3" t="s">
        <v>3448</v>
      </c>
      <c r="D2745" s="112" t="s">
        <v>3449</v>
      </c>
      <c r="E2745" s="109"/>
      <c r="F2745" s="3" t="s">
        <v>3445</v>
      </c>
      <c r="G2745" s="25">
        <v>30921.170999999998</v>
      </c>
      <c r="H2745" s="62"/>
      <c r="I2745" s="25">
        <f>ROUND(G2745*AM2745,2)</f>
        <v>0</v>
      </c>
      <c r="J2745" s="25">
        <f>ROUND(G2745*AN2745,2)</f>
        <v>0</v>
      </c>
      <c r="K2745" s="25">
        <f>ROUND(G2745*H2745,2)</f>
        <v>0</v>
      </c>
      <c r="L2745" s="25">
        <v>0</v>
      </c>
      <c r="M2745" s="25">
        <f>G2745*L2745</f>
        <v>0</v>
      </c>
      <c r="N2745" s="102"/>
      <c r="X2745" s="25">
        <f>ROUND(IF(AO2745="5",BH2745,0),2)</f>
        <v>0</v>
      </c>
      <c r="Z2745" s="25">
        <f>ROUND(IF(AO2745="1",BF2745,0),2)</f>
        <v>0</v>
      </c>
      <c r="AA2745" s="25">
        <f>ROUND(IF(AO2745="1",BG2745,0),2)</f>
        <v>0</v>
      </c>
      <c r="AB2745" s="25">
        <f>ROUND(IF(AO2745="7",BF2745,0),2)</f>
        <v>0</v>
      </c>
      <c r="AC2745" s="25">
        <f>ROUND(IF(AO2745="7",BG2745,0),2)</f>
        <v>0</v>
      </c>
      <c r="AD2745" s="25">
        <f>ROUND(IF(AO2745="2",BF2745,0),2)</f>
        <v>0</v>
      </c>
      <c r="AE2745" s="25">
        <f>ROUND(IF(AO2745="2",BG2745,0),2)</f>
        <v>0</v>
      </c>
      <c r="AF2745" s="25">
        <f>ROUND(IF(AO2745="0",BH2745,0),2)</f>
        <v>0</v>
      </c>
      <c r="AG2745" s="10" t="s">
        <v>3386</v>
      </c>
      <c r="AH2745" s="25">
        <f>IF(AL2745=0,K2745,0)</f>
        <v>0</v>
      </c>
      <c r="AI2745" s="25">
        <f>IF(AL2745=12,K2745,0)</f>
        <v>0</v>
      </c>
      <c r="AJ2745" s="25">
        <f>IF(AL2745=21,K2745,0)</f>
        <v>0</v>
      </c>
      <c r="AL2745" s="25">
        <v>21</v>
      </c>
      <c r="AM2745" s="25">
        <f>H2745*0</f>
        <v>0</v>
      </c>
      <c r="AN2745" s="25">
        <f>H2745*(1-0)</f>
        <v>0</v>
      </c>
      <c r="AO2745" s="27" t="s">
        <v>81</v>
      </c>
      <c r="AT2745" s="25">
        <f>ROUND(AU2745+AV2745,2)</f>
        <v>0</v>
      </c>
      <c r="AU2745" s="25">
        <f>ROUND(G2745*AM2745,2)</f>
        <v>0</v>
      </c>
      <c r="AV2745" s="25">
        <f>ROUND(G2745*AN2745,2)</f>
        <v>0</v>
      </c>
      <c r="AW2745" s="27" t="s">
        <v>3428</v>
      </c>
      <c r="AX2745" s="27" t="s">
        <v>3429</v>
      </c>
      <c r="AY2745" s="10" t="s">
        <v>3394</v>
      </c>
      <c r="BA2745" s="25">
        <f>AU2745+AV2745</f>
        <v>0</v>
      </c>
      <c r="BB2745" s="25">
        <f>H2745/(100-BC2745)*100</f>
        <v>0</v>
      </c>
      <c r="BC2745" s="25">
        <v>0</v>
      </c>
      <c r="BD2745" s="25">
        <f>M2745</f>
        <v>0</v>
      </c>
      <c r="BF2745" s="25">
        <f>G2745*AM2745</f>
        <v>0</v>
      </c>
      <c r="BG2745" s="25">
        <f>G2745*AN2745</f>
        <v>0</v>
      </c>
      <c r="BH2745" s="25">
        <f>G2745*H2745</f>
        <v>0</v>
      </c>
      <c r="BI2745" s="27" t="s">
        <v>65</v>
      </c>
      <c r="BJ2745" s="25"/>
      <c r="BU2745" s="25" t="e">
        <f>#REF!</f>
        <v>#REF!</v>
      </c>
      <c r="BV2745" s="4" t="s">
        <v>3449</v>
      </c>
    </row>
    <row r="2746" spans="1:74" ht="14.4" x14ac:dyDescent="0.3">
      <c r="A2746" s="28"/>
      <c r="D2746" s="29" t="s">
        <v>3450</v>
      </c>
      <c r="E2746" s="29" t="s">
        <v>52</v>
      </c>
      <c r="G2746" s="30">
        <v>30921.170999999998</v>
      </c>
      <c r="H2746" s="63"/>
      <c r="N2746" s="31"/>
    </row>
    <row r="2747" spans="1:74" ht="14.4" x14ac:dyDescent="0.3">
      <c r="A2747" s="95" t="s">
        <v>52</v>
      </c>
      <c r="B2747" s="96" t="s">
        <v>3451</v>
      </c>
      <c r="C2747" s="96" t="s">
        <v>52</v>
      </c>
      <c r="D2747" s="179" t="s">
        <v>3452</v>
      </c>
      <c r="E2747" s="180"/>
      <c r="F2747" s="97" t="s">
        <v>32</v>
      </c>
      <c r="G2747" s="97" t="s">
        <v>32</v>
      </c>
      <c r="H2747" s="98"/>
      <c r="I2747" s="99">
        <f>I2748+I2751+I2758+I2761+I2766+I2771</f>
        <v>0</v>
      </c>
      <c r="J2747" s="99">
        <f>J2748+J2751+J2758+J2761+J2766+J2771</f>
        <v>0</v>
      </c>
      <c r="K2747" s="99">
        <f>K2748+K2751+K2758+K2761+K2766+K2771</f>
        <v>0</v>
      </c>
      <c r="L2747" s="100" t="s">
        <v>52</v>
      </c>
      <c r="M2747" s="99">
        <f>M2748+M2751+M2758+M2761+M2766+M2771</f>
        <v>0.436664</v>
      </c>
      <c r="N2747" s="101"/>
    </row>
    <row r="2748" spans="1:74" ht="14.4" x14ac:dyDescent="0.3">
      <c r="A2748" s="21" t="s">
        <v>52</v>
      </c>
      <c r="B2748" s="22" t="s">
        <v>3451</v>
      </c>
      <c r="C2748" s="22" t="s">
        <v>187</v>
      </c>
      <c r="D2748" s="170" t="s">
        <v>3453</v>
      </c>
      <c r="E2748" s="171"/>
      <c r="F2748" s="23" t="s">
        <v>32</v>
      </c>
      <c r="G2748" s="23" t="s">
        <v>32</v>
      </c>
      <c r="H2748" s="64"/>
      <c r="I2748" s="1">
        <f>SUM(I2749:I2749)</f>
        <v>0</v>
      </c>
      <c r="J2748" s="1">
        <f>SUM(J2749:J2749)</f>
        <v>0</v>
      </c>
      <c r="K2748" s="1">
        <f>SUM(K2749:K2749)</f>
        <v>0</v>
      </c>
      <c r="L2748" s="10" t="s">
        <v>52</v>
      </c>
      <c r="M2748" s="1">
        <f>SUM(M2749:M2749)</f>
        <v>0</v>
      </c>
      <c r="N2748" s="24"/>
      <c r="AG2748" s="10" t="s">
        <v>3451</v>
      </c>
      <c r="AQ2748" s="1">
        <f>SUM(AH2749:AH2749)</f>
        <v>0</v>
      </c>
      <c r="AR2748" s="1">
        <f>SUM(AI2749:AI2749)</f>
        <v>0</v>
      </c>
      <c r="AS2748" s="1">
        <f>SUM(AJ2749:AJ2749)</f>
        <v>0</v>
      </c>
    </row>
    <row r="2749" spans="1:74" ht="14.4" x14ac:dyDescent="0.3">
      <c r="A2749" s="2" t="s">
        <v>3454</v>
      </c>
      <c r="B2749" s="3" t="s">
        <v>3451</v>
      </c>
      <c r="C2749" s="3" t="s">
        <v>3455</v>
      </c>
      <c r="D2749" s="112" t="s">
        <v>3456</v>
      </c>
      <c r="E2749" s="109"/>
      <c r="F2749" s="3" t="s">
        <v>60</v>
      </c>
      <c r="G2749" s="25">
        <v>78</v>
      </c>
      <c r="H2749" s="62"/>
      <c r="I2749" s="25">
        <f>ROUND(G2749*AM2749,2)</f>
        <v>0</v>
      </c>
      <c r="J2749" s="25">
        <f>ROUND(G2749*AN2749,2)</f>
        <v>0</v>
      </c>
      <c r="K2749" s="25">
        <f>ROUND(G2749*H2749,2)</f>
        <v>0</v>
      </c>
      <c r="L2749" s="25">
        <v>0</v>
      </c>
      <c r="M2749" s="25">
        <f>G2749*L2749</f>
        <v>0</v>
      </c>
      <c r="N2749" s="26"/>
      <c r="X2749" s="25">
        <f>ROUND(IF(AO2749="5",BH2749,0),2)</f>
        <v>0</v>
      </c>
      <c r="Z2749" s="25">
        <f>ROUND(IF(AO2749="1",BF2749,0),2)</f>
        <v>0</v>
      </c>
      <c r="AA2749" s="25">
        <f>ROUND(IF(AO2749="1",BG2749,0),2)</f>
        <v>0</v>
      </c>
      <c r="AB2749" s="25">
        <f>ROUND(IF(AO2749="7",BF2749,0),2)</f>
        <v>0</v>
      </c>
      <c r="AC2749" s="25">
        <f>ROUND(IF(AO2749="7",BG2749,0),2)</f>
        <v>0</v>
      </c>
      <c r="AD2749" s="25">
        <f>ROUND(IF(AO2749="2",BF2749,0),2)</f>
        <v>0</v>
      </c>
      <c r="AE2749" s="25">
        <f>ROUND(IF(AO2749="2",BG2749,0),2)</f>
        <v>0</v>
      </c>
      <c r="AF2749" s="25">
        <f>ROUND(IF(AO2749="0",BH2749,0),2)</f>
        <v>0</v>
      </c>
      <c r="AG2749" s="10" t="s">
        <v>3451</v>
      </c>
      <c r="AH2749" s="25">
        <f>IF(AL2749=0,K2749,0)</f>
        <v>0</v>
      </c>
      <c r="AI2749" s="25">
        <f>IF(AL2749=12,K2749,0)</f>
        <v>0</v>
      </c>
      <c r="AJ2749" s="25">
        <f>IF(AL2749=21,K2749,0)</f>
        <v>0</v>
      </c>
      <c r="AL2749" s="25">
        <v>21</v>
      </c>
      <c r="AM2749" s="25">
        <f>H2749*0</f>
        <v>0</v>
      </c>
      <c r="AN2749" s="25">
        <f>H2749*(1-0)</f>
        <v>0</v>
      </c>
      <c r="AO2749" s="27" t="s">
        <v>57</v>
      </c>
      <c r="AT2749" s="25">
        <f>ROUND(AU2749+AV2749,2)</f>
        <v>0</v>
      </c>
      <c r="AU2749" s="25">
        <f>ROUND(G2749*AM2749,2)</f>
        <v>0</v>
      </c>
      <c r="AV2749" s="25">
        <f>ROUND(G2749*AN2749,2)</f>
        <v>0</v>
      </c>
      <c r="AW2749" s="27" t="s">
        <v>3457</v>
      </c>
      <c r="AX2749" s="27" t="s">
        <v>3458</v>
      </c>
      <c r="AY2749" s="10" t="s">
        <v>3459</v>
      </c>
      <c r="BA2749" s="25">
        <f>AU2749+AV2749</f>
        <v>0</v>
      </c>
      <c r="BB2749" s="25">
        <f>H2749/(100-BC2749)*100</f>
        <v>0</v>
      </c>
      <c r="BC2749" s="25">
        <v>0</v>
      </c>
      <c r="BD2749" s="25">
        <f>M2749</f>
        <v>0</v>
      </c>
      <c r="BF2749" s="25">
        <f>G2749*AM2749</f>
        <v>0</v>
      </c>
      <c r="BG2749" s="25">
        <f>G2749*AN2749</f>
        <v>0</v>
      </c>
      <c r="BH2749" s="25">
        <f>G2749*H2749</f>
        <v>0</v>
      </c>
      <c r="BI2749" s="27" t="s">
        <v>65</v>
      </c>
      <c r="BJ2749" s="25">
        <v>18</v>
      </c>
      <c r="BU2749" s="25" t="e">
        <f>#REF!</f>
        <v>#REF!</v>
      </c>
      <c r="BV2749" s="4" t="s">
        <v>3456</v>
      </c>
    </row>
    <row r="2750" spans="1:74" ht="14.4" x14ac:dyDescent="0.3">
      <c r="A2750" s="28"/>
      <c r="D2750" s="29" t="s">
        <v>507</v>
      </c>
      <c r="E2750" s="29" t="s">
        <v>52</v>
      </c>
      <c r="G2750" s="30">
        <v>78</v>
      </c>
      <c r="H2750" s="63"/>
      <c r="N2750" s="31"/>
    </row>
    <row r="2751" spans="1:74" ht="14.4" x14ac:dyDescent="0.3">
      <c r="A2751" s="21" t="s">
        <v>52</v>
      </c>
      <c r="B2751" s="22" t="s">
        <v>3451</v>
      </c>
      <c r="C2751" s="22" t="s">
        <v>921</v>
      </c>
      <c r="D2751" s="170" t="s">
        <v>922</v>
      </c>
      <c r="E2751" s="171"/>
      <c r="F2751" s="23" t="s">
        <v>32</v>
      </c>
      <c r="G2751" s="23" t="s">
        <v>32</v>
      </c>
      <c r="H2751" s="64"/>
      <c r="I2751" s="1">
        <f>SUM(I2752:I2756)</f>
        <v>0</v>
      </c>
      <c r="J2751" s="1">
        <f>SUM(J2752:J2756)</f>
        <v>0</v>
      </c>
      <c r="K2751" s="1">
        <f>SUM(K2752:K2756)</f>
        <v>0</v>
      </c>
      <c r="L2751" s="10" t="s">
        <v>52</v>
      </c>
      <c r="M2751" s="1">
        <f>SUM(M2752:M2756)</f>
        <v>0.436664</v>
      </c>
      <c r="N2751" s="24"/>
      <c r="AG2751" s="10" t="s">
        <v>3451</v>
      </c>
      <c r="AQ2751" s="1">
        <f>SUM(AH2752:AH2756)</f>
        <v>0</v>
      </c>
      <c r="AR2751" s="1">
        <f>SUM(AI2752:AI2756)</f>
        <v>0</v>
      </c>
      <c r="AS2751" s="1">
        <f>SUM(AJ2752:AJ2756)</f>
        <v>0</v>
      </c>
    </row>
    <row r="2752" spans="1:74" ht="14.4" x14ac:dyDescent="0.3">
      <c r="A2752" s="2" t="s">
        <v>3460</v>
      </c>
      <c r="B2752" s="3" t="s">
        <v>3451</v>
      </c>
      <c r="C2752" s="3" t="s">
        <v>3461</v>
      </c>
      <c r="D2752" s="112" t="s">
        <v>3462</v>
      </c>
      <c r="E2752" s="109"/>
      <c r="F2752" s="3" t="s">
        <v>115</v>
      </c>
      <c r="G2752" s="25">
        <v>41</v>
      </c>
      <c r="H2752" s="62"/>
      <c r="I2752" s="25">
        <f>ROUND(G2752*AM2752,2)</f>
        <v>0</v>
      </c>
      <c r="J2752" s="25">
        <f>ROUND(G2752*AN2752,2)</f>
        <v>0</v>
      </c>
      <c r="K2752" s="25">
        <f>ROUND(G2752*H2752,2)</f>
        <v>0</v>
      </c>
      <c r="L2752" s="25">
        <v>0</v>
      </c>
      <c r="M2752" s="25">
        <f>G2752*L2752</f>
        <v>0</v>
      </c>
      <c r="N2752" s="26"/>
      <c r="X2752" s="25">
        <f>ROUND(IF(AO2752="5",BH2752,0),2)</f>
        <v>0</v>
      </c>
      <c r="Z2752" s="25">
        <f>ROUND(IF(AO2752="1",BF2752,0),2)</f>
        <v>0</v>
      </c>
      <c r="AA2752" s="25">
        <f>ROUND(IF(AO2752="1",BG2752,0),2)</f>
        <v>0</v>
      </c>
      <c r="AB2752" s="25">
        <f>ROUND(IF(AO2752="7",BF2752,0),2)</f>
        <v>0</v>
      </c>
      <c r="AC2752" s="25">
        <f>ROUND(IF(AO2752="7",BG2752,0),2)</f>
        <v>0</v>
      </c>
      <c r="AD2752" s="25">
        <f>ROUND(IF(AO2752="2",BF2752,0),2)</f>
        <v>0</v>
      </c>
      <c r="AE2752" s="25">
        <f>ROUND(IF(AO2752="2",BG2752,0),2)</f>
        <v>0</v>
      </c>
      <c r="AF2752" s="25">
        <f>ROUND(IF(AO2752="0",BH2752,0),2)</f>
        <v>0</v>
      </c>
      <c r="AG2752" s="10" t="s">
        <v>3451</v>
      </c>
      <c r="AH2752" s="25">
        <f>IF(AL2752=0,K2752,0)</f>
        <v>0</v>
      </c>
      <c r="AI2752" s="25">
        <f>IF(AL2752=12,K2752,0)</f>
        <v>0</v>
      </c>
      <c r="AJ2752" s="25">
        <f>IF(AL2752=21,K2752,0)</f>
        <v>0</v>
      </c>
      <c r="AL2752" s="25">
        <v>21</v>
      </c>
      <c r="AM2752" s="25">
        <f>H2752*0</f>
        <v>0</v>
      </c>
      <c r="AN2752" s="25">
        <f>H2752*(1-0)</f>
        <v>0</v>
      </c>
      <c r="AO2752" s="27" t="s">
        <v>61</v>
      </c>
      <c r="AT2752" s="25">
        <f>ROUND(AU2752+AV2752,2)</f>
        <v>0</v>
      </c>
      <c r="AU2752" s="25">
        <f>ROUND(G2752*AM2752,2)</f>
        <v>0</v>
      </c>
      <c r="AV2752" s="25">
        <f>ROUND(G2752*AN2752,2)</f>
        <v>0</v>
      </c>
      <c r="AW2752" s="27" t="s">
        <v>926</v>
      </c>
      <c r="AX2752" s="27" t="s">
        <v>3463</v>
      </c>
      <c r="AY2752" s="10" t="s">
        <v>3459</v>
      </c>
      <c r="BA2752" s="25">
        <f>AU2752+AV2752</f>
        <v>0</v>
      </c>
      <c r="BB2752" s="25">
        <f>H2752/(100-BC2752)*100</f>
        <v>0</v>
      </c>
      <c r="BC2752" s="25">
        <v>0</v>
      </c>
      <c r="BD2752" s="25">
        <f>M2752</f>
        <v>0</v>
      </c>
      <c r="BF2752" s="25">
        <f>G2752*AM2752</f>
        <v>0</v>
      </c>
      <c r="BG2752" s="25">
        <f>G2752*AN2752</f>
        <v>0</v>
      </c>
      <c r="BH2752" s="25">
        <f>G2752*H2752</f>
        <v>0</v>
      </c>
      <c r="BI2752" s="27" t="s">
        <v>65</v>
      </c>
      <c r="BJ2752" s="25">
        <v>767</v>
      </c>
      <c r="BU2752" s="25" t="e">
        <f>#REF!</f>
        <v>#REF!</v>
      </c>
      <c r="BV2752" s="4" t="s">
        <v>3462</v>
      </c>
    </row>
    <row r="2753" spans="1:74" ht="14.4" x14ac:dyDescent="0.3">
      <c r="A2753" s="28"/>
      <c r="D2753" s="29" t="s">
        <v>3464</v>
      </c>
      <c r="E2753" s="29" t="s">
        <v>52</v>
      </c>
      <c r="G2753" s="30">
        <v>41</v>
      </c>
      <c r="H2753" s="63"/>
      <c r="N2753" s="31"/>
    </row>
    <row r="2754" spans="1:74" ht="14.4" x14ac:dyDescent="0.3">
      <c r="A2754" s="2" t="s">
        <v>3465</v>
      </c>
      <c r="B2754" s="3" t="s">
        <v>3451</v>
      </c>
      <c r="C2754" s="3" t="s">
        <v>3466</v>
      </c>
      <c r="D2754" s="112" t="s">
        <v>3467</v>
      </c>
      <c r="E2754" s="109"/>
      <c r="F2754" s="3" t="s">
        <v>115</v>
      </c>
      <c r="G2754" s="25">
        <v>41</v>
      </c>
      <c r="H2754" s="62"/>
      <c r="I2754" s="25">
        <f>ROUND(G2754*AM2754,2)</f>
        <v>0</v>
      </c>
      <c r="J2754" s="25">
        <f>ROUND(G2754*AN2754,2)</f>
        <v>0</v>
      </c>
      <c r="K2754" s="25">
        <f>ROUND(G2754*H2754,2)</f>
        <v>0</v>
      </c>
      <c r="L2754" s="25">
        <v>9.2499999999999995E-3</v>
      </c>
      <c r="M2754" s="25">
        <f>G2754*L2754</f>
        <v>0.37924999999999998</v>
      </c>
      <c r="N2754" s="26"/>
      <c r="X2754" s="25">
        <f>ROUND(IF(AO2754="5",BH2754,0),2)</f>
        <v>0</v>
      </c>
      <c r="Z2754" s="25">
        <f>ROUND(IF(AO2754="1",BF2754,0),2)</f>
        <v>0</v>
      </c>
      <c r="AA2754" s="25">
        <f>ROUND(IF(AO2754="1",BG2754,0),2)</f>
        <v>0</v>
      </c>
      <c r="AB2754" s="25">
        <f>ROUND(IF(AO2754="7",BF2754,0),2)</f>
        <v>0</v>
      </c>
      <c r="AC2754" s="25">
        <f>ROUND(IF(AO2754="7",BG2754,0),2)</f>
        <v>0</v>
      </c>
      <c r="AD2754" s="25">
        <f>ROUND(IF(AO2754="2",BF2754,0),2)</f>
        <v>0</v>
      </c>
      <c r="AE2754" s="25">
        <f>ROUND(IF(AO2754="2",BG2754,0),2)</f>
        <v>0</v>
      </c>
      <c r="AF2754" s="25">
        <f>ROUND(IF(AO2754="0",BH2754,0),2)</f>
        <v>0</v>
      </c>
      <c r="AG2754" s="10" t="s">
        <v>3451</v>
      </c>
      <c r="AH2754" s="25">
        <f>IF(AL2754=0,K2754,0)</f>
        <v>0</v>
      </c>
      <c r="AI2754" s="25">
        <f>IF(AL2754=12,K2754,0)</f>
        <v>0</v>
      </c>
      <c r="AJ2754" s="25">
        <f>IF(AL2754=21,K2754,0)</f>
        <v>0</v>
      </c>
      <c r="AL2754" s="25">
        <v>21</v>
      </c>
      <c r="AM2754" s="25">
        <f>H2754*0</f>
        <v>0</v>
      </c>
      <c r="AN2754" s="25">
        <f>H2754*(1-0)</f>
        <v>0</v>
      </c>
      <c r="AO2754" s="27" t="s">
        <v>61</v>
      </c>
      <c r="AT2754" s="25">
        <f>ROUND(AU2754+AV2754,2)</f>
        <v>0</v>
      </c>
      <c r="AU2754" s="25">
        <f>ROUND(G2754*AM2754,2)</f>
        <v>0</v>
      </c>
      <c r="AV2754" s="25">
        <f>ROUND(G2754*AN2754,2)</f>
        <v>0</v>
      </c>
      <c r="AW2754" s="27" t="s">
        <v>926</v>
      </c>
      <c r="AX2754" s="27" t="s">
        <v>3463</v>
      </c>
      <c r="AY2754" s="10" t="s">
        <v>3459</v>
      </c>
      <c r="BA2754" s="25">
        <f>AU2754+AV2754</f>
        <v>0</v>
      </c>
      <c r="BB2754" s="25">
        <f>H2754/(100-BC2754)*100</f>
        <v>0</v>
      </c>
      <c r="BC2754" s="25">
        <v>0</v>
      </c>
      <c r="BD2754" s="25">
        <f>M2754</f>
        <v>0.37924999999999998</v>
      </c>
      <c r="BF2754" s="25">
        <f>G2754*AM2754</f>
        <v>0</v>
      </c>
      <c r="BG2754" s="25">
        <f>G2754*AN2754</f>
        <v>0</v>
      </c>
      <c r="BH2754" s="25">
        <f>G2754*H2754</f>
        <v>0</v>
      </c>
      <c r="BI2754" s="27" t="s">
        <v>65</v>
      </c>
      <c r="BJ2754" s="25">
        <v>767</v>
      </c>
      <c r="BU2754" s="25" t="e">
        <f>#REF!</f>
        <v>#REF!</v>
      </c>
      <c r="BV2754" s="4" t="s">
        <v>3467</v>
      </c>
    </row>
    <row r="2755" spans="1:74" ht="14.4" x14ac:dyDescent="0.3">
      <c r="A2755" s="28"/>
      <c r="D2755" s="29" t="s">
        <v>3464</v>
      </c>
      <c r="E2755" s="29" t="s">
        <v>52</v>
      </c>
      <c r="G2755" s="30">
        <v>41</v>
      </c>
      <c r="H2755" s="63"/>
      <c r="N2755" s="31"/>
    </row>
    <row r="2756" spans="1:74" ht="26.4" x14ac:dyDescent="0.3">
      <c r="A2756" s="2" t="s">
        <v>3468</v>
      </c>
      <c r="B2756" s="3" t="s">
        <v>3451</v>
      </c>
      <c r="C2756" s="3" t="s">
        <v>3469</v>
      </c>
      <c r="D2756" s="112" t="s">
        <v>3470</v>
      </c>
      <c r="E2756" s="109"/>
      <c r="F2756" s="3" t="s">
        <v>122</v>
      </c>
      <c r="G2756" s="25">
        <v>1.367</v>
      </c>
      <c r="H2756" s="62"/>
      <c r="I2756" s="25">
        <f>ROUND(G2756*AM2756,2)</f>
        <v>0</v>
      </c>
      <c r="J2756" s="25">
        <f>ROUND(G2756*AN2756,2)</f>
        <v>0</v>
      </c>
      <c r="K2756" s="25">
        <f>ROUND(G2756*H2756,2)</f>
        <v>0</v>
      </c>
      <c r="L2756" s="25">
        <v>4.2000000000000003E-2</v>
      </c>
      <c r="M2756" s="25">
        <f>G2756*L2756</f>
        <v>5.7414000000000007E-2</v>
      </c>
      <c r="N2756" s="26"/>
      <c r="X2756" s="25">
        <f>ROUND(IF(AO2756="5",BH2756,0),2)</f>
        <v>0</v>
      </c>
      <c r="Z2756" s="25">
        <f>ROUND(IF(AO2756="1",BF2756,0),2)</f>
        <v>0</v>
      </c>
      <c r="AA2756" s="25">
        <f>ROUND(IF(AO2756="1",BG2756,0),2)</f>
        <v>0</v>
      </c>
      <c r="AB2756" s="25">
        <f>ROUND(IF(AO2756="7",BF2756,0),2)</f>
        <v>0</v>
      </c>
      <c r="AC2756" s="25">
        <f>ROUND(IF(AO2756="7",BG2756,0),2)</f>
        <v>0</v>
      </c>
      <c r="AD2756" s="25">
        <f>ROUND(IF(AO2756="2",BF2756,0),2)</f>
        <v>0</v>
      </c>
      <c r="AE2756" s="25">
        <f>ROUND(IF(AO2756="2",BG2756,0),2)</f>
        <v>0</v>
      </c>
      <c r="AF2756" s="25">
        <f>ROUND(IF(AO2756="0",BH2756,0),2)</f>
        <v>0</v>
      </c>
      <c r="AG2756" s="10" t="s">
        <v>3451</v>
      </c>
      <c r="AH2756" s="25">
        <f>IF(AL2756=0,K2756,0)</f>
        <v>0</v>
      </c>
      <c r="AI2756" s="25">
        <f>IF(AL2756=12,K2756,0)</f>
        <v>0</v>
      </c>
      <c r="AJ2756" s="25">
        <f>IF(AL2756=21,K2756,0)</f>
        <v>0</v>
      </c>
      <c r="AL2756" s="25">
        <v>21</v>
      </c>
      <c r="AM2756" s="25">
        <f>H2756*1</f>
        <v>0</v>
      </c>
      <c r="AN2756" s="25">
        <f>H2756*(1-1)</f>
        <v>0</v>
      </c>
      <c r="AO2756" s="27" t="s">
        <v>61</v>
      </c>
      <c r="AT2756" s="25">
        <f>ROUND(AU2756+AV2756,2)</f>
        <v>0</v>
      </c>
      <c r="AU2756" s="25">
        <f>ROUND(G2756*AM2756,2)</f>
        <v>0</v>
      </c>
      <c r="AV2756" s="25">
        <f>ROUND(G2756*AN2756,2)</f>
        <v>0</v>
      </c>
      <c r="AW2756" s="27" t="s">
        <v>926</v>
      </c>
      <c r="AX2756" s="27" t="s">
        <v>3463</v>
      </c>
      <c r="AY2756" s="10" t="s">
        <v>3459</v>
      </c>
      <c r="BA2756" s="25">
        <f>AU2756+AV2756</f>
        <v>0</v>
      </c>
      <c r="BB2756" s="25">
        <f>H2756/(100-BC2756)*100</f>
        <v>0</v>
      </c>
      <c r="BC2756" s="25">
        <v>0</v>
      </c>
      <c r="BD2756" s="25">
        <f>M2756</f>
        <v>5.7414000000000007E-2</v>
      </c>
      <c r="BF2756" s="25">
        <f>G2756*AM2756</f>
        <v>0</v>
      </c>
      <c r="BG2756" s="25">
        <f>G2756*AN2756</f>
        <v>0</v>
      </c>
      <c r="BH2756" s="25">
        <f>G2756*H2756</f>
        <v>0</v>
      </c>
      <c r="BI2756" s="27" t="s">
        <v>576</v>
      </c>
      <c r="BJ2756" s="25">
        <v>767</v>
      </c>
      <c r="BU2756" s="25" t="e">
        <f>#REF!</f>
        <v>#REF!</v>
      </c>
      <c r="BV2756" s="4" t="s">
        <v>3470</v>
      </c>
    </row>
    <row r="2757" spans="1:74" ht="14.4" x14ac:dyDescent="0.3">
      <c r="A2757" s="28"/>
      <c r="D2757" s="29" t="s">
        <v>3471</v>
      </c>
      <c r="E2757" s="29" t="s">
        <v>52</v>
      </c>
      <c r="G2757" s="30">
        <v>1.367</v>
      </c>
      <c r="H2757" s="63"/>
      <c r="N2757" s="31"/>
    </row>
    <row r="2758" spans="1:74" ht="14.4" x14ac:dyDescent="0.3">
      <c r="A2758" s="21" t="s">
        <v>52</v>
      </c>
      <c r="B2758" s="22" t="s">
        <v>3451</v>
      </c>
      <c r="C2758" s="22" t="s">
        <v>209</v>
      </c>
      <c r="D2758" s="170" t="s">
        <v>210</v>
      </c>
      <c r="E2758" s="171"/>
      <c r="F2758" s="23" t="s">
        <v>32</v>
      </c>
      <c r="G2758" s="23" t="s">
        <v>32</v>
      </c>
      <c r="H2758" s="64"/>
      <c r="I2758" s="1">
        <f>SUM(I2759:I2759)</f>
        <v>0</v>
      </c>
      <c r="J2758" s="1">
        <f>SUM(J2759:J2759)</f>
        <v>0</v>
      </c>
      <c r="K2758" s="1">
        <f>SUM(K2759:K2759)</f>
        <v>0</v>
      </c>
      <c r="L2758" s="10" t="s">
        <v>52</v>
      </c>
      <c r="M2758" s="1">
        <f>SUM(M2759:M2759)</f>
        <v>0</v>
      </c>
      <c r="N2758" s="24"/>
      <c r="AG2758" s="10" t="s">
        <v>3451</v>
      </c>
      <c r="AQ2758" s="1">
        <f>SUM(AH2759:AH2759)</f>
        <v>0</v>
      </c>
      <c r="AR2758" s="1">
        <f>SUM(AI2759:AI2759)</f>
        <v>0</v>
      </c>
      <c r="AS2758" s="1">
        <f>SUM(AJ2759:AJ2759)</f>
        <v>0</v>
      </c>
    </row>
    <row r="2759" spans="1:74" ht="14.4" x14ac:dyDescent="0.3">
      <c r="A2759" s="2" t="s">
        <v>3472</v>
      </c>
      <c r="B2759" s="3" t="s">
        <v>3451</v>
      </c>
      <c r="C2759" s="3" t="s">
        <v>3473</v>
      </c>
      <c r="D2759" s="112" t="s">
        <v>3474</v>
      </c>
      <c r="E2759" s="109"/>
      <c r="F2759" s="3" t="s">
        <v>3475</v>
      </c>
      <c r="G2759" s="25">
        <v>122</v>
      </c>
      <c r="H2759" s="62"/>
      <c r="I2759" s="25">
        <f>ROUND(G2759*AM2759,2)</f>
        <v>0</v>
      </c>
      <c r="J2759" s="25">
        <f>ROUND(G2759*AN2759,2)</f>
        <v>0</v>
      </c>
      <c r="K2759" s="25">
        <f>ROUND(G2759*H2759,2)</f>
        <v>0</v>
      </c>
      <c r="L2759" s="25">
        <v>0</v>
      </c>
      <c r="M2759" s="25">
        <f>G2759*L2759</f>
        <v>0</v>
      </c>
      <c r="N2759" s="26"/>
      <c r="X2759" s="25">
        <f>ROUND(IF(AO2759="5",BH2759,0),2)</f>
        <v>0</v>
      </c>
      <c r="Z2759" s="25">
        <f>ROUND(IF(AO2759="1",BF2759,0),2)</f>
        <v>0</v>
      </c>
      <c r="AA2759" s="25">
        <f>ROUND(IF(AO2759="1",BG2759,0),2)</f>
        <v>0</v>
      </c>
      <c r="AB2759" s="25">
        <f>ROUND(IF(AO2759="7",BF2759,0),2)</f>
        <v>0</v>
      </c>
      <c r="AC2759" s="25">
        <f>ROUND(IF(AO2759="7",BG2759,0),2)</f>
        <v>0</v>
      </c>
      <c r="AD2759" s="25">
        <f>ROUND(IF(AO2759="2",BF2759,0),2)</f>
        <v>0</v>
      </c>
      <c r="AE2759" s="25">
        <f>ROUND(IF(AO2759="2",BG2759,0),2)</f>
        <v>0</v>
      </c>
      <c r="AF2759" s="25">
        <f>ROUND(IF(AO2759="0",BH2759,0),2)</f>
        <v>0</v>
      </c>
      <c r="AG2759" s="10" t="s">
        <v>3451</v>
      </c>
      <c r="AH2759" s="25">
        <f>IF(AL2759=0,K2759,0)</f>
        <v>0</v>
      </c>
      <c r="AI2759" s="25">
        <f>IF(AL2759=12,K2759,0)</f>
        <v>0</v>
      </c>
      <c r="AJ2759" s="25">
        <f>IF(AL2759=21,K2759,0)</f>
        <v>0</v>
      </c>
      <c r="AL2759" s="25">
        <v>21</v>
      </c>
      <c r="AM2759" s="25">
        <f>H2759*0</f>
        <v>0</v>
      </c>
      <c r="AN2759" s="25">
        <f>H2759*(1-0)</f>
        <v>0</v>
      </c>
      <c r="AO2759" s="27" t="s">
        <v>57</v>
      </c>
      <c r="AT2759" s="25">
        <f>ROUND(AU2759+AV2759,2)</f>
        <v>0</v>
      </c>
      <c r="AU2759" s="25">
        <f>ROUND(G2759*AM2759,2)</f>
        <v>0</v>
      </c>
      <c r="AV2759" s="25">
        <f>ROUND(G2759*AN2759,2)</f>
        <v>0</v>
      </c>
      <c r="AW2759" s="27" t="s">
        <v>214</v>
      </c>
      <c r="AX2759" s="27" t="s">
        <v>3476</v>
      </c>
      <c r="AY2759" s="10" t="s">
        <v>3459</v>
      </c>
      <c r="BA2759" s="25">
        <f>AU2759+AV2759</f>
        <v>0</v>
      </c>
      <c r="BB2759" s="25">
        <f>H2759/(100-BC2759)*100</f>
        <v>0</v>
      </c>
      <c r="BC2759" s="25">
        <v>0</v>
      </c>
      <c r="BD2759" s="25">
        <f>M2759</f>
        <v>0</v>
      </c>
      <c r="BF2759" s="25">
        <f>G2759*AM2759</f>
        <v>0</v>
      </c>
      <c r="BG2759" s="25">
        <f>G2759*AN2759</f>
        <v>0</v>
      </c>
      <c r="BH2759" s="25">
        <f>G2759*H2759</f>
        <v>0</v>
      </c>
      <c r="BI2759" s="27" t="s">
        <v>65</v>
      </c>
      <c r="BJ2759" s="25">
        <v>97</v>
      </c>
      <c r="BU2759" s="25" t="e">
        <f>#REF!</f>
        <v>#REF!</v>
      </c>
      <c r="BV2759" s="4" t="s">
        <v>3474</v>
      </c>
    </row>
    <row r="2760" spans="1:74" ht="14.4" x14ac:dyDescent="0.3">
      <c r="A2760" s="28"/>
      <c r="D2760" s="29" t="s">
        <v>3477</v>
      </c>
      <c r="E2760" s="29" t="s">
        <v>52</v>
      </c>
      <c r="G2760" s="30">
        <v>122</v>
      </c>
      <c r="H2760" s="63"/>
      <c r="N2760" s="31"/>
    </row>
    <row r="2761" spans="1:74" ht="14.4" x14ac:dyDescent="0.3">
      <c r="A2761" s="21" t="s">
        <v>52</v>
      </c>
      <c r="B2761" s="22" t="s">
        <v>3451</v>
      </c>
      <c r="C2761" s="22" t="s">
        <v>3478</v>
      </c>
      <c r="D2761" s="170" t="s">
        <v>3479</v>
      </c>
      <c r="E2761" s="171"/>
      <c r="F2761" s="23" t="s">
        <v>32</v>
      </c>
      <c r="G2761" s="23" t="s">
        <v>32</v>
      </c>
      <c r="H2761" s="64"/>
      <c r="I2761" s="1">
        <f>SUM(I2762:I2764)</f>
        <v>0</v>
      </c>
      <c r="J2761" s="1">
        <f>SUM(J2762:J2764)</f>
        <v>0</v>
      </c>
      <c r="K2761" s="1">
        <f>SUM(K2762:K2764)</f>
        <v>0</v>
      </c>
      <c r="L2761" s="10" t="s">
        <v>52</v>
      </c>
      <c r="M2761" s="1">
        <f>SUM(M2762:M2764)</f>
        <v>0</v>
      </c>
      <c r="N2761" s="24"/>
      <c r="AG2761" s="10" t="s">
        <v>3451</v>
      </c>
      <c r="AQ2761" s="1">
        <f>SUM(AH2762:AH2764)</f>
        <v>0</v>
      </c>
      <c r="AR2761" s="1">
        <f>SUM(AI2762:AI2764)</f>
        <v>0</v>
      </c>
      <c r="AS2761" s="1">
        <f>SUM(AJ2762:AJ2764)</f>
        <v>0</v>
      </c>
    </row>
    <row r="2762" spans="1:74" ht="14.4" x14ac:dyDescent="0.3">
      <c r="A2762" s="2" t="s">
        <v>3480</v>
      </c>
      <c r="B2762" s="3" t="s">
        <v>3451</v>
      </c>
      <c r="C2762" s="3" t="s">
        <v>3481</v>
      </c>
      <c r="D2762" s="112" t="s">
        <v>3482</v>
      </c>
      <c r="E2762" s="109"/>
      <c r="F2762" s="3" t="s">
        <v>278</v>
      </c>
      <c r="G2762" s="25">
        <v>3.9</v>
      </c>
      <c r="H2762" s="62"/>
      <c r="I2762" s="25">
        <f>ROUND(G2762*AM2762,2)</f>
        <v>0</v>
      </c>
      <c r="J2762" s="25">
        <f>ROUND(G2762*AN2762,2)</f>
        <v>0</v>
      </c>
      <c r="K2762" s="25">
        <f>ROUND(G2762*H2762,2)</f>
        <v>0</v>
      </c>
      <c r="L2762" s="25">
        <v>0</v>
      </c>
      <c r="M2762" s="25">
        <f>G2762*L2762</f>
        <v>0</v>
      </c>
      <c r="N2762" s="26"/>
      <c r="X2762" s="25">
        <f>ROUND(IF(AO2762="5",BH2762,0),2)</f>
        <v>0</v>
      </c>
      <c r="Z2762" s="25">
        <f>ROUND(IF(AO2762="1",BF2762,0),2)</f>
        <v>0</v>
      </c>
      <c r="AA2762" s="25">
        <f>ROUND(IF(AO2762="1",BG2762,0),2)</f>
        <v>0</v>
      </c>
      <c r="AB2762" s="25">
        <f>ROUND(IF(AO2762="7",BF2762,0),2)</f>
        <v>0</v>
      </c>
      <c r="AC2762" s="25">
        <f>ROUND(IF(AO2762="7",BG2762,0),2)</f>
        <v>0</v>
      </c>
      <c r="AD2762" s="25">
        <f>ROUND(IF(AO2762="2",BF2762,0),2)</f>
        <v>0</v>
      </c>
      <c r="AE2762" s="25">
        <f>ROUND(IF(AO2762="2",BG2762,0),2)</f>
        <v>0</v>
      </c>
      <c r="AF2762" s="25">
        <f>ROUND(IF(AO2762="0",BH2762,0),2)</f>
        <v>0</v>
      </c>
      <c r="AG2762" s="10" t="s">
        <v>3451</v>
      </c>
      <c r="AH2762" s="25">
        <f>IF(AL2762=0,K2762,0)</f>
        <v>0</v>
      </c>
      <c r="AI2762" s="25">
        <f>IF(AL2762=12,K2762,0)</f>
        <v>0</v>
      </c>
      <c r="AJ2762" s="25">
        <f>IF(AL2762=21,K2762,0)</f>
        <v>0</v>
      </c>
      <c r="AL2762" s="25">
        <v>21</v>
      </c>
      <c r="AM2762" s="25">
        <f>H2762*0</f>
        <v>0</v>
      </c>
      <c r="AN2762" s="25">
        <f>H2762*(1-0)</f>
        <v>0</v>
      </c>
      <c r="AO2762" s="27" t="s">
        <v>97</v>
      </c>
      <c r="AT2762" s="25">
        <f>ROUND(AU2762+AV2762,2)</f>
        <v>0</v>
      </c>
      <c r="AU2762" s="25">
        <f>ROUND(G2762*AM2762,2)</f>
        <v>0</v>
      </c>
      <c r="AV2762" s="25">
        <f>ROUND(G2762*AN2762,2)</f>
        <v>0</v>
      </c>
      <c r="AW2762" s="27" t="s">
        <v>3483</v>
      </c>
      <c r="AX2762" s="27" t="s">
        <v>3476</v>
      </c>
      <c r="AY2762" s="10" t="s">
        <v>3459</v>
      </c>
      <c r="BA2762" s="25">
        <f>AU2762+AV2762</f>
        <v>0</v>
      </c>
      <c r="BB2762" s="25">
        <f>H2762/(100-BC2762)*100</f>
        <v>0</v>
      </c>
      <c r="BC2762" s="25">
        <v>0</v>
      </c>
      <c r="BD2762" s="25">
        <f>M2762</f>
        <v>0</v>
      </c>
      <c r="BF2762" s="25">
        <f>G2762*AM2762</f>
        <v>0</v>
      </c>
      <c r="BG2762" s="25">
        <f>G2762*AN2762</f>
        <v>0</v>
      </c>
      <c r="BH2762" s="25">
        <f>G2762*H2762</f>
        <v>0</v>
      </c>
      <c r="BI2762" s="27" t="s">
        <v>65</v>
      </c>
      <c r="BJ2762" s="25"/>
      <c r="BU2762" s="25" t="e">
        <f>#REF!</f>
        <v>#REF!</v>
      </c>
      <c r="BV2762" s="4" t="s">
        <v>3482</v>
      </c>
    </row>
    <row r="2763" spans="1:74" ht="14.4" x14ac:dyDescent="0.3">
      <c r="A2763" s="28"/>
      <c r="D2763" s="29" t="s">
        <v>3484</v>
      </c>
      <c r="E2763" s="29" t="s">
        <v>52</v>
      </c>
      <c r="G2763" s="30">
        <v>3.9</v>
      </c>
      <c r="H2763" s="63"/>
      <c r="N2763" s="31"/>
    </row>
    <row r="2764" spans="1:74" ht="14.4" x14ac:dyDescent="0.3">
      <c r="A2764" s="2" t="s">
        <v>3485</v>
      </c>
      <c r="B2764" s="3" t="s">
        <v>3451</v>
      </c>
      <c r="C2764" s="3" t="s">
        <v>3486</v>
      </c>
      <c r="D2764" s="112" t="s">
        <v>3487</v>
      </c>
      <c r="E2764" s="109"/>
      <c r="F2764" s="3" t="s">
        <v>278</v>
      </c>
      <c r="G2764" s="25">
        <v>39</v>
      </c>
      <c r="H2764" s="62"/>
      <c r="I2764" s="25">
        <f>ROUND(G2764*AM2764,2)</f>
        <v>0</v>
      </c>
      <c r="J2764" s="25">
        <f>ROUND(G2764*AN2764,2)</f>
        <v>0</v>
      </c>
      <c r="K2764" s="25">
        <f>ROUND(G2764*H2764,2)</f>
        <v>0</v>
      </c>
      <c r="L2764" s="25">
        <v>0</v>
      </c>
      <c r="M2764" s="25">
        <f>G2764*L2764</f>
        <v>0</v>
      </c>
      <c r="N2764" s="26"/>
      <c r="X2764" s="25">
        <f>ROUND(IF(AO2764="5",BH2764,0),2)</f>
        <v>0</v>
      </c>
      <c r="Z2764" s="25">
        <f>ROUND(IF(AO2764="1",BF2764,0),2)</f>
        <v>0</v>
      </c>
      <c r="AA2764" s="25">
        <f>ROUND(IF(AO2764="1",BG2764,0),2)</f>
        <v>0</v>
      </c>
      <c r="AB2764" s="25">
        <f>ROUND(IF(AO2764="7",BF2764,0),2)</f>
        <v>0</v>
      </c>
      <c r="AC2764" s="25">
        <f>ROUND(IF(AO2764="7",BG2764,0),2)</f>
        <v>0</v>
      </c>
      <c r="AD2764" s="25">
        <f>ROUND(IF(AO2764="2",BF2764,0),2)</f>
        <v>0</v>
      </c>
      <c r="AE2764" s="25">
        <f>ROUND(IF(AO2764="2",BG2764,0),2)</f>
        <v>0</v>
      </c>
      <c r="AF2764" s="25">
        <f>ROUND(IF(AO2764="0",BH2764,0),2)</f>
        <v>0</v>
      </c>
      <c r="AG2764" s="10" t="s">
        <v>3451</v>
      </c>
      <c r="AH2764" s="25">
        <f>IF(AL2764=0,K2764,0)</f>
        <v>0</v>
      </c>
      <c r="AI2764" s="25">
        <f>IF(AL2764=12,K2764,0)</f>
        <v>0</v>
      </c>
      <c r="AJ2764" s="25">
        <f>IF(AL2764=21,K2764,0)</f>
        <v>0</v>
      </c>
      <c r="AL2764" s="25">
        <v>21</v>
      </c>
      <c r="AM2764" s="25">
        <f>H2764*0</f>
        <v>0</v>
      </c>
      <c r="AN2764" s="25">
        <f>H2764*(1-0)</f>
        <v>0</v>
      </c>
      <c r="AO2764" s="27" t="s">
        <v>97</v>
      </c>
      <c r="AT2764" s="25">
        <f>ROUND(AU2764+AV2764,2)</f>
        <v>0</v>
      </c>
      <c r="AU2764" s="25">
        <f>ROUND(G2764*AM2764,2)</f>
        <v>0</v>
      </c>
      <c r="AV2764" s="25">
        <f>ROUND(G2764*AN2764,2)</f>
        <v>0</v>
      </c>
      <c r="AW2764" s="27" t="s">
        <v>3483</v>
      </c>
      <c r="AX2764" s="27" t="s">
        <v>3476</v>
      </c>
      <c r="AY2764" s="10" t="s">
        <v>3459</v>
      </c>
      <c r="BA2764" s="25">
        <f>AU2764+AV2764</f>
        <v>0</v>
      </c>
      <c r="BB2764" s="25">
        <f>H2764/(100-BC2764)*100</f>
        <v>0</v>
      </c>
      <c r="BC2764" s="25">
        <v>0</v>
      </c>
      <c r="BD2764" s="25">
        <f>M2764</f>
        <v>0</v>
      </c>
      <c r="BF2764" s="25">
        <f>G2764*AM2764</f>
        <v>0</v>
      </c>
      <c r="BG2764" s="25">
        <f>G2764*AN2764</f>
        <v>0</v>
      </c>
      <c r="BH2764" s="25">
        <f>G2764*H2764</f>
        <v>0</v>
      </c>
      <c r="BI2764" s="27" t="s">
        <v>65</v>
      </c>
      <c r="BJ2764" s="25"/>
      <c r="BU2764" s="25" t="e">
        <f>#REF!</f>
        <v>#REF!</v>
      </c>
      <c r="BV2764" s="4" t="s">
        <v>3487</v>
      </c>
    </row>
    <row r="2765" spans="1:74" ht="14.4" x14ac:dyDescent="0.3">
      <c r="A2765" s="28"/>
      <c r="D2765" s="29" t="s">
        <v>3488</v>
      </c>
      <c r="E2765" s="29" t="s">
        <v>52</v>
      </c>
      <c r="G2765" s="30">
        <v>39</v>
      </c>
      <c r="H2765" s="63"/>
      <c r="N2765" s="31"/>
    </row>
    <row r="2766" spans="1:74" ht="14.4" x14ac:dyDescent="0.3">
      <c r="A2766" s="21" t="s">
        <v>52</v>
      </c>
      <c r="B2766" s="22" t="s">
        <v>3451</v>
      </c>
      <c r="C2766" s="22" t="s">
        <v>3300</v>
      </c>
      <c r="D2766" s="170" t="s">
        <v>3301</v>
      </c>
      <c r="E2766" s="171"/>
      <c r="F2766" s="23" t="s">
        <v>32</v>
      </c>
      <c r="G2766" s="23" t="s">
        <v>32</v>
      </c>
      <c r="H2766" s="64"/>
      <c r="I2766" s="1">
        <f>SUM(I2767:I2769)</f>
        <v>0</v>
      </c>
      <c r="J2766" s="1">
        <f>SUM(J2767:J2769)</f>
        <v>0</v>
      </c>
      <c r="K2766" s="1">
        <f>SUM(K2767:K2769)</f>
        <v>0</v>
      </c>
      <c r="L2766" s="10" t="s">
        <v>52</v>
      </c>
      <c r="M2766" s="1">
        <f>SUM(M2767:M2769)</f>
        <v>0</v>
      </c>
      <c r="N2766" s="24"/>
      <c r="AG2766" s="10" t="s">
        <v>3451</v>
      </c>
      <c r="AQ2766" s="1">
        <f>SUM(AH2767:AH2769)</f>
        <v>0</v>
      </c>
      <c r="AR2766" s="1">
        <f>SUM(AI2767:AI2769)</f>
        <v>0</v>
      </c>
      <c r="AS2766" s="1">
        <f>SUM(AJ2767:AJ2769)</f>
        <v>0</v>
      </c>
    </row>
    <row r="2767" spans="1:74" ht="14.4" x14ac:dyDescent="0.3">
      <c r="A2767" s="2" t="s">
        <v>3489</v>
      </c>
      <c r="B2767" s="3" t="s">
        <v>3451</v>
      </c>
      <c r="C2767" s="3" t="s">
        <v>3490</v>
      </c>
      <c r="D2767" s="112" t="s">
        <v>3491</v>
      </c>
      <c r="E2767" s="109"/>
      <c r="F2767" s="3" t="s">
        <v>122</v>
      </c>
      <c r="G2767" s="25">
        <v>1</v>
      </c>
      <c r="H2767" s="62"/>
      <c r="I2767" s="25">
        <f>ROUND(G2767*AM2767,2)</f>
        <v>0</v>
      </c>
      <c r="J2767" s="25">
        <f>ROUND(G2767*AN2767,2)</f>
        <v>0</v>
      </c>
      <c r="K2767" s="25">
        <f>ROUND(G2767*H2767,2)</f>
        <v>0</v>
      </c>
      <c r="L2767" s="25">
        <v>0</v>
      </c>
      <c r="M2767" s="25">
        <f>G2767*L2767</f>
        <v>0</v>
      </c>
      <c r="N2767" s="26"/>
      <c r="X2767" s="25">
        <f>ROUND(IF(AO2767="5",BH2767,0),2)</f>
        <v>0</v>
      </c>
      <c r="Z2767" s="25">
        <f>ROUND(IF(AO2767="1",BF2767,0),2)</f>
        <v>0</v>
      </c>
      <c r="AA2767" s="25">
        <f>ROUND(IF(AO2767="1",BG2767,0),2)</f>
        <v>0</v>
      </c>
      <c r="AB2767" s="25">
        <f>ROUND(IF(AO2767="7",BF2767,0),2)</f>
        <v>0</v>
      </c>
      <c r="AC2767" s="25">
        <f>ROUND(IF(AO2767="7",BG2767,0),2)</f>
        <v>0</v>
      </c>
      <c r="AD2767" s="25">
        <f>ROUND(IF(AO2767="2",BF2767,0),2)</f>
        <v>0</v>
      </c>
      <c r="AE2767" s="25">
        <f>ROUND(IF(AO2767="2",BG2767,0),2)</f>
        <v>0</v>
      </c>
      <c r="AF2767" s="25">
        <f>ROUND(IF(AO2767="0",BH2767,0),2)</f>
        <v>0</v>
      </c>
      <c r="AG2767" s="10" t="s">
        <v>3451</v>
      </c>
      <c r="AH2767" s="25">
        <f>IF(AL2767=0,K2767,0)</f>
        <v>0</v>
      </c>
      <c r="AI2767" s="25">
        <f>IF(AL2767=12,K2767,0)</f>
        <v>0</v>
      </c>
      <c r="AJ2767" s="25">
        <f>IF(AL2767=21,K2767,0)</f>
        <v>0</v>
      </c>
      <c r="AL2767" s="25">
        <v>21</v>
      </c>
      <c r="AM2767" s="25">
        <f>H2767*0.004222904</f>
        <v>0</v>
      </c>
      <c r="AN2767" s="25">
        <f>H2767*(1-0.004222904)</f>
        <v>0</v>
      </c>
      <c r="AO2767" s="27" t="s">
        <v>81</v>
      </c>
      <c r="AT2767" s="25">
        <f>ROUND(AU2767+AV2767,2)</f>
        <v>0</v>
      </c>
      <c r="AU2767" s="25">
        <f>ROUND(G2767*AM2767,2)</f>
        <v>0</v>
      </c>
      <c r="AV2767" s="25">
        <f>ROUND(G2767*AN2767,2)</f>
        <v>0</v>
      </c>
      <c r="AW2767" s="27" t="s">
        <v>3305</v>
      </c>
      <c r="AX2767" s="27" t="s">
        <v>3476</v>
      </c>
      <c r="AY2767" s="10" t="s">
        <v>3459</v>
      </c>
      <c r="BA2767" s="25">
        <f>AU2767+AV2767</f>
        <v>0</v>
      </c>
      <c r="BB2767" s="25">
        <f>H2767/(100-BC2767)*100</f>
        <v>0</v>
      </c>
      <c r="BC2767" s="25">
        <v>0</v>
      </c>
      <c r="BD2767" s="25">
        <f>M2767</f>
        <v>0</v>
      </c>
      <c r="BF2767" s="25">
        <f>G2767*AM2767</f>
        <v>0</v>
      </c>
      <c r="BG2767" s="25">
        <f>G2767*AN2767</f>
        <v>0</v>
      </c>
      <c r="BH2767" s="25">
        <f>G2767*H2767</f>
        <v>0</v>
      </c>
      <c r="BI2767" s="27" t="s">
        <v>65</v>
      </c>
      <c r="BJ2767" s="25"/>
      <c r="BU2767" s="25" t="e">
        <f>#REF!</f>
        <v>#REF!</v>
      </c>
      <c r="BV2767" s="4" t="s">
        <v>3491</v>
      </c>
    </row>
    <row r="2768" spans="1:74" ht="14.4" x14ac:dyDescent="0.3">
      <c r="A2768" s="28"/>
      <c r="D2768" s="29" t="s">
        <v>57</v>
      </c>
      <c r="E2768" s="29" t="s">
        <v>52</v>
      </c>
      <c r="G2768" s="30">
        <v>1</v>
      </c>
      <c r="H2768" s="63"/>
      <c r="N2768" s="31"/>
    </row>
    <row r="2769" spans="1:74" ht="26.4" x14ac:dyDescent="0.3">
      <c r="A2769" s="2" t="s">
        <v>3492</v>
      </c>
      <c r="B2769" s="3" t="s">
        <v>3451</v>
      </c>
      <c r="C2769" s="3" t="s">
        <v>3493</v>
      </c>
      <c r="D2769" s="112" t="s">
        <v>3494</v>
      </c>
      <c r="E2769" s="109"/>
      <c r="F2769" s="3" t="s">
        <v>122</v>
      </c>
      <c r="G2769" s="25">
        <v>1</v>
      </c>
      <c r="H2769" s="62"/>
      <c r="I2769" s="25">
        <f>ROUND(G2769*AM2769,2)</f>
        <v>0</v>
      </c>
      <c r="J2769" s="25">
        <f>ROUND(G2769*AN2769,2)</f>
        <v>0</v>
      </c>
      <c r="K2769" s="25">
        <f>ROUND(G2769*H2769,2)</f>
        <v>0</v>
      </c>
      <c r="L2769" s="25">
        <v>0</v>
      </c>
      <c r="M2769" s="25">
        <f>G2769*L2769</f>
        <v>0</v>
      </c>
      <c r="N2769" s="26"/>
      <c r="X2769" s="25">
        <f>ROUND(IF(AO2769="5",BH2769,0),2)</f>
        <v>0</v>
      </c>
      <c r="Z2769" s="25">
        <f>ROUND(IF(AO2769="1",BF2769,0),2)</f>
        <v>0</v>
      </c>
      <c r="AA2769" s="25">
        <f>ROUND(IF(AO2769="1",BG2769,0),2)</f>
        <v>0</v>
      </c>
      <c r="AB2769" s="25">
        <f>ROUND(IF(AO2769="7",BF2769,0),2)</f>
        <v>0</v>
      </c>
      <c r="AC2769" s="25">
        <f>ROUND(IF(AO2769="7",BG2769,0),2)</f>
        <v>0</v>
      </c>
      <c r="AD2769" s="25">
        <f>ROUND(IF(AO2769="2",BF2769,0),2)</f>
        <v>0</v>
      </c>
      <c r="AE2769" s="25">
        <f>ROUND(IF(AO2769="2",BG2769,0),2)</f>
        <v>0</v>
      </c>
      <c r="AF2769" s="25">
        <f>ROUND(IF(AO2769="0",BH2769,0),2)</f>
        <v>0</v>
      </c>
      <c r="AG2769" s="10" t="s">
        <v>3451</v>
      </c>
      <c r="AH2769" s="25">
        <f>IF(AL2769=0,K2769,0)</f>
        <v>0</v>
      </c>
      <c r="AI2769" s="25">
        <f>IF(AL2769=12,K2769,0)</f>
        <v>0</v>
      </c>
      <c r="AJ2769" s="25">
        <f>IF(AL2769=21,K2769,0)</f>
        <v>0</v>
      </c>
      <c r="AL2769" s="25">
        <v>21</v>
      </c>
      <c r="AM2769" s="25">
        <f>H2769*1</f>
        <v>0</v>
      </c>
      <c r="AN2769" s="25">
        <f>H2769*(1-1)</f>
        <v>0</v>
      </c>
      <c r="AO2769" s="27" t="s">
        <v>57</v>
      </c>
      <c r="AT2769" s="25">
        <f>ROUND(AU2769+AV2769,2)</f>
        <v>0</v>
      </c>
      <c r="AU2769" s="25">
        <f>ROUND(G2769*AM2769,2)</f>
        <v>0</v>
      </c>
      <c r="AV2769" s="25">
        <f>ROUND(G2769*AN2769,2)</f>
        <v>0</v>
      </c>
      <c r="AW2769" s="27" t="s">
        <v>3305</v>
      </c>
      <c r="AX2769" s="27" t="s">
        <v>3476</v>
      </c>
      <c r="AY2769" s="10" t="s">
        <v>3459</v>
      </c>
      <c r="BA2769" s="25">
        <f>AU2769+AV2769</f>
        <v>0</v>
      </c>
      <c r="BB2769" s="25">
        <f>H2769/(100-BC2769)*100</f>
        <v>0</v>
      </c>
      <c r="BC2769" s="25">
        <v>0</v>
      </c>
      <c r="BD2769" s="25">
        <f>M2769</f>
        <v>0</v>
      </c>
      <c r="BF2769" s="25">
        <f>G2769*AM2769</f>
        <v>0</v>
      </c>
      <c r="BG2769" s="25">
        <f>G2769*AN2769</f>
        <v>0</v>
      </c>
      <c r="BH2769" s="25">
        <f>G2769*H2769</f>
        <v>0</v>
      </c>
      <c r="BI2769" s="27" t="s">
        <v>576</v>
      </c>
      <c r="BJ2769" s="25"/>
      <c r="BU2769" s="25" t="e">
        <f>#REF!</f>
        <v>#REF!</v>
      </c>
      <c r="BV2769" s="4" t="s">
        <v>3494</v>
      </c>
    </row>
    <row r="2770" spans="1:74" ht="14.4" x14ac:dyDescent="0.3">
      <c r="A2770" s="28"/>
      <c r="D2770" s="29" t="s">
        <v>57</v>
      </c>
      <c r="E2770" s="29" t="s">
        <v>52</v>
      </c>
      <c r="G2770" s="30">
        <v>1</v>
      </c>
      <c r="H2770" s="63"/>
      <c r="N2770" s="31"/>
    </row>
    <row r="2771" spans="1:74" ht="14.4" x14ac:dyDescent="0.3">
      <c r="A2771" s="21" t="s">
        <v>52</v>
      </c>
      <c r="B2771" s="22" t="s">
        <v>3451</v>
      </c>
      <c r="C2771" s="22" t="s">
        <v>3495</v>
      </c>
      <c r="D2771" s="170" t="s">
        <v>3496</v>
      </c>
      <c r="E2771" s="171"/>
      <c r="F2771" s="23" t="s">
        <v>32</v>
      </c>
      <c r="G2771" s="23" t="s">
        <v>32</v>
      </c>
      <c r="H2771" s="64"/>
      <c r="I2771" s="1">
        <f>SUM(I2772:I2778)</f>
        <v>0</v>
      </c>
      <c r="J2771" s="1">
        <f>SUM(J2772:J2778)</f>
        <v>0</v>
      </c>
      <c r="K2771" s="1">
        <f>SUM(K2772:K2778)</f>
        <v>0</v>
      </c>
      <c r="L2771" s="10" t="s">
        <v>52</v>
      </c>
      <c r="M2771" s="1">
        <f>SUM(M2772:M2778)</f>
        <v>0</v>
      </c>
      <c r="N2771" s="24"/>
      <c r="AG2771" s="10" t="s">
        <v>3451</v>
      </c>
      <c r="AQ2771" s="1">
        <f>SUM(AH2772:AH2778)</f>
        <v>0</v>
      </c>
      <c r="AR2771" s="1">
        <f>SUM(AI2772:AI2778)</f>
        <v>0</v>
      </c>
      <c r="AS2771" s="1">
        <f>SUM(AJ2772:AJ2778)</f>
        <v>0</v>
      </c>
    </row>
    <row r="2772" spans="1:74" ht="14.4" x14ac:dyDescent="0.3">
      <c r="A2772" s="2" t="s">
        <v>3497</v>
      </c>
      <c r="B2772" s="3" t="s">
        <v>3451</v>
      </c>
      <c r="C2772" s="3" t="s">
        <v>3498</v>
      </c>
      <c r="D2772" s="112" t="s">
        <v>3499</v>
      </c>
      <c r="E2772" s="109"/>
      <c r="F2772" s="3" t="s">
        <v>3500</v>
      </c>
      <c r="G2772" s="25">
        <v>39</v>
      </c>
      <c r="H2772" s="62"/>
      <c r="I2772" s="25">
        <f>ROUND(G2772*AM2772,2)</f>
        <v>0</v>
      </c>
      <c r="J2772" s="25">
        <f>ROUND(G2772*AN2772,2)</f>
        <v>0</v>
      </c>
      <c r="K2772" s="25">
        <f>ROUND(G2772*H2772,2)</f>
        <v>0</v>
      </c>
      <c r="L2772" s="25">
        <v>0</v>
      </c>
      <c r="M2772" s="25">
        <f>G2772*L2772</f>
        <v>0</v>
      </c>
      <c r="N2772" s="26"/>
      <c r="X2772" s="25">
        <f>ROUND(IF(AO2772="5",BH2772,0),2)</f>
        <v>0</v>
      </c>
      <c r="Z2772" s="25">
        <f>ROUND(IF(AO2772="1",BF2772,0),2)</f>
        <v>0</v>
      </c>
      <c r="AA2772" s="25">
        <f>ROUND(IF(AO2772="1",BG2772,0),2)</f>
        <v>0</v>
      </c>
      <c r="AB2772" s="25">
        <f>ROUND(IF(AO2772="7",BF2772,0),2)</f>
        <v>0</v>
      </c>
      <c r="AC2772" s="25">
        <f>ROUND(IF(AO2772="7",BG2772,0),2)</f>
        <v>0</v>
      </c>
      <c r="AD2772" s="25">
        <f>ROUND(IF(AO2772="2",BF2772,0),2)</f>
        <v>0</v>
      </c>
      <c r="AE2772" s="25">
        <f>ROUND(IF(AO2772="2",BG2772,0),2)</f>
        <v>0</v>
      </c>
      <c r="AF2772" s="25">
        <f>ROUND(IF(AO2772="0",BH2772,0),2)</f>
        <v>0</v>
      </c>
      <c r="AG2772" s="10" t="s">
        <v>3451</v>
      </c>
      <c r="AH2772" s="25">
        <f>IF(AL2772=0,K2772,0)</f>
        <v>0</v>
      </c>
      <c r="AI2772" s="25">
        <f>IF(AL2772=12,K2772,0)</f>
        <v>0</v>
      </c>
      <c r="AJ2772" s="25">
        <f>IF(AL2772=21,K2772,0)</f>
        <v>0</v>
      </c>
      <c r="AL2772" s="25">
        <v>21</v>
      </c>
      <c r="AM2772" s="25">
        <f>H2772*0</f>
        <v>0</v>
      </c>
      <c r="AN2772" s="25">
        <f>H2772*(1-0)</f>
        <v>0</v>
      </c>
      <c r="AO2772" s="27" t="s">
        <v>81</v>
      </c>
      <c r="AT2772" s="25">
        <f>ROUND(AU2772+AV2772,2)</f>
        <v>0</v>
      </c>
      <c r="AU2772" s="25">
        <f>ROUND(G2772*AM2772,2)</f>
        <v>0</v>
      </c>
      <c r="AV2772" s="25">
        <f>ROUND(G2772*AN2772,2)</f>
        <v>0</v>
      </c>
      <c r="AW2772" s="27" t="s">
        <v>3501</v>
      </c>
      <c r="AX2772" s="27" t="s">
        <v>3476</v>
      </c>
      <c r="AY2772" s="10" t="s">
        <v>3459</v>
      </c>
      <c r="BA2772" s="25">
        <f>AU2772+AV2772</f>
        <v>0</v>
      </c>
      <c r="BB2772" s="25">
        <f>H2772/(100-BC2772)*100</f>
        <v>0</v>
      </c>
      <c r="BC2772" s="25">
        <v>0</v>
      </c>
      <c r="BD2772" s="25">
        <f>M2772</f>
        <v>0</v>
      </c>
      <c r="BF2772" s="25">
        <f>G2772*AM2772</f>
        <v>0</v>
      </c>
      <c r="BG2772" s="25">
        <f>G2772*AN2772</f>
        <v>0</v>
      </c>
      <c r="BH2772" s="25">
        <f>G2772*H2772</f>
        <v>0</v>
      </c>
      <c r="BI2772" s="27" t="s">
        <v>65</v>
      </c>
      <c r="BJ2772" s="25"/>
      <c r="BU2772" s="25" t="e">
        <f>#REF!</f>
        <v>#REF!</v>
      </c>
      <c r="BV2772" s="4" t="s">
        <v>3499</v>
      </c>
    </row>
    <row r="2773" spans="1:74" ht="14.4" x14ac:dyDescent="0.3">
      <c r="A2773" s="28"/>
      <c r="D2773" s="29" t="s">
        <v>3502</v>
      </c>
      <c r="E2773" s="29" t="s">
        <v>52</v>
      </c>
      <c r="G2773" s="30">
        <v>39</v>
      </c>
      <c r="H2773" s="63"/>
      <c r="N2773" s="31"/>
    </row>
    <row r="2774" spans="1:74" ht="14.4" x14ac:dyDescent="0.3">
      <c r="A2774" s="2" t="s">
        <v>3503</v>
      </c>
      <c r="B2774" s="3" t="s">
        <v>3451</v>
      </c>
      <c r="C2774" s="3" t="s">
        <v>3504</v>
      </c>
      <c r="D2774" s="112" t="s">
        <v>3505</v>
      </c>
      <c r="E2774" s="109"/>
      <c r="F2774" s="3" t="s">
        <v>3500</v>
      </c>
      <c r="G2774" s="25">
        <v>39</v>
      </c>
      <c r="H2774" s="62"/>
      <c r="I2774" s="25">
        <f>ROUND(G2774*AM2774,2)</f>
        <v>0</v>
      </c>
      <c r="J2774" s="25">
        <f>ROUND(G2774*AN2774,2)</f>
        <v>0</v>
      </c>
      <c r="K2774" s="25">
        <f>ROUND(G2774*H2774,2)</f>
        <v>0</v>
      </c>
      <c r="L2774" s="25">
        <v>0</v>
      </c>
      <c r="M2774" s="25">
        <f>G2774*L2774</f>
        <v>0</v>
      </c>
      <c r="N2774" s="26"/>
      <c r="X2774" s="25">
        <f>ROUND(IF(AO2774="5",BH2774,0),2)</f>
        <v>0</v>
      </c>
      <c r="Z2774" s="25">
        <f>ROUND(IF(AO2774="1",BF2774,0),2)</f>
        <v>0</v>
      </c>
      <c r="AA2774" s="25">
        <f>ROUND(IF(AO2774="1",BG2774,0),2)</f>
        <v>0</v>
      </c>
      <c r="AB2774" s="25">
        <f>ROUND(IF(AO2774="7",BF2774,0),2)</f>
        <v>0</v>
      </c>
      <c r="AC2774" s="25">
        <f>ROUND(IF(AO2774="7",BG2774,0),2)</f>
        <v>0</v>
      </c>
      <c r="AD2774" s="25">
        <f>ROUND(IF(AO2774="2",BF2774,0),2)</f>
        <v>0</v>
      </c>
      <c r="AE2774" s="25">
        <f>ROUND(IF(AO2774="2",BG2774,0),2)</f>
        <v>0</v>
      </c>
      <c r="AF2774" s="25">
        <f>ROUND(IF(AO2774="0",BH2774,0),2)</f>
        <v>0</v>
      </c>
      <c r="AG2774" s="10" t="s">
        <v>3451</v>
      </c>
      <c r="AH2774" s="25">
        <f>IF(AL2774=0,K2774,0)</f>
        <v>0</v>
      </c>
      <c r="AI2774" s="25">
        <f>IF(AL2774=12,K2774,0)</f>
        <v>0</v>
      </c>
      <c r="AJ2774" s="25">
        <f>IF(AL2774=21,K2774,0)</f>
        <v>0</v>
      </c>
      <c r="AL2774" s="25">
        <v>21</v>
      </c>
      <c r="AM2774" s="25">
        <f>H2774*0</f>
        <v>0</v>
      </c>
      <c r="AN2774" s="25">
        <f>H2774*(1-0)</f>
        <v>0</v>
      </c>
      <c r="AO2774" s="27" t="s">
        <v>81</v>
      </c>
      <c r="AT2774" s="25">
        <f>ROUND(AU2774+AV2774,2)</f>
        <v>0</v>
      </c>
      <c r="AU2774" s="25">
        <f>ROUND(G2774*AM2774,2)</f>
        <v>0</v>
      </c>
      <c r="AV2774" s="25">
        <f>ROUND(G2774*AN2774,2)</f>
        <v>0</v>
      </c>
      <c r="AW2774" s="27" t="s">
        <v>3501</v>
      </c>
      <c r="AX2774" s="27" t="s">
        <v>3476</v>
      </c>
      <c r="AY2774" s="10" t="s">
        <v>3459</v>
      </c>
      <c r="BA2774" s="25">
        <f>AU2774+AV2774</f>
        <v>0</v>
      </c>
      <c r="BB2774" s="25">
        <f>H2774/(100-BC2774)*100</f>
        <v>0</v>
      </c>
      <c r="BC2774" s="25">
        <v>0</v>
      </c>
      <c r="BD2774" s="25">
        <f>M2774</f>
        <v>0</v>
      </c>
      <c r="BF2774" s="25">
        <f>G2774*AM2774</f>
        <v>0</v>
      </c>
      <c r="BG2774" s="25">
        <f>G2774*AN2774</f>
        <v>0</v>
      </c>
      <c r="BH2774" s="25">
        <f>G2774*H2774</f>
        <v>0</v>
      </c>
      <c r="BI2774" s="27" t="s">
        <v>65</v>
      </c>
      <c r="BJ2774" s="25"/>
      <c r="BU2774" s="25" t="e">
        <f>#REF!</f>
        <v>#REF!</v>
      </c>
      <c r="BV2774" s="4" t="s">
        <v>3505</v>
      </c>
    </row>
    <row r="2775" spans="1:74" ht="14.4" x14ac:dyDescent="0.3">
      <c r="A2775" s="28"/>
      <c r="D2775" s="29" t="s">
        <v>3502</v>
      </c>
      <c r="E2775" s="29" t="s">
        <v>52</v>
      </c>
      <c r="G2775" s="30">
        <v>39</v>
      </c>
      <c r="H2775" s="63"/>
      <c r="N2775" s="31"/>
    </row>
    <row r="2776" spans="1:74" ht="14.4" x14ac:dyDescent="0.3">
      <c r="A2776" s="2" t="s">
        <v>3506</v>
      </c>
      <c r="B2776" s="3" t="s">
        <v>3451</v>
      </c>
      <c r="C2776" s="3" t="s">
        <v>3507</v>
      </c>
      <c r="D2776" s="112" t="s">
        <v>3508</v>
      </c>
      <c r="E2776" s="109"/>
      <c r="F2776" s="3" t="s">
        <v>3509</v>
      </c>
      <c r="G2776" s="25">
        <v>4</v>
      </c>
      <c r="H2776" s="62"/>
      <c r="I2776" s="25">
        <f>ROUND(G2776*AM2776,2)</f>
        <v>0</v>
      </c>
      <c r="J2776" s="25">
        <f>ROUND(G2776*AN2776,2)</f>
        <v>0</v>
      </c>
      <c r="K2776" s="25">
        <f>ROUND(G2776*H2776,2)</f>
        <v>0</v>
      </c>
      <c r="L2776" s="25">
        <v>0</v>
      </c>
      <c r="M2776" s="25">
        <f>G2776*L2776</f>
        <v>0</v>
      </c>
      <c r="N2776" s="102"/>
      <c r="X2776" s="25">
        <f>ROUND(IF(AO2776="5",BH2776,0),2)</f>
        <v>0</v>
      </c>
      <c r="Z2776" s="25">
        <f>ROUND(IF(AO2776="1",BF2776,0),2)</f>
        <v>0</v>
      </c>
      <c r="AA2776" s="25">
        <f>ROUND(IF(AO2776="1",BG2776,0),2)</f>
        <v>0</v>
      </c>
      <c r="AB2776" s="25">
        <f>ROUND(IF(AO2776="7",BF2776,0),2)</f>
        <v>0</v>
      </c>
      <c r="AC2776" s="25">
        <f>ROUND(IF(AO2776="7",BG2776,0),2)</f>
        <v>0</v>
      </c>
      <c r="AD2776" s="25">
        <f>ROUND(IF(AO2776="2",BF2776,0),2)</f>
        <v>0</v>
      </c>
      <c r="AE2776" s="25">
        <f>ROUND(IF(AO2776="2",BG2776,0),2)</f>
        <v>0</v>
      </c>
      <c r="AF2776" s="25">
        <f>ROUND(IF(AO2776="0",BH2776,0),2)</f>
        <v>0</v>
      </c>
      <c r="AG2776" s="10" t="s">
        <v>3451</v>
      </c>
      <c r="AH2776" s="25">
        <f>IF(AL2776=0,K2776,0)</f>
        <v>0</v>
      </c>
      <c r="AI2776" s="25">
        <f>IF(AL2776=12,K2776,0)</f>
        <v>0</v>
      </c>
      <c r="AJ2776" s="25">
        <f>IF(AL2776=21,K2776,0)</f>
        <v>0</v>
      </c>
      <c r="AL2776" s="25">
        <v>21</v>
      </c>
      <c r="AM2776" s="25">
        <f>H2776*0</f>
        <v>0</v>
      </c>
      <c r="AN2776" s="25">
        <f>H2776*(1-0)</f>
        <v>0</v>
      </c>
      <c r="AO2776" s="27" t="s">
        <v>81</v>
      </c>
      <c r="AT2776" s="25">
        <f>ROUND(AU2776+AV2776,2)</f>
        <v>0</v>
      </c>
      <c r="AU2776" s="25">
        <f>ROUND(G2776*AM2776,2)</f>
        <v>0</v>
      </c>
      <c r="AV2776" s="25">
        <f>ROUND(G2776*AN2776,2)</f>
        <v>0</v>
      </c>
      <c r="AW2776" s="27" t="s">
        <v>3501</v>
      </c>
      <c r="AX2776" s="27" t="s">
        <v>3476</v>
      </c>
      <c r="AY2776" s="10" t="s">
        <v>3459</v>
      </c>
      <c r="BA2776" s="25">
        <f>AU2776+AV2776</f>
        <v>0</v>
      </c>
      <c r="BB2776" s="25">
        <f>H2776/(100-BC2776)*100</f>
        <v>0</v>
      </c>
      <c r="BC2776" s="25">
        <v>0</v>
      </c>
      <c r="BD2776" s="25">
        <f>M2776</f>
        <v>0</v>
      </c>
      <c r="BF2776" s="25">
        <f>G2776*AM2776</f>
        <v>0</v>
      </c>
      <c r="BG2776" s="25">
        <f>G2776*AN2776</f>
        <v>0</v>
      </c>
      <c r="BH2776" s="25">
        <f>G2776*H2776</f>
        <v>0</v>
      </c>
      <c r="BI2776" s="27" t="s">
        <v>65</v>
      </c>
      <c r="BJ2776" s="25"/>
      <c r="BU2776" s="25" t="e">
        <f>#REF!</f>
        <v>#REF!</v>
      </c>
      <c r="BV2776" s="4" t="s">
        <v>3508</v>
      </c>
    </row>
    <row r="2777" spans="1:74" ht="14.4" x14ac:dyDescent="0.3">
      <c r="A2777" s="28"/>
      <c r="D2777" s="29" t="s">
        <v>3510</v>
      </c>
      <c r="E2777" s="29" t="s">
        <v>52</v>
      </c>
      <c r="G2777" s="30">
        <v>4</v>
      </c>
      <c r="H2777" s="63"/>
      <c r="N2777" s="31"/>
    </row>
    <row r="2778" spans="1:74" ht="14.4" x14ac:dyDescent="0.3">
      <c r="A2778" s="2" t="s">
        <v>3511</v>
      </c>
      <c r="B2778" s="3" t="s">
        <v>3451</v>
      </c>
      <c r="C2778" s="3" t="s">
        <v>3512</v>
      </c>
      <c r="D2778" s="112" t="s">
        <v>3513</v>
      </c>
      <c r="E2778" s="109"/>
      <c r="F2778" s="3" t="s">
        <v>3509</v>
      </c>
      <c r="G2778" s="25">
        <v>4</v>
      </c>
      <c r="H2778" s="62"/>
      <c r="I2778" s="25">
        <f>ROUND(G2778*AM2778,2)</f>
        <v>0</v>
      </c>
      <c r="J2778" s="25">
        <f>ROUND(G2778*AN2778,2)</f>
        <v>0</v>
      </c>
      <c r="K2778" s="25">
        <f>ROUND(G2778*H2778,2)</f>
        <v>0</v>
      </c>
      <c r="L2778" s="25">
        <v>0</v>
      </c>
      <c r="M2778" s="25">
        <f>G2778*L2778</f>
        <v>0</v>
      </c>
      <c r="N2778" s="102"/>
      <c r="X2778" s="25">
        <f>ROUND(IF(AO2778="5",BH2778,0),2)</f>
        <v>0</v>
      </c>
      <c r="Z2778" s="25">
        <f>ROUND(IF(AO2778="1",BF2778,0),2)</f>
        <v>0</v>
      </c>
      <c r="AA2778" s="25">
        <f>ROUND(IF(AO2778="1",BG2778,0),2)</f>
        <v>0</v>
      </c>
      <c r="AB2778" s="25">
        <f>ROUND(IF(AO2778="7",BF2778,0),2)</f>
        <v>0</v>
      </c>
      <c r="AC2778" s="25">
        <f>ROUND(IF(AO2778="7",BG2778,0),2)</f>
        <v>0</v>
      </c>
      <c r="AD2778" s="25">
        <f>ROUND(IF(AO2778="2",BF2778,0),2)</f>
        <v>0</v>
      </c>
      <c r="AE2778" s="25">
        <f>ROUND(IF(AO2778="2",BG2778,0),2)</f>
        <v>0</v>
      </c>
      <c r="AF2778" s="25">
        <f>ROUND(IF(AO2778="0",BH2778,0),2)</f>
        <v>0</v>
      </c>
      <c r="AG2778" s="10" t="s">
        <v>3451</v>
      </c>
      <c r="AH2778" s="25">
        <f>IF(AL2778=0,K2778,0)</f>
        <v>0</v>
      </c>
      <c r="AI2778" s="25">
        <f>IF(AL2778=12,K2778,0)</f>
        <v>0</v>
      </c>
      <c r="AJ2778" s="25">
        <f>IF(AL2778=21,K2778,0)</f>
        <v>0</v>
      </c>
      <c r="AL2778" s="25">
        <v>21</v>
      </c>
      <c r="AM2778" s="25">
        <f>H2778*0</f>
        <v>0</v>
      </c>
      <c r="AN2778" s="25">
        <f>H2778*(1-0)</f>
        <v>0</v>
      </c>
      <c r="AO2778" s="27" t="s">
        <v>81</v>
      </c>
      <c r="AT2778" s="25">
        <f>ROUND(AU2778+AV2778,2)</f>
        <v>0</v>
      </c>
      <c r="AU2778" s="25">
        <f>ROUND(G2778*AM2778,2)</f>
        <v>0</v>
      </c>
      <c r="AV2778" s="25">
        <f>ROUND(G2778*AN2778,2)</f>
        <v>0</v>
      </c>
      <c r="AW2778" s="27" t="s">
        <v>3501</v>
      </c>
      <c r="AX2778" s="27" t="s">
        <v>3476</v>
      </c>
      <c r="AY2778" s="10" t="s">
        <v>3459</v>
      </c>
      <c r="BA2778" s="25">
        <f>AU2778+AV2778</f>
        <v>0</v>
      </c>
      <c r="BB2778" s="25">
        <f>H2778/(100-BC2778)*100</f>
        <v>0</v>
      </c>
      <c r="BC2778" s="25">
        <v>0</v>
      </c>
      <c r="BD2778" s="25">
        <f>M2778</f>
        <v>0</v>
      </c>
      <c r="BF2778" s="25">
        <f>G2778*AM2778</f>
        <v>0</v>
      </c>
      <c r="BG2778" s="25">
        <f>G2778*AN2778</f>
        <v>0</v>
      </c>
      <c r="BH2778" s="25">
        <f>G2778*H2778</f>
        <v>0</v>
      </c>
      <c r="BI2778" s="27" t="s">
        <v>65</v>
      </c>
      <c r="BJ2778" s="25"/>
      <c r="BU2778" s="25" t="e">
        <f>#REF!</f>
        <v>#REF!</v>
      </c>
      <c r="BV2778" s="4" t="s">
        <v>3513</v>
      </c>
    </row>
    <row r="2779" spans="1:74" ht="14.4" x14ac:dyDescent="0.3">
      <c r="A2779" s="32"/>
      <c r="B2779" s="33"/>
      <c r="C2779" s="33"/>
      <c r="D2779" s="34" t="s">
        <v>3510</v>
      </c>
      <c r="E2779" s="34" t="s">
        <v>52</v>
      </c>
      <c r="F2779" s="33"/>
      <c r="G2779" s="35">
        <v>4</v>
      </c>
      <c r="H2779" s="65"/>
      <c r="I2779" s="33"/>
      <c r="J2779" s="33"/>
      <c r="K2779" s="33"/>
      <c r="L2779" s="33"/>
      <c r="M2779" s="33"/>
      <c r="N2779" s="36"/>
    </row>
    <row r="2780" spans="1:74" ht="14.4" x14ac:dyDescent="0.3">
      <c r="I2780" s="183" t="s">
        <v>3514</v>
      </c>
      <c r="J2780" s="183"/>
      <c r="K2780" s="38">
        <f>ROUND(K13+K22+K32+K35+K40+K102+K156+K172+K181+K186+K189+K192+K198+K201+K204+K273+K343+K359+K366+K379+K384+K396+K413+K424+K427+K436+K532+K561+K575+K598+K628+K642+K667+K673+K733+K742+K748+K789+K830+K833+K844+K859+K862+K872+K896+K916+K962+K1079+K1099+K1120+K1158+K1193+K1235+K1249+K1253+K1262+K1297+K1326+K1394+K1408+K1417+K1512+K1515+K1568+K1573+K1584+K1605+K1608+K1636+K1689+K1717+K1720+K1737+K1746+K1757+K1799+K1830+K1845+K1891+K1916+K1938+K1943+K1948+K1964+K1981+K1994+K2030+K2041+K2050+K2144+K2155+K2165+K2168+K2176+K2179+K2207+K2218+K2227+K2234+K2257+K2278+K2313+K2351+K2356+K2359+K2375+K2378+K2395+K2402+K2413+K2428+K2435+K2438+K2451+K2572+K2588+K2603+K2623+K2655+K2707+K2730+K2748+K2751+K2758+K2761+K2766+K2771,2)</f>
        <v>0</v>
      </c>
    </row>
    <row r="2781" spans="1:74" ht="14.4" x14ac:dyDescent="0.3">
      <c r="A2781" s="39" t="s">
        <v>3515</v>
      </c>
    </row>
    <row r="2782" spans="1:74" ht="12.75" customHeight="1" x14ac:dyDescent="0.3">
      <c r="A2782" s="112" t="s">
        <v>52</v>
      </c>
      <c r="B2782" s="109"/>
      <c r="C2782" s="109"/>
      <c r="D2782" s="109"/>
      <c r="E2782" s="109"/>
      <c r="F2782" s="109"/>
      <c r="G2782" s="109"/>
      <c r="H2782" s="109"/>
      <c r="I2782" s="109"/>
      <c r="J2782" s="109"/>
      <c r="K2782" s="109"/>
      <c r="L2782" s="109"/>
      <c r="M2782" s="109"/>
      <c r="N2782" s="109"/>
    </row>
  </sheetData>
  <sheetProtection algorithmName="SHA-512" hashValue="qXq1wmbQLUeaKmLKZAUYSIsjIiqeMQMLizKW4Oc4VTOGwMR07/ZHQdPWPgksFdUOlH2efJ9Sb1s3rLPvtdq7Lw==" saltValue="hfUUFAixpZ8h692DrgpSWQ==" spinCount="100000" sheet="1" objects="1" scenarios="1"/>
  <mergeCells count="1151">
    <mergeCell ref="D2774:E2774"/>
    <mergeCell ref="D2776:E2776"/>
    <mergeCell ref="D2778:E2778"/>
    <mergeCell ref="I2780:J2780"/>
    <mergeCell ref="A2782:N2782"/>
    <mergeCell ref="D2766:E2766"/>
    <mergeCell ref="D2767:E2767"/>
    <mergeCell ref="D2769:E2769"/>
    <mergeCell ref="D2771:E2771"/>
    <mergeCell ref="D2772:E2772"/>
    <mergeCell ref="D2758:E2758"/>
    <mergeCell ref="D2759:E2759"/>
    <mergeCell ref="D2761:E2761"/>
    <mergeCell ref="D2762:E2762"/>
    <mergeCell ref="D2764:E2764"/>
    <mergeCell ref="D2749:E2749"/>
    <mergeCell ref="D2751:E2751"/>
    <mergeCell ref="D2752:E2752"/>
    <mergeCell ref="D2754:E2754"/>
    <mergeCell ref="D2756:E2756"/>
    <mergeCell ref="D2741:E2741"/>
    <mergeCell ref="D2743:E2743"/>
    <mergeCell ref="D2745:E2745"/>
    <mergeCell ref="D2747:E2747"/>
    <mergeCell ref="D2748:E2748"/>
    <mergeCell ref="D2731:E2731"/>
    <mergeCell ref="D2733:E2733"/>
    <mergeCell ref="D2735:E2735"/>
    <mergeCell ref="D2737:E2737"/>
    <mergeCell ref="D2739:E2739"/>
    <mergeCell ref="D2722:E2722"/>
    <mergeCell ref="D2724:E2724"/>
    <mergeCell ref="D2726:E2726"/>
    <mergeCell ref="D2728:E2728"/>
    <mergeCell ref="D2730:E2730"/>
    <mergeCell ref="D2712:E2712"/>
    <mergeCell ref="D2714:E2714"/>
    <mergeCell ref="D2716:E2716"/>
    <mergeCell ref="D2718:E2718"/>
    <mergeCell ref="D2720:E2720"/>
    <mergeCell ref="D2705:E2705"/>
    <mergeCell ref="D2706:E2706"/>
    <mergeCell ref="D2707:E2707"/>
    <mergeCell ref="D2708:E2708"/>
    <mergeCell ref="D2710:E2710"/>
    <mergeCell ref="D2697:E2697"/>
    <mergeCell ref="D2699:E2699"/>
    <mergeCell ref="D2701:E2701"/>
    <mergeCell ref="D2702:E2702"/>
    <mergeCell ref="D2703:E2703"/>
    <mergeCell ref="D2691:E2691"/>
    <mergeCell ref="D2692:E2692"/>
    <mergeCell ref="D2693:E2693"/>
    <mergeCell ref="D2694:E2694"/>
    <mergeCell ref="D2695:E2695"/>
    <mergeCell ref="D2682:E2682"/>
    <mergeCell ref="D2683:E2683"/>
    <mergeCell ref="D2685:E2685"/>
    <mergeCell ref="D2687:E2687"/>
    <mergeCell ref="D2689:E2689"/>
    <mergeCell ref="D2672:E2672"/>
    <mergeCell ref="D2674:E2674"/>
    <mergeCell ref="D2676:E2676"/>
    <mergeCell ref="D2678:E2678"/>
    <mergeCell ref="D2680:E2680"/>
    <mergeCell ref="D2662:E2662"/>
    <mergeCell ref="D2664:E2664"/>
    <mergeCell ref="D2666:E2666"/>
    <mergeCell ref="D2668:E2668"/>
    <mergeCell ref="D2670:E2670"/>
    <mergeCell ref="D2654:E2654"/>
    <mergeCell ref="D2655:E2655"/>
    <mergeCell ref="D2656:E2656"/>
    <mergeCell ref="D2658:E2658"/>
    <mergeCell ref="D2660:E2660"/>
    <mergeCell ref="D2645:E2645"/>
    <mergeCell ref="D2646:E2646"/>
    <mergeCell ref="D2648:E2648"/>
    <mergeCell ref="D2650:E2650"/>
    <mergeCell ref="D2652:E2652"/>
    <mergeCell ref="D2636:E2636"/>
    <mergeCell ref="D2638:E2638"/>
    <mergeCell ref="D2640:E2640"/>
    <mergeCell ref="D2642:E2642"/>
    <mergeCell ref="D2644:E2644"/>
    <mergeCell ref="D2626:E2626"/>
    <mergeCell ref="D2628:E2628"/>
    <mergeCell ref="D2630:E2630"/>
    <mergeCell ref="D2632:E2632"/>
    <mergeCell ref="D2634:E2634"/>
    <mergeCell ref="D2617:E2617"/>
    <mergeCell ref="D2619:E2619"/>
    <mergeCell ref="D2621:E2621"/>
    <mergeCell ref="D2623:E2623"/>
    <mergeCell ref="D2624:E2624"/>
    <mergeCell ref="D2609:E2609"/>
    <mergeCell ref="D2611:E2611"/>
    <mergeCell ref="D2612:E2612"/>
    <mergeCell ref="D2614:E2614"/>
    <mergeCell ref="D2616:E2616"/>
    <mergeCell ref="D2601:E2601"/>
    <mergeCell ref="D2603:E2603"/>
    <mergeCell ref="D2604:E2604"/>
    <mergeCell ref="D2606:E2606"/>
    <mergeCell ref="D2607:E2607"/>
    <mergeCell ref="D2591:E2591"/>
    <mergeCell ref="D2593:E2593"/>
    <mergeCell ref="D2595:E2595"/>
    <mergeCell ref="D2597:E2597"/>
    <mergeCell ref="D2599:E2599"/>
    <mergeCell ref="D2583:E2583"/>
    <mergeCell ref="D2585:E2585"/>
    <mergeCell ref="D2587:E2587"/>
    <mergeCell ref="D2588:E2588"/>
    <mergeCell ref="D2589:E2589"/>
    <mergeCell ref="D2573:E2573"/>
    <mergeCell ref="D2575:E2575"/>
    <mergeCell ref="D2577:E2577"/>
    <mergeCell ref="D2579:E2579"/>
    <mergeCell ref="D2581:E2581"/>
    <mergeCell ref="D2564:E2564"/>
    <mergeCell ref="D2566:E2566"/>
    <mergeCell ref="D2568:E2568"/>
    <mergeCell ref="D2570:E2570"/>
    <mergeCell ref="D2572:E2572"/>
    <mergeCell ref="D2554:E2554"/>
    <mergeCell ref="D2556:E2556"/>
    <mergeCell ref="D2558:E2558"/>
    <mergeCell ref="D2560:E2560"/>
    <mergeCell ref="D2562:E2562"/>
    <mergeCell ref="D2546:E2546"/>
    <mergeCell ref="D2547:E2547"/>
    <mergeCell ref="D2549:E2549"/>
    <mergeCell ref="D2551:E2551"/>
    <mergeCell ref="D2552:E2552"/>
    <mergeCell ref="D2539:E2539"/>
    <mergeCell ref="D2541:E2541"/>
    <mergeCell ref="D2542:E2542"/>
    <mergeCell ref="D2543:E2543"/>
    <mergeCell ref="D2545:E2545"/>
    <mergeCell ref="D2529:E2529"/>
    <mergeCell ref="D2531:E2531"/>
    <mergeCell ref="D2533:E2533"/>
    <mergeCell ref="D2535:E2535"/>
    <mergeCell ref="D2537:E2537"/>
    <mergeCell ref="D2519:E2519"/>
    <mergeCell ref="D2521:E2521"/>
    <mergeCell ref="D2523:E2523"/>
    <mergeCell ref="D2525:E2525"/>
    <mergeCell ref="D2527:E2527"/>
    <mergeCell ref="D2509:E2509"/>
    <mergeCell ref="D2511:E2511"/>
    <mergeCell ref="D2513:E2513"/>
    <mergeCell ref="D2515:E2515"/>
    <mergeCell ref="D2517:E2517"/>
    <mergeCell ref="D2499:E2499"/>
    <mergeCell ref="D2501:E2501"/>
    <mergeCell ref="D2503:E2503"/>
    <mergeCell ref="D2505:E2505"/>
    <mergeCell ref="D2507:E2507"/>
    <mergeCell ref="D2489:E2489"/>
    <mergeCell ref="D2491:E2491"/>
    <mergeCell ref="D2493:E2493"/>
    <mergeCell ref="D2495:E2495"/>
    <mergeCell ref="D2497:E2497"/>
    <mergeCell ref="D2479:E2479"/>
    <mergeCell ref="D2481:E2481"/>
    <mergeCell ref="D2483:E2483"/>
    <mergeCell ref="D2485:E2485"/>
    <mergeCell ref="D2487:E2487"/>
    <mergeCell ref="D2469:E2469"/>
    <mergeCell ref="D2471:E2471"/>
    <mergeCell ref="D2473:E2473"/>
    <mergeCell ref="D2475:E2475"/>
    <mergeCell ref="D2477:E2477"/>
    <mergeCell ref="D2460:E2460"/>
    <mergeCell ref="D2462:E2462"/>
    <mergeCell ref="D2463:E2463"/>
    <mergeCell ref="D2465:E2465"/>
    <mergeCell ref="D2467:E2467"/>
    <mergeCell ref="D2451:E2451"/>
    <mergeCell ref="D2452:E2452"/>
    <mergeCell ref="D2454:E2454"/>
    <mergeCell ref="D2456:E2456"/>
    <mergeCell ref="D2458:E2458"/>
    <mergeCell ref="D2441:E2441"/>
    <mergeCell ref="D2443:E2443"/>
    <mergeCell ref="D2445:E2445"/>
    <mergeCell ref="D2447:E2447"/>
    <mergeCell ref="D2449:E2449"/>
    <mergeCell ref="D2433:E2433"/>
    <mergeCell ref="D2435:E2435"/>
    <mergeCell ref="D2436:E2436"/>
    <mergeCell ref="D2438:E2438"/>
    <mergeCell ref="D2439:E2439"/>
    <mergeCell ref="D2424:E2424"/>
    <mergeCell ref="D2426:E2426"/>
    <mergeCell ref="D2428:E2428"/>
    <mergeCell ref="D2429:E2429"/>
    <mergeCell ref="D2431:E2431"/>
    <mergeCell ref="D2414:E2414"/>
    <mergeCell ref="D2416:E2416"/>
    <mergeCell ref="D2418:E2418"/>
    <mergeCell ref="D2420:E2420"/>
    <mergeCell ref="D2422:E2422"/>
    <mergeCell ref="D2405:E2405"/>
    <mergeCell ref="D2407:E2407"/>
    <mergeCell ref="D2409:E2409"/>
    <mergeCell ref="D2411:E2411"/>
    <mergeCell ref="D2413:E2413"/>
    <mergeCell ref="D2396:E2396"/>
    <mergeCell ref="D2398:E2398"/>
    <mergeCell ref="D2400:E2400"/>
    <mergeCell ref="D2402:E2402"/>
    <mergeCell ref="D2403:E2403"/>
    <mergeCell ref="D2387:E2387"/>
    <mergeCell ref="D2389:E2389"/>
    <mergeCell ref="D2391:E2391"/>
    <mergeCell ref="D2393:E2393"/>
    <mergeCell ref="D2395:E2395"/>
    <mergeCell ref="D2378:E2378"/>
    <mergeCell ref="D2379:E2379"/>
    <mergeCell ref="D2381:E2381"/>
    <mergeCell ref="D2383:E2383"/>
    <mergeCell ref="D2385:E2385"/>
    <mergeCell ref="D2370:E2370"/>
    <mergeCell ref="D2372:E2372"/>
    <mergeCell ref="D2374:E2374"/>
    <mergeCell ref="D2375:E2375"/>
    <mergeCell ref="D2376:E2376"/>
    <mergeCell ref="D2360:E2360"/>
    <mergeCell ref="D2362:E2362"/>
    <mergeCell ref="D2364:E2364"/>
    <mergeCell ref="D2366:E2366"/>
    <mergeCell ref="D2368:E2368"/>
    <mergeCell ref="D2352:E2352"/>
    <mergeCell ref="D2354:E2354"/>
    <mergeCell ref="D2356:E2356"/>
    <mergeCell ref="D2357:E2357"/>
    <mergeCell ref="D2359:E2359"/>
    <mergeCell ref="D2344:E2344"/>
    <mergeCell ref="D2345:E2345"/>
    <mergeCell ref="D2347:E2347"/>
    <mergeCell ref="D2349:E2349"/>
    <mergeCell ref="D2351:E2351"/>
    <mergeCell ref="D2334:E2334"/>
    <mergeCell ref="D2336:E2336"/>
    <mergeCell ref="D2338:E2338"/>
    <mergeCell ref="D2340:E2340"/>
    <mergeCell ref="D2342:E2342"/>
    <mergeCell ref="D2324:E2324"/>
    <mergeCell ref="D2326:E2326"/>
    <mergeCell ref="D2328:E2328"/>
    <mergeCell ref="D2330:E2330"/>
    <mergeCell ref="D2332:E2332"/>
    <mergeCell ref="D2314:E2314"/>
    <mergeCell ref="D2316:E2316"/>
    <mergeCell ref="D2318:E2318"/>
    <mergeCell ref="D2320:E2320"/>
    <mergeCell ref="D2322:E2322"/>
    <mergeCell ref="D2308:E2308"/>
    <mergeCell ref="D2309:E2309"/>
    <mergeCell ref="D2310:E2310"/>
    <mergeCell ref="D2312:E2312"/>
    <mergeCell ref="D2313:E2313"/>
    <mergeCell ref="D2301:E2301"/>
    <mergeCell ref="D2303:E2303"/>
    <mergeCell ref="D2305:E2305"/>
    <mergeCell ref="D2306:E2306"/>
    <mergeCell ref="D2307:E2307"/>
    <mergeCell ref="D2291:E2291"/>
    <mergeCell ref="D2293:E2293"/>
    <mergeCell ref="D2295:E2295"/>
    <mergeCell ref="D2297:E2297"/>
    <mergeCell ref="D2299:E2299"/>
    <mergeCell ref="D2281:E2281"/>
    <mergeCell ref="D2283:E2283"/>
    <mergeCell ref="D2285:E2285"/>
    <mergeCell ref="D2287:E2287"/>
    <mergeCell ref="D2289:E2289"/>
    <mergeCell ref="D2272:E2272"/>
    <mergeCell ref="D2274:E2274"/>
    <mergeCell ref="D2276:E2276"/>
    <mergeCell ref="D2278:E2278"/>
    <mergeCell ref="D2279:E2279"/>
    <mergeCell ref="D2262:E2262"/>
    <mergeCell ref="D2264:E2264"/>
    <mergeCell ref="D2266:E2266"/>
    <mergeCell ref="D2268:E2268"/>
    <mergeCell ref="D2270:E2270"/>
    <mergeCell ref="D2254:E2254"/>
    <mergeCell ref="D2255:E2255"/>
    <mergeCell ref="D2257:E2257"/>
    <mergeCell ref="D2258:E2258"/>
    <mergeCell ref="D2260:E2260"/>
    <mergeCell ref="D2244:E2244"/>
    <mergeCell ref="D2246:E2246"/>
    <mergeCell ref="D2248:E2248"/>
    <mergeCell ref="D2250:E2250"/>
    <mergeCell ref="D2252:E2252"/>
    <mergeCell ref="D2235:E2235"/>
    <mergeCell ref="D2237:E2237"/>
    <mergeCell ref="D2239:E2239"/>
    <mergeCell ref="D2240:E2240"/>
    <mergeCell ref="D2242:E2242"/>
    <mergeCell ref="D2229:E2229"/>
    <mergeCell ref="D2230:E2230"/>
    <mergeCell ref="D2232:E2232"/>
    <mergeCell ref="D2233:E2233"/>
    <mergeCell ref="D2234:E2234"/>
    <mergeCell ref="D2224:E2224"/>
    <mergeCell ref="D2225:E2225"/>
    <mergeCell ref="D2226:E2226"/>
    <mergeCell ref="D2227:E2227"/>
    <mergeCell ref="D2228:E2228"/>
    <mergeCell ref="D2218:E2218"/>
    <mergeCell ref="D2219:E2219"/>
    <mergeCell ref="D2220:E2220"/>
    <mergeCell ref="D2221:E2221"/>
    <mergeCell ref="D2223:E2223"/>
    <mergeCell ref="D2208:E2208"/>
    <mergeCell ref="D2210:E2210"/>
    <mergeCell ref="D2212:E2212"/>
    <mergeCell ref="D2214:E2214"/>
    <mergeCell ref="D2216:E2216"/>
    <mergeCell ref="D2200:E2200"/>
    <mergeCell ref="D2201:E2201"/>
    <mergeCell ref="D2203:E2203"/>
    <mergeCell ref="D2205:E2205"/>
    <mergeCell ref="D2207:E2207"/>
    <mergeCell ref="D2190:E2190"/>
    <mergeCell ref="D2192:E2192"/>
    <mergeCell ref="D2194:E2194"/>
    <mergeCell ref="D2196:E2196"/>
    <mergeCell ref="D2198:E2198"/>
    <mergeCell ref="D2180:E2180"/>
    <mergeCell ref="D2182:E2182"/>
    <mergeCell ref="D2184:E2184"/>
    <mergeCell ref="D2186:E2186"/>
    <mergeCell ref="D2188:E2188"/>
    <mergeCell ref="D2173:E2173"/>
    <mergeCell ref="D2175:E2175"/>
    <mergeCell ref="D2176:E2176"/>
    <mergeCell ref="D2177:E2177"/>
    <mergeCell ref="D2179:E2179"/>
    <mergeCell ref="D2165:E2165"/>
    <mergeCell ref="D2166:E2166"/>
    <mergeCell ref="D2168:E2168"/>
    <mergeCell ref="D2169:E2169"/>
    <mergeCell ref="D2171:E2171"/>
    <mergeCell ref="D2153:E2153"/>
    <mergeCell ref="D2155:E2155"/>
    <mergeCell ref="D2156:E2156"/>
    <mergeCell ref="D2159:E2159"/>
    <mergeCell ref="D2163:E2163"/>
    <mergeCell ref="D2144:E2144"/>
    <mergeCell ref="D2145:E2145"/>
    <mergeCell ref="D2147:E2147"/>
    <mergeCell ref="D2149:E2149"/>
    <mergeCell ref="D2151:E2151"/>
    <mergeCell ref="D2139:E2139"/>
    <mergeCell ref="D2140:E2140"/>
    <mergeCell ref="D2141:E2141"/>
    <mergeCell ref="D2142:E2142"/>
    <mergeCell ref="D2143:E2143"/>
    <mergeCell ref="D2132:E2132"/>
    <mergeCell ref="D2134:E2134"/>
    <mergeCell ref="D2135:E2135"/>
    <mergeCell ref="D2136:E2136"/>
    <mergeCell ref="D2138:E2138"/>
    <mergeCell ref="D2125:E2125"/>
    <mergeCell ref="D2127:E2127"/>
    <mergeCell ref="D2129:E2129"/>
    <mergeCell ref="D2130:E2130"/>
    <mergeCell ref="D2131:E2131"/>
    <mergeCell ref="D2116:E2116"/>
    <mergeCell ref="D2117:E2117"/>
    <mergeCell ref="D2119:E2119"/>
    <mergeCell ref="D2121:E2121"/>
    <mergeCell ref="D2123:E2123"/>
    <mergeCell ref="D2109:E2109"/>
    <mergeCell ref="D2111:E2111"/>
    <mergeCell ref="D2113:E2113"/>
    <mergeCell ref="D2114:E2114"/>
    <mergeCell ref="D2115:E2115"/>
    <mergeCell ref="D2099:E2099"/>
    <mergeCell ref="D2101:E2101"/>
    <mergeCell ref="D2103:E2103"/>
    <mergeCell ref="D2105:E2105"/>
    <mergeCell ref="D2107:E2107"/>
    <mergeCell ref="D2089:E2089"/>
    <mergeCell ref="D2091:E2091"/>
    <mergeCell ref="D2093:E2093"/>
    <mergeCell ref="D2095:E2095"/>
    <mergeCell ref="D2097:E2097"/>
    <mergeCell ref="D2079:E2079"/>
    <mergeCell ref="D2081:E2081"/>
    <mergeCell ref="D2083:E2083"/>
    <mergeCell ref="D2085:E2085"/>
    <mergeCell ref="D2087:E2087"/>
    <mergeCell ref="D2070:E2070"/>
    <mergeCell ref="D2072:E2072"/>
    <mergeCell ref="D2073:E2073"/>
    <mergeCell ref="D2075:E2075"/>
    <mergeCell ref="D2077:E2077"/>
    <mergeCell ref="D2061:E2061"/>
    <mergeCell ref="D2063:E2063"/>
    <mergeCell ref="D2064:E2064"/>
    <mergeCell ref="D2066:E2066"/>
    <mergeCell ref="D2068:E2068"/>
    <mergeCell ref="D2051:E2051"/>
    <mergeCell ref="D2053:E2053"/>
    <mergeCell ref="D2055:E2055"/>
    <mergeCell ref="D2057:E2057"/>
    <mergeCell ref="D2059:E2059"/>
    <mergeCell ref="D2042:E2042"/>
    <mergeCell ref="D2044:E2044"/>
    <mergeCell ref="D2046:E2046"/>
    <mergeCell ref="D2048:E2048"/>
    <mergeCell ref="D2050:E2050"/>
    <mergeCell ref="D2033:E2033"/>
    <mergeCell ref="D2035:E2035"/>
    <mergeCell ref="D2037:E2037"/>
    <mergeCell ref="D2039:E2039"/>
    <mergeCell ref="D2041:E2041"/>
    <mergeCell ref="D2026:E2026"/>
    <mergeCell ref="D2028:E2028"/>
    <mergeCell ref="D2029:E2029"/>
    <mergeCell ref="D2030:E2030"/>
    <mergeCell ref="D2031:E2031"/>
    <mergeCell ref="D2017:E2017"/>
    <mergeCell ref="D2019:E2019"/>
    <mergeCell ref="D2021:E2021"/>
    <mergeCell ref="D2023:E2023"/>
    <mergeCell ref="D2025:E2025"/>
    <mergeCell ref="D2010:E2010"/>
    <mergeCell ref="D2011:E2011"/>
    <mergeCell ref="D2012:E2012"/>
    <mergeCell ref="D2014:E2014"/>
    <mergeCell ref="D2015:E2015"/>
    <mergeCell ref="D2000:E2000"/>
    <mergeCell ref="D2002:E2002"/>
    <mergeCell ref="D2004:E2004"/>
    <mergeCell ref="D2006:E2006"/>
    <mergeCell ref="D2008:E2008"/>
    <mergeCell ref="D1992:E1992"/>
    <mergeCell ref="D1994:E1994"/>
    <mergeCell ref="D1995:E1995"/>
    <mergeCell ref="D1997:E1997"/>
    <mergeCell ref="D1998:E1998"/>
    <mergeCell ref="D1982:E1982"/>
    <mergeCell ref="D1984:E1984"/>
    <mergeCell ref="D1986:E1986"/>
    <mergeCell ref="D1988:E1988"/>
    <mergeCell ref="D1990:E1990"/>
    <mergeCell ref="D1974:E1974"/>
    <mergeCell ref="D1976:E1976"/>
    <mergeCell ref="D1978:E1978"/>
    <mergeCell ref="D1980:E1980"/>
    <mergeCell ref="D1981:E1981"/>
    <mergeCell ref="D1967:E1967"/>
    <mergeCell ref="D1968:E1968"/>
    <mergeCell ref="D1969:E1969"/>
    <mergeCell ref="D1970:E1970"/>
    <mergeCell ref="D1972:E1972"/>
    <mergeCell ref="D1961:E1961"/>
    <mergeCell ref="D1963:E1963"/>
    <mergeCell ref="D1964:E1964"/>
    <mergeCell ref="D1965:E1965"/>
    <mergeCell ref="D1966:E1966"/>
    <mergeCell ref="D1951:E1951"/>
    <mergeCell ref="D1953:E1953"/>
    <mergeCell ref="D1955:E1955"/>
    <mergeCell ref="D1957:E1957"/>
    <mergeCell ref="D1959:E1959"/>
    <mergeCell ref="D1943:E1943"/>
    <mergeCell ref="D1944:E1944"/>
    <mergeCell ref="D1946:E1946"/>
    <mergeCell ref="D1948:E1948"/>
    <mergeCell ref="D1949:E1949"/>
    <mergeCell ref="D1935:E1935"/>
    <mergeCell ref="D1936:E1936"/>
    <mergeCell ref="D1938:E1938"/>
    <mergeCell ref="D1939:E1939"/>
    <mergeCell ref="D1941:E1941"/>
    <mergeCell ref="D1930:E1930"/>
    <mergeCell ref="D1931:E1931"/>
    <mergeCell ref="D1932:E1932"/>
    <mergeCell ref="D1933:E1933"/>
    <mergeCell ref="D1934:E1934"/>
    <mergeCell ref="D1925:E1925"/>
    <mergeCell ref="D1926:E1926"/>
    <mergeCell ref="D1927:E1927"/>
    <mergeCell ref="D1928:E1928"/>
    <mergeCell ref="D1929:E1929"/>
    <mergeCell ref="D1920:E1920"/>
    <mergeCell ref="D1921:E1921"/>
    <mergeCell ref="D1922:E1922"/>
    <mergeCell ref="D1923:E1923"/>
    <mergeCell ref="D1924:E1924"/>
    <mergeCell ref="D1915:E1915"/>
    <mergeCell ref="D1916:E1916"/>
    <mergeCell ref="D1917:E1917"/>
    <mergeCell ref="D1918:E1918"/>
    <mergeCell ref="D1919:E1919"/>
    <mergeCell ref="D1909:E1909"/>
    <mergeCell ref="D1911:E1911"/>
    <mergeCell ref="D1912:E1912"/>
    <mergeCell ref="D1913:E1913"/>
    <mergeCell ref="D1914:E1914"/>
    <mergeCell ref="D1904:E1904"/>
    <mergeCell ref="D1905:E1905"/>
    <mergeCell ref="D1906:E1906"/>
    <mergeCell ref="D1907:E1907"/>
    <mergeCell ref="D1908:E1908"/>
    <mergeCell ref="D1899:E1899"/>
    <mergeCell ref="D1900:E1900"/>
    <mergeCell ref="D1901:E1901"/>
    <mergeCell ref="D1902:E1902"/>
    <mergeCell ref="D1903:E1903"/>
    <mergeCell ref="D1894:E1894"/>
    <mergeCell ref="D1895:E1895"/>
    <mergeCell ref="D1896:E1896"/>
    <mergeCell ref="D1897:E1897"/>
    <mergeCell ref="D1898:E1898"/>
    <mergeCell ref="D1888:E1888"/>
    <mergeCell ref="D1890:E1890"/>
    <mergeCell ref="D1891:E1891"/>
    <mergeCell ref="D1892:E1892"/>
    <mergeCell ref="D1893:E1893"/>
    <mergeCell ref="D1880:E1880"/>
    <mergeCell ref="D1881:E1881"/>
    <mergeCell ref="D1883:E1883"/>
    <mergeCell ref="D1885:E1885"/>
    <mergeCell ref="D1886:E1886"/>
    <mergeCell ref="D1875:E1875"/>
    <mergeCell ref="D1876:E1876"/>
    <mergeCell ref="D1877:E1877"/>
    <mergeCell ref="D1878:E1878"/>
    <mergeCell ref="D1879:E1879"/>
    <mergeCell ref="D1869:E1869"/>
    <mergeCell ref="D1870:E1870"/>
    <mergeCell ref="D1872:E1872"/>
    <mergeCell ref="D1873:E1873"/>
    <mergeCell ref="D1874:E1874"/>
    <mergeCell ref="D1862:E1862"/>
    <mergeCell ref="D1863:E1863"/>
    <mergeCell ref="D1865:E1865"/>
    <mergeCell ref="D1866:E1866"/>
    <mergeCell ref="D1867:E1867"/>
    <mergeCell ref="D1854:E1854"/>
    <mergeCell ref="D1856:E1856"/>
    <mergeCell ref="D1857:E1857"/>
    <mergeCell ref="D1858:E1858"/>
    <mergeCell ref="D1860:E1860"/>
    <mergeCell ref="D1845:E1845"/>
    <mergeCell ref="D1846:E1846"/>
    <mergeCell ref="D1848:E1848"/>
    <mergeCell ref="D1850:E1850"/>
    <mergeCell ref="D1852:E1852"/>
    <mergeCell ref="D1835:E1835"/>
    <mergeCell ref="D1837:E1837"/>
    <mergeCell ref="D1839:E1839"/>
    <mergeCell ref="D1841:E1841"/>
    <mergeCell ref="D1843:E1843"/>
    <mergeCell ref="D1826:E1826"/>
    <mergeCell ref="D1828:E1828"/>
    <mergeCell ref="D1830:E1830"/>
    <mergeCell ref="D1831:E1831"/>
    <mergeCell ref="D1833:E1833"/>
    <mergeCell ref="D1820:E1820"/>
    <mergeCell ref="D1821:E1821"/>
    <mergeCell ref="D1822:E1822"/>
    <mergeCell ref="D1823:E1823"/>
    <mergeCell ref="D1824:E1824"/>
    <mergeCell ref="D1815:E1815"/>
    <mergeCell ref="D1816:E1816"/>
    <mergeCell ref="D1817:E1817"/>
    <mergeCell ref="D1818:E1818"/>
    <mergeCell ref="D1819:E1819"/>
    <mergeCell ref="D1808:E1808"/>
    <mergeCell ref="D1810:E1810"/>
    <mergeCell ref="D1811:E1811"/>
    <mergeCell ref="D1813:E1813"/>
    <mergeCell ref="D1814:E1814"/>
    <mergeCell ref="D1799:E1799"/>
    <mergeCell ref="D1800:E1800"/>
    <mergeCell ref="D1802:E1802"/>
    <mergeCell ref="D1804:E1804"/>
    <mergeCell ref="D1806:E1806"/>
    <mergeCell ref="D1793:E1793"/>
    <mergeCell ref="D1794:E1794"/>
    <mergeCell ref="D1795:E1795"/>
    <mergeCell ref="D1796:E1796"/>
    <mergeCell ref="D1798:E1798"/>
    <mergeCell ref="D1784:E1784"/>
    <mergeCell ref="D1786:E1786"/>
    <mergeCell ref="D1788:E1788"/>
    <mergeCell ref="D1790:E1790"/>
    <mergeCell ref="D1792:E1792"/>
    <mergeCell ref="D1774:E1774"/>
    <mergeCell ref="D1776:E1776"/>
    <mergeCell ref="D1778:E1778"/>
    <mergeCell ref="D1780:E1780"/>
    <mergeCell ref="D1782:E1782"/>
    <mergeCell ref="D1764:E1764"/>
    <mergeCell ref="D1766:E1766"/>
    <mergeCell ref="D1768:E1768"/>
    <mergeCell ref="D1770:E1770"/>
    <mergeCell ref="D1772:E1772"/>
    <mergeCell ref="D1755:E1755"/>
    <mergeCell ref="D1757:E1757"/>
    <mergeCell ref="D1758:E1758"/>
    <mergeCell ref="D1760:E1760"/>
    <mergeCell ref="D1762:E1762"/>
    <mergeCell ref="D1746:E1746"/>
    <mergeCell ref="D1747:E1747"/>
    <mergeCell ref="D1749:E1749"/>
    <mergeCell ref="D1751:E1751"/>
    <mergeCell ref="D1753:E1753"/>
    <mergeCell ref="D1737:E1737"/>
    <mergeCell ref="D1738:E1738"/>
    <mergeCell ref="D1740:E1740"/>
    <mergeCell ref="D1742:E1742"/>
    <mergeCell ref="D1744:E1744"/>
    <mergeCell ref="D1727:E1727"/>
    <mergeCell ref="D1729:E1729"/>
    <mergeCell ref="D1731:E1731"/>
    <mergeCell ref="D1733:E1733"/>
    <mergeCell ref="D1735:E1735"/>
    <mergeCell ref="D1718:E1718"/>
    <mergeCell ref="D1720:E1720"/>
    <mergeCell ref="D1721:E1721"/>
    <mergeCell ref="D1723:E1723"/>
    <mergeCell ref="D1725:E1725"/>
    <mergeCell ref="D1712:E1712"/>
    <mergeCell ref="D1713:E1713"/>
    <mergeCell ref="D1714:E1714"/>
    <mergeCell ref="D1715:E1715"/>
    <mergeCell ref="D1717:E1717"/>
    <mergeCell ref="D1707:E1707"/>
    <mergeCell ref="D1708:E1708"/>
    <mergeCell ref="D1709:E1709"/>
    <mergeCell ref="D1710:E1710"/>
    <mergeCell ref="D1711:E1711"/>
    <mergeCell ref="D1700:E1700"/>
    <mergeCell ref="D1702:E1702"/>
    <mergeCell ref="D1704:E1704"/>
    <mergeCell ref="D1705:E1705"/>
    <mergeCell ref="D1706:E1706"/>
    <mergeCell ref="D1694:E1694"/>
    <mergeCell ref="D1695:E1695"/>
    <mergeCell ref="D1696:E1696"/>
    <mergeCell ref="D1698:E1698"/>
    <mergeCell ref="D1699:E1699"/>
    <mergeCell ref="D1685:E1685"/>
    <mergeCell ref="D1687:E1687"/>
    <mergeCell ref="D1689:E1689"/>
    <mergeCell ref="D1690:E1690"/>
    <mergeCell ref="D1692:E1692"/>
    <mergeCell ref="D1675:E1675"/>
    <mergeCell ref="D1677:E1677"/>
    <mergeCell ref="D1679:E1679"/>
    <mergeCell ref="D1681:E1681"/>
    <mergeCell ref="D1683:E1683"/>
    <mergeCell ref="D1665:E1665"/>
    <mergeCell ref="D1667:E1667"/>
    <mergeCell ref="D1669:E1669"/>
    <mergeCell ref="D1671:E1671"/>
    <mergeCell ref="D1673:E1673"/>
    <mergeCell ref="D1655:E1655"/>
    <mergeCell ref="D1657:E1657"/>
    <mergeCell ref="D1659:E1659"/>
    <mergeCell ref="D1661:E1661"/>
    <mergeCell ref="D1663:E1663"/>
    <mergeCell ref="D1645:E1645"/>
    <mergeCell ref="D1647:E1647"/>
    <mergeCell ref="D1649:E1649"/>
    <mergeCell ref="D1651:E1651"/>
    <mergeCell ref="D1653:E1653"/>
    <mergeCell ref="D1636:E1636"/>
    <mergeCell ref="D1637:E1637"/>
    <mergeCell ref="D1639:E1639"/>
    <mergeCell ref="D1641:E1641"/>
    <mergeCell ref="D1643:E1643"/>
    <mergeCell ref="D1626:E1626"/>
    <mergeCell ref="D1628:E1628"/>
    <mergeCell ref="D1630:E1630"/>
    <mergeCell ref="D1632:E1632"/>
    <mergeCell ref="D1634:E1634"/>
    <mergeCell ref="D1616:E1616"/>
    <mergeCell ref="D1618:E1618"/>
    <mergeCell ref="D1620:E1620"/>
    <mergeCell ref="D1622:E1622"/>
    <mergeCell ref="D1624:E1624"/>
    <mergeCell ref="D1609:E1609"/>
    <mergeCell ref="D1610:E1610"/>
    <mergeCell ref="D1611:E1611"/>
    <mergeCell ref="D1612:E1612"/>
    <mergeCell ref="D1614:E1614"/>
    <mergeCell ref="D1603:E1603"/>
    <mergeCell ref="D1605:E1605"/>
    <mergeCell ref="D1606:E1606"/>
    <mergeCell ref="D1607:E1607"/>
    <mergeCell ref="D1608:E1608"/>
    <mergeCell ref="D1585:E1585"/>
    <mergeCell ref="D1595:E1595"/>
    <mergeCell ref="D1597:E1597"/>
    <mergeCell ref="D1599:E1599"/>
    <mergeCell ref="D1601:E1601"/>
    <mergeCell ref="D1569:E1569"/>
    <mergeCell ref="D1571:E1571"/>
    <mergeCell ref="D1573:E1573"/>
    <mergeCell ref="D1574:E1574"/>
    <mergeCell ref="D1584:E1584"/>
    <mergeCell ref="D1513:E1513"/>
    <mergeCell ref="D1515:E1515"/>
    <mergeCell ref="D1516:E1516"/>
    <mergeCell ref="D1542:E1542"/>
    <mergeCell ref="D1568:E1568"/>
    <mergeCell ref="D1458:E1458"/>
    <mergeCell ref="D1471:E1471"/>
    <mergeCell ref="D1491:E1491"/>
    <mergeCell ref="D1511:E1511"/>
    <mergeCell ref="D1512:E1512"/>
    <mergeCell ref="D1415:E1415"/>
    <mergeCell ref="D1417:E1417"/>
    <mergeCell ref="D1418:E1418"/>
    <mergeCell ref="D1431:E1431"/>
    <mergeCell ref="D1445:E1445"/>
    <mergeCell ref="D1404:E1404"/>
    <mergeCell ref="D1407:E1407"/>
    <mergeCell ref="D1408:E1408"/>
    <mergeCell ref="D1409:E1409"/>
    <mergeCell ref="D1412:E1412"/>
    <mergeCell ref="D1393:E1393"/>
    <mergeCell ref="D1394:E1394"/>
    <mergeCell ref="D1395:E1395"/>
    <mergeCell ref="D1397:E1397"/>
    <mergeCell ref="D1400:E1400"/>
    <mergeCell ref="D1351:E1351"/>
    <mergeCell ref="D1355:E1355"/>
    <mergeCell ref="D1361:E1361"/>
    <mergeCell ref="D1379:E1379"/>
    <mergeCell ref="D1383:E1383"/>
    <mergeCell ref="D1322:E1322"/>
    <mergeCell ref="D1324:E1324"/>
    <mergeCell ref="D1326:E1326"/>
    <mergeCell ref="D1327:E1327"/>
    <mergeCell ref="D1335:E1335"/>
    <mergeCell ref="D1311:E1311"/>
    <mergeCell ref="D1313:E1313"/>
    <mergeCell ref="D1315:E1315"/>
    <mergeCell ref="D1318:E1318"/>
    <mergeCell ref="D1320:E1320"/>
    <mergeCell ref="D1300:E1300"/>
    <mergeCell ref="D1302:E1302"/>
    <mergeCell ref="D1304:E1304"/>
    <mergeCell ref="D1306:E1306"/>
    <mergeCell ref="D1309:E1309"/>
    <mergeCell ref="D1291:E1291"/>
    <mergeCell ref="D1293:E1293"/>
    <mergeCell ref="D1296:E1296"/>
    <mergeCell ref="D1297:E1297"/>
    <mergeCell ref="D1298:E1298"/>
    <mergeCell ref="D1281:E1281"/>
    <mergeCell ref="D1283:E1283"/>
    <mergeCell ref="D1285:E1285"/>
    <mergeCell ref="D1287:E1287"/>
    <mergeCell ref="D1289:E1289"/>
    <mergeCell ref="D1271:E1271"/>
    <mergeCell ref="D1273:E1273"/>
    <mergeCell ref="D1275:E1275"/>
    <mergeCell ref="D1277:E1277"/>
    <mergeCell ref="D1279:E1279"/>
    <mergeCell ref="D1262:E1262"/>
    <mergeCell ref="D1263:E1263"/>
    <mergeCell ref="D1265:E1265"/>
    <mergeCell ref="D1267:E1267"/>
    <mergeCell ref="D1269:E1269"/>
    <mergeCell ref="D1253:E1253"/>
    <mergeCell ref="D1254:E1254"/>
    <mergeCell ref="D1256:E1256"/>
    <mergeCell ref="D1259:E1259"/>
    <mergeCell ref="D1261:E1261"/>
    <mergeCell ref="D1246:E1246"/>
    <mergeCell ref="D1248:E1248"/>
    <mergeCell ref="D1249:E1249"/>
    <mergeCell ref="D1250:E1250"/>
    <mergeCell ref="D1252:E1252"/>
    <mergeCell ref="D1236:E1236"/>
    <mergeCell ref="D1238:E1238"/>
    <mergeCell ref="D1240:E1240"/>
    <mergeCell ref="D1242:E1242"/>
    <mergeCell ref="D1244:E1244"/>
    <mergeCell ref="D1217:E1217"/>
    <mergeCell ref="D1223:E1223"/>
    <mergeCell ref="D1228:E1228"/>
    <mergeCell ref="D1234:E1234"/>
    <mergeCell ref="D1235:E1235"/>
    <mergeCell ref="D1193:E1193"/>
    <mergeCell ref="D1194:E1194"/>
    <mergeCell ref="D1200:E1200"/>
    <mergeCell ref="D1206:E1206"/>
    <mergeCell ref="D1211:E1211"/>
    <mergeCell ref="D1183:E1183"/>
    <mergeCell ref="D1185:E1185"/>
    <mergeCell ref="D1187:E1187"/>
    <mergeCell ref="D1189:E1189"/>
    <mergeCell ref="D1191:E1191"/>
    <mergeCell ref="D1158:E1158"/>
    <mergeCell ref="D1159:E1159"/>
    <mergeCell ref="D1165:E1165"/>
    <mergeCell ref="D1171:E1171"/>
    <mergeCell ref="D1177:E1177"/>
    <mergeCell ref="D1121:E1121"/>
    <mergeCell ref="D1129:E1129"/>
    <mergeCell ref="D1137:E1137"/>
    <mergeCell ref="D1154:E1154"/>
    <mergeCell ref="D1157:E1157"/>
    <mergeCell ref="D1112:E1112"/>
    <mergeCell ref="D1114:E1114"/>
    <mergeCell ref="D1116:E1116"/>
    <mergeCell ref="D1118:E1118"/>
    <mergeCell ref="D1120:E1120"/>
    <mergeCell ref="D1100:E1100"/>
    <mergeCell ref="D1102:E1102"/>
    <mergeCell ref="D1104:E1104"/>
    <mergeCell ref="D1108:E1108"/>
    <mergeCell ref="D1110:E1110"/>
    <mergeCell ref="D1082:E1082"/>
    <mergeCell ref="D1087:E1087"/>
    <mergeCell ref="D1092:E1092"/>
    <mergeCell ref="D1094:E1094"/>
    <mergeCell ref="D1099:E1099"/>
    <mergeCell ref="D1046:E1046"/>
    <mergeCell ref="D1053:E1053"/>
    <mergeCell ref="D1064:E1064"/>
    <mergeCell ref="D1079:E1079"/>
    <mergeCell ref="D1080:E1080"/>
    <mergeCell ref="D984:E984"/>
    <mergeCell ref="D999:E999"/>
    <mergeCell ref="D1014:E1014"/>
    <mergeCell ref="D1018:E1018"/>
    <mergeCell ref="D1033:E1033"/>
    <mergeCell ref="D960:E960"/>
    <mergeCell ref="D962:E962"/>
    <mergeCell ref="D963:E963"/>
    <mergeCell ref="D972:E972"/>
    <mergeCell ref="D981:E981"/>
    <mergeCell ref="D922:E922"/>
    <mergeCell ref="D933:E933"/>
    <mergeCell ref="D944:E944"/>
    <mergeCell ref="D955:E955"/>
    <mergeCell ref="D957:E957"/>
    <mergeCell ref="D912:E912"/>
    <mergeCell ref="D914:E914"/>
    <mergeCell ref="D916:E916"/>
    <mergeCell ref="D917:E917"/>
    <mergeCell ref="D919:E919"/>
    <mergeCell ref="D897:E897"/>
    <mergeCell ref="D901:E901"/>
    <mergeCell ref="D904:E904"/>
    <mergeCell ref="D907:E907"/>
    <mergeCell ref="D910:E910"/>
    <mergeCell ref="D879:E879"/>
    <mergeCell ref="D886:E886"/>
    <mergeCell ref="D890:E890"/>
    <mergeCell ref="D892:E892"/>
    <mergeCell ref="D896:E896"/>
    <mergeCell ref="D871:E871"/>
    <mergeCell ref="D872:E872"/>
    <mergeCell ref="D873:E873"/>
    <mergeCell ref="D875:E875"/>
    <mergeCell ref="D877:E877"/>
    <mergeCell ref="D862:E862"/>
    <mergeCell ref="D863:E863"/>
    <mergeCell ref="D865:E865"/>
    <mergeCell ref="D867:E867"/>
    <mergeCell ref="D869:E869"/>
    <mergeCell ref="D845:E845"/>
    <mergeCell ref="D855:E855"/>
    <mergeCell ref="D857:E857"/>
    <mergeCell ref="D859:E859"/>
    <mergeCell ref="D860:E860"/>
    <mergeCell ref="D830:E830"/>
    <mergeCell ref="D831:E831"/>
    <mergeCell ref="D833:E833"/>
    <mergeCell ref="D834:E834"/>
    <mergeCell ref="D844:E844"/>
    <mergeCell ref="D781:E781"/>
    <mergeCell ref="D787:E787"/>
    <mergeCell ref="D789:E789"/>
    <mergeCell ref="D790:E790"/>
    <mergeCell ref="D810:E810"/>
    <mergeCell ref="D749:E749"/>
    <mergeCell ref="D755:E755"/>
    <mergeCell ref="D762:E762"/>
    <mergeCell ref="D768:E768"/>
    <mergeCell ref="D774:E774"/>
    <mergeCell ref="D742:E742"/>
    <mergeCell ref="D743:E743"/>
    <mergeCell ref="D745:E745"/>
    <mergeCell ref="D747:E747"/>
    <mergeCell ref="D748:E748"/>
    <mergeCell ref="D733:E733"/>
    <mergeCell ref="D734:E734"/>
    <mergeCell ref="D736:E736"/>
    <mergeCell ref="D738:E738"/>
    <mergeCell ref="D741:E741"/>
    <mergeCell ref="D714:E714"/>
    <mergeCell ref="D718:E718"/>
    <mergeCell ref="D724:E724"/>
    <mergeCell ref="D730:E730"/>
    <mergeCell ref="D732:E732"/>
    <mergeCell ref="D673:E673"/>
    <mergeCell ref="D674:E674"/>
    <mergeCell ref="D683:E683"/>
    <mergeCell ref="D694:E694"/>
    <mergeCell ref="D703:E703"/>
    <mergeCell ref="D665:E665"/>
    <mergeCell ref="D667:E667"/>
    <mergeCell ref="D668:E668"/>
    <mergeCell ref="D670:E670"/>
    <mergeCell ref="D672:E672"/>
    <mergeCell ref="D655:E655"/>
    <mergeCell ref="D657:E657"/>
    <mergeCell ref="D659:E659"/>
    <mergeCell ref="D661:E661"/>
    <mergeCell ref="D663:E663"/>
    <mergeCell ref="D645:E645"/>
    <mergeCell ref="D647:E647"/>
    <mergeCell ref="D649:E649"/>
    <mergeCell ref="D651:E651"/>
    <mergeCell ref="D653:E653"/>
    <mergeCell ref="D637:E637"/>
    <mergeCell ref="D639:E639"/>
    <mergeCell ref="D641:E641"/>
    <mergeCell ref="D642:E642"/>
    <mergeCell ref="D643:E643"/>
    <mergeCell ref="D628:E628"/>
    <mergeCell ref="D629:E629"/>
    <mergeCell ref="D631:E631"/>
    <mergeCell ref="D633:E633"/>
    <mergeCell ref="D635:E635"/>
    <mergeCell ref="D604:E604"/>
    <mergeCell ref="D610:E610"/>
    <mergeCell ref="D615:E615"/>
    <mergeCell ref="D621:E621"/>
    <mergeCell ref="D627:E627"/>
    <mergeCell ref="D588:E588"/>
    <mergeCell ref="D595:E595"/>
    <mergeCell ref="D597:E597"/>
    <mergeCell ref="D598:E598"/>
    <mergeCell ref="D599:E599"/>
    <mergeCell ref="D570:E570"/>
    <mergeCell ref="D573:E573"/>
    <mergeCell ref="D575:E575"/>
    <mergeCell ref="D576:E576"/>
    <mergeCell ref="D582:E582"/>
    <mergeCell ref="D561:E561"/>
    <mergeCell ref="D562:E562"/>
    <mergeCell ref="D564:E564"/>
    <mergeCell ref="D566:E566"/>
    <mergeCell ref="D568:E568"/>
    <mergeCell ref="D533:E533"/>
    <mergeCell ref="D536:E536"/>
    <mergeCell ref="D542:E542"/>
    <mergeCell ref="D551:E551"/>
    <mergeCell ref="D556:E556"/>
    <mergeCell ref="D497:E497"/>
    <mergeCell ref="D507:E507"/>
    <mergeCell ref="D515:E515"/>
    <mergeCell ref="D525:E525"/>
    <mergeCell ref="D532:E532"/>
    <mergeCell ref="D455:E455"/>
    <mergeCell ref="D460:E460"/>
    <mergeCell ref="D470:E470"/>
    <mergeCell ref="D480:E480"/>
    <mergeCell ref="D490:E490"/>
    <mergeCell ref="D432:E432"/>
    <mergeCell ref="D434:E434"/>
    <mergeCell ref="D436:E436"/>
    <mergeCell ref="D437:E437"/>
    <mergeCell ref="D446:E446"/>
    <mergeCell ref="D424:E424"/>
    <mergeCell ref="D425:E425"/>
    <mergeCell ref="D427:E427"/>
    <mergeCell ref="D428:E428"/>
    <mergeCell ref="D430:E430"/>
    <mergeCell ref="D414:E414"/>
    <mergeCell ref="D416:E416"/>
    <mergeCell ref="D418:E418"/>
    <mergeCell ref="D420:E420"/>
    <mergeCell ref="D422:E422"/>
    <mergeCell ref="D404:E404"/>
    <mergeCell ref="D406:E406"/>
    <mergeCell ref="D409:E409"/>
    <mergeCell ref="D411:E411"/>
    <mergeCell ref="D413:E413"/>
    <mergeCell ref="D394:E394"/>
    <mergeCell ref="D396:E396"/>
    <mergeCell ref="D397:E397"/>
    <mergeCell ref="D400:E400"/>
    <mergeCell ref="D402:E402"/>
    <mergeCell ref="D382:E382"/>
    <mergeCell ref="D384:E384"/>
    <mergeCell ref="D385:E385"/>
    <mergeCell ref="D387:E387"/>
    <mergeCell ref="D390:E390"/>
    <mergeCell ref="D373:E373"/>
    <mergeCell ref="D375:E375"/>
    <mergeCell ref="D377:E377"/>
    <mergeCell ref="D379:E379"/>
    <mergeCell ref="D380:E380"/>
    <mergeCell ref="D364:E364"/>
    <mergeCell ref="D366:E366"/>
    <mergeCell ref="D367:E367"/>
    <mergeCell ref="D369:E369"/>
    <mergeCell ref="D371:E371"/>
    <mergeCell ref="D356:E356"/>
    <mergeCell ref="D358:E358"/>
    <mergeCell ref="D359:E359"/>
    <mergeCell ref="D360:E360"/>
    <mergeCell ref="D362:E362"/>
    <mergeCell ref="D346:E346"/>
    <mergeCell ref="D348:E348"/>
    <mergeCell ref="D350:E350"/>
    <mergeCell ref="D352:E352"/>
    <mergeCell ref="D354:E354"/>
    <mergeCell ref="D306:E306"/>
    <mergeCell ref="D322:E322"/>
    <mergeCell ref="D333:E333"/>
    <mergeCell ref="D343:E343"/>
    <mergeCell ref="D344:E344"/>
    <mergeCell ref="D278:E278"/>
    <mergeCell ref="D280:E280"/>
    <mergeCell ref="D282:E282"/>
    <mergeCell ref="D283:E283"/>
    <mergeCell ref="D296:E296"/>
    <mergeCell ref="D269:E269"/>
    <mergeCell ref="D271:E271"/>
    <mergeCell ref="D273:E273"/>
    <mergeCell ref="D274:E274"/>
    <mergeCell ref="D276:E276"/>
    <mergeCell ref="D257:E257"/>
    <mergeCell ref="D261:E261"/>
    <mergeCell ref="D263:E263"/>
    <mergeCell ref="D265:E265"/>
    <mergeCell ref="D267:E267"/>
    <mergeCell ref="D230:E230"/>
    <mergeCell ref="D238:E238"/>
    <mergeCell ref="D245:E245"/>
    <mergeCell ref="D251:E251"/>
    <mergeCell ref="D253:E253"/>
    <mergeCell ref="D204:E204"/>
    <mergeCell ref="D205:E205"/>
    <mergeCell ref="D207:E207"/>
    <mergeCell ref="D210:E210"/>
    <mergeCell ref="D220:E220"/>
    <mergeCell ref="D196:E196"/>
    <mergeCell ref="D198:E198"/>
    <mergeCell ref="D199:E199"/>
    <mergeCell ref="D201:E201"/>
    <mergeCell ref="D202:E202"/>
    <mergeCell ref="D187:E187"/>
    <mergeCell ref="D189:E189"/>
    <mergeCell ref="D190:E190"/>
    <mergeCell ref="D192:E192"/>
    <mergeCell ref="D193:E193"/>
    <mergeCell ref="D173:E173"/>
    <mergeCell ref="D177:E177"/>
    <mergeCell ref="D181:E181"/>
    <mergeCell ref="D182:E182"/>
    <mergeCell ref="D186:E186"/>
    <mergeCell ref="D165:E165"/>
    <mergeCell ref="D167:E167"/>
    <mergeCell ref="D169:E169"/>
    <mergeCell ref="D171:E171"/>
    <mergeCell ref="D172:E172"/>
    <mergeCell ref="D156:E156"/>
    <mergeCell ref="D157:E157"/>
    <mergeCell ref="D159:E159"/>
    <mergeCell ref="D161:E161"/>
    <mergeCell ref="D163:E163"/>
    <mergeCell ref="D124:E124"/>
    <mergeCell ref="D134:E134"/>
    <mergeCell ref="D142:E142"/>
    <mergeCell ref="D152:E152"/>
    <mergeCell ref="D154:E154"/>
    <mergeCell ref="D103:E103"/>
    <mergeCell ref="D106:E106"/>
    <mergeCell ref="D107:E107"/>
    <mergeCell ref="D115:E115"/>
    <mergeCell ref="D122:E122"/>
    <mergeCell ref="D80:E80"/>
    <mergeCell ref="D86:E86"/>
    <mergeCell ref="D91:E91"/>
    <mergeCell ref="D97:E97"/>
    <mergeCell ref="D102:E102"/>
    <mergeCell ref="D53:E53"/>
    <mergeCell ref="D57:E57"/>
    <mergeCell ref="D61:E61"/>
    <mergeCell ref="D65:E65"/>
    <mergeCell ref="D71:E71"/>
    <mergeCell ref="D40:E40"/>
    <mergeCell ref="D41:E41"/>
    <mergeCell ref="D43:E43"/>
    <mergeCell ref="D44:E44"/>
    <mergeCell ref="D50:E50"/>
    <mergeCell ref="D32:E32"/>
    <mergeCell ref="D33:E33"/>
    <mergeCell ref="D35:E35"/>
    <mergeCell ref="D36:E36"/>
    <mergeCell ref="D38:E38"/>
    <mergeCell ref="D14:E14"/>
    <mergeCell ref="D22:E22"/>
    <mergeCell ref="D23:E23"/>
    <mergeCell ref="D26:E26"/>
    <mergeCell ref="D29:E29"/>
    <mergeCell ref="D11:E11"/>
    <mergeCell ref="I10:K10"/>
    <mergeCell ref="L10:M10"/>
    <mergeCell ref="D12:E12"/>
    <mergeCell ref="D13:E13"/>
    <mergeCell ref="I2:N3"/>
    <mergeCell ref="I4:N5"/>
    <mergeCell ref="I6:N7"/>
    <mergeCell ref="I8:N9"/>
    <mergeCell ref="D10:E10"/>
    <mergeCell ref="C8:D9"/>
    <mergeCell ref="F2:G3"/>
    <mergeCell ref="F4:G5"/>
    <mergeCell ref="F6:G7"/>
    <mergeCell ref="F8:G9"/>
    <mergeCell ref="A1:N1"/>
    <mergeCell ref="A2:B3"/>
    <mergeCell ref="A4:B5"/>
    <mergeCell ref="A6:B7"/>
    <mergeCell ref="A8:B9"/>
    <mergeCell ref="E2:E3"/>
    <mergeCell ref="E4:E5"/>
    <mergeCell ref="E6:E7"/>
    <mergeCell ref="E8:E9"/>
    <mergeCell ref="H2:H3"/>
    <mergeCell ref="H4:H5"/>
    <mergeCell ref="H6:H7"/>
    <mergeCell ref="H8:H9"/>
    <mergeCell ref="C2:D3"/>
    <mergeCell ref="C4:D5"/>
    <mergeCell ref="C6:D7"/>
  </mergeCells>
  <pageMargins left="0.393999993801117" right="0.393999993801117" top="0.59100002050399802" bottom="0.59100002050399802" header="0" footer="0"/>
  <pageSetup scale="5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9"/>
  <sheetViews>
    <sheetView tabSelected="1" workbookViewId="0">
      <pane ySplit="11" topLeftCell="A60" activePane="bottomLeft" state="frozen"/>
      <selection activeCell="F6" sqref="F6:G7"/>
      <selection pane="bottomLeft" activeCell="F6" sqref="F6:G7"/>
    </sheetView>
  </sheetViews>
  <sheetFormatPr defaultColWidth="12.109375" defaultRowHeight="15" customHeight="1" x14ac:dyDescent="0.3"/>
  <cols>
    <col min="1" max="2" width="8.5546875" customWidth="1"/>
    <col min="3" max="3" width="71.44140625" customWidth="1"/>
    <col min="4" max="6" width="27.88671875" customWidth="1"/>
    <col min="7" max="7" width="37.109375" customWidth="1"/>
    <col min="8" max="9" width="0" hidden="1" customWidth="1"/>
  </cols>
  <sheetData>
    <row r="1" spans="1:9" ht="54.75" customHeight="1" x14ac:dyDescent="0.3">
      <c r="A1" s="177" t="s">
        <v>3560</v>
      </c>
      <c r="B1" s="105"/>
      <c r="C1" s="105"/>
      <c r="D1" s="105"/>
      <c r="E1" s="105"/>
      <c r="F1" s="105"/>
      <c r="G1" s="105"/>
    </row>
    <row r="2" spans="1:9" ht="14.4" x14ac:dyDescent="0.3">
      <c r="A2" s="106" t="s">
        <v>0</v>
      </c>
      <c r="B2" s="107"/>
      <c r="C2" s="118" t="str">
        <f>'Stavební rozpočet'!C2</f>
        <v>„Modernizace kuchyně ZŠ Drnovice – zpracování projektové dokumentace“</v>
      </c>
      <c r="D2" s="107" t="s">
        <v>2</v>
      </c>
      <c r="E2" s="107"/>
      <c r="F2" s="111" t="s">
        <v>3</v>
      </c>
      <c r="G2" s="184" t="str">
        <f>'Stavební rozpočet'!I2</f>
        <v>ZŠ Drnovice</v>
      </c>
    </row>
    <row r="3" spans="1:9" ht="15" customHeight="1" x14ac:dyDescent="0.3">
      <c r="A3" s="108"/>
      <c r="B3" s="109"/>
      <c r="C3" s="120"/>
      <c r="D3" s="109"/>
      <c r="E3" s="109"/>
      <c r="F3" s="109"/>
      <c r="G3" s="116"/>
    </row>
    <row r="4" spans="1:9" ht="14.4" x14ac:dyDescent="0.3">
      <c r="A4" s="110" t="s">
        <v>5</v>
      </c>
      <c r="B4" s="109"/>
      <c r="C4" s="112" t="str">
        <f>'Stavební rozpočet'!C4</f>
        <v>Udržovací práce</v>
      </c>
      <c r="D4" s="109" t="s">
        <v>7</v>
      </c>
      <c r="E4" s="109"/>
      <c r="F4" s="112" t="s">
        <v>8</v>
      </c>
      <c r="G4" s="122" t="str">
        <f>'Stavební rozpočet'!I4</f>
        <v>GARANT projekt s.r.o.</v>
      </c>
    </row>
    <row r="5" spans="1:9" ht="15" customHeight="1" x14ac:dyDescent="0.3">
      <c r="A5" s="108"/>
      <c r="B5" s="109"/>
      <c r="C5" s="109"/>
      <c r="D5" s="109"/>
      <c r="E5" s="109"/>
      <c r="F5" s="109"/>
      <c r="G5" s="116"/>
    </row>
    <row r="6" spans="1:9" ht="14.4" x14ac:dyDescent="0.3">
      <c r="A6" s="110" t="s">
        <v>10</v>
      </c>
      <c r="B6" s="109"/>
      <c r="C6" s="112" t="str">
        <f>'Stavební rozpočet'!C6</f>
        <v>Drnovice 109, 68304 Drnovice</v>
      </c>
      <c r="D6" s="109" t="s">
        <v>12</v>
      </c>
      <c r="E6" s="109"/>
      <c r="F6" s="112" t="s">
        <v>13</v>
      </c>
      <c r="G6" s="185" t="str">
        <f>'Stavební rozpočet'!I6</f>
        <v> </v>
      </c>
    </row>
    <row r="7" spans="1:9" ht="15" customHeight="1" x14ac:dyDescent="0.3">
      <c r="A7" s="108"/>
      <c r="B7" s="109"/>
      <c r="C7" s="109"/>
      <c r="D7" s="109"/>
      <c r="E7" s="109"/>
      <c r="F7" s="109"/>
      <c r="G7" s="172"/>
    </row>
    <row r="8" spans="1:9" ht="14.4" x14ac:dyDescent="0.3">
      <c r="A8" s="110" t="s">
        <v>18</v>
      </c>
      <c r="B8" s="109"/>
      <c r="C8" s="112" t="str">
        <f>'Stavební rozpočet'!I8</f>
        <v>GARANT projekt s.r.o.</v>
      </c>
      <c r="D8" s="109" t="s">
        <v>17</v>
      </c>
      <c r="E8" s="109"/>
      <c r="F8" s="109" t="s">
        <v>17</v>
      </c>
      <c r="G8" s="122"/>
    </row>
    <row r="9" spans="1:9" ht="14.4" x14ac:dyDescent="0.3">
      <c r="A9" s="178"/>
      <c r="B9" s="173"/>
      <c r="C9" s="173"/>
      <c r="D9" s="173"/>
      <c r="E9" s="173"/>
      <c r="F9" s="173"/>
      <c r="G9" s="174"/>
    </row>
    <row r="10" spans="1:9" ht="14.4" x14ac:dyDescent="0.3">
      <c r="A10" s="40" t="s">
        <v>20</v>
      </c>
      <c r="B10" s="41" t="s">
        <v>21</v>
      </c>
      <c r="C10" s="42" t="s">
        <v>22</v>
      </c>
      <c r="D10" s="43" t="s">
        <v>3516</v>
      </c>
      <c r="E10" s="43" t="s">
        <v>3517</v>
      </c>
      <c r="F10" s="43" t="s">
        <v>3518</v>
      </c>
      <c r="G10" s="44" t="s">
        <v>3519</v>
      </c>
    </row>
    <row r="11" spans="1:9" ht="14.4" x14ac:dyDescent="0.3">
      <c r="A11" s="66" t="s">
        <v>53</v>
      </c>
      <c r="B11" s="67" t="s">
        <v>52</v>
      </c>
      <c r="C11" s="67" t="s">
        <v>54</v>
      </c>
      <c r="D11" s="68">
        <f>ROUND('Stavební rozpočet'!I12,2)</f>
        <v>0</v>
      </c>
      <c r="E11" s="68">
        <f>ROUND('Stavební rozpočet'!J12,2)</f>
        <v>0</v>
      </c>
      <c r="F11" s="68">
        <f>ROUND('Stavební rozpočet'!K12,2)</f>
        <v>0</v>
      </c>
      <c r="G11" s="69">
        <f>'Stavební rozpočet'!M12</f>
        <v>37.622843279999998</v>
      </c>
      <c r="H11" s="45" t="s">
        <v>3520</v>
      </c>
      <c r="I11" s="25">
        <f t="shared" ref="I11:I42" si="0">IF(H11="F",0,F11)</f>
        <v>0</v>
      </c>
    </row>
    <row r="12" spans="1:9" ht="14.4" x14ac:dyDescent="0.3">
      <c r="A12" s="2" t="s">
        <v>53</v>
      </c>
      <c r="B12" s="3" t="s">
        <v>55</v>
      </c>
      <c r="C12" s="3" t="s">
        <v>56</v>
      </c>
      <c r="D12" s="25">
        <f>ROUND('Stavební rozpočet'!I13,2)</f>
        <v>0</v>
      </c>
      <c r="E12" s="25">
        <f>ROUND('Stavební rozpočet'!J13,2)</f>
        <v>0</v>
      </c>
      <c r="F12" s="25">
        <f>ROUND('Stavební rozpočet'!K13,2)</f>
        <v>0</v>
      </c>
      <c r="G12" s="46">
        <f>'Stavební rozpočet'!M13</f>
        <v>4.5723999999999994E-2</v>
      </c>
      <c r="H12" s="45" t="s">
        <v>3521</v>
      </c>
      <c r="I12" s="25">
        <f t="shared" si="0"/>
        <v>0</v>
      </c>
    </row>
    <row r="13" spans="1:9" ht="14.4" x14ac:dyDescent="0.3">
      <c r="A13" s="2" t="s">
        <v>53</v>
      </c>
      <c r="B13" s="3" t="s">
        <v>79</v>
      </c>
      <c r="C13" s="3" t="s">
        <v>80</v>
      </c>
      <c r="D13" s="25">
        <f>ROUND('Stavební rozpočet'!I22,2)</f>
        <v>0</v>
      </c>
      <c r="E13" s="25">
        <f>ROUND('Stavební rozpočet'!J22,2)</f>
        <v>0</v>
      </c>
      <c r="F13" s="25">
        <f>ROUND('Stavební rozpočet'!K22,2)</f>
        <v>0</v>
      </c>
      <c r="G13" s="46">
        <f>'Stavební rozpočet'!M22</f>
        <v>0.38520299999999996</v>
      </c>
      <c r="H13" s="45" t="s">
        <v>3521</v>
      </c>
      <c r="I13" s="25">
        <f t="shared" si="0"/>
        <v>0</v>
      </c>
    </row>
    <row r="14" spans="1:9" ht="14.4" x14ac:dyDescent="0.3">
      <c r="A14" s="2" t="s">
        <v>53</v>
      </c>
      <c r="B14" s="3" t="s">
        <v>95</v>
      </c>
      <c r="C14" s="3" t="s">
        <v>96</v>
      </c>
      <c r="D14" s="25">
        <f>ROUND('Stavební rozpočet'!I32,2)</f>
        <v>0</v>
      </c>
      <c r="E14" s="25">
        <f>ROUND('Stavební rozpočet'!J32,2)</f>
        <v>0</v>
      </c>
      <c r="F14" s="25">
        <f>ROUND('Stavební rozpočet'!K32,2)</f>
        <v>0</v>
      </c>
      <c r="G14" s="46">
        <f>'Stavební rozpočet'!M32</f>
        <v>0</v>
      </c>
      <c r="H14" s="45" t="s">
        <v>3521</v>
      </c>
      <c r="I14" s="25">
        <f t="shared" si="0"/>
        <v>0</v>
      </c>
    </row>
    <row r="15" spans="1:9" ht="14.4" x14ac:dyDescent="0.3">
      <c r="A15" s="2" t="s">
        <v>53</v>
      </c>
      <c r="B15" s="3" t="s">
        <v>104</v>
      </c>
      <c r="C15" s="3" t="s">
        <v>105</v>
      </c>
      <c r="D15" s="25">
        <f>ROUND('Stavební rozpočet'!I35,2)</f>
        <v>0</v>
      </c>
      <c r="E15" s="25">
        <f>ROUND('Stavební rozpočet'!J35,2)</f>
        <v>0</v>
      </c>
      <c r="F15" s="25">
        <f>ROUND('Stavební rozpočet'!K35,2)</f>
        <v>0</v>
      </c>
      <c r="G15" s="46">
        <f>'Stavební rozpočet'!M35</f>
        <v>3.2277400000000005E-2</v>
      </c>
      <c r="H15" s="45" t="s">
        <v>3521</v>
      </c>
      <c r="I15" s="25">
        <f t="shared" si="0"/>
        <v>0</v>
      </c>
    </row>
    <row r="16" spans="1:9" ht="14.4" x14ac:dyDescent="0.3">
      <c r="A16" s="2" t="s">
        <v>53</v>
      </c>
      <c r="B16" s="3" t="s">
        <v>117</v>
      </c>
      <c r="C16" s="3" t="s">
        <v>118</v>
      </c>
      <c r="D16" s="25">
        <f>ROUND('Stavební rozpočet'!I40,2)</f>
        <v>0</v>
      </c>
      <c r="E16" s="25">
        <f>ROUND('Stavební rozpočet'!J40,2)</f>
        <v>0</v>
      </c>
      <c r="F16" s="25">
        <f>ROUND('Stavební rozpočet'!K40,2)</f>
        <v>0</v>
      </c>
      <c r="G16" s="46">
        <f>'Stavební rozpočet'!M40</f>
        <v>21.132531980000003</v>
      </c>
      <c r="H16" s="45" t="s">
        <v>3521</v>
      </c>
      <c r="I16" s="25">
        <f t="shared" si="0"/>
        <v>0</v>
      </c>
    </row>
    <row r="17" spans="1:9" ht="14.4" x14ac:dyDescent="0.3">
      <c r="A17" s="2" t="s">
        <v>53</v>
      </c>
      <c r="B17" s="3" t="s">
        <v>209</v>
      </c>
      <c r="C17" s="3" t="s">
        <v>210</v>
      </c>
      <c r="D17" s="25">
        <f>ROUND('Stavební rozpočet'!I102,2)</f>
        <v>0</v>
      </c>
      <c r="E17" s="25">
        <f>ROUND('Stavební rozpočet'!J102,2)</f>
        <v>0</v>
      </c>
      <c r="F17" s="25">
        <f>ROUND('Stavební rozpočet'!K102,2)</f>
        <v>0</v>
      </c>
      <c r="G17" s="46">
        <f>'Stavební rozpočet'!M102</f>
        <v>16.0271069</v>
      </c>
      <c r="H17" s="45" t="s">
        <v>3521</v>
      </c>
      <c r="I17" s="25">
        <f t="shared" si="0"/>
        <v>0</v>
      </c>
    </row>
    <row r="18" spans="1:9" ht="14.4" x14ac:dyDescent="0.3">
      <c r="A18" s="2" t="s">
        <v>53</v>
      </c>
      <c r="B18" s="3" t="s">
        <v>273</v>
      </c>
      <c r="C18" s="3" t="s">
        <v>274</v>
      </c>
      <c r="D18" s="25">
        <f>ROUND('Stavební rozpočet'!I156,2)</f>
        <v>0</v>
      </c>
      <c r="E18" s="25">
        <f>ROUND('Stavební rozpočet'!J156,2)</f>
        <v>0</v>
      </c>
      <c r="F18" s="25">
        <f>ROUND('Stavební rozpočet'!K156,2)</f>
        <v>0</v>
      </c>
      <c r="G18" s="46">
        <f>'Stavební rozpočet'!M156</f>
        <v>0</v>
      </c>
      <c r="H18" s="45" t="s">
        <v>3521</v>
      </c>
      <c r="I18" s="25">
        <f t="shared" si="0"/>
        <v>0</v>
      </c>
    </row>
    <row r="19" spans="1:9" ht="14.4" x14ac:dyDescent="0.3">
      <c r="A19" s="70" t="s">
        <v>301</v>
      </c>
      <c r="B19" s="71" t="s">
        <v>52</v>
      </c>
      <c r="C19" s="71" t="s">
        <v>302</v>
      </c>
      <c r="D19" s="72">
        <f>ROUND('Stavební rozpočet'!I171,2)</f>
        <v>0</v>
      </c>
      <c r="E19" s="72">
        <f>ROUND('Stavební rozpočet'!J171,2)</f>
        <v>0</v>
      </c>
      <c r="F19" s="72">
        <f>ROUND('Stavební rozpočet'!K171,2)</f>
        <v>0</v>
      </c>
      <c r="G19" s="73">
        <f>'Stavební rozpočet'!M171</f>
        <v>101.04042373999999</v>
      </c>
      <c r="H19" s="45" t="s">
        <v>3520</v>
      </c>
      <c r="I19" s="25">
        <f t="shared" si="0"/>
        <v>0</v>
      </c>
    </row>
    <row r="20" spans="1:9" ht="14.4" x14ac:dyDescent="0.3">
      <c r="A20" s="2" t="s">
        <v>301</v>
      </c>
      <c r="B20" s="3" t="s">
        <v>55</v>
      </c>
      <c r="C20" s="3" t="s">
        <v>56</v>
      </c>
      <c r="D20" s="25">
        <f>ROUND('Stavební rozpočet'!I172,2)</f>
        <v>0</v>
      </c>
      <c r="E20" s="25">
        <f>ROUND('Stavební rozpočet'!J172,2)</f>
        <v>0</v>
      </c>
      <c r="F20" s="25">
        <f>ROUND('Stavební rozpočet'!K172,2)</f>
        <v>0</v>
      </c>
      <c r="G20" s="46">
        <f>'Stavební rozpočet'!M172</f>
        <v>0.13441284000000001</v>
      </c>
      <c r="H20" s="45" t="s">
        <v>3521</v>
      </c>
      <c r="I20" s="25">
        <f t="shared" si="0"/>
        <v>0</v>
      </c>
    </row>
    <row r="21" spans="1:9" ht="14.4" x14ac:dyDescent="0.3">
      <c r="A21" s="2" t="s">
        <v>301</v>
      </c>
      <c r="B21" s="3" t="s">
        <v>79</v>
      </c>
      <c r="C21" s="3" t="s">
        <v>80</v>
      </c>
      <c r="D21" s="25">
        <f>ROUND('Stavební rozpočet'!I181,2)</f>
        <v>0</v>
      </c>
      <c r="E21" s="25">
        <f>ROUND('Stavební rozpočet'!J181,2)</f>
        <v>0</v>
      </c>
      <c r="F21" s="25">
        <f>ROUND('Stavební rozpočet'!K181,2)</f>
        <v>0</v>
      </c>
      <c r="G21" s="46">
        <f>'Stavební rozpočet'!M181</f>
        <v>0.26882567999999996</v>
      </c>
      <c r="H21" s="45" t="s">
        <v>3521</v>
      </c>
      <c r="I21" s="25">
        <f t="shared" si="0"/>
        <v>0</v>
      </c>
    </row>
    <row r="22" spans="1:9" ht="14.4" x14ac:dyDescent="0.3">
      <c r="A22" s="2" t="s">
        <v>301</v>
      </c>
      <c r="B22" s="3" t="s">
        <v>95</v>
      </c>
      <c r="C22" s="3" t="s">
        <v>96</v>
      </c>
      <c r="D22" s="25">
        <f>ROUND('Stavební rozpočet'!I186,2)</f>
        <v>0</v>
      </c>
      <c r="E22" s="25">
        <f>ROUND('Stavební rozpočet'!J186,2)</f>
        <v>0</v>
      </c>
      <c r="F22" s="25">
        <f>ROUND('Stavební rozpočet'!K186,2)</f>
        <v>0</v>
      </c>
      <c r="G22" s="46">
        <f>'Stavební rozpočet'!M186</f>
        <v>0</v>
      </c>
      <c r="H22" s="45" t="s">
        <v>3521</v>
      </c>
      <c r="I22" s="25">
        <f t="shared" si="0"/>
        <v>0</v>
      </c>
    </row>
    <row r="23" spans="1:9" ht="14.4" x14ac:dyDescent="0.3">
      <c r="A23" s="2" t="s">
        <v>301</v>
      </c>
      <c r="B23" s="3" t="s">
        <v>324</v>
      </c>
      <c r="C23" s="3" t="s">
        <v>325</v>
      </c>
      <c r="D23" s="25">
        <f>ROUND('Stavební rozpočet'!I189,2)</f>
        <v>0</v>
      </c>
      <c r="E23" s="25">
        <f>ROUND('Stavební rozpočet'!J189,2)</f>
        <v>0</v>
      </c>
      <c r="F23" s="25">
        <f>ROUND('Stavební rozpočet'!K189,2)</f>
        <v>0</v>
      </c>
      <c r="G23" s="46">
        <f>'Stavební rozpočet'!M189</f>
        <v>0.10947545</v>
      </c>
      <c r="H23" s="45" t="s">
        <v>3521</v>
      </c>
      <c r="I23" s="25">
        <f t="shared" si="0"/>
        <v>0</v>
      </c>
    </row>
    <row r="24" spans="1:9" ht="14.4" x14ac:dyDescent="0.3">
      <c r="A24" s="2" t="s">
        <v>301</v>
      </c>
      <c r="B24" s="3" t="s">
        <v>104</v>
      </c>
      <c r="C24" s="3" t="s">
        <v>105</v>
      </c>
      <c r="D24" s="25">
        <f>ROUND('Stavební rozpočet'!I192,2)</f>
        <v>0</v>
      </c>
      <c r="E24" s="25">
        <f>ROUND('Stavební rozpočet'!J192,2)</f>
        <v>0</v>
      </c>
      <c r="F24" s="25">
        <f>ROUND('Stavební rozpočet'!K192,2)</f>
        <v>0</v>
      </c>
      <c r="G24" s="46">
        <f>'Stavební rozpočet'!M192</f>
        <v>5.6561800000000002E-2</v>
      </c>
      <c r="H24" s="45" t="s">
        <v>3521</v>
      </c>
      <c r="I24" s="25">
        <f t="shared" si="0"/>
        <v>0</v>
      </c>
    </row>
    <row r="25" spans="1:9" ht="14.4" x14ac:dyDescent="0.3">
      <c r="A25" s="2" t="s">
        <v>301</v>
      </c>
      <c r="B25" s="3" t="s">
        <v>341</v>
      </c>
      <c r="C25" s="3" t="s">
        <v>342</v>
      </c>
      <c r="D25" s="25">
        <f>ROUND('Stavební rozpočet'!I198,2)</f>
        <v>0</v>
      </c>
      <c r="E25" s="25">
        <f>ROUND('Stavební rozpočet'!J198,2)</f>
        <v>0</v>
      </c>
      <c r="F25" s="25">
        <f>ROUND('Stavební rozpočet'!K198,2)</f>
        <v>0</v>
      </c>
      <c r="G25" s="46">
        <f>'Stavební rozpočet'!M198</f>
        <v>6.820000000000001E-4</v>
      </c>
      <c r="H25" s="45" t="s">
        <v>3521</v>
      </c>
      <c r="I25" s="25">
        <f t="shared" si="0"/>
        <v>0</v>
      </c>
    </row>
    <row r="26" spans="1:9" ht="14.4" x14ac:dyDescent="0.3">
      <c r="A26" s="2" t="s">
        <v>301</v>
      </c>
      <c r="B26" s="3" t="s">
        <v>349</v>
      </c>
      <c r="C26" s="3" t="s">
        <v>350</v>
      </c>
      <c r="D26" s="25">
        <f>ROUND('Stavební rozpočet'!I201,2)</f>
        <v>0</v>
      </c>
      <c r="E26" s="25">
        <f>ROUND('Stavební rozpočet'!J201,2)</f>
        <v>0</v>
      </c>
      <c r="F26" s="25">
        <f>ROUND('Stavební rozpočet'!K201,2)</f>
        <v>0</v>
      </c>
      <c r="G26" s="46">
        <f>'Stavební rozpočet'!M201</f>
        <v>6.18065E-2</v>
      </c>
      <c r="H26" s="45" t="s">
        <v>3521</v>
      </c>
      <c r="I26" s="25">
        <f t="shared" si="0"/>
        <v>0</v>
      </c>
    </row>
    <row r="27" spans="1:9" ht="14.4" x14ac:dyDescent="0.3">
      <c r="A27" s="2" t="s">
        <v>301</v>
      </c>
      <c r="B27" s="3" t="s">
        <v>117</v>
      </c>
      <c r="C27" s="3" t="s">
        <v>118</v>
      </c>
      <c r="D27" s="25">
        <f>ROUND('Stavební rozpočet'!I204,2)</f>
        <v>0</v>
      </c>
      <c r="E27" s="25">
        <f>ROUND('Stavební rozpočet'!J204,2)</f>
        <v>0</v>
      </c>
      <c r="F27" s="25">
        <f>ROUND('Stavební rozpočet'!K204,2)</f>
        <v>0</v>
      </c>
      <c r="G27" s="46">
        <f>'Stavební rozpočet'!M204</f>
        <v>64.218854369999988</v>
      </c>
      <c r="H27" s="45" t="s">
        <v>3521</v>
      </c>
      <c r="I27" s="25">
        <f t="shared" si="0"/>
        <v>0</v>
      </c>
    </row>
    <row r="28" spans="1:9" ht="14.4" x14ac:dyDescent="0.3">
      <c r="A28" s="2" t="s">
        <v>301</v>
      </c>
      <c r="B28" s="3" t="s">
        <v>209</v>
      </c>
      <c r="C28" s="3" t="s">
        <v>210</v>
      </c>
      <c r="D28" s="25">
        <f>ROUND('Stavební rozpočet'!I273,2)</f>
        <v>0</v>
      </c>
      <c r="E28" s="25">
        <f>ROUND('Stavební rozpočet'!J273,2)</f>
        <v>0</v>
      </c>
      <c r="F28" s="25">
        <f>ROUND('Stavební rozpočet'!K273,2)</f>
        <v>0</v>
      </c>
      <c r="G28" s="46">
        <f>'Stavební rozpočet'!M273</f>
        <v>36.189805100000001</v>
      </c>
      <c r="H28" s="45" t="s">
        <v>3521</v>
      </c>
      <c r="I28" s="25">
        <f t="shared" si="0"/>
        <v>0</v>
      </c>
    </row>
    <row r="29" spans="1:9" ht="14.4" x14ac:dyDescent="0.3">
      <c r="A29" s="2" t="s">
        <v>301</v>
      </c>
      <c r="B29" s="3" t="s">
        <v>273</v>
      </c>
      <c r="C29" s="3" t="s">
        <v>274</v>
      </c>
      <c r="D29" s="25">
        <f>ROUND('Stavební rozpočet'!I343,2)</f>
        <v>0</v>
      </c>
      <c r="E29" s="25">
        <f>ROUND('Stavební rozpočet'!J343,2)</f>
        <v>0</v>
      </c>
      <c r="F29" s="25">
        <f>ROUND('Stavební rozpočet'!K343,2)</f>
        <v>0</v>
      </c>
      <c r="G29" s="46">
        <f>'Stavební rozpočet'!M343</f>
        <v>0</v>
      </c>
      <c r="H29" s="45" t="s">
        <v>3521</v>
      </c>
      <c r="I29" s="25">
        <f t="shared" si="0"/>
        <v>0</v>
      </c>
    </row>
    <row r="30" spans="1:9" ht="14.4" x14ac:dyDescent="0.3">
      <c r="A30" s="70" t="s">
        <v>510</v>
      </c>
      <c r="B30" s="71" t="s">
        <v>52</v>
      </c>
      <c r="C30" s="71" t="s">
        <v>511</v>
      </c>
      <c r="D30" s="72">
        <f>ROUND('Stavební rozpočet'!I358,2)</f>
        <v>0</v>
      </c>
      <c r="E30" s="72">
        <f>ROUND('Stavební rozpočet'!J358,2)</f>
        <v>0</v>
      </c>
      <c r="F30" s="72">
        <f>ROUND('Stavební rozpočet'!K358,2)</f>
        <v>0</v>
      </c>
      <c r="G30" s="73">
        <f>'Stavební rozpočet'!M358</f>
        <v>87.344506466799999</v>
      </c>
      <c r="H30" s="45" t="s">
        <v>3520</v>
      </c>
      <c r="I30" s="25">
        <f t="shared" si="0"/>
        <v>0</v>
      </c>
    </row>
    <row r="31" spans="1:9" ht="14.4" x14ac:dyDescent="0.3">
      <c r="A31" s="2" t="s">
        <v>510</v>
      </c>
      <c r="B31" s="3" t="s">
        <v>140</v>
      </c>
      <c r="C31" s="3" t="s">
        <v>512</v>
      </c>
      <c r="D31" s="25">
        <f>ROUND('Stavební rozpočet'!I359,2)</f>
        <v>0</v>
      </c>
      <c r="E31" s="25">
        <f>ROUND('Stavební rozpočet'!J359,2)</f>
        <v>0</v>
      </c>
      <c r="F31" s="25">
        <f>ROUND('Stavební rozpočet'!K359,2)</f>
        <v>0</v>
      </c>
      <c r="G31" s="46">
        <f>'Stavební rozpočet'!M359</f>
        <v>19.8261</v>
      </c>
      <c r="H31" s="45" t="s">
        <v>3521</v>
      </c>
      <c r="I31" s="25">
        <f t="shared" si="0"/>
        <v>0</v>
      </c>
    </row>
    <row r="32" spans="1:9" ht="14.4" x14ac:dyDescent="0.3">
      <c r="A32" s="2" t="s">
        <v>510</v>
      </c>
      <c r="B32" s="3" t="s">
        <v>151</v>
      </c>
      <c r="C32" s="3" t="s">
        <v>526</v>
      </c>
      <c r="D32" s="25">
        <f>ROUND('Stavební rozpočet'!I366,2)</f>
        <v>0</v>
      </c>
      <c r="E32" s="25">
        <f>ROUND('Stavební rozpočet'!J366,2)</f>
        <v>0</v>
      </c>
      <c r="F32" s="25">
        <f>ROUND('Stavební rozpočet'!K366,2)</f>
        <v>0</v>
      </c>
      <c r="G32" s="46">
        <f>'Stavební rozpočet'!M366</f>
        <v>0</v>
      </c>
      <c r="H32" s="45" t="s">
        <v>3521</v>
      </c>
      <c r="I32" s="25">
        <f t="shared" si="0"/>
        <v>0</v>
      </c>
    </row>
    <row r="33" spans="1:9" ht="14.4" x14ac:dyDescent="0.3">
      <c r="A33" s="2" t="s">
        <v>510</v>
      </c>
      <c r="B33" s="3" t="s">
        <v>184</v>
      </c>
      <c r="C33" s="3" t="s">
        <v>550</v>
      </c>
      <c r="D33" s="25">
        <f>ROUND('Stavební rozpočet'!I379,2)</f>
        <v>0</v>
      </c>
      <c r="E33" s="25">
        <f>ROUND('Stavební rozpočet'!J379,2)</f>
        <v>0</v>
      </c>
      <c r="F33" s="25">
        <f>ROUND('Stavební rozpočet'!K379,2)</f>
        <v>0</v>
      </c>
      <c r="G33" s="46">
        <f>'Stavební rozpočet'!M379</f>
        <v>3.34</v>
      </c>
      <c r="H33" s="45" t="s">
        <v>3521</v>
      </c>
      <c r="I33" s="25">
        <f t="shared" si="0"/>
        <v>0</v>
      </c>
    </row>
    <row r="34" spans="1:9" ht="14.4" x14ac:dyDescent="0.3">
      <c r="A34" s="2" t="s">
        <v>510</v>
      </c>
      <c r="B34" s="3">
        <v>31</v>
      </c>
      <c r="C34" s="74" t="s">
        <v>3558</v>
      </c>
      <c r="D34" s="25">
        <f>ROUND('Stavební rozpočet'!I384,2)</f>
        <v>0</v>
      </c>
      <c r="E34" s="25">
        <f>ROUND('Stavební rozpočet'!J384,2)</f>
        <v>0</v>
      </c>
      <c r="F34" s="25">
        <f>ROUND('Stavební rozpočet'!K384,2)</f>
        <v>0</v>
      </c>
      <c r="G34" s="46">
        <f>'Stavební rozpočet'!M384</f>
        <v>0.18657778</v>
      </c>
      <c r="H34" s="45" t="s">
        <v>3521</v>
      </c>
      <c r="I34" s="25">
        <f t="shared" si="0"/>
        <v>0</v>
      </c>
    </row>
    <row r="35" spans="1:9" ht="14.4" x14ac:dyDescent="0.3">
      <c r="A35" s="2" t="s">
        <v>510</v>
      </c>
      <c r="B35" s="3" t="s">
        <v>288</v>
      </c>
      <c r="C35" s="3" t="s">
        <v>587</v>
      </c>
      <c r="D35" s="25">
        <f>ROUND('Stavební rozpočet'!I396,2)</f>
        <v>0</v>
      </c>
      <c r="E35" s="25">
        <f>ROUND('Stavební rozpočet'!J396,2)</f>
        <v>0</v>
      </c>
      <c r="F35" s="25">
        <f>ROUND('Stavební rozpočet'!K396,2)</f>
        <v>0</v>
      </c>
      <c r="G35" s="46">
        <f>'Stavební rozpočet'!M396</f>
        <v>2.18646305</v>
      </c>
      <c r="H35" s="45" t="s">
        <v>3521</v>
      </c>
      <c r="I35" s="25">
        <f t="shared" si="0"/>
        <v>0</v>
      </c>
    </row>
    <row r="36" spans="1:9" ht="14.4" x14ac:dyDescent="0.3">
      <c r="A36" s="2" t="s">
        <v>510</v>
      </c>
      <c r="B36" s="3" t="s">
        <v>320</v>
      </c>
      <c r="C36" s="3" t="s">
        <v>617</v>
      </c>
      <c r="D36" s="25">
        <f>ROUND('Stavební rozpočet'!I413,2)</f>
        <v>0</v>
      </c>
      <c r="E36" s="25">
        <f>ROUND('Stavební rozpočet'!J413,2)</f>
        <v>0</v>
      </c>
      <c r="F36" s="25">
        <f>ROUND('Stavební rozpočet'!K413,2)</f>
        <v>0</v>
      </c>
      <c r="G36" s="46">
        <f>'Stavební rozpočet'!M413</f>
        <v>0.14995976</v>
      </c>
      <c r="H36" s="45" t="s">
        <v>3521</v>
      </c>
      <c r="I36" s="25">
        <f t="shared" si="0"/>
        <v>0</v>
      </c>
    </row>
    <row r="37" spans="1:9" ht="14.4" x14ac:dyDescent="0.3">
      <c r="A37" s="2" t="s">
        <v>510</v>
      </c>
      <c r="B37" s="3" t="s">
        <v>413</v>
      </c>
      <c r="C37" s="3" t="s">
        <v>641</v>
      </c>
      <c r="D37" s="25">
        <f>ROUND('Stavební rozpočet'!I424,2)</f>
        <v>0</v>
      </c>
      <c r="E37" s="25">
        <f>ROUND('Stavební rozpočet'!J424,2)</f>
        <v>0</v>
      </c>
      <c r="F37" s="25">
        <f>ROUND('Stavební rozpočet'!K424,2)</f>
        <v>0</v>
      </c>
      <c r="G37" s="46">
        <f>'Stavební rozpočet'!M424</f>
        <v>0</v>
      </c>
      <c r="H37" s="45" t="s">
        <v>3521</v>
      </c>
      <c r="I37" s="25">
        <f t="shared" si="0"/>
        <v>0</v>
      </c>
    </row>
    <row r="38" spans="1:9" ht="14.4" x14ac:dyDescent="0.3">
      <c r="A38" s="2" t="s">
        <v>510</v>
      </c>
      <c r="B38" s="3" t="s">
        <v>417</v>
      </c>
      <c r="C38" s="3" t="s">
        <v>647</v>
      </c>
      <c r="D38" s="25">
        <f>ROUND('Stavební rozpočet'!I427,2)</f>
        <v>0</v>
      </c>
      <c r="E38" s="25">
        <f>ROUND('Stavební rozpočet'!J427,2)</f>
        <v>0</v>
      </c>
      <c r="F38" s="25">
        <f>ROUND('Stavební rozpočet'!K427,2)</f>
        <v>0</v>
      </c>
      <c r="G38" s="46">
        <f>'Stavební rozpočet'!M427</f>
        <v>22.267140000000001</v>
      </c>
      <c r="H38" s="45" t="s">
        <v>3521</v>
      </c>
      <c r="I38" s="25">
        <f t="shared" si="0"/>
        <v>0</v>
      </c>
    </row>
    <row r="39" spans="1:9" ht="14.4" x14ac:dyDescent="0.3">
      <c r="A39" s="2" t="s">
        <v>510</v>
      </c>
      <c r="B39" s="3" t="s">
        <v>434</v>
      </c>
      <c r="C39" s="3" t="s">
        <v>661</v>
      </c>
      <c r="D39" s="25">
        <f>ROUND('Stavební rozpočet'!I436,2)</f>
        <v>0</v>
      </c>
      <c r="E39" s="25">
        <f>ROUND('Stavební rozpočet'!J436,2)</f>
        <v>0</v>
      </c>
      <c r="F39" s="25">
        <f>ROUND('Stavební rozpočet'!K436,2)</f>
        <v>0</v>
      </c>
      <c r="G39" s="46">
        <f>'Stavební rozpočet'!M436</f>
        <v>26.085495210000001</v>
      </c>
      <c r="H39" s="45" t="s">
        <v>3521</v>
      </c>
      <c r="I39" s="25">
        <f t="shared" si="0"/>
        <v>0</v>
      </c>
    </row>
    <row r="40" spans="1:9" ht="14.4" x14ac:dyDescent="0.3">
      <c r="A40" s="2" t="s">
        <v>510</v>
      </c>
      <c r="B40" s="3" t="s">
        <v>441</v>
      </c>
      <c r="C40" s="3" t="s">
        <v>742</v>
      </c>
      <c r="D40" s="25">
        <f>ROUND('Stavební rozpočet'!I532,2)</f>
        <v>0</v>
      </c>
      <c r="E40" s="25">
        <f>ROUND('Stavební rozpočet'!J532,2)</f>
        <v>0</v>
      </c>
      <c r="F40" s="25">
        <f>ROUND('Stavební rozpočet'!K532,2)</f>
        <v>0</v>
      </c>
      <c r="G40" s="46">
        <f>'Stavební rozpočet'!M532</f>
        <v>7.6284971519999996</v>
      </c>
      <c r="H40" s="45" t="s">
        <v>3521</v>
      </c>
      <c r="I40" s="25">
        <f t="shared" si="0"/>
        <v>0</v>
      </c>
    </row>
    <row r="41" spans="1:9" ht="14.4" x14ac:dyDescent="0.3">
      <c r="A41" s="2" t="s">
        <v>510</v>
      </c>
      <c r="B41" s="3" t="s">
        <v>444</v>
      </c>
      <c r="C41" s="3" t="s">
        <v>780</v>
      </c>
      <c r="D41" s="25">
        <f>ROUND('Stavební rozpočet'!I561,2)</f>
        <v>0</v>
      </c>
      <c r="E41" s="25">
        <f>ROUND('Stavební rozpočet'!J561,2)</f>
        <v>0</v>
      </c>
      <c r="F41" s="25">
        <f>ROUND('Stavební rozpočet'!K561,2)</f>
        <v>0</v>
      </c>
      <c r="G41" s="46">
        <f>'Stavební rozpočet'!M561</f>
        <v>0.34539999999999998</v>
      </c>
      <c r="H41" s="45" t="s">
        <v>3521</v>
      </c>
      <c r="I41" s="25">
        <f t="shared" si="0"/>
        <v>0</v>
      </c>
    </row>
    <row r="42" spans="1:9" ht="14.4" x14ac:dyDescent="0.3">
      <c r="A42" s="2" t="s">
        <v>510</v>
      </c>
      <c r="B42" s="3" t="s">
        <v>55</v>
      </c>
      <c r="C42" s="3" t="s">
        <v>56</v>
      </c>
      <c r="D42" s="25">
        <f>ROUND('Stavební rozpočet'!I575,2)</f>
        <v>0</v>
      </c>
      <c r="E42" s="25">
        <f>ROUND('Stavební rozpočet'!J575,2)</f>
        <v>0</v>
      </c>
      <c r="F42" s="25">
        <f>ROUND('Stavební rozpočet'!K575,2)</f>
        <v>0</v>
      </c>
      <c r="G42" s="46">
        <f>'Stavební rozpočet'!M575</f>
        <v>0.30432643000000004</v>
      </c>
      <c r="H42" s="45" t="s">
        <v>3521</v>
      </c>
      <c r="I42" s="25">
        <f t="shared" si="0"/>
        <v>0</v>
      </c>
    </row>
    <row r="43" spans="1:9" ht="14.4" x14ac:dyDescent="0.3">
      <c r="A43" s="2" t="s">
        <v>510</v>
      </c>
      <c r="B43" s="3" t="s">
        <v>79</v>
      </c>
      <c r="C43" s="3" t="s">
        <v>80</v>
      </c>
      <c r="D43" s="25">
        <f>ROUND('Stavební rozpočet'!I598,2)</f>
        <v>0</v>
      </c>
      <c r="E43" s="25">
        <f>ROUND('Stavební rozpočet'!J598,2)</f>
        <v>0</v>
      </c>
      <c r="F43" s="25">
        <f>ROUND('Stavební rozpočet'!K598,2)</f>
        <v>0</v>
      </c>
      <c r="G43" s="46">
        <f>'Stavební rozpočet'!M598</f>
        <v>2.2550219999999999E-2</v>
      </c>
      <c r="H43" s="45" t="s">
        <v>3521</v>
      </c>
      <c r="I43" s="25">
        <f t="shared" ref="I43:I74" si="1">IF(H43="F",0,F43)</f>
        <v>0</v>
      </c>
    </row>
    <row r="44" spans="1:9" ht="14.4" x14ac:dyDescent="0.3">
      <c r="A44" s="2" t="s">
        <v>510</v>
      </c>
      <c r="B44" s="3" t="s">
        <v>95</v>
      </c>
      <c r="C44" s="3" t="s">
        <v>96</v>
      </c>
      <c r="D44" s="25">
        <f>ROUND('Stavební rozpočet'!I628,2)</f>
        <v>0</v>
      </c>
      <c r="E44" s="25">
        <f>ROUND('Stavební rozpočet'!J628,2)</f>
        <v>0</v>
      </c>
      <c r="F44" s="25">
        <f>ROUND('Stavební rozpočet'!K628,2)</f>
        <v>0</v>
      </c>
      <c r="G44" s="46">
        <f>'Stavební rozpočet'!M628</f>
        <v>1.0540000000000001E-2</v>
      </c>
      <c r="H44" s="45" t="s">
        <v>3521</v>
      </c>
      <c r="I44" s="25">
        <f t="shared" si="1"/>
        <v>0</v>
      </c>
    </row>
    <row r="45" spans="1:9" ht="14.4" x14ac:dyDescent="0.3">
      <c r="A45" s="2" t="s">
        <v>510</v>
      </c>
      <c r="B45" s="3" t="s">
        <v>324</v>
      </c>
      <c r="C45" s="3" t="s">
        <v>325</v>
      </c>
      <c r="D45" s="25">
        <f>ROUND('Stavební rozpočet'!I642,2)</f>
        <v>0</v>
      </c>
      <c r="E45" s="25">
        <f>ROUND('Stavební rozpočet'!J642,2)</f>
        <v>0</v>
      </c>
      <c r="F45" s="25">
        <f>ROUND('Stavební rozpočet'!K642,2)</f>
        <v>0</v>
      </c>
      <c r="G45" s="46">
        <f>'Stavební rozpočet'!M642</f>
        <v>0.25079999999999991</v>
      </c>
      <c r="H45" s="45" t="s">
        <v>3521</v>
      </c>
      <c r="I45" s="25">
        <f t="shared" si="1"/>
        <v>0</v>
      </c>
    </row>
    <row r="46" spans="1:9" ht="14.4" x14ac:dyDescent="0.3">
      <c r="A46" s="2" t="s">
        <v>510</v>
      </c>
      <c r="B46" s="3" t="s">
        <v>921</v>
      </c>
      <c r="C46" s="3" t="s">
        <v>922</v>
      </c>
      <c r="D46" s="25">
        <f>ROUND('Stavební rozpočet'!I667,2)</f>
        <v>0</v>
      </c>
      <c r="E46" s="25">
        <f>ROUND('Stavební rozpočet'!J667,2)</f>
        <v>0</v>
      </c>
      <c r="F46" s="25">
        <f>ROUND('Stavební rozpočet'!K667,2)</f>
        <v>0</v>
      </c>
      <c r="G46" s="46">
        <f>'Stavební rozpočet'!M667</f>
        <v>0.02</v>
      </c>
      <c r="H46" s="45" t="s">
        <v>3521</v>
      </c>
      <c r="I46" s="25">
        <f t="shared" si="1"/>
        <v>0</v>
      </c>
    </row>
    <row r="47" spans="1:9" ht="14.4" x14ac:dyDescent="0.3">
      <c r="A47" s="2" t="s">
        <v>510</v>
      </c>
      <c r="B47" s="3" t="s">
        <v>932</v>
      </c>
      <c r="C47" s="3" t="s">
        <v>933</v>
      </c>
      <c r="D47" s="25">
        <f>ROUND('Stavební rozpočet'!I673,2)</f>
        <v>0</v>
      </c>
      <c r="E47" s="25">
        <f>ROUND('Stavební rozpočet'!J673,2)</f>
        <v>0</v>
      </c>
      <c r="F47" s="25">
        <f>ROUND('Stavební rozpočet'!K673,2)</f>
        <v>0</v>
      </c>
      <c r="G47" s="46">
        <f>'Stavební rozpočet'!M673</f>
        <v>2.1981430400000002</v>
      </c>
      <c r="H47" s="45" t="s">
        <v>3521</v>
      </c>
      <c r="I47" s="25">
        <f t="shared" si="1"/>
        <v>0</v>
      </c>
    </row>
    <row r="48" spans="1:9" ht="14.4" x14ac:dyDescent="0.3">
      <c r="A48" s="2" t="s">
        <v>510</v>
      </c>
      <c r="B48" s="3" t="s">
        <v>104</v>
      </c>
      <c r="C48" s="3" t="s">
        <v>105</v>
      </c>
      <c r="D48" s="25">
        <f>ROUND('Stavební rozpočet'!I733,2)</f>
        <v>0</v>
      </c>
      <c r="E48" s="25">
        <f>ROUND('Stavební rozpočet'!J733,2)</f>
        <v>0</v>
      </c>
      <c r="F48" s="25">
        <f>ROUND('Stavební rozpočet'!K733,2)</f>
        <v>0</v>
      </c>
      <c r="G48" s="46">
        <f>'Stavební rozpočet'!M733</f>
        <v>3.49772E-2</v>
      </c>
      <c r="H48" s="45" t="s">
        <v>3521</v>
      </c>
      <c r="I48" s="25">
        <f t="shared" si="1"/>
        <v>0</v>
      </c>
    </row>
    <row r="49" spans="1:9" ht="14.4" x14ac:dyDescent="0.3">
      <c r="A49" s="2" t="s">
        <v>510</v>
      </c>
      <c r="B49" s="3" t="s">
        <v>997</v>
      </c>
      <c r="C49" s="3" t="s">
        <v>998</v>
      </c>
      <c r="D49" s="25">
        <f>ROUND('Stavební rozpočet'!I742,2)</f>
        <v>0</v>
      </c>
      <c r="E49" s="25">
        <f>ROUND('Stavební rozpočet'!J742,2)</f>
        <v>0</v>
      </c>
      <c r="F49" s="25">
        <f>ROUND('Stavební rozpočet'!K742,2)</f>
        <v>0</v>
      </c>
      <c r="G49" s="46">
        <f>'Stavební rozpočet'!M742</f>
        <v>8.7547200000000006E-2</v>
      </c>
      <c r="H49" s="45" t="s">
        <v>3521</v>
      </c>
      <c r="I49" s="25">
        <f t="shared" si="1"/>
        <v>0</v>
      </c>
    </row>
    <row r="50" spans="1:9" ht="14.4" x14ac:dyDescent="0.3">
      <c r="A50" s="2" t="s">
        <v>510</v>
      </c>
      <c r="B50" s="3" t="s">
        <v>1009</v>
      </c>
      <c r="C50" s="3" t="s">
        <v>1010</v>
      </c>
      <c r="D50" s="25">
        <f>ROUND('Stavební rozpočet'!I748,2)</f>
        <v>0</v>
      </c>
      <c r="E50" s="25">
        <f>ROUND('Stavební rozpočet'!J748,2)</f>
        <v>0</v>
      </c>
      <c r="F50" s="25">
        <f>ROUND('Stavební rozpočet'!K748,2)</f>
        <v>0</v>
      </c>
      <c r="G50" s="46">
        <f>'Stavební rozpočet'!M748</f>
        <v>2.0162270547999999</v>
      </c>
      <c r="H50" s="45" t="s">
        <v>3521</v>
      </c>
      <c r="I50" s="25">
        <f t="shared" si="1"/>
        <v>0</v>
      </c>
    </row>
    <row r="51" spans="1:9" ht="14.4" x14ac:dyDescent="0.3">
      <c r="A51" s="2" t="s">
        <v>510</v>
      </c>
      <c r="B51" s="3" t="s">
        <v>349</v>
      </c>
      <c r="C51" s="3" t="s">
        <v>350</v>
      </c>
      <c r="D51" s="25">
        <f>ROUND('Stavební rozpočet'!I789,2)</f>
        <v>0</v>
      </c>
      <c r="E51" s="25">
        <f>ROUND('Stavební rozpočet'!J789,2)</f>
        <v>0</v>
      </c>
      <c r="F51" s="25">
        <f>ROUND('Stavební rozpočet'!K789,2)</f>
        <v>0</v>
      </c>
      <c r="G51" s="46">
        <f>'Stavební rozpočet'!M789</f>
        <v>0.20103236999999999</v>
      </c>
      <c r="H51" s="45" t="s">
        <v>3521</v>
      </c>
      <c r="I51" s="25">
        <f t="shared" si="1"/>
        <v>0</v>
      </c>
    </row>
    <row r="52" spans="1:9" ht="14.4" x14ac:dyDescent="0.3">
      <c r="A52" s="2" t="s">
        <v>510</v>
      </c>
      <c r="B52" s="3" t="s">
        <v>561</v>
      </c>
      <c r="C52" s="3" t="s">
        <v>1056</v>
      </c>
      <c r="D52" s="25">
        <f>ROUND('Stavební rozpočet'!I830,2)</f>
        <v>0</v>
      </c>
      <c r="E52" s="25">
        <f>ROUND('Stavební rozpočet'!J830,2)</f>
        <v>0</v>
      </c>
      <c r="F52" s="25">
        <f>ROUND('Stavební rozpočet'!K830,2)</f>
        <v>0</v>
      </c>
      <c r="G52" s="46">
        <f>'Stavební rozpočet'!M830</f>
        <v>0</v>
      </c>
      <c r="H52" s="45" t="s">
        <v>3521</v>
      </c>
      <c r="I52" s="25">
        <f t="shared" si="1"/>
        <v>0</v>
      </c>
    </row>
    <row r="53" spans="1:9" ht="14.4" x14ac:dyDescent="0.3">
      <c r="A53" s="2" t="s">
        <v>510</v>
      </c>
      <c r="B53" s="3" t="s">
        <v>583</v>
      </c>
      <c r="C53" s="3" t="s">
        <v>1062</v>
      </c>
      <c r="D53" s="25">
        <f>ROUND('Stavební rozpočet'!I833,2)</f>
        <v>0</v>
      </c>
      <c r="E53" s="25">
        <f>ROUND('Stavební rozpočet'!J833,2)</f>
        <v>0</v>
      </c>
      <c r="F53" s="25">
        <f>ROUND('Stavební rozpočet'!K833,2)</f>
        <v>0</v>
      </c>
      <c r="G53" s="46">
        <f>'Stavební rozpočet'!M833</f>
        <v>0.12956000000000001</v>
      </c>
      <c r="H53" s="45" t="s">
        <v>3521</v>
      </c>
      <c r="I53" s="25">
        <f t="shared" si="1"/>
        <v>0</v>
      </c>
    </row>
    <row r="54" spans="1:9" ht="14.4" x14ac:dyDescent="0.3">
      <c r="A54" s="2" t="s">
        <v>510</v>
      </c>
      <c r="B54" s="3" t="s">
        <v>588</v>
      </c>
      <c r="C54" s="3" t="s">
        <v>1067</v>
      </c>
      <c r="D54" s="25">
        <f>ROUND('Stavební rozpočet'!I844,2)</f>
        <v>0</v>
      </c>
      <c r="E54" s="25">
        <f>ROUND('Stavební rozpočet'!J844,2)</f>
        <v>0</v>
      </c>
      <c r="F54" s="25">
        <f>ROUND('Stavební rozpočet'!K844,2)</f>
        <v>0</v>
      </c>
      <c r="G54" s="46">
        <f>'Stavební rozpočet'!M844</f>
        <v>7.7000000000000002E-3</v>
      </c>
      <c r="H54" s="45" t="s">
        <v>3521</v>
      </c>
      <c r="I54" s="25">
        <f t="shared" si="1"/>
        <v>0</v>
      </c>
    </row>
    <row r="55" spans="1:9" ht="14.4" x14ac:dyDescent="0.3">
      <c r="A55" s="2" t="s">
        <v>510</v>
      </c>
      <c r="B55" s="3" t="s">
        <v>1078</v>
      </c>
      <c r="C55" s="3" t="s">
        <v>1079</v>
      </c>
      <c r="D55" s="25">
        <f>ROUND('Stavební rozpočet'!I859,2)</f>
        <v>0</v>
      </c>
      <c r="E55" s="25">
        <f>ROUND('Stavební rozpočet'!J859,2)</f>
        <v>0</v>
      </c>
      <c r="F55" s="25">
        <f>ROUND('Stavební rozpočet'!K859,2)</f>
        <v>0</v>
      </c>
      <c r="G55" s="46">
        <f>'Stavební rozpočet'!M859</f>
        <v>0</v>
      </c>
      <c r="H55" s="45" t="s">
        <v>3521</v>
      </c>
      <c r="I55" s="25">
        <f t="shared" si="1"/>
        <v>0</v>
      </c>
    </row>
    <row r="56" spans="1:9" ht="14.4" x14ac:dyDescent="0.3">
      <c r="A56" s="2" t="s">
        <v>510</v>
      </c>
      <c r="B56" s="3" t="s">
        <v>1085</v>
      </c>
      <c r="C56" s="3" t="s">
        <v>1086</v>
      </c>
      <c r="D56" s="25">
        <f>ROUND('Stavební rozpočet'!I862,2)</f>
        <v>0</v>
      </c>
      <c r="E56" s="25">
        <f>ROUND('Stavební rozpočet'!J862,2)</f>
        <v>0</v>
      </c>
      <c r="F56" s="25">
        <f>ROUND('Stavební rozpočet'!K862,2)</f>
        <v>0</v>
      </c>
      <c r="G56" s="46">
        <f>'Stavební rozpočet'!M862</f>
        <v>4.5469999999999997E-2</v>
      </c>
      <c r="H56" s="45" t="s">
        <v>3521</v>
      </c>
      <c r="I56" s="25">
        <f t="shared" si="1"/>
        <v>0</v>
      </c>
    </row>
    <row r="57" spans="1:9" ht="14.4" x14ac:dyDescent="0.3">
      <c r="A57" s="70" t="s">
        <v>1101</v>
      </c>
      <c r="B57" s="71" t="s">
        <v>52</v>
      </c>
      <c r="C57" s="71" t="s">
        <v>1102</v>
      </c>
      <c r="D57" s="72">
        <f>ROUND('Stavební rozpočet'!I871,2)</f>
        <v>0</v>
      </c>
      <c r="E57" s="72">
        <f>ROUND('Stavební rozpočet'!J871,2)</f>
        <v>0</v>
      </c>
      <c r="F57" s="72">
        <f>ROUND('Stavební rozpočet'!K871,2)</f>
        <v>0</v>
      </c>
      <c r="G57" s="73">
        <f>'Stavební rozpočet'!M871</f>
        <v>86.406413119699991</v>
      </c>
      <c r="H57" s="45" t="s">
        <v>3520</v>
      </c>
      <c r="I57" s="25">
        <f t="shared" si="1"/>
        <v>0</v>
      </c>
    </row>
    <row r="58" spans="1:9" ht="14.4" x14ac:dyDescent="0.3">
      <c r="A58" s="2" t="s">
        <v>1101</v>
      </c>
      <c r="B58" s="3">
        <v>31</v>
      </c>
      <c r="C58" s="74" t="s">
        <v>3558</v>
      </c>
      <c r="D58" s="25">
        <f>ROUND('Stavební rozpočet'!I872,2)</f>
        <v>0</v>
      </c>
      <c r="E58" s="25">
        <f>ROUND('Stavební rozpočet'!J872,2)</f>
        <v>0</v>
      </c>
      <c r="F58" s="25">
        <f>ROUND('Stavební rozpočet'!K872,2)</f>
        <v>0</v>
      </c>
      <c r="G58" s="46">
        <f>'Stavební rozpočet'!M872</f>
        <v>0.83943722999999992</v>
      </c>
      <c r="H58" s="45" t="s">
        <v>3521</v>
      </c>
      <c r="I58" s="25">
        <f t="shared" si="1"/>
        <v>0</v>
      </c>
    </row>
    <row r="59" spans="1:9" ht="14.4" x14ac:dyDescent="0.3">
      <c r="A59" s="2" t="s">
        <v>1101</v>
      </c>
      <c r="B59" s="3" t="s">
        <v>288</v>
      </c>
      <c r="C59" s="3" t="s">
        <v>587</v>
      </c>
      <c r="D59" s="25">
        <f>ROUND('Stavební rozpočet'!I896,2)</f>
        <v>0</v>
      </c>
      <c r="E59" s="25">
        <f>ROUND('Stavební rozpočet'!J896,2)</f>
        <v>0</v>
      </c>
      <c r="F59" s="25">
        <f>ROUND('Stavební rozpočet'!K896,2)</f>
        <v>0</v>
      </c>
      <c r="G59" s="46">
        <f>'Stavební rozpočet'!M896</f>
        <v>5.7820283699999999</v>
      </c>
      <c r="H59" s="45" t="s">
        <v>3521</v>
      </c>
      <c r="I59" s="25">
        <f t="shared" si="1"/>
        <v>0</v>
      </c>
    </row>
    <row r="60" spans="1:9" ht="14.4" x14ac:dyDescent="0.3">
      <c r="A60" s="2" t="s">
        <v>1101</v>
      </c>
      <c r="B60" s="3" t="s">
        <v>320</v>
      </c>
      <c r="C60" s="3" t="s">
        <v>617</v>
      </c>
      <c r="D60" s="25">
        <f>ROUND('Stavební rozpočet'!I916,2)</f>
        <v>0</v>
      </c>
      <c r="E60" s="25">
        <f>ROUND('Stavební rozpočet'!J916,2)</f>
        <v>0</v>
      </c>
      <c r="F60" s="25">
        <f>ROUND('Stavební rozpočet'!K916,2)</f>
        <v>0</v>
      </c>
      <c r="G60" s="46">
        <f>'Stavební rozpočet'!M916</f>
        <v>10.856546679999999</v>
      </c>
      <c r="H60" s="45" t="s">
        <v>3521</v>
      </c>
      <c r="I60" s="25">
        <f t="shared" si="1"/>
        <v>0</v>
      </c>
    </row>
    <row r="61" spans="1:9" ht="14.4" x14ac:dyDescent="0.3">
      <c r="A61" s="2" t="s">
        <v>1101</v>
      </c>
      <c r="B61" s="3" t="s">
        <v>434</v>
      </c>
      <c r="C61" s="3" t="s">
        <v>661</v>
      </c>
      <c r="D61" s="25">
        <f>ROUND('Stavební rozpočet'!I962,2)</f>
        <v>0</v>
      </c>
      <c r="E61" s="25">
        <f>ROUND('Stavební rozpočet'!J962,2)</f>
        <v>0</v>
      </c>
      <c r="F61" s="25">
        <f>ROUND('Stavební rozpočet'!K962,2)</f>
        <v>0</v>
      </c>
      <c r="G61" s="46">
        <f>'Stavební rozpočet'!M962</f>
        <v>35.955647849999998</v>
      </c>
      <c r="H61" s="45" t="s">
        <v>3521</v>
      </c>
      <c r="I61" s="25">
        <f t="shared" si="1"/>
        <v>0</v>
      </c>
    </row>
    <row r="62" spans="1:9" ht="14.4" x14ac:dyDescent="0.3">
      <c r="A62" s="2" t="s">
        <v>1101</v>
      </c>
      <c r="B62" s="3" t="s">
        <v>441</v>
      </c>
      <c r="C62" s="3" t="s">
        <v>742</v>
      </c>
      <c r="D62" s="25">
        <f>ROUND('Stavební rozpočet'!I1079,2)</f>
        <v>0</v>
      </c>
      <c r="E62" s="25">
        <f>ROUND('Stavební rozpočet'!J1079,2)</f>
        <v>0</v>
      </c>
      <c r="F62" s="25">
        <f>ROUND('Stavební rozpočet'!K1079,2)</f>
        <v>0</v>
      </c>
      <c r="G62" s="46">
        <f>'Stavební rozpočet'!M1079</f>
        <v>16.527983459999998</v>
      </c>
      <c r="H62" s="45" t="s">
        <v>3521</v>
      </c>
      <c r="I62" s="25">
        <f t="shared" si="1"/>
        <v>0</v>
      </c>
    </row>
    <row r="63" spans="1:9" ht="14.4" x14ac:dyDescent="0.3">
      <c r="A63" s="2" t="s">
        <v>1101</v>
      </c>
      <c r="B63" s="3" t="s">
        <v>444</v>
      </c>
      <c r="C63" s="3" t="s">
        <v>780</v>
      </c>
      <c r="D63" s="25">
        <f>ROUND('Stavební rozpočet'!I1099,2)</f>
        <v>0</v>
      </c>
      <c r="E63" s="25">
        <f>ROUND('Stavební rozpočet'!J1099,2)</f>
        <v>0</v>
      </c>
      <c r="F63" s="25">
        <f>ROUND('Stavební rozpočet'!K1099,2)</f>
        <v>0</v>
      </c>
      <c r="G63" s="46">
        <f>'Stavební rozpočet'!M1099</f>
        <v>0.42245000000000005</v>
      </c>
      <c r="H63" s="45" t="s">
        <v>3521</v>
      </c>
      <c r="I63" s="25">
        <f t="shared" si="1"/>
        <v>0</v>
      </c>
    </row>
    <row r="64" spans="1:9" ht="14.4" x14ac:dyDescent="0.3">
      <c r="A64" s="2" t="s">
        <v>1101</v>
      </c>
      <c r="B64" s="3" t="s">
        <v>55</v>
      </c>
      <c r="C64" s="3" t="s">
        <v>56</v>
      </c>
      <c r="D64" s="25">
        <f>ROUND('Stavební rozpočet'!I1120,2)</f>
        <v>0</v>
      </c>
      <c r="E64" s="25">
        <f>ROUND('Stavební rozpočet'!J1120,2)</f>
        <v>0</v>
      </c>
      <c r="F64" s="25">
        <f>ROUND('Stavební rozpočet'!K1120,2)</f>
        <v>0</v>
      </c>
      <c r="G64" s="46">
        <f>'Stavební rozpočet'!M1120</f>
        <v>1.38519433</v>
      </c>
      <c r="H64" s="45" t="s">
        <v>3521</v>
      </c>
      <c r="I64" s="25">
        <f t="shared" si="1"/>
        <v>0</v>
      </c>
    </row>
    <row r="65" spans="1:9" ht="14.4" x14ac:dyDescent="0.3">
      <c r="A65" s="2" t="s">
        <v>1101</v>
      </c>
      <c r="B65" s="3" t="s">
        <v>1362</v>
      </c>
      <c r="C65" s="3" t="s">
        <v>1363</v>
      </c>
      <c r="D65" s="25">
        <f>ROUND('Stavební rozpočet'!I1158,2)</f>
        <v>0</v>
      </c>
      <c r="E65" s="25">
        <f>ROUND('Stavební rozpočet'!J1158,2)</f>
        <v>0</v>
      </c>
      <c r="F65" s="25">
        <f>ROUND('Stavební rozpočet'!K1158,2)</f>
        <v>0</v>
      </c>
      <c r="G65" s="46">
        <f>'Stavební rozpočet'!M1158</f>
        <v>0.20544279999999998</v>
      </c>
      <c r="H65" s="45" t="s">
        <v>3521</v>
      </c>
      <c r="I65" s="25">
        <f t="shared" si="1"/>
        <v>0</v>
      </c>
    </row>
    <row r="66" spans="1:9" ht="14.4" x14ac:dyDescent="0.3">
      <c r="A66" s="2" t="s">
        <v>1101</v>
      </c>
      <c r="B66" s="3" t="s">
        <v>79</v>
      </c>
      <c r="C66" s="3" t="s">
        <v>80</v>
      </c>
      <c r="D66" s="25">
        <f>ROUND('Stavební rozpočet'!I1193,2)</f>
        <v>0</v>
      </c>
      <c r="E66" s="25">
        <f>ROUND('Stavební rozpočet'!J1193,2)</f>
        <v>0</v>
      </c>
      <c r="F66" s="25">
        <f>ROUND('Stavební rozpočet'!K1193,2)</f>
        <v>0</v>
      </c>
      <c r="G66" s="46">
        <f>'Stavební rozpočet'!M1193</f>
        <v>0.19073820000000002</v>
      </c>
      <c r="H66" s="45" t="s">
        <v>3521</v>
      </c>
      <c r="I66" s="25">
        <f t="shared" si="1"/>
        <v>0</v>
      </c>
    </row>
    <row r="67" spans="1:9" ht="14.4" x14ac:dyDescent="0.3">
      <c r="A67" s="2" t="s">
        <v>1101</v>
      </c>
      <c r="B67" s="3" t="s">
        <v>95</v>
      </c>
      <c r="C67" s="3" t="s">
        <v>96</v>
      </c>
      <c r="D67" s="25">
        <f>ROUND('Stavební rozpočet'!I1235,2)</f>
        <v>0</v>
      </c>
      <c r="E67" s="25">
        <f>ROUND('Stavební rozpočet'!J1235,2)</f>
        <v>0</v>
      </c>
      <c r="F67" s="25">
        <f>ROUND('Stavební rozpočet'!K1235,2)</f>
        <v>0</v>
      </c>
      <c r="G67" s="46">
        <f>'Stavební rozpočet'!M1235</f>
        <v>1.0539999999999999E-2</v>
      </c>
      <c r="H67" s="45" t="s">
        <v>3521</v>
      </c>
      <c r="I67" s="25">
        <f t="shared" si="1"/>
        <v>0</v>
      </c>
    </row>
    <row r="68" spans="1:9" ht="14.4" x14ac:dyDescent="0.3">
      <c r="A68" s="2" t="s">
        <v>1101</v>
      </c>
      <c r="B68" s="3" t="s">
        <v>1443</v>
      </c>
      <c r="C68" s="3" t="s">
        <v>1444</v>
      </c>
      <c r="D68" s="25">
        <f>ROUND('Stavební rozpočet'!I1249,2)</f>
        <v>0</v>
      </c>
      <c r="E68" s="25">
        <f>ROUND('Stavební rozpočet'!J1249,2)</f>
        <v>0</v>
      </c>
      <c r="F68" s="25">
        <f>ROUND('Stavební rozpočet'!K1249,2)</f>
        <v>0</v>
      </c>
      <c r="G68" s="46">
        <f>'Stavební rozpočet'!M1249</f>
        <v>0.13675199999999998</v>
      </c>
      <c r="H68" s="45" t="s">
        <v>3521</v>
      </c>
      <c r="I68" s="25">
        <f t="shared" si="1"/>
        <v>0</v>
      </c>
    </row>
    <row r="69" spans="1:9" ht="14.4" x14ac:dyDescent="0.3">
      <c r="A69" s="2" t="s">
        <v>1101</v>
      </c>
      <c r="B69" s="3" t="s">
        <v>1454</v>
      </c>
      <c r="C69" s="3" t="s">
        <v>1455</v>
      </c>
      <c r="D69" s="25">
        <f>ROUND('Stavební rozpočet'!I1253,2)</f>
        <v>0</v>
      </c>
      <c r="E69" s="25">
        <f>ROUND('Stavební rozpočet'!J1253,2)</f>
        <v>0</v>
      </c>
      <c r="F69" s="25">
        <f>ROUND('Stavební rozpočet'!K1253,2)</f>
        <v>0</v>
      </c>
      <c r="G69" s="46">
        <f>'Stavební rozpočet'!M1253</f>
        <v>0.10659384</v>
      </c>
      <c r="H69" s="45" t="s">
        <v>3521</v>
      </c>
      <c r="I69" s="25">
        <f t="shared" si="1"/>
        <v>0</v>
      </c>
    </row>
    <row r="70" spans="1:9" ht="14.4" x14ac:dyDescent="0.3">
      <c r="A70" s="2" t="s">
        <v>1101</v>
      </c>
      <c r="B70" s="3" t="s">
        <v>324</v>
      </c>
      <c r="C70" s="3" t="s">
        <v>325</v>
      </c>
      <c r="D70" s="25">
        <f>ROUND('Stavební rozpočet'!I1262,2)</f>
        <v>0</v>
      </c>
      <c r="E70" s="25">
        <f>ROUND('Stavební rozpočet'!J1262,2)</f>
        <v>0</v>
      </c>
      <c r="F70" s="25">
        <f>ROUND('Stavební rozpočet'!K1262,2)</f>
        <v>0</v>
      </c>
      <c r="G70" s="46">
        <f>'Stavební rozpočet'!M1262</f>
        <v>0.47257400000000011</v>
      </c>
      <c r="H70" s="45" t="s">
        <v>3521</v>
      </c>
      <c r="I70" s="25">
        <f t="shared" si="1"/>
        <v>0</v>
      </c>
    </row>
    <row r="71" spans="1:9" ht="14.4" x14ac:dyDescent="0.3">
      <c r="A71" s="2" t="s">
        <v>1101</v>
      </c>
      <c r="B71" s="3" t="s">
        <v>921</v>
      </c>
      <c r="C71" s="3" t="s">
        <v>922</v>
      </c>
      <c r="D71" s="25">
        <f>ROUND('Stavební rozpočet'!I1297,2)</f>
        <v>0</v>
      </c>
      <c r="E71" s="25">
        <f>ROUND('Stavební rozpočet'!J1297,2)</f>
        <v>0</v>
      </c>
      <c r="F71" s="25">
        <f>ROUND('Stavební rozpočet'!K1297,2)</f>
        <v>0</v>
      </c>
      <c r="G71" s="46">
        <f>'Stavební rozpočet'!M1297</f>
        <v>2.5840860999999999</v>
      </c>
      <c r="H71" s="45" t="s">
        <v>3521</v>
      </c>
      <c r="I71" s="25">
        <f t="shared" si="1"/>
        <v>0</v>
      </c>
    </row>
    <row r="72" spans="1:9" ht="14.4" x14ac:dyDescent="0.3">
      <c r="A72" s="2" t="s">
        <v>1101</v>
      </c>
      <c r="B72" s="3" t="s">
        <v>932</v>
      </c>
      <c r="C72" s="3" t="s">
        <v>933</v>
      </c>
      <c r="D72" s="25">
        <f>ROUND('Stavební rozpočet'!I1326,2)</f>
        <v>0</v>
      </c>
      <c r="E72" s="25">
        <f>ROUND('Stavební rozpočet'!J1326,2)</f>
        <v>0</v>
      </c>
      <c r="F72" s="25">
        <f>ROUND('Stavební rozpočet'!K1326,2)</f>
        <v>0</v>
      </c>
      <c r="G72" s="46">
        <f>'Stavební rozpočet'!M1326</f>
        <v>4.2751896700000005</v>
      </c>
      <c r="H72" s="45" t="s">
        <v>3521</v>
      </c>
      <c r="I72" s="25">
        <f t="shared" si="1"/>
        <v>0</v>
      </c>
    </row>
    <row r="73" spans="1:9" ht="14.4" x14ac:dyDescent="0.3">
      <c r="A73" s="2" t="s">
        <v>1101</v>
      </c>
      <c r="B73" s="3" t="s">
        <v>104</v>
      </c>
      <c r="C73" s="3" t="s">
        <v>105</v>
      </c>
      <c r="D73" s="25">
        <f>ROUND('Stavební rozpočet'!I1394,2)</f>
        <v>0</v>
      </c>
      <c r="E73" s="25">
        <f>ROUND('Stavební rozpočet'!J1394,2)</f>
        <v>0</v>
      </c>
      <c r="F73" s="25">
        <f>ROUND('Stavební rozpočet'!K1394,2)</f>
        <v>0</v>
      </c>
      <c r="G73" s="46">
        <f>'Stavební rozpočet'!M1394</f>
        <v>8.6831799999999987E-2</v>
      </c>
      <c r="H73" s="45" t="s">
        <v>3521</v>
      </c>
      <c r="I73" s="25">
        <f t="shared" si="1"/>
        <v>0</v>
      </c>
    </row>
    <row r="74" spans="1:9" ht="14.4" x14ac:dyDescent="0.3">
      <c r="A74" s="2" t="s">
        <v>1101</v>
      </c>
      <c r="B74" s="3" t="s">
        <v>997</v>
      </c>
      <c r="C74" s="3" t="s">
        <v>998</v>
      </c>
      <c r="D74" s="25">
        <f>ROUND('Stavební rozpočet'!I1408,2)</f>
        <v>0</v>
      </c>
      <c r="E74" s="25">
        <f>ROUND('Stavební rozpočet'!J1408,2)</f>
        <v>0</v>
      </c>
      <c r="F74" s="25">
        <f>ROUND('Stavební rozpočet'!K1408,2)</f>
        <v>0</v>
      </c>
      <c r="G74" s="46">
        <f>'Stavební rozpočet'!M1408</f>
        <v>0.21872159999999999</v>
      </c>
      <c r="H74" s="45" t="s">
        <v>3521</v>
      </c>
      <c r="I74" s="25">
        <f t="shared" si="1"/>
        <v>0</v>
      </c>
    </row>
    <row r="75" spans="1:9" ht="14.4" x14ac:dyDescent="0.3">
      <c r="A75" s="2" t="s">
        <v>1101</v>
      </c>
      <c r="B75" s="3" t="s">
        <v>1009</v>
      </c>
      <c r="C75" s="3" t="s">
        <v>1010</v>
      </c>
      <c r="D75" s="25">
        <f>ROUND('Stavební rozpočet'!I1417,2)</f>
        <v>0</v>
      </c>
      <c r="E75" s="25">
        <f>ROUND('Stavební rozpočet'!J1417,2)</f>
        <v>0</v>
      </c>
      <c r="F75" s="25">
        <f>ROUND('Stavební rozpočet'!K1417,2)</f>
        <v>0</v>
      </c>
      <c r="G75" s="46">
        <f>'Stavební rozpočet'!M1417</f>
        <v>4.7699326797000001</v>
      </c>
      <c r="H75" s="45" t="s">
        <v>3521</v>
      </c>
      <c r="I75" s="25">
        <f t="shared" ref="I75:I106" si="2">IF(H75="F",0,F75)</f>
        <v>0</v>
      </c>
    </row>
    <row r="76" spans="1:9" ht="14.4" x14ac:dyDescent="0.3">
      <c r="A76" s="2" t="s">
        <v>1101</v>
      </c>
      <c r="B76" s="3" t="s">
        <v>341</v>
      </c>
      <c r="C76" s="3" t="s">
        <v>342</v>
      </c>
      <c r="D76" s="25">
        <f>ROUND('Stavební rozpočet'!I1512,2)</f>
        <v>0</v>
      </c>
      <c r="E76" s="25">
        <f>ROUND('Stavební rozpočet'!J1512,2)</f>
        <v>0</v>
      </c>
      <c r="F76" s="25">
        <f>ROUND('Stavební rozpočet'!K1512,2)</f>
        <v>0</v>
      </c>
      <c r="G76" s="46">
        <f>'Stavební rozpočet'!M1512</f>
        <v>1.078E-3</v>
      </c>
      <c r="H76" s="45" t="s">
        <v>3521</v>
      </c>
      <c r="I76" s="25">
        <f t="shared" si="2"/>
        <v>0</v>
      </c>
    </row>
    <row r="77" spans="1:9" ht="14.4" x14ac:dyDescent="0.3">
      <c r="A77" s="2" t="s">
        <v>1101</v>
      </c>
      <c r="B77" s="3" t="s">
        <v>349</v>
      </c>
      <c r="C77" s="3" t="s">
        <v>350</v>
      </c>
      <c r="D77" s="25">
        <f>ROUND('Stavební rozpočet'!I1515,2)</f>
        <v>0</v>
      </c>
      <c r="E77" s="25">
        <f>ROUND('Stavební rozpočet'!J1515,2)</f>
        <v>0</v>
      </c>
      <c r="F77" s="25">
        <f>ROUND('Stavební rozpočet'!K1515,2)</f>
        <v>0</v>
      </c>
      <c r="G77" s="46">
        <f>'Stavební rozpočet'!M1515</f>
        <v>0.46514475000000005</v>
      </c>
      <c r="H77" s="45" t="s">
        <v>3521</v>
      </c>
      <c r="I77" s="25">
        <f t="shared" si="2"/>
        <v>0</v>
      </c>
    </row>
    <row r="78" spans="1:9" ht="14.4" x14ac:dyDescent="0.3">
      <c r="A78" s="2" t="s">
        <v>1101</v>
      </c>
      <c r="B78" s="3" t="s">
        <v>555</v>
      </c>
      <c r="C78" s="3" t="s">
        <v>1675</v>
      </c>
      <c r="D78" s="25">
        <f>ROUND('Stavební rozpočet'!I1568,2)</f>
        <v>0</v>
      </c>
      <c r="E78" s="25">
        <f>ROUND('Stavební rozpočet'!J1568,2)</f>
        <v>0</v>
      </c>
      <c r="F78" s="25">
        <f>ROUND('Stavební rozpočet'!K1568,2)</f>
        <v>0</v>
      </c>
      <c r="G78" s="46">
        <f>'Stavební rozpočet'!M1568</f>
        <v>0</v>
      </c>
      <c r="H78" s="45" t="s">
        <v>3521</v>
      </c>
      <c r="I78" s="25">
        <f t="shared" si="2"/>
        <v>0</v>
      </c>
    </row>
    <row r="79" spans="1:9" ht="14.4" x14ac:dyDescent="0.3">
      <c r="A79" s="2" t="s">
        <v>1101</v>
      </c>
      <c r="B79" s="3" t="s">
        <v>583</v>
      </c>
      <c r="C79" s="3" t="s">
        <v>1062</v>
      </c>
      <c r="D79" s="25">
        <f>ROUND('Stavební rozpočet'!I1573,2)</f>
        <v>0</v>
      </c>
      <c r="E79" s="25">
        <f>ROUND('Stavební rozpočet'!J1573,2)</f>
        <v>0</v>
      </c>
      <c r="F79" s="25">
        <f>ROUND('Stavební rozpočet'!K1573,2)</f>
        <v>0</v>
      </c>
      <c r="G79" s="46">
        <f>'Stavební rozpočet'!M1573</f>
        <v>0.26976920000000004</v>
      </c>
      <c r="H79" s="45" t="s">
        <v>3521</v>
      </c>
      <c r="I79" s="25">
        <f t="shared" si="2"/>
        <v>0</v>
      </c>
    </row>
    <row r="80" spans="1:9" ht="14.4" x14ac:dyDescent="0.3">
      <c r="A80" s="2" t="s">
        <v>1101</v>
      </c>
      <c r="B80" s="3" t="s">
        <v>588</v>
      </c>
      <c r="C80" s="3" t="s">
        <v>1067</v>
      </c>
      <c r="D80" s="25">
        <f>ROUND('Stavební rozpočet'!I1584,2)</f>
        <v>0</v>
      </c>
      <c r="E80" s="25">
        <f>ROUND('Stavební rozpočet'!J1584,2)</f>
        <v>0</v>
      </c>
      <c r="F80" s="25">
        <f>ROUND('Stavební rozpočet'!K1584,2)</f>
        <v>0</v>
      </c>
      <c r="G80" s="46">
        <f>'Stavební rozpočet'!M1584</f>
        <v>0.84373056000000002</v>
      </c>
      <c r="H80" s="45" t="s">
        <v>3521</v>
      </c>
      <c r="I80" s="25">
        <f t="shared" si="2"/>
        <v>0</v>
      </c>
    </row>
    <row r="81" spans="1:9" ht="14.4" x14ac:dyDescent="0.3">
      <c r="A81" s="2" t="s">
        <v>1101</v>
      </c>
      <c r="B81" s="3" t="s">
        <v>1078</v>
      </c>
      <c r="C81" s="3" t="s">
        <v>1079</v>
      </c>
      <c r="D81" s="25">
        <f>ROUND('Stavební rozpočet'!I1605,2)</f>
        <v>0</v>
      </c>
      <c r="E81" s="25">
        <f>ROUND('Stavební rozpočet'!J1605,2)</f>
        <v>0</v>
      </c>
      <c r="F81" s="25">
        <f>ROUND('Stavební rozpočet'!K1605,2)</f>
        <v>0</v>
      </c>
      <c r="G81" s="46">
        <f>'Stavební rozpočet'!M1605</f>
        <v>0</v>
      </c>
      <c r="H81" s="45" t="s">
        <v>3521</v>
      </c>
      <c r="I81" s="25">
        <f t="shared" si="2"/>
        <v>0</v>
      </c>
    </row>
    <row r="82" spans="1:9" ht="14.4" x14ac:dyDescent="0.3">
      <c r="A82" s="70" t="s">
        <v>1699</v>
      </c>
      <c r="B82" s="71" t="s">
        <v>52</v>
      </c>
      <c r="C82" s="71" t="s">
        <v>1700</v>
      </c>
      <c r="D82" s="72">
        <f>ROUND('Stavební rozpočet'!I1607,2)</f>
        <v>0</v>
      </c>
      <c r="E82" s="72">
        <f>ROUND('Stavební rozpočet'!J1607,2)</f>
        <v>0</v>
      </c>
      <c r="F82" s="72">
        <f>ROUND('Stavební rozpočet'!K1607,2)</f>
        <v>0</v>
      </c>
      <c r="G82" s="73">
        <f>'Stavební rozpočet'!M1607</f>
        <v>17.405386399999998</v>
      </c>
      <c r="H82" s="45" t="s">
        <v>3520</v>
      </c>
      <c r="I82" s="25">
        <f t="shared" si="2"/>
        <v>0</v>
      </c>
    </row>
    <row r="83" spans="1:9" ht="14.4" x14ac:dyDescent="0.3">
      <c r="A83" s="2" t="s">
        <v>1699</v>
      </c>
      <c r="B83" s="3" t="s">
        <v>1050</v>
      </c>
      <c r="C83" s="3" t="s">
        <v>1701</v>
      </c>
      <c r="D83" s="25">
        <f>ROUND('Stavební rozpočet'!I1608,2)</f>
        <v>0</v>
      </c>
      <c r="E83" s="25">
        <f>ROUND('Stavební rozpočet'!J1608,2)</f>
        <v>0</v>
      </c>
      <c r="F83" s="25">
        <f>ROUND('Stavební rozpočet'!K1608,2)</f>
        <v>0</v>
      </c>
      <c r="G83" s="46">
        <f>'Stavební rozpočet'!M1608</f>
        <v>4.5659999999999992E-2</v>
      </c>
      <c r="H83" s="45" t="s">
        <v>3521</v>
      </c>
      <c r="I83" s="25">
        <f t="shared" si="2"/>
        <v>0</v>
      </c>
    </row>
    <row r="84" spans="1:9" ht="14.4" x14ac:dyDescent="0.3">
      <c r="A84" s="2" t="s">
        <v>1699</v>
      </c>
      <c r="B84" s="3" t="s">
        <v>625</v>
      </c>
      <c r="C84" s="3" t="s">
        <v>1751</v>
      </c>
      <c r="D84" s="25">
        <f>ROUND('Stavební rozpočet'!I1636,2)</f>
        <v>0</v>
      </c>
      <c r="E84" s="25">
        <f>ROUND('Stavební rozpočet'!J1636,2)</f>
        <v>0</v>
      </c>
      <c r="F84" s="25">
        <f>ROUND('Stavební rozpočet'!K1636,2)</f>
        <v>0</v>
      </c>
      <c r="G84" s="46">
        <f>'Stavební rozpočet'!M1636</f>
        <v>4.3194599999999994</v>
      </c>
      <c r="H84" s="45" t="s">
        <v>3521</v>
      </c>
      <c r="I84" s="25">
        <f t="shared" si="2"/>
        <v>0</v>
      </c>
    </row>
    <row r="85" spans="1:9" ht="14.4" x14ac:dyDescent="0.3">
      <c r="A85" s="2" t="s">
        <v>1699</v>
      </c>
      <c r="B85" s="3" t="s">
        <v>291</v>
      </c>
      <c r="C85" s="3" t="s">
        <v>1831</v>
      </c>
      <c r="D85" s="25">
        <f>ROUND('Stavební rozpočet'!I1689,2)</f>
        <v>0</v>
      </c>
      <c r="E85" s="25">
        <f>ROUND('Stavební rozpočet'!J1689,2)</f>
        <v>0</v>
      </c>
      <c r="F85" s="25">
        <f>ROUND('Stavební rozpočet'!K1689,2)</f>
        <v>0</v>
      </c>
      <c r="G85" s="46">
        <f>'Stavební rozpočet'!M1689</f>
        <v>5.8469999999999994E-2</v>
      </c>
      <c r="H85" s="45" t="s">
        <v>3521</v>
      </c>
      <c r="I85" s="25">
        <f t="shared" si="2"/>
        <v>0</v>
      </c>
    </row>
    <row r="86" spans="1:9" ht="14.4" x14ac:dyDescent="0.3">
      <c r="A86" s="2" t="s">
        <v>1699</v>
      </c>
      <c r="B86" s="3" t="s">
        <v>320</v>
      </c>
      <c r="C86" s="3" t="s">
        <v>617</v>
      </c>
      <c r="D86" s="25">
        <f>ROUND('Stavební rozpočet'!I1717,2)</f>
        <v>0</v>
      </c>
      <c r="E86" s="25">
        <f>ROUND('Stavební rozpočet'!J1717,2)</f>
        <v>0</v>
      </c>
      <c r="F86" s="25">
        <f>ROUND('Stavební rozpočet'!K1717,2)</f>
        <v>0</v>
      </c>
      <c r="G86" s="46">
        <f>'Stavební rozpočet'!M1717</f>
        <v>1.618512</v>
      </c>
      <c r="H86" s="45" t="s">
        <v>3521</v>
      </c>
      <c r="I86" s="25">
        <f t="shared" si="2"/>
        <v>0</v>
      </c>
    </row>
    <row r="87" spans="1:9" ht="14.4" x14ac:dyDescent="0.3">
      <c r="A87" s="2" t="s">
        <v>1699</v>
      </c>
      <c r="B87" s="3" t="s">
        <v>429</v>
      </c>
      <c r="C87" s="3" t="s">
        <v>1898</v>
      </c>
      <c r="D87" s="25">
        <f>ROUND('Stavební rozpočet'!I1720,2)</f>
        <v>0</v>
      </c>
      <c r="E87" s="25">
        <f>ROUND('Stavební rozpočet'!J1720,2)</f>
        <v>0</v>
      </c>
      <c r="F87" s="25">
        <f>ROUND('Stavební rozpočet'!K1720,2)</f>
        <v>0</v>
      </c>
      <c r="G87" s="46">
        <f>'Stavební rozpočet'!M1720</f>
        <v>9.75E-3</v>
      </c>
      <c r="H87" s="45" t="s">
        <v>3521</v>
      </c>
      <c r="I87" s="25">
        <f t="shared" si="2"/>
        <v>0</v>
      </c>
    </row>
    <row r="88" spans="1:9" ht="14.4" x14ac:dyDescent="0.3">
      <c r="A88" s="2" t="s">
        <v>1699</v>
      </c>
      <c r="B88" s="3" t="s">
        <v>434</v>
      </c>
      <c r="C88" s="3" t="s">
        <v>661</v>
      </c>
      <c r="D88" s="25">
        <f>ROUND('Stavební rozpočet'!I1737,2)</f>
        <v>0</v>
      </c>
      <c r="E88" s="25">
        <f>ROUND('Stavební rozpočet'!J1737,2)</f>
        <v>0</v>
      </c>
      <c r="F88" s="25">
        <f>ROUND('Stavební rozpočet'!K1737,2)</f>
        <v>0</v>
      </c>
      <c r="G88" s="46">
        <f>'Stavební rozpočet'!M1737</f>
        <v>2.4760900000000001</v>
      </c>
      <c r="H88" s="45" t="s">
        <v>3521</v>
      </c>
      <c r="I88" s="25">
        <f t="shared" si="2"/>
        <v>0</v>
      </c>
    </row>
    <row r="89" spans="1:9" ht="14.4" x14ac:dyDescent="0.3">
      <c r="A89" s="2" t="s">
        <v>1699</v>
      </c>
      <c r="B89" s="3" t="s">
        <v>1362</v>
      </c>
      <c r="C89" s="3" t="s">
        <v>1363</v>
      </c>
      <c r="D89" s="25">
        <f>ROUND('Stavební rozpočet'!I1746,2)</f>
        <v>0</v>
      </c>
      <c r="E89" s="25">
        <f>ROUND('Stavební rozpočet'!J1746,2)</f>
        <v>0</v>
      </c>
      <c r="F89" s="25">
        <f>ROUND('Stavební rozpočet'!K1746,2)</f>
        <v>0</v>
      </c>
      <c r="G89" s="46">
        <f>'Stavební rozpočet'!M1746</f>
        <v>4.0499999999999994E-2</v>
      </c>
      <c r="H89" s="45" t="s">
        <v>3521</v>
      </c>
      <c r="I89" s="25">
        <f t="shared" si="2"/>
        <v>0</v>
      </c>
    </row>
    <row r="90" spans="1:9" ht="14.4" x14ac:dyDescent="0.3">
      <c r="A90" s="2" t="s">
        <v>1699</v>
      </c>
      <c r="B90" s="3" t="s">
        <v>1948</v>
      </c>
      <c r="C90" s="3" t="s">
        <v>1949</v>
      </c>
      <c r="D90" s="25">
        <f>ROUND('Stavební rozpočet'!I1757,2)</f>
        <v>0</v>
      </c>
      <c r="E90" s="25">
        <f>ROUND('Stavební rozpočet'!J1757,2)</f>
        <v>0</v>
      </c>
      <c r="F90" s="25">
        <f>ROUND('Stavební rozpočet'!K1757,2)</f>
        <v>0</v>
      </c>
      <c r="G90" s="46">
        <f>'Stavební rozpočet'!M1757</f>
        <v>0.46315000000000001</v>
      </c>
      <c r="H90" s="45" t="s">
        <v>3521</v>
      </c>
      <c r="I90" s="25">
        <f t="shared" si="2"/>
        <v>0</v>
      </c>
    </row>
    <row r="91" spans="1:9" ht="14.4" x14ac:dyDescent="0.3">
      <c r="A91" s="2" t="s">
        <v>1699</v>
      </c>
      <c r="B91" s="3" t="s">
        <v>2019</v>
      </c>
      <c r="C91" s="3" t="s">
        <v>2020</v>
      </c>
      <c r="D91" s="25">
        <f>ROUND('Stavební rozpočet'!I1799,2)</f>
        <v>0</v>
      </c>
      <c r="E91" s="25">
        <f>ROUND('Stavební rozpočet'!J1799,2)</f>
        <v>0</v>
      </c>
      <c r="F91" s="25">
        <f>ROUND('Stavební rozpočet'!K1799,2)</f>
        <v>0</v>
      </c>
      <c r="G91" s="46">
        <f>'Stavební rozpočet'!M1799</f>
        <v>0.19247</v>
      </c>
      <c r="H91" s="45" t="s">
        <v>3521</v>
      </c>
      <c r="I91" s="25">
        <f t="shared" si="2"/>
        <v>0</v>
      </c>
    </row>
    <row r="92" spans="1:9" ht="14.4" x14ac:dyDescent="0.3">
      <c r="A92" s="2" t="s">
        <v>1699</v>
      </c>
      <c r="B92" s="3" t="s">
        <v>2083</v>
      </c>
      <c r="C92" s="3" t="s">
        <v>2084</v>
      </c>
      <c r="D92" s="25">
        <f>ROUND('Stavební rozpočet'!I1830,2)</f>
        <v>0</v>
      </c>
      <c r="E92" s="25">
        <f>ROUND('Stavební rozpočet'!J1830,2)</f>
        <v>0</v>
      </c>
      <c r="F92" s="25">
        <f>ROUND('Stavební rozpočet'!K1830,2)</f>
        <v>0</v>
      </c>
      <c r="G92" s="46">
        <f>'Stavební rozpočet'!M1830</f>
        <v>7.6875200000000001</v>
      </c>
      <c r="H92" s="45" t="s">
        <v>3521</v>
      </c>
      <c r="I92" s="25">
        <f t="shared" si="2"/>
        <v>0</v>
      </c>
    </row>
    <row r="93" spans="1:9" ht="14.4" x14ac:dyDescent="0.3">
      <c r="A93" s="2" t="s">
        <v>1699</v>
      </c>
      <c r="B93" s="3" t="s">
        <v>95</v>
      </c>
      <c r="C93" s="3" t="s">
        <v>96</v>
      </c>
      <c r="D93" s="25">
        <f>ROUND('Stavební rozpočet'!I1845,2)</f>
        <v>0</v>
      </c>
      <c r="E93" s="25">
        <f>ROUND('Stavební rozpočet'!J1845,2)</f>
        <v>0</v>
      </c>
      <c r="F93" s="25">
        <f>ROUND('Stavební rozpočet'!K1845,2)</f>
        <v>0</v>
      </c>
      <c r="G93" s="46">
        <f>'Stavební rozpočet'!M1845</f>
        <v>0.40175999999999989</v>
      </c>
      <c r="H93" s="45" t="s">
        <v>3521</v>
      </c>
      <c r="I93" s="25">
        <f t="shared" si="2"/>
        <v>0</v>
      </c>
    </row>
    <row r="94" spans="1:9" ht="14.4" x14ac:dyDescent="0.3">
      <c r="A94" s="2" t="s">
        <v>1699</v>
      </c>
      <c r="B94" s="3" t="s">
        <v>2198</v>
      </c>
      <c r="C94" s="3" t="s">
        <v>2199</v>
      </c>
      <c r="D94" s="25">
        <f>ROUND('Stavební rozpočet'!I1891,2)</f>
        <v>0</v>
      </c>
      <c r="E94" s="25">
        <f>ROUND('Stavební rozpočet'!J1891,2)</f>
        <v>0</v>
      </c>
      <c r="F94" s="25">
        <f>ROUND('Stavební rozpočet'!K1891,2)</f>
        <v>0</v>
      </c>
      <c r="G94" s="46">
        <f>'Stavební rozpočet'!M1891</f>
        <v>5.2540000000000003E-2</v>
      </c>
      <c r="H94" s="45" t="s">
        <v>3521</v>
      </c>
      <c r="I94" s="25">
        <f t="shared" si="2"/>
        <v>0</v>
      </c>
    </row>
    <row r="95" spans="1:9" ht="14.4" x14ac:dyDescent="0.3">
      <c r="A95" s="2" t="s">
        <v>1699</v>
      </c>
      <c r="B95" s="3" t="s">
        <v>2258</v>
      </c>
      <c r="C95" s="3" t="s">
        <v>2259</v>
      </c>
      <c r="D95" s="25">
        <f>ROUND('Stavební rozpočet'!I1916,2)</f>
        <v>0</v>
      </c>
      <c r="E95" s="25">
        <f>ROUND('Stavební rozpočet'!J1916,2)</f>
        <v>0</v>
      </c>
      <c r="F95" s="25">
        <f>ROUND('Stavební rozpočet'!K1916,2)</f>
        <v>0</v>
      </c>
      <c r="G95" s="46">
        <f>'Stavební rozpočet'!M1916</f>
        <v>2.93E-2</v>
      </c>
      <c r="H95" s="45" t="s">
        <v>3521</v>
      </c>
      <c r="I95" s="25">
        <f t="shared" si="2"/>
        <v>0</v>
      </c>
    </row>
    <row r="96" spans="1:9" ht="14.4" x14ac:dyDescent="0.3">
      <c r="A96" s="2" t="s">
        <v>1699</v>
      </c>
      <c r="B96" s="3" t="s">
        <v>555</v>
      </c>
      <c r="C96" s="3" t="s">
        <v>1675</v>
      </c>
      <c r="D96" s="25">
        <f>ROUND('Stavební rozpočet'!I1938,2)</f>
        <v>0</v>
      </c>
      <c r="E96" s="25">
        <f>ROUND('Stavební rozpočet'!J1938,2)</f>
        <v>0</v>
      </c>
      <c r="F96" s="25">
        <f>ROUND('Stavební rozpočet'!K1938,2)</f>
        <v>0</v>
      </c>
      <c r="G96" s="46">
        <f>'Stavební rozpočet'!M1938</f>
        <v>0</v>
      </c>
      <c r="H96" s="45" t="s">
        <v>3521</v>
      </c>
      <c r="I96" s="25">
        <f t="shared" si="2"/>
        <v>0</v>
      </c>
    </row>
    <row r="97" spans="1:9" ht="14.4" x14ac:dyDescent="0.3">
      <c r="A97" s="2" t="s">
        <v>1699</v>
      </c>
      <c r="B97" s="3" t="s">
        <v>209</v>
      </c>
      <c r="C97" s="3" t="s">
        <v>210</v>
      </c>
      <c r="D97" s="25">
        <f>ROUND('Stavební rozpočet'!I1943,2)</f>
        <v>0</v>
      </c>
      <c r="E97" s="25">
        <f>ROUND('Stavební rozpočet'!J1943,2)</f>
        <v>0</v>
      </c>
      <c r="F97" s="25">
        <f>ROUND('Stavební rozpočet'!K1943,2)</f>
        <v>0</v>
      </c>
      <c r="G97" s="46">
        <f>'Stavební rozpočet'!M1943</f>
        <v>1.0204399999999999E-2</v>
      </c>
      <c r="H97" s="45" t="s">
        <v>3521</v>
      </c>
      <c r="I97" s="25">
        <f t="shared" si="2"/>
        <v>0</v>
      </c>
    </row>
    <row r="98" spans="1:9" ht="14.4" x14ac:dyDescent="0.3">
      <c r="A98" s="2" t="s">
        <v>1699</v>
      </c>
      <c r="B98" s="3" t="s">
        <v>273</v>
      </c>
      <c r="C98" s="3" t="s">
        <v>274</v>
      </c>
      <c r="D98" s="25">
        <f>ROUND('Stavební rozpočet'!I1948,2)</f>
        <v>0</v>
      </c>
      <c r="E98" s="25">
        <f>ROUND('Stavební rozpočet'!J1948,2)</f>
        <v>0</v>
      </c>
      <c r="F98" s="25">
        <f>ROUND('Stavební rozpočet'!K1948,2)</f>
        <v>0</v>
      </c>
      <c r="G98" s="46">
        <f>'Stavební rozpočet'!M1948</f>
        <v>0</v>
      </c>
      <c r="H98" s="45" t="s">
        <v>3521</v>
      </c>
      <c r="I98" s="25">
        <f t="shared" si="2"/>
        <v>0</v>
      </c>
    </row>
    <row r="99" spans="1:9" ht="14.4" x14ac:dyDescent="0.3">
      <c r="A99" s="70" t="s">
        <v>2333</v>
      </c>
      <c r="B99" s="71" t="s">
        <v>52</v>
      </c>
      <c r="C99" s="71" t="s">
        <v>2334</v>
      </c>
      <c r="D99" s="72">
        <f>ROUND('Stavební rozpočet'!I1963,2)</f>
        <v>0</v>
      </c>
      <c r="E99" s="72">
        <f>ROUND('Stavební rozpočet'!J1963,2)</f>
        <v>0</v>
      </c>
      <c r="F99" s="72">
        <f>ROUND('Stavební rozpočet'!K1963,2)</f>
        <v>0</v>
      </c>
      <c r="G99" s="73">
        <f>'Stavební rozpočet'!M1963</f>
        <v>7.575098552600001</v>
      </c>
      <c r="H99" s="45" t="s">
        <v>3520</v>
      </c>
      <c r="I99" s="25">
        <f t="shared" si="2"/>
        <v>0</v>
      </c>
    </row>
    <row r="100" spans="1:9" ht="14.4" x14ac:dyDescent="0.3">
      <c r="A100" s="2" t="s">
        <v>2333</v>
      </c>
      <c r="B100" s="3" t="s">
        <v>175</v>
      </c>
      <c r="C100" s="3" t="s">
        <v>2335</v>
      </c>
      <c r="D100" s="25">
        <f>ROUND('Stavební rozpočet'!I1964,2)</f>
        <v>0</v>
      </c>
      <c r="E100" s="25">
        <f>ROUND('Stavební rozpočet'!J1964,2)</f>
        <v>0</v>
      </c>
      <c r="F100" s="25">
        <f>ROUND('Stavební rozpočet'!K1964,2)</f>
        <v>0</v>
      </c>
      <c r="G100" s="46">
        <f>'Stavební rozpočet'!M1964</f>
        <v>4.6410000000000007E-2</v>
      </c>
      <c r="H100" s="45" t="s">
        <v>3521</v>
      </c>
      <c r="I100" s="25">
        <f t="shared" si="2"/>
        <v>0</v>
      </c>
    </row>
    <row r="101" spans="1:9" ht="14.4" x14ac:dyDescent="0.3">
      <c r="A101" s="2" t="s">
        <v>2333</v>
      </c>
      <c r="B101" s="3" t="s">
        <v>258</v>
      </c>
      <c r="C101" s="3" t="s">
        <v>1898</v>
      </c>
      <c r="D101" s="25">
        <f>ROUND('Stavební rozpočet'!I1981,2)</f>
        <v>0</v>
      </c>
      <c r="E101" s="25">
        <f>ROUND('Stavební rozpočet'!J1981,2)</f>
        <v>0</v>
      </c>
      <c r="F101" s="25">
        <f>ROUND('Stavební rozpočet'!K1981,2)</f>
        <v>0</v>
      </c>
      <c r="G101" s="46">
        <f>'Stavební rozpočet'!M1981</f>
        <v>4.5254000000000012</v>
      </c>
      <c r="H101" s="45" t="s">
        <v>3521</v>
      </c>
      <c r="I101" s="25">
        <f t="shared" si="2"/>
        <v>0</v>
      </c>
    </row>
    <row r="102" spans="1:9" ht="14.4" x14ac:dyDescent="0.3">
      <c r="A102" s="2" t="s">
        <v>2333</v>
      </c>
      <c r="B102" s="3" t="s">
        <v>559</v>
      </c>
      <c r="C102" s="3" t="s">
        <v>560</v>
      </c>
      <c r="D102" s="25">
        <f>ROUND('Stavební rozpočet'!I1994,2)</f>
        <v>0</v>
      </c>
      <c r="E102" s="25">
        <f>ROUND('Stavební rozpočet'!J1994,2)</f>
        <v>0</v>
      </c>
      <c r="F102" s="25">
        <f>ROUND('Stavební rozpočet'!K1994,2)</f>
        <v>0</v>
      </c>
      <c r="G102" s="46">
        <f>'Stavební rozpočet'!M1994</f>
        <v>1.3455799999999998</v>
      </c>
      <c r="H102" s="45" t="s">
        <v>3521</v>
      </c>
      <c r="I102" s="25">
        <f t="shared" si="2"/>
        <v>0</v>
      </c>
    </row>
    <row r="103" spans="1:9" ht="14.4" x14ac:dyDescent="0.3">
      <c r="A103" s="2" t="s">
        <v>2333</v>
      </c>
      <c r="B103" s="3" t="s">
        <v>298</v>
      </c>
      <c r="C103" s="3" t="s">
        <v>2441</v>
      </c>
      <c r="D103" s="25">
        <f>ROUND('Stavební rozpočet'!I2030,2)</f>
        <v>0</v>
      </c>
      <c r="E103" s="25">
        <f>ROUND('Stavební rozpočet'!J2030,2)</f>
        <v>0</v>
      </c>
      <c r="F103" s="25">
        <f>ROUND('Stavební rozpočet'!K2030,2)</f>
        <v>0</v>
      </c>
      <c r="G103" s="46">
        <f>'Stavební rozpočet'!M2030</f>
        <v>0.25991999999999998</v>
      </c>
      <c r="H103" s="45" t="s">
        <v>3521</v>
      </c>
      <c r="I103" s="25">
        <f t="shared" si="2"/>
        <v>0</v>
      </c>
    </row>
    <row r="104" spans="1:9" ht="14.4" x14ac:dyDescent="0.3">
      <c r="A104" s="2" t="s">
        <v>2333</v>
      </c>
      <c r="B104" s="3" t="s">
        <v>438</v>
      </c>
      <c r="C104" s="3" t="s">
        <v>2455</v>
      </c>
      <c r="D104" s="25">
        <f>ROUND('Stavební rozpočet'!I2041,2)</f>
        <v>0</v>
      </c>
      <c r="E104" s="25">
        <f>ROUND('Stavební rozpočet'!J2041,2)</f>
        <v>0</v>
      </c>
      <c r="F104" s="25">
        <f>ROUND('Stavební rozpočet'!K2041,2)</f>
        <v>0</v>
      </c>
      <c r="G104" s="46">
        <f>'Stavební rozpočet'!M2041</f>
        <v>1.7100000000000001E-2</v>
      </c>
      <c r="H104" s="45" t="s">
        <v>3521</v>
      </c>
      <c r="I104" s="25">
        <f t="shared" si="2"/>
        <v>0</v>
      </c>
    </row>
    <row r="105" spans="1:9" ht="14.4" x14ac:dyDescent="0.3">
      <c r="A105" s="2" t="s">
        <v>2333</v>
      </c>
      <c r="B105" s="3" t="s">
        <v>2467</v>
      </c>
      <c r="C105" s="3" t="s">
        <v>2468</v>
      </c>
      <c r="D105" s="25">
        <f>ROUND('Stavební rozpočet'!I2050,2)</f>
        <v>0</v>
      </c>
      <c r="E105" s="25">
        <f>ROUND('Stavební rozpočet'!J2050,2)</f>
        <v>0</v>
      </c>
      <c r="F105" s="25">
        <f>ROUND('Stavební rozpočet'!K2050,2)</f>
        <v>0</v>
      </c>
      <c r="G105" s="46">
        <f>'Stavební rozpočet'!M2050</f>
        <v>0.61709500000000006</v>
      </c>
      <c r="H105" s="45" t="s">
        <v>3521</v>
      </c>
      <c r="I105" s="25">
        <f t="shared" si="2"/>
        <v>0</v>
      </c>
    </row>
    <row r="106" spans="1:9" ht="14.4" x14ac:dyDescent="0.3">
      <c r="A106" s="2" t="s">
        <v>2333</v>
      </c>
      <c r="B106" s="3" t="s">
        <v>555</v>
      </c>
      <c r="C106" s="3" t="s">
        <v>1675</v>
      </c>
      <c r="D106" s="25">
        <f>ROUND('Stavební rozpočet'!I2144,2)</f>
        <v>0</v>
      </c>
      <c r="E106" s="25">
        <f>ROUND('Stavební rozpočet'!J2144,2)</f>
        <v>0</v>
      </c>
      <c r="F106" s="25">
        <f>ROUND('Stavební rozpočet'!K2144,2)</f>
        <v>0</v>
      </c>
      <c r="G106" s="46">
        <f>'Stavební rozpočet'!M2144</f>
        <v>0</v>
      </c>
      <c r="H106" s="45" t="s">
        <v>3521</v>
      </c>
      <c r="I106" s="25">
        <f t="shared" si="2"/>
        <v>0</v>
      </c>
    </row>
    <row r="107" spans="1:9" ht="14.4" x14ac:dyDescent="0.3">
      <c r="A107" s="2" t="s">
        <v>2333</v>
      </c>
      <c r="B107" s="3" t="s">
        <v>2626</v>
      </c>
      <c r="C107" s="3" t="s">
        <v>2627</v>
      </c>
      <c r="D107" s="25">
        <f>ROUND('Stavební rozpočet'!I2155,2)</f>
        <v>0</v>
      </c>
      <c r="E107" s="25">
        <f>ROUND('Stavební rozpočet'!J2155,2)</f>
        <v>0</v>
      </c>
      <c r="F107" s="25">
        <f>ROUND('Stavební rozpočet'!K2155,2)</f>
        <v>0</v>
      </c>
      <c r="G107" s="46">
        <f>'Stavební rozpočet'!M2155</f>
        <v>0.76359355260000006</v>
      </c>
      <c r="H107" s="45" t="s">
        <v>3521</v>
      </c>
      <c r="I107" s="25">
        <f t="shared" ref="I107:I138" si="3">IF(H107="F",0,F107)</f>
        <v>0</v>
      </c>
    </row>
    <row r="108" spans="1:9" ht="14.4" x14ac:dyDescent="0.3">
      <c r="A108" s="2" t="s">
        <v>2333</v>
      </c>
      <c r="B108" s="3" t="s">
        <v>2639</v>
      </c>
      <c r="C108" s="3" t="s">
        <v>1700</v>
      </c>
      <c r="D108" s="25">
        <f>ROUND('Stavební rozpočet'!I2165,2)</f>
        <v>0</v>
      </c>
      <c r="E108" s="25">
        <f>ROUND('Stavební rozpočet'!J2165,2)</f>
        <v>0</v>
      </c>
      <c r="F108" s="25">
        <f>ROUND('Stavební rozpočet'!K2165,2)</f>
        <v>0</v>
      </c>
      <c r="G108" s="46">
        <f>'Stavební rozpočet'!M2165</f>
        <v>0</v>
      </c>
      <c r="H108" s="45" t="s">
        <v>3521</v>
      </c>
      <c r="I108" s="25">
        <f t="shared" si="3"/>
        <v>0</v>
      </c>
    </row>
    <row r="109" spans="1:9" ht="14.4" x14ac:dyDescent="0.3">
      <c r="A109" s="2" t="s">
        <v>2333</v>
      </c>
      <c r="B109" s="3" t="s">
        <v>2645</v>
      </c>
      <c r="C109" s="3" t="s">
        <v>2084</v>
      </c>
      <c r="D109" s="25">
        <f>ROUND('Stavební rozpočet'!I2168,2)</f>
        <v>0</v>
      </c>
      <c r="E109" s="25">
        <f>ROUND('Stavební rozpočet'!J2168,2)</f>
        <v>0</v>
      </c>
      <c r="F109" s="25">
        <f>ROUND('Stavební rozpočet'!K2168,2)</f>
        <v>0</v>
      </c>
      <c r="G109" s="46">
        <f>'Stavební rozpočet'!M2168</f>
        <v>0</v>
      </c>
      <c r="H109" s="45" t="s">
        <v>3521</v>
      </c>
      <c r="I109" s="25">
        <f t="shared" si="3"/>
        <v>0</v>
      </c>
    </row>
    <row r="110" spans="1:9" ht="14.4" x14ac:dyDescent="0.3">
      <c r="A110" s="70" t="s">
        <v>2657</v>
      </c>
      <c r="B110" s="71" t="s">
        <v>52</v>
      </c>
      <c r="C110" s="71" t="s">
        <v>2658</v>
      </c>
      <c r="D110" s="72">
        <f>ROUND('Stavební rozpočet'!I2175,2)</f>
        <v>0</v>
      </c>
      <c r="E110" s="72">
        <f>ROUND('Stavební rozpočet'!J2175,2)</f>
        <v>0</v>
      </c>
      <c r="F110" s="72">
        <f>ROUND('Stavební rozpočet'!K2175,2)</f>
        <v>0</v>
      </c>
      <c r="G110" s="73">
        <f>'Stavební rozpočet'!M2175</f>
        <v>4.4406008000000003</v>
      </c>
      <c r="H110" s="45" t="s">
        <v>3520</v>
      </c>
      <c r="I110" s="25">
        <f t="shared" si="3"/>
        <v>0</v>
      </c>
    </row>
    <row r="111" spans="1:9" ht="14.4" x14ac:dyDescent="0.3">
      <c r="A111" s="2" t="s">
        <v>2657</v>
      </c>
      <c r="B111" s="3" t="s">
        <v>320</v>
      </c>
      <c r="C111" s="3" t="s">
        <v>617</v>
      </c>
      <c r="D111" s="25">
        <f>ROUND('Stavební rozpočet'!I2176,2)</f>
        <v>0</v>
      </c>
      <c r="E111" s="25">
        <f>ROUND('Stavební rozpočet'!J2176,2)</f>
        <v>0</v>
      </c>
      <c r="F111" s="25">
        <f>ROUND('Stavební rozpočet'!K2176,2)</f>
        <v>0</v>
      </c>
      <c r="G111" s="46">
        <f>'Stavební rozpočet'!M2176</f>
        <v>0.10790080000000001</v>
      </c>
      <c r="H111" s="45" t="s">
        <v>3521</v>
      </c>
      <c r="I111" s="25">
        <f t="shared" si="3"/>
        <v>0</v>
      </c>
    </row>
    <row r="112" spans="1:9" ht="14.4" x14ac:dyDescent="0.3">
      <c r="A112" s="2" t="s">
        <v>2657</v>
      </c>
      <c r="B112" s="3" t="s">
        <v>429</v>
      </c>
      <c r="C112" s="3" t="s">
        <v>1898</v>
      </c>
      <c r="D112" s="25">
        <f>ROUND('Stavební rozpočet'!I2179,2)</f>
        <v>0</v>
      </c>
      <c r="E112" s="25">
        <f>ROUND('Stavební rozpočet'!J2179,2)</f>
        <v>0</v>
      </c>
      <c r="F112" s="25">
        <f>ROUND('Stavební rozpočet'!K2179,2)</f>
        <v>0</v>
      </c>
      <c r="G112" s="46">
        <f>'Stavební rozpočet'!M2179</f>
        <v>5.4599999999999996E-3</v>
      </c>
      <c r="H112" s="45" t="s">
        <v>3521</v>
      </c>
      <c r="I112" s="25">
        <f t="shared" si="3"/>
        <v>0</v>
      </c>
    </row>
    <row r="113" spans="1:9" ht="14.4" x14ac:dyDescent="0.3">
      <c r="A113" s="2" t="s">
        <v>2657</v>
      </c>
      <c r="B113" s="3" t="s">
        <v>1362</v>
      </c>
      <c r="C113" s="3" t="s">
        <v>1363</v>
      </c>
      <c r="D113" s="25">
        <f>ROUND('Stavební rozpočet'!I2207,2)</f>
        <v>0</v>
      </c>
      <c r="E113" s="25">
        <f>ROUND('Stavební rozpočet'!J2207,2)</f>
        <v>0</v>
      </c>
      <c r="F113" s="25">
        <f>ROUND('Stavební rozpočet'!K2207,2)</f>
        <v>0</v>
      </c>
      <c r="G113" s="46">
        <f>'Stavební rozpočet'!M2207</f>
        <v>1.6E-2</v>
      </c>
      <c r="H113" s="45" t="s">
        <v>3521</v>
      </c>
      <c r="I113" s="25">
        <f t="shared" si="3"/>
        <v>0</v>
      </c>
    </row>
    <row r="114" spans="1:9" ht="14.4" x14ac:dyDescent="0.3">
      <c r="A114" s="2" t="s">
        <v>2657</v>
      </c>
      <c r="B114" s="3" t="s">
        <v>79</v>
      </c>
      <c r="C114" s="3" t="s">
        <v>80</v>
      </c>
      <c r="D114" s="25">
        <f>ROUND('Stavební rozpočet'!I2218,2)</f>
        <v>0</v>
      </c>
      <c r="E114" s="25">
        <f>ROUND('Stavební rozpočet'!J2218,2)</f>
        <v>0</v>
      </c>
      <c r="F114" s="25">
        <f>ROUND('Stavební rozpočet'!K2218,2)</f>
        <v>0</v>
      </c>
      <c r="G114" s="46">
        <f>'Stavební rozpočet'!M2218</f>
        <v>1.806E-2</v>
      </c>
      <c r="H114" s="45" t="s">
        <v>3521</v>
      </c>
      <c r="I114" s="25">
        <f t="shared" si="3"/>
        <v>0</v>
      </c>
    </row>
    <row r="115" spans="1:9" ht="14.4" x14ac:dyDescent="0.3">
      <c r="A115" s="2" t="s">
        <v>2657</v>
      </c>
      <c r="B115" s="3" t="s">
        <v>2083</v>
      </c>
      <c r="C115" s="3" t="s">
        <v>2084</v>
      </c>
      <c r="D115" s="25">
        <f>ROUND('Stavební rozpočet'!I2227,2)</f>
        <v>0</v>
      </c>
      <c r="E115" s="25">
        <f>ROUND('Stavební rozpočet'!J2227,2)</f>
        <v>0</v>
      </c>
      <c r="F115" s="25">
        <f>ROUND('Stavební rozpočet'!K2227,2)</f>
        <v>0</v>
      </c>
      <c r="G115" s="46">
        <f>'Stavební rozpočet'!M2227</f>
        <v>0.99122999999999994</v>
      </c>
      <c r="H115" s="45" t="s">
        <v>3521</v>
      </c>
      <c r="I115" s="25">
        <f t="shared" si="3"/>
        <v>0</v>
      </c>
    </row>
    <row r="116" spans="1:9" ht="14.4" x14ac:dyDescent="0.3">
      <c r="A116" s="2" t="s">
        <v>2657</v>
      </c>
      <c r="B116" s="3" t="s">
        <v>2731</v>
      </c>
      <c r="C116" s="3" t="s">
        <v>2732</v>
      </c>
      <c r="D116" s="25">
        <f>ROUND('Stavební rozpočet'!I2234,2)</f>
        <v>0</v>
      </c>
      <c r="E116" s="25">
        <f>ROUND('Stavební rozpočet'!J2234,2)</f>
        <v>0</v>
      </c>
      <c r="F116" s="25">
        <f>ROUND('Stavební rozpočet'!K2234,2)</f>
        <v>0</v>
      </c>
      <c r="G116" s="46">
        <f>'Stavební rozpočet'!M2234</f>
        <v>0.74653999999999998</v>
      </c>
      <c r="H116" s="45" t="s">
        <v>3521</v>
      </c>
      <c r="I116" s="25">
        <f t="shared" si="3"/>
        <v>0</v>
      </c>
    </row>
    <row r="117" spans="1:9" ht="14.4" x14ac:dyDescent="0.3">
      <c r="A117" s="2" t="s">
        <v>2657</v>
      </c>
      <c r="B117" s="3" t="s">
        <v>2759</v>
      </c>
      <c r="C117" s="3" t="s">
        <v>2760</v>
      </c>
      <c r="D117" s="25">
        <f>ROUND('Stavební rozpočet'!I2257,2)</f>
        <v>0</v>
      </c>
      <c r="E117" s="25">
        <f>ROUND('Stavební rozpočet'!J2257,2)</f>
        <v>0</v>
      </c>
      <c r="F117" s="25">
        <f>ROUND('Stavební rozpočet'!K2257,2)</f>
        <v>0</v>
      </c>
      <c r="G117" s="46">
        <f>'Stavební rozpočet'!M2257</f>
        <v>1.3124</v>
      </c>
      <c r="H117" s="45" t="s">
        <v>3521</v>
      </c>
      <c r="I117" s="25">
        <f t="shared" si="3"/>
        <v>0</v>
      </c>
    </row>
    <row r="118" spans="1:9" ht="14.4" x14ac:dyDescent="0.3">
      <c r="A118" s="2" t="s">
        <v>2657</v>
      </c>
      <c r="B118" s="3" t="s">
        <v>2258</v>
      </c>
      <c r="C118" s="3" t="s">
        <v>2259</v>
      </c>
      <c r="D118" s="25">
        <f>ROUND('Stavební rozpočet'!I2278,2)</f>
        <v>0</v>
      </c>
      <c r="E118" s="25">
        <f>ROUND('Stavební rozpočet'!J2278,2)</f>
        <v>0</v>
      </c>
      <c r="F118" s="25">
        <f>ROUND('Stavební rozpočet'!K2278,2)</f>
        <v>0</v>
      </c>
      <c r="G118" s="46">
        <f>'Stavební rozpočet'!M2278</f>
        <v>3.2409999999999994E-2</v>
      </c>
      <c r="H118" s="45" t="s">
        <v>3521</v>
      </c>
      <c r="I118" s="25">
        <f t="shared" si="3"/>
        <v>0</v>
      </c>
    </row>
    <row r="119" spans="1:9" ht="14.4" x14ac:dyDescent="0.3">
      <c r="A119" s="2" t="s">
        <v>2657</v>
      </c>
      <c r="B119" s="3" t="s">
        <v>2790</v>
      </c>
      <c r="C119" s="3" t="s">
        <v>2844</v>
      </c>
      <c r="D119" s="25">
        <f>ROUND('Stavební rozpočet'!I2313,2)</f>
        <v>0</v>
      </c>
      <c r="E119" s="25">
        <f>ROUND('Stavební rozpočet'!J2313,2)</f>
        <v>0</v>
      </c>
      <c r="F119" s="25">
        <f>ROUND('Stavební rozpočet'!K2313,2)</f>
        <v>0</v>
      </c>
      <c r="G119" s="46">
        <f>'Stavební rozpočet'!M2313</f>
        <v>1.1970600000000002</v>
      </c>
      <c r="H119" s="45" t="s">
        <v>3521</v>
      </c>
      <c r="I119" s="25">
        <f t="shared" si="3"/>
        <v>0</v>
      </c>
    </row>
    <row r="120" spans="1:9" ht="14.4" x14ac:dyDescent="0.3">
      <c r="A120" s="2" t="s">
        <v>2657</v>
      </c>
      <c r="B120" s="3" t="s">
        <v>555</v>
      </c>
      <c r="C120" s="3" t="s">
        <v>1675</v>
      </c>
      <c r="D120" s="25">
        <f>ROUND('Stavební rozpočet'!I2351,2)</f>
        <v>0</v>
      </c>
      <c r="E120" s="25">
        <f>ROUND('Stavební rozpočet'!J2351,2)</f>
        <v>0</v>
      </c>
      <c r="F120" s="25">
        <f>ROUND('Stavební rozpočet'!K2351,2)</f>
        <v>0</v>
      </c>
      <c r="G120" s="46">
        <f>'Stavební rozpočet'!M2351</f>
        <v>0</v>
      </c>
      <c r="H120" s="45" t="s">
        <v>3521</v>
      </c>
      <c r="I120" s="25">
        <f t="shared" si="3"/>
        <v>0</v>
      </c>
    </row>
    <row r="121" spans="1:9" ht="14.4" x14ac:dyDescent="0.3">
      <c r="A121" s="2" t="s">
        <v>2657</v>
      </c>
      <c r="B121" s="3" t="s">
        <v>209</v>
      </c>
      <c r="C121" s="3" t="s">
        <v>210</v>
      </c>
      <c r="D121" s="25">
        <f>ROUND('Stavební rozpočet'!I2356,2)</f>
        <v>0</v>
      </c>
      <c r="E121" s="25">
        <f>ROUND('Stavební rozpočet'!J2356,2)</f>
        <v>0</v>
      </c>
      <c r="F121" s="25">
        <f>ROUND('Stavební rozpočet'!K2356,2)</f>
        <v>0</v>
      </c>
      <c r="G121" s="46">
        <f>'Stavební rozpočet'!M2356</f>
        <v>1.354E-2</v>
      </c>
      <c r="H121" s="45" t="s">
        <v>3521</v>
      </c>
      <c r="I121" s="25">
        <f t="shared" si="3"/>
        <v>0</v>
      </c>
    </row>
    <row r="122" spans="1:9" ht="14.4" x14ac:dyDescent="0.3">
      <c r="A122" s="2" t="s">
        <v>2657</v>
      </c>
      <c r="B122" s="3" t="s">
        <v>273</v>
      </c>
      <c r="C122" s="3" t="s">
        <v>274</v>
      </c>
      <c r="D122" s="25">
        <f>ROUND('Stavební rozpočet'!I2359,2)</f>
        <v>0</v>
      </c>
      <c r="E122" s="25">
        <f>ROUND('Stavební rozpočet'!J2359,2)</f>
        <v>0</v>
      </c>
      <c r="F122" s="25">
        <f>ROUND('Stavební rozpočet'!K2359,2)</f>
        <v>0</v>
      </c>
      <c r="G122" s="46">
        <f>'Stavební rozpočet'!M2359</f>
        <v>0</v>
      </c>
      <c r="H122" s="45" t="s">
        <v>3521</v>
      </c>
      <c r="I122" s="25">
        <f t="shared" si="3"/>
        <v>0</v>
      </c>
    </row>
    <row r="123" spans="1:9" ht="14.4" x14ac:dyDescent="0.3">
      <c r="A123" s="70" t="s">
        <v>2900</v>
      </c>
      <c r="B123" s="71" t="s">
        <v>52</v>
      </c>
      <c r="C123" s="71" t="s">
        <v>2901</v>
      </c>
      <c r="D123" s="72">
        <f>ROUND('Stavební rozpočet'!I2374,2)</f>
        <v>0</v>
      </c>
      <c r="E123" s="72">
        <f>ROUND('Stavební rozpočet'!J2374,2)</f>
        <v>0</v>
      </c>
      <c r="F123" s="72">
        <f>ROUND('Stavební rozpočet'!K2374,2)</f>
        <v>0</v>
      </c>
      <c r="G123" s="73">
        <f>'Stavební rozpočet'!M2374</f>
        <v>6.8914819999999999</v>
      </c>
      <c r="H123" s="45" t="s">
        <v>3520</v>
      </c>
      <c r="I123" s="25">
        <f t="shared" si="3"/>
        <v>0</v>
      </c>
    </row>
    <row r="124" spans="1:9" ht="14.4" x14ac:dyDescent="0.3">
      <c r="A124" s="2" t="s">
        <v>2900</v>
      </c>
      <c r="B124" s="3" t="s">
        <v>320</v>
      </c>
      <c r="C124" s="3" t="s">
        <v>617</v>
      </c>
      <c r="D124" s="25">
        <f>ROUND('Stavební rozpočet'!I2375,2)</f>
        <v>0</v>
      </c>
      <c r="E124" s="25">
        <f>ROUND('Stavební rozpočet'!J2375,2)</f>
        <v>0</v>
      </c>
      <c r="F124" s="25">
        <f>ROUND('Stavební rozpočet'!K2375,2)</f>
        <v>0</v>
      </c>
      <c r="G124" s="46">
        <f>'Stavební rozpočet'!M2375</f>
        <v>0.26975199999999999</v>
      </c>
      <c r="H124" s="45" t="s">
        <v>3521</v>
      </c>
      <c r="I124" s="25">
        <f t="shared" si="3"/>
        <v>0</v>
      </c>
    </row>
    <row r="125" spans="1:9" ht="14.4" x14ac:dyDescent="0.3">
      <c r="A125" s="2" t="s">
        <v>2900</v>
      </c>
      <c r="B125" s="3" t="s">
        <v>429</v>
      </c>
      <c r="C125" s="3" t="s">
        <v>1898</v>
      </c>
      <c r="D125" s="25">
        <f>ROUND('Stavební rozpočet'!I2378,2)</f>
        <v>0</v>
      </c>
      <c r="E125" s="25">
        <f>ROUND('Stavební rozpočet'!J2378,2)</f>
        <v>0</v>
      </c>
      <c r="F125" s="25">
        <f>ROUND('Stavební rozpočet'!K2378,2)</f>
        <v>0</v>
      </c>
      <c r="G125" s="46">
        <f>'Stavební rozpočet'!M2378</f>
        <v>9.7400000000000004E-3</v>
      </c>
      <c r="H125" s="45" t="s">
        <v>3521</v>
      </c>
      <c r="I125" s="25">
        <f t="shared" si="3"/>
        <v>0</v>
      </c>
    </row>
    <row r="126" spans="1:9" ht="14.4" x14ac:dyDescent="0.3">
      <c r="A126" s="2" t="s">
        <v>2900</v>
      </c>
      <c r="B126" s="3" t="s">
        <v>434</v>
      </c>
      <c r="C126" s="3" t="s">
        <v>661</v>
      </c>
      <c r="D126" s="25">
        <f>ROUND('Stavební rozpočet'!I2395,2)</f>
        <v>0</v>
      </c>
      <c r="E126" s="25">
        <f>ROUND('Stavební rozpočet'!J2395,2)</f>
        <v>0</v>
      </c>
      <c r="F126" s="25">
        <f>ROUND('Stavební rozpočet'!K2395,2)</f>
        <v>0</v>
      </c>
      <c r="G126" s="46">
        <f>'Stavební rozpočet'!M2395</f>
        <v>2.8858900000000003</v>
      </c>
      <c r="H126" s="45" t="s">
        <v>3521</v>
      </c>
      <c r="I126" s="25">
        <f t="shared" si="3"/>
        <v>0</v>
      </c>
    </row>
    <row r="127" spans="1:9" ht="14.4" x14ac:dyDescent="0.3">
      <c r="A127" s="2" t="s">
        <v>2900</v>
      </c>
      <c r="B127" s="3" t="s">
        <v>1362</v>
      </c>
      <c r="C127" s="3" t="s">
        <v>1363</v>
      </c>
      <c r="D127" s="25">
        <f>ROUND('Stavební rozpočet'!I2402,2)</f>
        <v>0</v>
      </c>
      <c r="E127" s="25">
        <f>ROUND('Stavební rozpočet'!J2402,2)</f>
        <v>0</v>
      </c>
      <c r="F127" s="25">
        <f>ROUND('Stavební rozpočet'!K2402,2)</f>
        <v>0</v>
      </c>
      <c r="G127" s="46">
        <f>'Stavební rozpočet'!M2402</f>
        <v>8.0999999999999996E-3</v>
      </c>
      <c r="H127" s="45" t="s">
        <v>3521</v>
      </c>
      <c r="I127" s="25">
        <f t="shared" si="3"/>
        <v>0</v>
      </c>
    </row>
    <row r="128" spans="1:9" ht="14.4" x14ac:dyDescent="0.3">
      <c r="A128" s="2" t="s">
        <v>2900</v>
      </c>
      <c r="B128" s="3" t="s">
        <v>555</v>
      </c>
      <c r="C128" s="3" t="s">
        <v>1675</v>
      </c>
      <c r="D128" s="25">
        <f>ROUND('Stavební rozpočet'!I2413,2)</f>
        <v>0</v>
      </c>
      <c r="E128" s="25">
        <f>ROUND('Stavební rozpočet'!J2413,2)</f>
        <v>0</v>
      </c>
      <c r="F128" s="25">
        <f>ROUND('Stavební rozpočet'!K2413,2)</f>
        <v>0</v>
      </c>
      <c r="G128" s="46">
        <f>'Stavební rozpočet'!M2413</f>
        <v>0</v>
      </c>
      <c r="H128" s="45" t="s">
        <v>3521</v>
      </c>
      <c r="I128" s="25">
        <f t="shared" si="3"/>
        <v>0</v>
      </c>
    </row>
    <row r="129" spans="1:9" ht="14.4" x14ac:dyDescent="0.3">
      <c r="A129" s="2" t="s">
        <v>2900</v>
      </c>
      <c r="B129" s="3" t="s">
        <v>209</v>
      </c>
      <c r="C129" s="3" t="s">
        <v>210</v>
      </c>
      <c r="D129" s="25">
        <f>ROUND('Stavební rozpočet'!I2428,2)</f>
        <v>0</v>
      </c>
      <c r="E129" s="25">
        <f>ROUND('Stavební rozpočet'!J2428,2)</f>
        <v>0</v>
      </c>
      <c r="F129" s="25">
        <f>ROUND('Stavební rozpočet'!K2428,2)</f>
        <v>0</v>
      </c>
      <c r="G129" s="46">
        <f>'Stavební rozpočet'!M2428</f>
        <v>2.0101799999999996</v>
      </c>
      <c r="H129" s="45" t="s">
        <v>3521</v>
      </c>
      <c r="I129" s="25">
        <f t="shared" si="3"/>
        <v>0</v>
      </c>
    </row>
    <row r="130" spans="1:9" ht="14.4" x14ac:dyDescent="0.3">
      <c r="A130" s="2" t="s">
        <v>2900</v>
      </c>
      <c r="B130" s="3" t="s">
        <v>1078</v>
      </c>
      <c r="C130" s="3" t="s">
        <v>1079</v>
      </c>
      <c r="D130" s="25">
        <f>ROUND('Stavební rozpočet'!I2435,2)</f>
        <v>0</v>
      </c>
      <c r="E130" s="25">
        <f>ROUND('Stavební rozpočet'!J2435,2)</f>
        <v>0</v>
      </c>
      <c r="F130" s="25">
        <f>ROUND('Stavební rozpočet'!K2435,2)</f>
        <v>0</v>
      </c>
      <c r="G130" s="46">
        <f>'Stavební rozpočet'!M2435</f>
        <v>0</v>
      </c>
      <c r="H130" s="45" t="s">
        <v>3521</v>
      </c>
      <c r="I130" s="25">
        <f t="shared" si="3"/>
        <v>0</v>
      </c>
    </row>
    <row r="131" spans="1:9" ht="14.4" x14ac:dyDescent="0.3">
      <c r="A131" s="2" t="s">
        <v>2900</v>
      </c>
      <c r="B131" s="3" t="s">
        <v>2969</v>
      </c>
      <c r="C131" s="3" t="s">
        <v>2970</v>
      </c>
      <c r="D131" s="25">
        <f>ROUND('Stavební rozpočet'!I2438,2)</f>
        <v>0</v>
      </c>
      <c r="E131" s="25">
        <f>ROUND('Stavební rozpočet'!J2438,2)</f>
        <v>0</v>
      </c>
      <c r="F131" s="25">
        <f>ROUND('Stavební rozpočet'!K2438,2)</f>
        <v>0</v>
      </c>
      <c r="G131" s="46">
        <f>'Stavební rozpočet'!M2438</f>
        <v>0.3</v>
      </c>
      <c r="H131" s="45" t="s">
        <v>3521</v>
      </c>
      <c r="I131" s="25">
        <f t="shared" si="3"/>
        <v>0</v>
      </c>
    </row>
    <row r="132" spans="1:9" ht="14.4" x14ac:dyDescent="0.3">
      <c r="A132" s="2" t="s">
        <v>2900</v>
      </c>
      <c r="B132" s="3" t="s">
        <v>2989</v>
      </c>
      <c r="C132" s="3" t="s">
        <v>2990</v>
      </c>
      <c r="D132" s="25">
        <f>ROUND('Stavební rozpočet'!I2451,2)</f>
        <v>0</v>
      </c>
      <c r="E132" s="25">
        <f>ROUND('Stavební rozpočet'!J2451,2)</f>
        <v>0</v>
      </c>
      <c r="F132" s="25">
        <f>ROUND('Stavební rozpočet'!K2451,2)</f>
        <v>0</v>
      </c>
      <c r="G132" s="46">
        <f>'Stavební rozpočet'!M2451</f>
        <v>1.4078200000000003</v>
      </c>
      <c r="H132" s="45" t="s">
        <v>3521</v>
      </c>
      <c r="I132" s="25">
        <f t="shared" si="3"/>
        <v>0</v>
      </c>
    </row>
    <row r="133" spans="1:9" ht="14.4" x14ac:dyDescent="0.3">
      <c r="A133" s="2" t="s">
        <v>2900</v>
      </c>
      <c r="B133" s="3" t="s">
        <v>273</v>
      </c>
      <c r="C133" s="3" t="s">
        <v>274</v>
      </c>
      <c r="D133" s="25">
        <f>ROUND('Stavební rozpočet'!I2572,2)</f>
        <v>0</v>
      </c>
      <c r="E133" s="25">
        <f>ROUND('Stavební rozpočet'!J2572,2)</f>
        <v>0</v>
      </c>
      <c r="F133" s="25">
        <f>ROUND('Stavební rozpočet'!K2572,2)</f>
        <v>0</v>
      </c>
      <c r="G133" s="46">
        <f>'Stavební rozpočet'!M2572</f>
        <v>0</v>
      </c>
      <c r="H133" s="45" t="s">
        <v>3521</v>
      </c>
      <c r="I133" s="25">
        <f t="shared" si="3"/>
        <v>0</v>
      </c>
    </row>
    <row r="134" spans="1:9" ht="14.4" x14ac:dyDescent="0.3">
      <c r="A134" s="70" t="s">
        <v>3191</v>
      </c>
      <c r="B134" s="71" t="s">
        <v>52</v>
      </c>
      <c r="C134" s="71" t="s">
        <v>3192</v>
      </c>
      <c r="D134" s="72">
        <f>ROUND('Stavební rozpočet'!I2587,2)</f>
        <v>0</v>
      </c>
      <c r="E134" s="72">
        <f>ROUND('Stavební rozpočet'!J2587,2)</f>
        <v>0</v>
      </c>
      <c r="F134" s="72">
        <f>ROUND('Stavební rozpočet'!K2587,2)</f>
        <v>0</v>
      </c>
      <c r="G134" s="73">
        <f>'Stavební rozpočet'!M2587</f>
        <v>31.092910000000003</v>
      </c>
      <c r="H134" s="45" t="s">
        <v>3520</v>
      </c>
      <c r="I134" s="25">
        <f t="shared" si="3"/>
        <v>0</v>
      </c>
    </row>
    <row r="135" spans="1:9" ht="14.4" x14ac:dyDescent="0.3">
      <c r="A135" s="2" t="s">
        <v>3191</v>
      </c>
      <c r="B135" s="3" t="s">
        <v>555</v>
      </c>
      <c r="C135" s="3" t="s">
        <v>1675</v>
      </c>
      <c r="D135" s="25">
        <f>ROUND('Stavební rozpočet'!I2588,2)</f>
        <v>0</v>
      </c>
      <c r="E135" s="25">
        <f>ROUND('Stavební rozpočet'!J2588,2)</f>
        <v>0</v>
      </c>
      <c r="F135" s="25">
        <f>ROUND('Stavební rozpočet'!K2588,2)</f>
        <v>0</v>
      </c>
      <c r="G135" s="46">
        <f>'Stavební rozpočet'!M2588</f>
        <v>0</v>
      </c>
      <c r="H135" s="45" t="s">
        <v>3521</v>
      </c>
      <c r="I135" s="25">
        <f t="shared" si="3"/>
        <v>0</v>
      </c>
    </row>
    <row r="136" spans="1:9" ht="14.4" x14ac:dyDescent="0.3">
      <c r="A136" s="2" t="s">
        <v>3191</v>
      </c>
      <c r="B136" s="3" t="s">
        <v>3215</v>
      </c>
      <c r="C136" s="3" t="s">
        <v>3216</v>
      </c>
      <c r="D136" s="25">
        <f>ROUND('Stavební rozpočet'!I2603,2)</f>
        <v>0</v>
      </c>
      <c r="E136" s="25">
        <f>ROUND('Stavební rozpočet'!J2603,2)</f>
        <v>0</v>
      </c>
      <c r="F136" s="25">
        <f>ROUND('Stavební rozpočet'!K2603,2)</f>
        <v>0</v>
      </c>
      <c r="G136" s="46">
        <f>'Stavební rozpočet'!M2603</f>
        <v>0</v>
      </c>
      <c r="H136" s="45" t="s">
        <v>3521</v>
      </c>
      <c r="I136" s="25">
        <f t="shared" si="3"/>
        <v>0</v>
      </c>
    </row>
    <row r="137" spans="1:9" ht="14.4" x14ac:dyDescent="0.3">
      <c r="A137" s="2" t="s">
        <v>3191</v>
      </c>
      <c r="B137" s="3" t="s">
        <v>3251</v>
      </c>
      <c r="C137" s="3" t="s">
        <v>3252</v>
      </c>
      <c r="D137" s="25">
        <f>ROUND('Stavební rozpočet'!I2623,2)</f>
        <v>0</v>
      </c>
      <c r="E137" s="25">
        <f>ROUND('Stavební rozpočet'!J2623,2)</f>
        <v>0</v>
      </c>
      <c r="F137" s="25">
        <f>ROUND('Stavební rozpočet'!K2623,2)</f>
        <v>0</v>
      </c>
      <c r="G137" s="46">
        <f>'Stavební rozpočet'!M2623</f>
        <v>5.5999999999999999E-3</v>
      </c>
      <c r="H137" s="45" t="s">
        <v>3521</v>
      </c>
      <c r="I137" s="25">
        <f t="shared" si="3"/>
        <v>0</v>
      </c>
    </row>
    <row r="138" spans="1:9" ht="14.4" x14ac:dyDescent="0.3">
      <c r="A138" s="2" t="s">
        <v>3191</v>
      </c>
      <c r="B138" s="3" t="s">
        <v>3300</v>
      </c>
      <c r="C138" s="3" t="s">
        <v>3301</v>
      </c>
      <c r="D138" s="25">
        <f>ROUND('Stavební rozpočet'!I2655,2)</f>
        <v>0</v>
      </c>
      <c r="E138" s="25">
        <f>ROUND('Stavební rozpočet'!J2655,2)</f>
        <v>0</v>
      </c>
      <c r="F138" s="25">
        <f>ROUND('Stavební rozpočet'!K2655,2)</f>
        <v>0</v>
      </c>
      <c r="G138" s="46">
        <f>'Stavební rozpočet'!M2655</f>
        <v>31.087310000000002</v>
      </c>
      <c r="H138" s="45" t="s">
        <v>3521</v>
      </c>
      <c r="I138" s="25">
        <f t="shared" si="3"/>
        <v>0</v>
      </c>
    </row>
    <row r="139" spans="1:9" ht="14.4" x14ac:dyDescent="0.3">
      <c r="A139" s="70" t="s">
        <v>3386</v>
      </c>
      <c r="B139" s="71" t="s">
        <v>52</v>
      </c>
      <c r="C139" s="71" t="s">
        <v>3546</v>
      </c>
      <c r="D139" s="72">
        <f>ROUND('Stavební rozpočet'!I2706,2)</f>
        <v>0</v>
      </c>
      <c r="E139" s="72">
        <f>ROUND('Stavební rozpočet'!J2706,2)</f>
        <v>0</v>
      </c>
      <c r="F139" s="72">
        <f>ROUND('Stavební rozpočet'!K2706,2)</f>
        <v>0</v>
      </c>
      <c r="G139" s="73">
        <f>'Stavební rozpočet'!M2706</f>
        <v>4.8700000000000002E-3</v>
      </c>
      <c r="H139" s="45" t="s">
        <v>3520</v>
      </c>
      <c r="I139" s="25">
        <f t="shared" ref="I139:I148" si="4">IF(H139="F",0,F139)</f>
        <v>0</v>
      </c>
    </row>
    <row r="140" spans="1:9" ht="14.4" x14ac:dyDescent="0.3">
      <c r="A140" s="2" t="s">
        <v>3386</v>
      </c>
      <c r="B140" s="3" t="s">
        <v>3387</v>
      </c>
      <c r="C140" s="3" t="s">
        <v>3388</v>
      </c>
      <c r="D140" s="25">
        <f>ROUND('Stavební rozpočet'!I2707,2)</f>
        <v>0</v>
      </c>
      <c r="E140" s="25">
        <f>ROUND('Stavební rozpočet'!J2707,2)</f>
        <v>0</v>
      </c>
      <c r="F140" s="25">
        <f>ROUND('Stavební rozpočet'!K2707,2)</f>
        <v>0</v>
      </c>
      <c r="G140" s="46">
        <f>'Stavební rozpočet'!M2707</f>
        <v>4.8700000000000002E-3</v>
      </c>
      <c r="H140" s="45" t="s">
        <v>3521</v>
      </c>
      <c r="I140" s="25">
        <f t="shared" si="4"/>
        <v>0</v>
      </c>
    </row>
    <row r="141" spans="1:9" ht="14.4" x14ac:dyDescent="0.3">
      <c r="A141" s="2" t="s">
        <v>3386</v>
      </c>
      <c r="B141" s="3" t="s">
        <v>576</v>
      </c>
      <c r="C141" s="3" t="s">
        <v>3425</v>
      </c>
      <c r="D141" s="25">
        <f>ROUND('Stavební rozpočet'!I2730,2)</f>
        <v>0</v>
      </c>
      <c r="E141" s="25">
        <f>ROUND('Stavební rozpočet'!J2730,2)</f>
        <v>0</v>
      </c>
      <c r="F141" s="25">
        <f>ROUND('Stavební rozpočet'!K2730,2)</f>
        <v>0</v>
      </c>
      <c r="G141" s="46">
        <f>'Stavební rozpočet'!M2730</f>
        <v>0</v>
      </c>
      <c r="H141" s="45" t="s">
        <v>3521</v>
      </c>
      <c r="I141" s="25">
        <f t="shared" si="4"/>
        <v>0</v>
      </c>
    </row>
    <row r="142" spans="1:9" ht="14.4" x14ac:dyDescent="0.3">
      <c r="A142" s="70" t="s">
        <v>3451</v>
      </c>
      <c r="B142" s="71" t="s">
        <v>52</v>
      </c>
      <c r="C142" s="71" t="s">
        <v>3452</v>
      </c>
      <c r="D142" s="72">
        <f>ROUND('Stavební rozpočet'!I2747,2)</f>
        <v>0</v>
      </c>
      <c r="E142" s="72">
        <f>ROUND('Stavební rozpočet'!J2747,2)</f>
        <v>0</v>
      </c>
      <c r="F142" s="72">
        <f>ROUND('Stavební rozpočet'!K2747,2)</f>
        <v>0</v>
      </c>
      <c r="G142" s="73">
        <f>'Stavební rozpočet'!M2747</f>
        <v>0.436664</v>
      </c>
      <c r="H142" s="45" t="s">
        <v>3520</v>
      </c>
      <c r="I142" s="25">
        <f t="shared" si="4"/>
        <v>0</v>
      </c>
    </row>
    <row r="143" spans="1:9" ht="14.4" x14ac:dyDescent="0.3">
      <c r="A143" s="2" t="s">
        <v>3451</v>
      </c>
      <c r="B143" s="3" t="s">
        <v>187</v>
      </c>
      <c r="C143" s="3" t="s">
        <v>3453</v>
      </c>
      <c r="D143" s="25">
        <f>ROUND('Stavební rozpočet'!I2748,2)</f>
        <v>0</v>
      </c>
      <c r="E143" s="25">
        <f>ROUND('Stavební rozpočet'!J2748,2)</f>
        <v>0</v>
      </c>
      <c r="F143" s="25">
        <f>ROUND('Stavební rozpočet'!K2748,2)</f>
        <v>0</v>
      </c>
      <c r="G143" s="46">
        <f>'Stavební rozpočet'!M2748</f>
        <v>0</v>
      </c>
      <c r="H143" s="45" t="s">
        <v>3521</v>
      </c>
      <c r="I143" s="25">
        <f t="shared" si="4"/>
        <v>0</v>
      </c>
    </row>
    <row r="144" spans="1:9" ht="14.4" x14ac:dyDescent="0.3">
      <c r="A144" s="2" t="s">
        <v>3451</v>
      </c>
      <c r="B144" s="3" t="s">
        <v>921</v>
      </c>
      <c r="C144" s="3" t="s">
        <v>922</v>
      </c>
      <c r="D144" s="25">
        <f>ROUND('Stavební rozpočet'!I2751,2)</f>
        <v>0</v>
      </c>
      <c r="E144" s="25">
        <f>ROUND('Stavební rozpočet'!J2751,2)</f>
        <v>0</v>
      </c>
      <c r="F144" s="25">
        <f>ROUND('Stavební rozpočet'!K2751,2)</f>
        <v>0</v>
      </c>
      <c r="G144" s="46">
        <f>'Stavební rozpočet'!M2751</f>
        <v>0.436664</v>
      </c>
      <c r="H144" s="45" t="s">
        <v>3521</v>
      </c>
      <c r="I144" s="25">
        <f t="shared" si="4"/>
        <v>0</v>
      </c>
    </row>
    <row r="145" spans="1:9" ht="14.4" x14ac:dyDescent="0.3">
      <c r="A145" s="2" t="s">
        <v>3451</v>
      </c>
      <c r="B145" s="3" t="s">
        <v>209</v>
      </c>
      <c r="C145" s="3" t="s">
        <v>210</v>
      </c>
      <c r="D145" s="25">
        <f>ROUND('Stavební rozpočet'!I2758,2)</f>
        <v>0</v>
      </c>
      <c r="E145" s="25">
        <f>ROUND('Stavební rozpočet'!J2758,2)</f>
        <v>0</v>
      </c>
      <c r="F145" s="25">
        <f>ROUND('Stavební rozpočet'!K2758,2)</f>
        <v>0</v>
      </c>
      <c r="G145" s="46">
        <f>'Stavební rozpočet'!M2758</f>
        <v>0</v>
      </c>
      <c r="H145" s="45" t="s">
        <v>3521</v>
      </c>
      <c r="I145" s="25">
        <f t="shared" si="4"/>
        <v>0</v>
      </c>
    </row>
    <row r="146" spans="1:9" ht="14.4" x14ac:dyDescent="0.3">
      <c r="A146" s="2" t="s">
        <v>3451</v>
      </c>
      <c r="B146" s="3" t="s">
        <v>3478</v>
      </c>
      <c r="C146" s="3" t="s">
        <v>3479</v>
      </c>
      <c r="D146" s="25">
        <f>ROUND('Stavební rozpočet'!I2761,2)</f>
        <v>0</v>
      </c>
      <c r="E146" s="25">
        <f>ROUND('Stavební rozpočet'!J2761,2)</f>
        <v>0</v>
      </c>
      <c r="F146" s="25">
        <f>ROUND('Stavební rozpočet'!K2761,2)</f>
        <v>0</v>
      </c>
      <c r="G146" s="46">
        <f>'Stavební rozpočet'!M2761</f>
        <v>0</v>
      </c>
      <c r="H146" s="45" t="s">
        <v>3521</v>
      </c>
      <c r="I146" s="25">
        <f t="shared" si="4"/>
        <v>0</v>
      </c>
    </row>
    <row r="147" spans="1:9" ht="14.4" x14ac:dyDescent="0.3">
      <c r="A147" s="2" t="s">
        <v>3451</v>
      </c>
      <c r="B147" s="3" t="s">
        <v>3300</v>
      </c>
      <c r="C147" s="3" t="s">
        <v>3301</v>
      </c>
      <c r="D147" s="25">
        <f>ROUND('Stavební rozpočet'!I2766,2)</f>
        <v>0</v>
      </c>
      <c r="E147" s="25">
        <f>ROUND('Stavební rozpočet'!J2766,2)</f>
        <v>0</v>
      </c>
      <c r="F147" s="25">
        <f>ROUND('Stavební rozpočet'!K2766,2)</f>
        <v>0</v>
      </c>
      <c r="G147" s="46">
        <f>'Stavební rozpočet'!M2766</f>
        <v>0</v>
      </c>
      <c r="H147" s="45" t="s">
        <v>3521</v>
      </c>
      <c r="I147" s="25">
        <f t="shared" si="4"/>
        <v>0</v>
      </c>
    </row>
    <row r="148" spans="1:9" ht="14.4" x14ac:dyDescent="0.3">
      <c r="A148" s="47" t="s">
        <v>3451</v>
      </c>
      <c r="B148" s="48" t="s">
        <v>3495</v>
      </c>
      <c r="C148" s="48" t="s">
        <v>3496</v>
      </c>
      <c r="D148" s="49">
        <f>ROUND('Stavební rozpočet'!I2771,2)</f>
        <v>0</v>
      </c>
      <c r="E148" s="49">
        <f>ROUND('Stavební rozpočet'!J2771,2)</f>
        <v>0</v>
      </c>
      <c r="F148" s="49">
        <f>ROUND('Stavební rozpočet'!K2771,2)</f>
        <v>0</v>
      </c>
      <c r="G148" s="50">
        <f>'Stavební rozpočet'!M2771</f>
        <v>0</v>
      </c>
      <c r="H148" s="45" t="s">
        <v>3521</v>
      </c>
      <c r="I148" s="25">
        <f t="shared" si="4"/>
        <v>0</v>
      </c>
    </row>
    <row r="149" spans="1:9" ht="14.4" x14ac:dyDescent="0.3">
      <c r="E149" s="37" t="s">
        <v>3514</v>
      </c>
      <c r="F149" s="38">
        <f>ROUND(SUM(I11:I148),2)</f>
        <v>0</v>
      </c>
    </row>
  </sheetData>
  <sheetProtection algorithmName="SHA-512" hashValue="KbtyMeMYpBHqWrXI6mx0B8BNxpJWRSHPb0SyreG+3YBtrMrxF6DdFg+/x/zm78phbjkYFZxoY13Hwdr/0b8zVA==" saltValue="/cYX7ISbiEGM64XmdzXpEQ==" spinCount="100000" sheet="1" objects="1" scenarios="1"/>
  <mergeCells count="25">
    <mergeCell ref="G2:G3"/>
    <mergeCell ref="G4:G5"/>
    <mergeCell ref="G6:G7"/>
    <mergeCell ref="G8:G9"/>
    <mergeCell ref="C8:C9"/>
    <mergeCell ref="E2:E3"/>
    <mergeCell ref="E4:E5"/>
    <mergeCell ref="E6:E7"/>
    <mergeCell ref="E8:E9"/>
    <mergeCell ref="A1:G1"/>
    <mergeCell ref="A2:B3"/>
    <mergeCell ref="A4:B5"/>
    <mergeCell ref="A6:B7"/>
    <mergeCell ref="A8:B9"/>
    <mergeCell ref="D2:D3"/>
    <mergeCell ref="D4:D5"/>
    <mergeCell ref="D6:D7"/>
    <mergeCell ref="D8:D9"/>
    <mergeCell ref="F2:F3"/>
    <mergeCell ref="F4:F5"/>
    <mergeCell ref="F6:F7"/>
    <mergeCell ref="F8:F9"/>
    <mergeCell ref="C2:C3"/>
    <mergeCell ref="C4:C5"/>
    <mergeCell ref="C6:C7"/>
  </mergeCells>
  <pageMargins left="0.393999993801117" right="0.393999993801117" top="0.59100002050399802" bottom="0.59100002050399802" header="0" footer="0"/>
  <pageSetup scale="6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
  <sheetViews>
    <sheetView workbookViewId="0">
      <selection activeCell="A36" sqref="A36:E36"/>
    </sheetView>
  </sheetViews>
  <sheetFormatPr defaultColWidth="12.109375" defaultRowHeight="15" customHeight="1" x14ac:dyDescent="0.3"/>
  <cols>
    <col min="1" max="1" width="9.109375" customWidth="1"/>
    <col min="2" max="2" width="12.88671875" customWidth="1"/>
    <col min="3" max="3" width="22.88671875" customWidth="1"/>
    <col min="4" max="4" width="10" customWidth="1"/>
    <col min="5" max="5" width="14" customWidth="1"/>
    <col min="6" max="6" width="22.88671875" customWidth="1"/>
    <col min="7" max="7" width="9.109375" customWidth="1"/>
    <col min="8" max="8" width="17.109375" customWidth="1"/>
    <col min="9" max="9" width="22.88671875" customWidth="1"/>
  </cols>
  <sheetData>
    <row r="1" spans="1:9" ht="54.75" customHeight="1" x14ac:dyDescent="0.3">
      <c r="A1" s="186" t="s">
        <v>3546</v>
      </c>
      <c r="B1" s="105"/>
      <c r="C1" s="105"/>
      <c r="D1" s="105"/>
      <c r="E1" s="105"/>
      <c r="F1" s="105"/>
      <c r="G1" s="105"/>
      <c r="H1" s="105"/>
      <c r="I1" s="105"/>
    </row>
    <row r="2" spans="1:9" ht="14.4" x14ac:dyDescent="0.3">
      <c r="A2" s="106" t="s">
        <v>0</v>
      </c>
      <c r="B2" s="107"/>
      <c r="C2" s="118" t="str">
        <f>'Stavební rozpočet'!C2</f>
        <v>„Modernizace kuchyně ZŠ Drnovice – zpracování projektové dokumentace“</v>
      </c>
      <c r="D2" s="119"/>
      <c r="E2" s="111" t="s">
        <v>3</v>
      </c>
      <c r="F2" s="111" t="str">
        <f>'Stavební rozpočet'!I2</f>
        <v>ZŠ Drnovice</v>
      </c>
      <c r="G2" s="107"/>
      <c r="H2" s="111" t="s">
        <v>3522</v>
      </c>
      <c r="I2" s="115" t="s">
        <v>52</v>
      </c>
    </row>
    <row r="3" spans="1:9" ht="25.5" customHeight="1" x14ac:dyDescent="0.3">
      <c r="A3" s="108"/>
      <c r="B3" s="109"/>
      <c r="C3" s="120"/>
      <c r="D3" s="120"/>
      <c r="E3" s="109"/>
      <c r="F3" s="109"/>
      <c r="G3" s="109"/>
      <c r="H3" s="109"/>
      <c r="I3" s="116"/>
    </row>
    <row r="4" spans="1:9" ht="14.4" x14ac:dyDescent="0.3">
      <c r="A4" s="110" t="s">
        <v>5</v>
      </c>
      <c r="B4" s="109"/>
      <c r="C4" s="112" t="str">
        <f>'Stavební rozpočet'!C4</f>
        <v>Udržovací práce</v>
      </c>
      <c r="D4" s="109"/>
      <c r="E4" s="112" t="s">
        <v>8</v>
      </c>
      <c r="F4" s="112" t="str">
        <f>'Stavební rozpočet'!I4</f>
        <v>GARANT projekt s.r.o.</v>
      </c>
      <c r="G4" s="109"/>
      <c r="H4" s="112" t="s">
        <v>3522</v>
      </c>
      <c r="I4" s="116" t="s">
        <v>52</v>
      </c>
    </row>
    <row r="5" spans="1:9" ht="15" customHeight="1" x14ac:dyDescent="0.3">
      <c r="A5" s="108"/>
      <c r="B5" s="109"/>
      <c r="C5" s="109"/>
      <c r="D5" s="109"/>
      <c r="E5" s="109"/>
      <c r="F5" s="109"/>
      <c r="G5" s="109"/>
      <c r="H5" s="109"/>
      <c r="I5" s="116"/>
    </row>
    <row r="6" spans="1:9" ht="14.4" x14ac:dyDescent="0.3">
      <c r="A6" s="110" t="s">
        <v>10</v>
      </c>
      <c r="B6" s="109"/>
      <c r="C6" s="112" t="str">
        <f>'Stavební rozpočet'!C6</f>
        <v>Drnovice 109, 68304 Drnovice</v>
      </c>
      <c r="D6" s="109"/>
      <c r="E6" s="112" t="s">
        <v>13</v>
      </c>
      <c r="F6" s="112" t="str">
        <f>'Stavební rozpočet'!I6</f>
        <v> </v>
      </c>
      <c r="G6" s="109"/>
      <c r="H6" s="112" t="s">
        <v>3522</v>
      </c>
      <c r="I6" s="116" t="s">
        <v>52</v>
      </c>
    </row>
    <row r="7" spans="1:9" ht="15" customHeight="1" x14ac:dyDescent="0.3">
      <c r="A7" s="108"/>
      <c r="B7" s="109"/>
      <c r="C7" s="109"/>
      <c r="D7" s="109"/>
      <c r="E7" s="109"/>
      <c r="F7" s="109"/>
      <c r="G7" s="109"/>
      <c r="H7" s="109"/>
      <c r="I7" s="116"/>
    </row>
    <row r="8" spans="1:9" ht="14.4" x14ac:dyDescent="0.3">
      <c r="A8" s="110" t="s">
        <v>7</v>
      </c>
      <c r="B8" s="109"/>
      <c r="C8" s="112">
        <f>'Stavební rozpočet'!F4</f>
        <v>0</v>
      </c>
      <c r="D8" s="109"/>
      <c r="E8" s="112" t="s">
        <v>12</v>
      </c>
      <c r="F8" s="112">
        <f>'Stavební rozpočet'!F6</f>
        <v>0</v>
      </c>
      <c r="G8" s="109"/>
      <c r="H8" s="109" t="s">
        <v>3523</v>
      </c>
      <c r="I8" s="117">
        <v>982</v>
      </c>
    </row>
    <row r="9" spans="1:9" ht="14.4" x14ac:dyDescent="0.3">
      <c r="A9" s="108"/>
      <c r="B9" s="109"/>
      <c r="C9" s="109"/>
      <c r="D9" s="109"/>
      <c r="E9" s="109"/>
      <c r="F9" s="109"/>
      <c r="G9" s="109"/>
      <c r="H9" s="109"/>
      <c r="I9" s="116"/>
    </row>
    <row r="10" spans="1:9" ht="14.4" x14ac:dyDescent="0.3">
      <c r="A10" s="110" t="s">
        <v>15</v>
      </c>
      <c r="B10" s="109"/>
      <c r="C10" s="112" t="str">
        <f>'Stavební rozpočet'!C8</f>
        <v>801</v>
      </c>
      <c r="D10" s="109"/>
      <c r="E10" s="112" t="s">
        <v>18</v>
      </c>
      <c r="F10" s="112" t="str">
        <f>'Stavební rozpočet'!I8</f>
        <v>GARANT projekt s.r.o.</v>
      </c>
      <c r="G10" s="109"/>
      <c r="H10" s="109" t="s">
        <v>3524</v>
      </c>
      <c r="I10" s="122">
        <f>'Stavební rozpočet'!F8</f>
        <v>0</v>
      </c>
    </row>
    <row r="11" spans="1:9" ht="14.4" x14ac:dyDescent="0.3">
      <c r="A11" s="130"/>
      <c r="B11" s="121"/>
      <c r="C11" s="121"/>
      <c r="D11" s="121"/>
      <c r="E11" s="121"/>
      <c r="F11" s="121"/>
      <c r="G11" s="121"/>
      <c r="H11" s="121"/>
      <c r="I11" s="123"/>
    </row>
    <row r="13" spans="1:9" ht="15.6" x14ac:dyDescent="0.3">
      <c r="A13" s="187" t="s">
        <v>3547</v>
      </c>
      <c r="B13" s="187"/>
      <c r="C13" s="187"/>
      <c r="D13" s="187"/>
      <c r="E13" s="187"/>
    </row>
    <row r="14" spans="1:9" ht="14.4" x14ac:dyDescent="0.3">
      <c r="A14" s="188" t="s">
        <v>3548</v>
      </c>
      <c r="B14" s="189"/>
      <c r="C14" s="189"/>
      <c r="D14" s="189"/>
      <c r="E14" s="190"/>
      <c r="F14" s="54" t="s">
        <v>3549</v>
      </c>
      <c r="G14" s="54" t="s">
        <v>3445</v>
      </c>
      <c r="H14" s="54" t="s">
        <v>3550</v>
      </c>
      <c r="I14" s="54" t="s">
        <v>3549</v>
      </c>
    </row>
    <row r="15" spans="1:9" ht="14.4" x14ac:dyDescent="0.3">
      <c r="A15" s="191" t="s">
        <v>3528</v>
      </c>
      <c r="B15" s="192"/>
      <c r="C15" s="192"/>
      <c r="D15" s="192"/>
      <c r="E15" s="193"/>
      <c r="F15" s="55">
        <v>0</v>
      </c>
      <c r="G15" s="56" t="s">
        <v>52</v>
      </c>
      <c r="H15" s="56" t="s">
        <v>52</v>
      </c>
      <c r="I15" s="55">
        <f>F15</f>
        <v>0</v>
      </c>
    </row>
    <row r="16" spans="1:9" ht="14.4" x14ac:dyDescent="0.3">
      <c r="A16" s="191" t="s">
        <v>3529</v>
      </c>
      <c r="B16" s="192"/>
      <c r="C16" s="192"/>
      <c r="D16" s="192"/>
      <c r="E16" s="193"/>
      <c r="F16" s="55">
        <v>0</v>
      </c>
      <c r="G16" s="56" t="s">
        <v>52</v>
      </c>
      <c r="H16" s="56" t="s">
        <v>52</v>
      </c>
      <c r="I16" s="55">
        <f>F16</f>
        <v>0</v>
      </c>
    </row>
    <row r="17" spans="1:9" ht="14.4" x14ac:dyDescent="0.3">
      <c r="A17" s="194" t="s">
        <v>3531</v>
      </c>
      <c r="B17" s="195"/>
      <c r="C17" s="195"/>
      <c r="D17" s="195"/>
      <c r="E17" s="196"/>
      <c r="F17" s="57">
        <v>0</v>
      </c>
      <c r="G17" s="58" t="s">
        <v>52</v>
      </c>
      <c r="H17" s="58" t="s">
        <v>52</v>
      </c>
      <c r="I17" s="57">
        <f>F17</f>
        <v>0</v>
      </c>
    </row>
    <row r="18" spans="1:9" ht="14.4" x14ac:dyDescent="0.3">
      <c r="A18" s="197" t="s">
        <v>3551</v>
      </c>
      <c r="B18" s="198"/>
      <c r="C18" s="198"/>
      <c r="D18" s="198"/>
      <c r="E18" s="199"/>
      <c r="F18" s="59" t="s">
        <v>52</v>
      </c>
      <c r="G18" s="60" t="s">
        <v>52</v>
      </c>
      <c r="H18" s="60" t="s">
        <v>52</v>
      </c>
      <c r="I18" s="61">
        <f>SUM(I15:I17)</f>
        <v>0</v>
      </c>
    </row>
    <row r="20" spans="1:9" ht="14.4" x14ac:dyDescent="0.3">
      <c r="A20" s="188" t="s">
        <v>3527</v>
      </c>
      <c r="B20" s="189"/>
      <c r="C20" s="189"/>
      <c r="D20" s="189"/>
      <c r="E20" s="190"/>
      <c r="F20" s="54" t="s">
        <v>3549</v>
      </c>
      <c r="G20" s="54" t="s">
        <v>3445</v>
      </c>
      <c r="H20" s="54" t="s">
        <v>3550</v>
      </c>
      <c r="I20" s="54" t="s">
        <v>3549</v>
      </c>
    </row>
    <row r="21" spans="1:9" ht="14.4" x14ac:dyDescent="0.3">
      <c r="A21" s="191" t="s">
        <v>3452</v>
      </c>
      <c r="B21" s="192"/>
      <c r="C21" s="192"/>
      <c r="D21" s="192"/>
      <c r="E21" s="193"/>
      <c r="F21" s="55">
        <v>0</v>
      </c>
      <c r="G21" s="56" t="s">
        <v>52</v>
      </c>
      <c r="H21" s="56" t="s">
        <v>52</v>
      </c>
      <c r="I21" s="55">
        <f t="shared" ref="I21:I26" si="0">F21</f>
        <v>0</v>
      </c>
    </row>
    <row r="22" spans="1:9" ht="14.4" x14ac:dyDescent="0.3">
      <c r="A22" s="191" t="s">
        <v>3530</v>
      </c>
      <c r="B22" s="192"/>
      <c r="C22" s="192"/>
      <c r="D22" s="192"/>
      <c r="E22" s="193"/>
      <c r="F22" s="55">
        <v>0</v>
      </c>
      <c r="G22" s="56" t="s">
        <v>52</v>
      </c>
      <c r="H22" s="56" t="s">
        <v>52</v>
      </c>
      <c r="I22" s="55">
        <f t="shared" si="0"/>
        <v>0</v>
      </c>
    </row>
    <row r="23" spans="1:9" ht="14.4" x14ac:dyDescent="0.3">
      <c r="A23" s="191" t="s">
        <v>3532</v>
      </c>
      <c r="B23" s="192"/>
      <c r="C23" s="192"/>
      <c r="D23" s="192"/>
      <c r="E23" s="193"/>
      <c r="F23" s="55">
        <v>0</v>
      </c>
      <c r="G23" s="56" t="s">
        <v>52</v>
      </c>
      <c r="H23" s="56" t="s">
        <v>52</v>
      </c>
      <c r="I23" s="55">
        <f t="shared" si="0"/>
        <v>0</v>
      </c>
    </row>
    <row r="24" spans="1:9" ht="14.4" x14ac:dyDescent="0.3">
      <c r="A24" s="191" t="s">
        <v>3533</v>
      </c>
      <c r="B24" s="192"/>
      <c r="C24" s="192"/>
      <c r="D24" s="192"/>
      <c r="E24" s="193"/>
      <c r="F24" s="55">
        <v>0</v>
      </c>
      <c r="G24" s="56" t="s">
        <v>52</v>
      </c>
      <c r="H24" s="56" t="s">
        <v>52</v>
      </c>
      <c r="I24" s="55">
        <f t="shared" si="0"/>
        <v>0</v>
      </c>
    </row>
    <row r="25" spans="1:9" ht="14.4" x14ac:dyDescent="0.3">
      <c r="A25" s="191" t="s">
        <v>1898</v>
      </c>
      <c r="B25" s="192"/>
      <c r="C25" s="192"/>
      <c r="D25" s="192"/>
      <c r="E25" s="193"/>
      <c r="F25" s="55">
        <v>0</v>
      </c>
      <c r="G25" s="56" t="s">
        <v>52</v>
      </c>
      <c r="H25" s="56" t="s">
        <v>52</v>
      </c>
      <c r="I25" s="55">
        <f t="shared" si="0"/>
        <v>0</v>
      </c>
    </row>
    <row r="26" spans="1:9" ht="14.4" x14ac:dyDescent="0.3">
      <c r="A26" s="194" t="s">
        <v>3534</v>
      </c>
      <c r="B26" s="195"/>
      <c r="C26" s="195"/>
      <c r="D26" s="195"/>
      <c r="E26" s="196"/>
      <c r="F26" s="57">
        <v>0</v>
      </c>
      <c r="G26" s="58" t="s">
        <v>52</v>
      </c>
      <c r="H26" s="58" t="s">
        <v>52</v>
      </c>
      <c r="I26" s="57">
        <f t="shared" si="0"/>
        <v>0</v>
      </c>
    </row>
    <row r="27" spans="1:9" ht="14.4" x14ac:dyDescent="0.3">
      <c r="A27" s="197" t="s">
        <v>3552</v>
      </c>
      <c r="B27" s="198"/>
      <c r="C27" s="198"/>
      <c r="D27" s="198"/>
      <c r="E27" s="199"/>
      <c r="F27" s="59" t="s">
        <v>52</v>
      </c>
      <c r="G27" s="60" t="s">
        <v>52</v>
      </c>
      <c r="H27" s="60" t="s">
        <v>52</v>
      </c>
      <c r="I27" s="61">
        <f>SUM(I21:I26)</f>
        <v>0</v>
      </c>
    </row>
    <row r="29" spans="1:9" ht="15.6" x14ac:dyDescent="0.3">
      <c r="A29" s="200" t="s">
        <v>3553</v>
      </c>
      <c r="B29" s="201"/>
      <c r="C29" s="201"/>
      <c r="D29" s="201"/>
      <c r="E29" s="202"/>
      <c r="F29" s="203">
        <f>I18+I27</f>
        <v>0</v>
      </c>
      <c r="G29" s="204"/>
      <c r="H29" s="204"/>
      <c r="I29" s="205"/>
    </row>
    <row r="33" spans="1:9" ht="15.6" x14ac:dyDescent="0.3">
      <c r="A33" s="187" t="s">
        <v>3554</v>
      </c>
      <c r="B33" s="187"/>
      <c r="C33" s="187"/>
      <c r="D33" s="187"/>
      <c r="E33" s="187"/>
    </row>
    <row r="34" spans="1:9" ht="14.4" x14ac:dyDescent="0.3">
      <c r="A34" s="188" t="s">
        <v>3555</v>
      </c>
      <c r="B34" s="189"/>
      <c r="C34" s="189"/>
      <c r="D34" s="189"/>
      <c r="E34" s="190"/>
      <c r="F34" s="54" t="s">
        <v>3549</v>
      </c>
      <c r="G34" s="54" t="s">
        <v>3445</v>
      </c>
      <c r="H34" s="54" t="s">
        <v>3550</v>
      </c>
      <c r="I34" s="54" t="s">
        <v>3549</v>
      </c>
    </row>
    <row r="35" spans="1:9" ht="14.4" x14ac:dyDescent="0.3">
      <c r="A35" s="194" t="s">
        <v>52</v>
      </c>
      <c r="B35" s="195"/>
      <c r="C35" s="195"/>
      <c r="D35" s="195"/>
      <c r="E35" s="196"/>
      <c r="F35" s="57">
        <v>0</v>
      </c>
      <c r="G35" s="58" t="s">
        <v>52</v>
      </c>
      <c r="H35" s="58" t="s">
        <v>52</v>
      </c>
      <c r="I35" s="57">
        <f>F35</f>
        <v>0</v>
      </c>
    </row>
    <row r="36" spans="1:9" ht="14.4" x14ac:dyDescent="0.3">
      <c r="A36" s="197" t="s">
        <v>3556</v>
      </c>
      <c r="B36" s="198"/>
      <c r="C36" s="198"/>
      <c r="D36" s="198"/>
      <c r="E36" s="199"/>
      <c r="F36" s="59" t="s">
        <v>52</v>
      </c>
      <c r="G36" s="60" t="s">
        <v>52</v>
      </c>
      <c r="H36" s="60" t="s">
        <v>52</v>
      </c>
      <c r="I36" s="61">
        <f>SUM(I35:I35)</f>
        <v>0</v>
      </c>
    </row>
  </sheetData>
  <mergeCells count="51">
    <mergeCell ref="A36:E36"/>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Krycí list rozpočtu</vt:lpstr>
      <vt:lpstr>Stavební rozpočet</vt:lpstr>
      <vt:lpstr>Stavební rozpočet - součet</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jakub karmazín</cp:lastModifiedBy>
  <cp:lastPrinted>2025-05-05T12:59:43Z</cp:lastPrinted>
  <dcterms:created xsi:type="dcterms:W3CDTF">2021-06-10T20:06:38Z</dcterms:created>
  <dcterms:modified xsi:type="dcterms:W3CDTF">2025-05-05T13:00:53Z</dcterms:modified>
</cp:coreProperties>
</file>