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660" windowHeight="5496" activeTab="1"/>
  </bookViews>
  <sheets>
    <sheet name="Krycí list rozpočtu" sheetId="3" r:id="rId1"/>
    <sheet name="VORN" sheetId="4" r:id="rId2"/>
    <sheet name="Stavební rozpočet - součet" sheetId="2" r:id="rId3"/>
    <sheet name="Stavební rozpočet" sheetId="1" r:id="rId4"/>
  </sheets>
  <definedNames>
    <definedName name="vorn_sum">'VORN'!$I$36:$I$36</definedName>
  </definedNames>
  <calcPr calcId="16777215"/>
</workbook>
</file>

<file path=xl/sharedStrings.xml><?xml version="1.0" encoding="utf-8"?>
<sst xmlns="http://schemas.openxmlformats.org/spreadsheetml/2006/main" count="7609" uniqueCount="1684">
  <si>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</si>
  <si>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</si>
  <si>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</si>
  <si>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</si>
  <si>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</si>
  <si>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</si>
  <si>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</si>
  <si>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</si>
  <si>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</si>
  <si>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</si>
  <si>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</si>
  <si>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</si>
  <si>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</si>
  <si>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</si>
  <si>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</si>
  <si>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</si>
  <si>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</si>
  <si>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</si>
  <si>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</si>
  <si>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</si>
  <si>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</si>
  <si>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</si>
  <si>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</si>
  <si>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</si>
  <si>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</si>
  <si>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</si>
  <si>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</si>
  <si>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</si>
  <si>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</si>
  <si>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</si>
  <si>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</si>
  <si>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</si>
  <si>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</si>
  <si>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</si>
  <si>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</si>
  <si>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</si>
  <si>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</si>
  <si>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</si>
  <si>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</si>
  <si>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</si>
  <si>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</si>
  <si>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</si>
  <si>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</si>
  <si>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</si>
  <si>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</si>
  <si>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</si>
  <si>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</si>
  <si>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</si>
  <si>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</si>
  <si>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</si>
  <si>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</si>
  <si>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</si>
  <si>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</si>
  <si>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</si>
  <si>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</si>
  <si>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</si>
  <si>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</si>
  <si>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</si>
  <si>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</si>
  <si>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</si>
  <si>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</si>
  <si>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</si>
  <si>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</si>
  <si>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</si>
  <si>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</si>
  <si>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</si>
  <si>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</si>
  <si>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</si>
  <si>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</si>
  <si>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</si>
  <si>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</si>
  <si>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</si>
  <si>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</si>
  <si>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</si>
  <si>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</si>
  <si>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</si>
  <si>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</si>
  <si>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</si>
  <si>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</si>
  <si>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</si>
  <si>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</si>
  <si>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</si>
  <si>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</si>
  <si>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</si>
  <si>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</si>
  <si>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</si>
  <si>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</si>
  <si>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</si>
  <si>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</si>
  <si>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</si>
  <si>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</si>
  <si>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</si>
  <si>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</si>
  <si>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</si>
  <si>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</si>
  <si>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</si>
  <si>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</si>
  <si>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</si>
  <si>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</si>
  <si>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</si>
  <si>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</si>
  <si>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</si>
  <si>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</si>
  <si>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</si>
  <si>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</si>
  <si>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</si>
  <si>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</si>
  <si>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</si>
  <si>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</si>
  <si>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</si>
  <si>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</si>
  <si>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</si>
  <si>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</si>
  <si>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</si>
  <si>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</si>
  <si>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</si>
  <si>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</si>
  <si>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</si>
  <si>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</si>
  <si>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</si>
  <si>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</si>
  <si>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</si>
  <si>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</si>
  <si>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</si>
  <si>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</si>
  <si>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</si>
  <si>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</si>
  <si>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</si>
  <si>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</si>
  <si>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</si>
  <si>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</si>
  <si>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</si>
  <si>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</si>
  <si>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</si>
  <si>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</si>
  <si>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</si>
  <si>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</si>
  <si>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</si>
  <si>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</si>
  <si>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</si>
  <si>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</si>
  <si>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</si>
  <si>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</si>
  <si>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</si>
  <si>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</si>
  <si>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</si>
  <si>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</si>
  <si>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</si>
  <si>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</si>
  <si>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</si>
  <si>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</si>
  <si>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</si>
  <si>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</si>
  <si>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</si>
  <si>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</si>
  <si>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</si>
  <si>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</si>
  <si>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</si>
  <si>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</si>
  <si>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</si>
  <si>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</si>
  <si>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</si>
  <si>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</si>
  <si>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</si>
  <si>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</si>
  <si>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</si>
  <si>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</si>
  <si>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</si>
  <si>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</si>
  <si>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</si>
  <si>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</si>
  <si>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</si>
  <si>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</si>
  <si>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</si>
  <si>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</si>
  <si>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</si>
  <si>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</si>
  <si>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</si>
  <si>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</si>
  <si>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</si>
  <si>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</si>
  <si>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</si>
  <si>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</si>
  <si>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</si>
  <si>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</si>
  <si>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</si>
  <si>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</si>
  <si>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</si>
  <si>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</si>
  <si>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</si>
  <si>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</si>
  <si>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</si>
  <si>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</si>
  <si>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</si>
  <si>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</si>
  <si>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</si>
  <si>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</si>
  <si>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</si>
  <si>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</si>
  <si>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</si>
  <si>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</si>
  <si>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</si>
  <si>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</si>
  <si>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</si>
  <si>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</si>
  <si>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</si>
  <si>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</si>
  <si>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</si>
  <si>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</si>
  <si>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</si>
  <si>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</si>
  <si>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</si>
  <si>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</si>
  <si>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</si>
  <si>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</si>
  <si>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</si>
  <si>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</si>
  <si>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</si>
  <si>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</si>
  <si>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</si>
  <si>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</si>
  <si>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</si>
  <si>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</si>
  <si>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</si>
  <si>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</si>
  <si>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</si>
  <si>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</si>
  <si>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</si>
  <si>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</si>
  <si>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</si>
  <si>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</si>
  <si>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</si>
  <si>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</si>
  <si>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</si>
  <si>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</si>
  <si>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</si>
  <si>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</si>
  <si>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</si>
  <si>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</si>
  <si>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</si>
  <si>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</si>
  <si>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</si>
  <si>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</si>
  <si>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</si>
  <si>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</si>
  <si>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</si>
  <si>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</si>
  <si>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</si>
  <si>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</si>
  <si>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</si>
  <si>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</si>
  <si>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</si>
  <si>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</si>
  <si>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</si>
  <si>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</si>
  <si>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</si>
  <si>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</si>
  <si>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</si>
  <si>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</si>
  <si>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</si>
  <si>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</si>
  <si>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</si>
  <si>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</si>
  <si>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</si>
  <si>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</si>
  <si>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</si>
  <si>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</si>
  <si>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</si>
  <si>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</si>
  <si>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</si>
  <si>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</si>
  <si>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</si>
  <si>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</si>
  <si>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</si>
  <si>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</si>
  <si>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</si>
  <si>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</si>
  <si>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</si>
  <si>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</si>
  <si>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</si>
  <si>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</si>
  <si>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</si>
  <si>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</si>
  <si>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</si>
  <si>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</si>
  <si>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</si>
  <si>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</si>
  <si>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</si>
  <si>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</si>
  <si>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</si>
  <si>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</si>
  <si>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</si>
  <si>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</si>
  <si>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</si>
  <si>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</si>
  <si>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</si>
  <si>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</si>
  <si>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</si>
  <si>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</si>
  <si>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</si>
  <si>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</si>
  <si>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</si>
  <si>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</si>
  <si>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</si>
  <si>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</si>
  <si>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</si>
  <si>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</si>
  <si>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</si>
  <si>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</si>
  <si>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</si>
  <si>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</si>
  <si>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</si>
  <si>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</si>
  <si>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</si>
  <si>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</si>
  <si>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</si>
  <si>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</si>
  <si>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</si>
  <si>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</si>
  <si>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</si>
  <si>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</si>
  <si>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</si>
  <si>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</si>
  <si>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</si>
  <si>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</si>
  <si>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</si>
  <si>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</si>
  <si>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</si>
  <si>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</si>
  <si>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</si>
  <si>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</si>
  <si>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</si>
  <si>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</si>
  <si>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</si>
  <si>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</si>
  <si>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</si>
  <si>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</si>
  <si>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</si>
  <si>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</si>
  <si>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</si>
  <si>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</si>
  <si>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</si>
  <si>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</si>
  <si>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</si>
  <si>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</si>
  <si>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</si>
  <si>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</si>
  <si>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</si>
  <si>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</si>
  <si>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</si>
  <si>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</si>
  <si>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</si>
  <si>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</si>
  <si>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</si>
  <si>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</si>
  <si>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</si>
  <si>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</si>
  <si>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</si>
  <si>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</si>
  <si>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</si>
  <si>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</si>
  <si>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</si>
  <si>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</si>
  <si>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</si>
  <si>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</si>
  <si>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</si>
  <si>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</si>
  <si>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</si>
  <si>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</si>
  <si>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</si>
  <si>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</si>
  <si>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</si>
  <si>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</si>
  <si>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</si>
  <si>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</si>
  <si>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</si>
  <si>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</si>
  <si>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</si>
  <si>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</si>
  <si>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</si>
  <si>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</si>
  <si>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</si>
  <si>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</si>
  <si>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</si>
  <si>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</si>
  <si>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</si>
  <si>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</si>
  <si>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</si>
  <si>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</si>
  <si>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</si>
  <si>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</si>
  <si>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</si>
  <si>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</si>
  <si>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</si>
  <si>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</si>
  <si>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</si>
  <si>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</si>
  <si>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</si>
  <si>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</si>
  <si>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</si>
  <si>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</si>
  <si>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</si>
  <si>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</si>
  <si>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</si>
  <si>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</si>
  <si>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</si>
  <si>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</si>
  <si>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</si>
  <si>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</si>
  <si>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</si>
  <si>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</si>
  <si>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</si>
  <si>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</si>
  <si>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</si>
  <si>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</si>
  <si>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</si>
  <si>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</si>
  <si>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</si>
  <si>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</si>
  <si>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</si>
  <si>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</si>
  <si>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</si>
  <si>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</si>
  <si>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</si>
  <si>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</si>
  <si>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</si>
  <si>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</si>
  <si>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</si>
  <si>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</si>
  <si>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</si>
  <si>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</si>
  <si>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</si>
  <si>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</si>
  <si>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</si>
  <si>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</si>
  <si>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</si>
  <si>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</si>
  <si>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</si>
  <si>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</si>
  <si>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</si>
  <si>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</si>
  <si>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</si>
  <si>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</si>
  <si>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</si>
  <si>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</si>
  <si>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</si>
  <si>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</si>
  <si>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</si>
  <si>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</si>
  <si>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</si>
  <si>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</si>
  <si>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</si>
  <si>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</si>
  <si>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</si>
  <si>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</si>
  <si>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</si>
  <si>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</si>
  <si>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</si>
  <si>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</si>
  <si>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</si>
  <si>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</si>
  <si>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</si>
  <si>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</si>
  <si>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</si>
  <si>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</si>
  <si>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</si>
  <si>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</si>
  <si>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</si>
  <si>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</si>
  <si>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</si>
  <si>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</si>
  <si>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</si>
  <si>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</si>
  <si>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</si>
  <si>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</si>
  <si>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</si>
  <si>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</si>
  <si>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</si>
  <si>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</si>
  <si>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</si>
  <si>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</si>
  <si>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</si>
  <si>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</si>
  <si>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</si>
  <si>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</si>
  <si>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</si>
  <si>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</si>
  <si>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</si>
  <si>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</si>
  <si>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</si>
  <si>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</si>
  <si>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</si>
  <si>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</si>
  <si>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</si>
  <si>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</si>
  <si>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</si>
  <si>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</si>
  <si>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</si>
  <si>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</si>
  <si>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</si>
  <si>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</si>
  <si>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</si>
  <si>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</si>
  <si>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</si>
  <si>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</si>
  <si>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</si>
  <si>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</si>
  <si>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</si>
  <si>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</si>
  <si>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</si>
  <si>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</si>
  <si>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</si>
  <si>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</si>
  <si>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</si>
  <si>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</si>
  <si>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</si>
  <si>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</si>
  <si>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</si>
  <si>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</si>
  <si>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</si>
  <si>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</si>
  <si>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</si>
  <si>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</si>
  <si>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</si>
  <si>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</si>
  <si>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</si>
  <si>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</si>
  <si>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</si>
  <si>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</si>
  <si>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</si>
  <si>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</si>
  <si>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</si>
  <si>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</si>
  <si>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</si>
  <si>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</si>
  <si>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</si>
  <si>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</si>
  <si>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</si>
  <si>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</si>
  <si>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</si>
  <si>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</si>
  <si>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</si>
  <si>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</si>
  <si>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</si>
  <si>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</si>
  <si>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</si>
  <si>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</si>
  <si>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</si>
  <si>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</si>
  <si>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</si>
  <si>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</si>
  <si>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</si>
  <si>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</si>
  <si>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</si>
  <si>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</si>
  <si>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</si>
  <si>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</si>
  <si>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</si>
  <si>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</si>
  <si>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</si>
  <si>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</si>
  <si>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</si>
  <si>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</si>
  <si>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</si>
  <si>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</si>
  <si>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</si>
  <si>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</si>
  <si>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</si>
  <si>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</si>
  <si>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</si>
  <si>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</si>
  <si>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</si>
  <si>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</si>
  <si>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</si>
  <si>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</si>
  <si>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</si>
  <si>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</si>
  <si>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</si>
  <si>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</si>
  <si>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</si>
  <si>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</si>
  <si>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</si>
  <si>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</si>
  <si>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</si>
  <si>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</si>
  <si>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</si>
  <si>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</si>
  <si>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</si>
  <si>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</si>
  <si>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</si>
  <si>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</si>
  <si>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Poznámka:</t>
  </si>
  <si>
    <t>Neuvedené výměry u položek jsou dokladovány v projektové dokumentaci v tabulkách místností .</t>
  </si>
  <si>
    <t>Objekt</t>
  </si>
  <si>
    <t>01</t>
  </si>
  <si>
    <t>02</t>
  </si>
  <si>
    <t>03</t>
  </si>
  <si>
    <t>04</t>
  </si>
  <si>
    <t>05</t>
  </si>
  <si>
    <t>06</t>
  </si>
  <si>
    <t>Kód</t>
  </si>
  <si>
    <t>614471800R00</t>
  </si>
  <si>
    <t>612471411R00</t>
  </si>
  <si>
    <t>611471411R00</t>
  </si>
  <si>
    <t>611481211RT2</t>
  </si>
  <si>
    <t>784221101R00</t>
  </si>
  <si>
    <t>642944121R00</t>
  </si>
  <si>
    <t>55330316</t>
  </si>
  <si>
    <t>55330319</t>
  </si>
  <si>
    <t>61165603</t>
  </si>
  <si>
    <t>61160126</t>
  </si>
  <si>
    <t>61160186</t>
  </si>
  <si>
    <t>713</t>
  </si>
  <si>
    <t>713111125R00</t>
  </si>
  <si>
    <t>63151402</t>
  </si>
  <si>
    <t>731</t>
  </si>
  <si>
    <t>731100831R00</t>
  </si>
  <si>
    <t>732211815R00</t>
  </si>
  <si>
    <t>732320815R00</t>
  </si>
  <si>
    <t>732420816R00</t>
  </si>
  <si>
    <t>732213814R00</t>
  </si>
  <si>
    <t>732393818R00</t>
  </si>
  <si>
    <t>732420817R00</t>
  </si>
  <si>
    <t>731391812R00</t>
  </si>
  <si>
    <t>733110810R00</t>
  </si>
  <si>
    <t>733110808R00</t>
  </si>
  <si>
    <t>734100813R00</t>
  </si>
  <si>
    <t>731202820R00</t>
  </si>
  <si>
    <t>766</t>
  </si>
  <si>
    <t>766661112R00</t>
  </si>
  <si>
    <t>549146403</t>
  </si>
  <si>
    <t>766661122R00</t>
  </si>
  <si>
    <t>766695213R00</t>
  </si>
  <si>
    <t>766670021R00</t>
  </si>
  <si>
    <t>549146423</t>
  </si>
  <si>
    <t>61187401</t>
  </si>
  <si>
    <t>771</t>
  </si>
  <si>
    <t>771212113R00</t>
  </si>
  <si>
    <t>771471014R00</t>
  </si>
  <si>
    <t>597642068</t>
  </si>
  <si>
    <t>776</t>
  </si>
  <si>
    <t>776510010RA0</t>
  </si>
  <si>
    <t>777</t>
  </si>
  <si>
    <t>777615213RT1</t>
  </si>
  <si>
    <t>783</t>
  </si>
  <si>
    <t>783801812R00</t>
  </si>
  <si>
    <t>24590827</t>
  </si>
  <si>
    <t>784</t>
  </si>
  <si>
    <t>784442001RT1</t>
  </si>
  <si>
    <t>784191201R00</t>
  </si>
  <si>
    <t>900      R01</t>
  </si>
  <si>
    <t>941955002R00</t>
  </si>
  <si>
    <t>952901111R00</t>
  </si>
  <si>
    <t>H01</t>
  </si>
  <si>
    <t>998011001R00</t>
  </si>
  <si>
    <t>H731</t>
  </si>
  <si>
    <t>998731201RA</t>
  </si>
  <si>
    <t>H766</t>
  </si>
  <si>
    <t>998766201RA</t>
  </si>
  <si>
    <t>H771</t>
  </si>
  <si>
    <t>998771201RA</t>
  </si>
  <si>
    <t>H776</t>
  </si>
  <si>
    <t>998776201RA</t>
  </si>
  <si>
    <t>H777</t>
  </si>
  <si>
    <t>998777201RA</t>
  </si>
  <si>
    <t>M21</t>
  </si>
  <si>
    <t>210800507R00</t>
  </si>
  <si>
    <t>210192573R11</t>
  </si>
  <si>
    <t>210-R06</t>
  </si>
  <si>
    <t>210-R07</t>
  </si>
  <si>
    <t>210-R09</t>
  </si>
  <si>
    <t>222260043R00</t>
  </si>
  <si>
    <t>34551622</t>
  </si>
  <si>
    <t>34536498</t>
  </si>
  <si>
    <t>34536710</t>
  </si>
  <si>
    <t>34535400</t>
  </si>
  <si>
    <t>34535446</t>
  </si>
  <si>
    <t>34571511</t>
  </si>
  <si>
    <t>34111032</t>
  </si>
  <si>
    <t>34111030</t>
  </si>
  <si>
    <t>34111038</t>
  </si>
  <si>
    <t>34111094</t>
  </si>
  <si>
    <t>34111098</t>
  </si>
  <si>
    <t>34111060</t>
  </si>
  <si>
    <t>34571523</t>
  </si>
  <si>
    <t>345715555</t>
  </si>
  <si>
    <t>357-R55</t>
  </si>
  <si>
    <t>34561413</t>
  </si>
  <si>
    <t>342264051RT1</t>
  </si>
  <si>
    <t>342264051RT3</t>
  </si>
  <si>
    <t>346244351RT2</t>
  </si>
  <si>
    <t>342270042RAA</t>
  </si>
  <si>
    <t>612481211RT2</t>
  </si>
  <si>
    <t>612403386R00</t>
  </si>
  <si>
    <t>632441321R00</t>
  </si>
  <si>
    <t>5533301444</t>
  </si>
  <si>
    <t>711</t>
  </si>
  <si>
    <t>711212002RT1</t>
  </si>
  <si>
    <t>711401111R00</t>
  </si>
  <si>
    <t>713110010RAC</t>
  </si>
  <si>
    <t>713111211RK2</t>
  </si>
  <si>
    <t>721</t>
  </si>
  <si>
    <t>721-R02</t>
  </si>
  <si>
    <t>733190109R00</t>
  </si>
  <si>
    <t>721-R03</t>
  </si>
  <si>
    <t>28615214.A</t>
  </si>
  <si>
    <t>28615234.A</t>
  </si>
  <si>
    <t>28615340.A</t>
  </si>
  <si>
    <t>28615360.A</t>
  </si>
  <si>
    <t>28615287.A</t>
  </si>
  <si>
    <t>28615289.A</t>
  </si>
  <si>
    <t>28615297.A</t>
  </si>
  <si>
    <t>722</t>
  </si>
  <si>
    <t>55111341</t>
  </si>
  <si>
    <t>55111371</t>
  </si>
  <si>
    <t>286151860</t>
  </si>
  <si>
    <t>286143002</t>
  </si>
  <si>
    <t>28377201.A</t>
  </si>
  <si>
    <t>283772032</t>
  </si>
  <si>
    <t>28377784.A</t>
  </si>
  <si>
    <t>23152340</t>
  </si>
  <si>
    <t>734267323R00</t>
  </si>
  <si>
    <t>722222182R00</t>
  </si>
  <si>
    <t>55111432</t>
  </si>
  <si>
    <t>55111322</t>
  </si>
  <si>
    <t>551310405</t>
  </si>
  <si>
    <t>738129412R00</t>
  </si>
  <si>
    <t>230180008R00</t>
  </si>
  <si>
    <t>230-R20</t>
  </si>
  <si>
    <t>725-R01</t>
  </si>
  <si>
    <t>722269112R00</t>
  </si>
  <si>
    <t>38821226</t>
  </si>
  <si>
    <t>725</t>
  </si>
  <si>
    <t>725017163R00</t>
  </si>
  <si>
    <t>725860215R00</t>
  </si>
  <si>
    <t>725823134RT0</t>
  </si>
  <si>
    <t>725823111RT0</t>
  </si>
  <si>
    <t>725819401R00</t>
  </si>
  <si>
    <t>55144162</t>
  </si>
  <si>
    <t>55231346</t>
  </si>
  <si>
    <t>28653057.A</t>
  </si>
  <si>
    <t>725829301R00</t>
  </si>
  <si>
    <t>725299101R00</t>
  </si>
  <si>
    <t>725210915R00</t>
  </si>
  <si>
    <t>725249103RAA</t>
  </si>
  <si>
    <t>725014131R00</t>
  </si>
  <si>
    <t>725210821R00</t>
  </si>
  <si>
    <t>725220841R00</t>
  </si>
  <si>
    <t>725110811R00</t>
  </si>
  <si>
    <t>725820801R00</t>
  </si>
  <si>
    <t>725820802R00</t>
  </si>
  <si>
    <t>725119306R00</t>
  </si>
  <si>
    <t>725119401R00</t>
  </si>
  <si>
    <t>725835111RT0</t>
  </si>
  <si>
    <t>55147018</t>
  </si>
  <si>
    <t>28349056</t>
  </si>
  <si>
    <t>55162476.A</t>
  </si>
  <si>
    <t>55484439.A</t>
  </si>
  <si>
    <t>55421012.A</t>
  </si>
  <si>
    <t>725860188RT1</t>
  </si>
  <si>
    <t>725814125R00</t>
  </si>
  <si>
    <t>28696714</t>
  </si>
  <si>
    <t>728</t>
  </si>
  <si>
    <t>728115111R00</t>
  </si>
  <si>
    <t>42981161</t>
  </si>
  <si>
    <t>42971072</t>
  </si>
  <si>
    <t>728415113R00</t>
  </si>
  <si>
    <t>429172323</t>
  </si>
  <si>
    <t>728414725RA</t>
  </si>
  <si>
    <t>551373403</t>
  </si>
  <si>
    <t>725530921R00</t>
  </si>
  <si>
    <t>5413220113</t>
  </si>
  <si>
    <t>733</t>
  </si>
  <si>
    <t>733-R01</t>
  </si>
  <si>
    <t>735</t>
  </si>
  <si>
    <t>735200010RAB</t>
  </si>
  <si>
    <t>735171512R00</t>
  </si>
  <si>
    <t>732-R01</t>
  </si>
  <si>
    <t>736</t>
  </si>
  <si>
    <t>736110003RT3</t>
  </si>
  <si>
    <t>28600711</t>
  </si>
  <si>
    <t>61160110</t>
  </si>
  <si>
    <t>61160612</t>
  </si>
  <si>
    <t>54914627</t>
  </si>
  <si>
    <t>54914625</t>
  </si>
  <si>
    <t>61187421</t>
  </si>
  <si>
    <t>766660030RA0</t>
  </si>
  <si>
    <t>766660034RA0</t>
  </si>
  <si>
    <t>61181510</t>
  </si>
  <si>
    <t>61181502</t>
  </si>
  <si>
    <t>766661412R33</t>
  </si>
  <si>
    <t>766812840RBB</t>
  </si>
  <si>
    <t>766694113R00</t>
  </si>
  <si>
    <t>766690010RAB</t>
  </si>
  <si>
    <t>767</t>
  </si>
  <si>
    <t>767640118RAA</t>
  </si>
  <si>
    <t>549146433</t>
  </si>
  <si>
    <t>55347626</t>
  </si>
  <si>
    <t>771575010RAH</t>
  </si>
  <si>
    <t>597642920</t>
  </si>
  <si>
    <t>775</t>
  </si>
  <si>
    <t>775542011R00</t>
  </si>
  <si>
    <t>775540001R00</t>
  </si>
  <si>
    <t>61193721</t>
  </si>
  <si>
    <t>775542022R00</t>
  </si>
  <si>
    <t>775413132R00</t>
  </si>
  <si>
    <t>781</t>
  </si>
  <si>
    <t>781475112R00</t>
  </si>
  <si>
    <t>781497121RS2</t>
  </si>
  <si>
    <t>597813620</t>
  </si>
  <si>
    <t>781900010RA0</t>
  </si>
  <si>
    <t>900      R02</t>
  </si>
  <si>
    <t>968061125R00</t>
  </si>
  <si>
    <t>962200061RA0</t>
  </si>
  <si>
    <t>968072455R00</t>
  </si>
  <si>
    <t>969011131R00</t>
  </si>
  <si>
    <t>969021111R00</t>
  </si>
  <si>
    <t>771990010RA0</t>
  </si>
  <si>
    <t>968-R10</t>
  </si>
  <si>
    <t>974049121R00</t>
  </si>
  <si>
    <t>998011002R00</t>
  </si>
  <si>
    <t>H711</t>
  </si>
  <si>
    <t>998711202RA</t>
  </si>
  <si>
    <t>H713</t>
  </si>
  <si>
    <t>998713202RA</t>
  </si>
  <si>
    <t>H72</t>
  </si>
  <si>
    <t>998728202RA</t>
  </si>
  <si>
    <t>H721</t>
  </si>
  <si>
    <t>998721202RA</t>
  </si>
  <si>
    <t>H722</t>
  </si>
  <si>
    <t>998722202RA</t>
  </si>
  <si>
    <t>H725</t>
  </si>
  <si>
    <t>998725202RA</t>
  </si>
  <si>
    <t>998731202RA</t>
  </si>
  <si>
    <t>H733</t>
  </si>
  <si>
    <t>998733201RA</t>
  </si>
  <si>
    <t>H735</t>
  </si>
  <si>
    <t>998735202RA</t>
  </si>
  <si>
    <t>H736</t>
  </si>
  <si>
    <t>998736202RA</t>
  </si>
  <si>
    <t>998766202RA</t>
  </si>
  <si>
    <t>H767</t>
  </si>
  <si>
    <t>998767202RA</t>
  </si>
  <si>
    <t>998771202RA</t>
  </si>
  <si>
    <t>H775</t>
  </si>
  <si>
    <t>998775202RA</t>
  </si>
  <si>
    <t>998776202RA</t>
  </si>
  <si>
    <t>H781</t>
  </si>
  <si>
    <t>998781202RA</t>
  </si>
  <si>
    <t>34551615</t>
  </si>
  <si>
    <t>34535454</t>
  </si>
  <si>
    <t>220301203R00</t>
  </si>
  <si>
    <t>210800033R20</t>
  </si>
  <si>
    <t>210-R03</t>
  </si>
  <si>
    <t>34111076</t>
  </si>
  <si>
    <t>34111000</t>
  </si>
  <si>
    <t>357-R01</t>
  </si>
  <si>
    <t>210110082RT1</t>
  </si>
  <si>
    <t>210-R08</t>
  </si>
  <si>
    <t>222-R02</t>
  </si>
  <si>
    <t>222-R04</t>
  </si>
  <si>
    <t>222730006R00</t>
  </si>
  <si>
    <t>222-R06</t>
  </si>
  <si>
    <t>429148016</t>
  </si>
  <si>
    <t>429-R02</t>
  </si>
  <si>
    <t>721-R100</t>
  </si>
  <si>
    <t>721-R200</t>
  </si>
  <si>
    <t>722254231RHH</t>
  </si>
  <si>
    <t>722259201R00</t>
  </si>
  <si>
    <t>722254110R00</t>
  </si>
  <si>
    <t>722-R100</t>
  </si>
  <si>
    <t>767-R44</t>
  </si>
  <si>
    <t>773</t>
  </si>
  <si>
    <t>773991001R00</t>
  </si>
  <si>
    <t>962032641R00</t>
  </si>
  <si>
    <t>210-R100</t>
  </si>
  <si>
    <t>210-R200</t>
  </si>
  <si>
    <t>34828416</t>
  </si>
  <si>
    <t>310271525R00</t>
  </si>
  <si>
    <t>622311525RV1</t>
  </si>
  <si>
    <t>622432112R00</t>
  </si>
  <si>
    <t>622311737RV1</t>
  </si>
  <si>
    <t>622311753RV1</t>
  </si>
  <si>
    <t>622315018R00</t>
  </si>
  <si>
    <t>622451122R00</t>
  </si>
  <si>
    <t>622904112R00</t>
  </si>
  <si>
    <t>622421494R00</t>
  </si>
  <si>
    <t>622473187RT2</t>
  </si>
  <si>
    <t>602013177RO8</t>
  </si>
  <si>
    <t>602016195RCC</t>
  </si>
  <si>
    <t>58556813.A</t>
  </si>
  <si>
    <t>61143853.A</t>
  </si>
  <si>
    <t>766629303R00</t>
  </si>
  <si>
    <t>61143011.A</t>
  </si>
  <si>
    <t>766629301R00</t>
  </si>
  <si>
    <t>61143251</t>
  </si>
  <si>
    <t>766660016RA0</t>
  </si>
  <si>
    <t>61143791.BB</t>
  </si>
  <si>
    <t>766660014RA0</t>
  </si>
  <si>
    <t>611-R50</t>
  </si>
  <si>
    <t>642940092RA0</t>
  </si>
  <si>
    <t>549146432</t>
  </si>
  <si>
    <t>766698111RAS</t>
  </si>
  <si>
    <t>55344628.A</t>
  </si>
  <si>
    <t>713111111RT2</t>
  </si>
  <si>
    <t>63151410</t>
  </si>
  <si>
    <t>762</t>
  </si>
  <si>
    <t>762332932RT2</t>
  </si>
  <si>
    <t>762340030RAA</t>
  </si>
  <si>
    <t>764</t>
  </si>
  <si>
    <t>764900010RAA</t>
  </si>
  <si>
    <t>764319020RA0</t>
  </si>
  <si>
    <t>764908102R00</t>
  </si>
  <si>
    <t>764908109R00</t>
  </si>
  <si>
    <t>764901203R00</t>
  </si>
  <si>
    <t>764908105R00</t>
  </si>
  <si>
    <t>764909401R00</t>
  </si>
  <si>
    <t>764908307R00</t>
  </si>
  <si>
    <t>764901317R00</t>
  </si>
  <si>
    <t>764902316R00</t>
  </si>
  <si>
    <t>764901313R00</t>
  </si>
  <si>
    <t>764901311R00</t>
  </si>
  <si>
    <t>764904010R00</t>
  </si>
  <si>
    <t>27344352</t>
  </si>
  <si>
    <t>27344354</t>
  </si>
  <si>
    <t>764900050RAA</t>
  </si>
  <si>
    <t>764421850R00</t>
  </si>
  <si>
    <t>764521650RT3</t>
  </si>
  <si>
    <t>764521650RAC</t>
  </si>
  <si>
    <t>764900035RAA</t>
  </si>
  <si>
    <t>764351836R00</t>
  </si>
  <si>
    <t>764252492R00</t>
  </si>
  <si>
    <t>55351592</t>
  </si>
  <si>
    <t>55351615</t>
  </si>
  <si>
    <t>764900010RAB</t>
  </si>
  <si>
    <t>764903203RAA</t>
  </si>
  <si>
    <t>767649191R00</t>
  </si>
  <si>
    <t>54917025</t>
  </si>
  <si>
    <t>783124220R00</t>
  </si>
  <si>
    <t>783782207R00</t>
  </si>
  <si>
    <t>941941831R00</t>
  </si>
  <si>
    <t>941941041R00</t>
  </si>
  <si>
    <t>941941291R00</t>
  </si>
  <si>
    <t>968062355R00</t>
  </si>
  <si>
    <t>968079944RBA</t>
  </si>
  <si>
    <t>968072456R00</t>
  </si>
  <si>
    <t>H762</t>
  </si>
  <si>
    <t>998762202RA</t>
  </si>
  <si>
    <t>H764</t>
  </si>
  <si>
    <t>998764202RA</t>
  </si>
  <si>
    <t>210200020RA0</t>
  </si>
  <si>
    <t>051</t>
  </si>
  <si>
    <t>00512110-R01</t>
  </si>
  <si>
    <t>00512110-R02</t>
  </si>
  <si>
    <t>00512110-R03</t>
  </si>
  <si>
    <t>00512110-R04</t>
  </si>
  <si>
    <t>0051220-R01</t>
  </si>
  <si>
    <t>0051240-R01</t>
  </si>
  <si>
    <t>005230-R01</t>
  </si>
  <si>
    <t>005240-R01</t>
  </si>
  <si>
    <t>005260-R01</t>
  </si>
  <si>
    <t>BYTOVÝ DŮM č.p.58, parc.č.st.41/3 ,ZHOŘ</t>
  </si>
  <si>
    <t>REVITALIZACE BYTOVÉHO DOMU</t>
  </si>
  <si>
    <t>ZHOŘ U STŘÍBRA</t>
  </si>
  <si>
    <t>Zkrácený popis / Varianta</t>
  </si>
  <si>
    <t>Rozměry</t>
  </si>
  <si>
    <t>1.PP</t>
  </si>
  <si>
    <t>Úprava povrchů vnitřní</t>
  </si>
  <si>
    <t>Adhézní můstek</t>
  </si>
  <si>
    <t>671,32</t>
  </si>
  <si>
    <t>-17*0,9*2</t>
  </si>
  <si>
    <t>-6*2,1*2,4</t>
  </si>
  <si>
    <t>-5*1*0,75</t>
  </si>
  <si>
    <t>Úprava vnitřních stěn aktivovaným štukem</t>
  </si>
  <si>
    <t>Úprava stropů aktivovaným štukem tl. 2 - 3 mm</t>
  </si>
  <si>
    <t>16,18+13,38+6,25+15,54+15,9+15,64+15,9+4,07+6,05+1,55+1,55+1,55+1,55+1,2+1,55+4,15</t>
  </si>
  <si>
    <t>16,18+15,9+11,46+2,73+15,72</t>
  </si>
  <si>
    <t>Montáž výztužné sítě (perlinky) do stěrky-stropy</t>
  </si>
  <si>
    <t>včetně výztužné sítě a stěrkového tmelu</t>
  </si>
  <si>
    <t>Penetrace podkladu stropů 1x</t>
  </si>
  <si>
    <t>Výplně otvorů</t>
  </si>
  <si>
    <t>Osazení ocelových zárubní  do 2,5 m2</t>
  </si>
  <si>
    <t>Zárubeň ocelová H 110   600x1970x110</t>
  </si>
  <si>
    <t>Zárubeň ocelová H 110   800x1970x110 L</t>
  </si>
  <si>
    <t>Dveře protipožární EI30 plné 80x197 cm fólie</t>
  </si>
  <si>
    <t>Dveře vnitřní hladké plné 1 kříd. 60x197 lak A</t>
  </si>
  <si>
    <t>Dveře vnitřní hladké plné 1 kříd. 80x197 lak A</t>
  </si>
  <si>
    <t>Izolace tepelné</t>
  </si>
  <si>
    <t>Izolace tepelné stropů rovných spodem, lepením</t>
  </si>
  <si>
    <t>Deska z minerální plsti  tl. 60 mm</t>
  </si>
  <si>
    <t>193,2</t>
  </si>
  <si>
    <t>Kotelny</t>
  </si>
  <si>
    <t>Demontáž kotle litinového</t>
  </si>
  <si>
    <t>Demontáž ohříváků zásobníkových ležatých do 1600 l</t>
  </si>
  <si>
    <t>Odpojení nádrží od rozvodů potrubí, do 1000 l</t>
  </si>
  <si>
    <t>Demontáž čerpadel oběhových spirálních DN 100</t>
  </si>
  <si>
    <t>Rozřezání demontovaných ohříváků do 1600 l</t>
  </si>
  <si>
    <t>Rozřezání demontovaných nádrží, do 5000 l</t>
  </si>
  <si>
    <t>Demontáž čerpadel oběhových spirálních DN 125</t>
  </si>
  <si>
    <t>Vypouštění vody z kotlů samospádem do 10 m2</t>
  </si>
  <si>
    <t>Demontáž potrubí ocelového závitového do DN 50-80</t>
  </si>
  <si>
    <t>Demontáž potrubí ocelového závitového do DN 32-50</t>
  </si>
  <si>
    <t>Demontáž armatur se dvěma přírubami do DN 150</t>
  </si>
  <si>
    <t>Rozřezání kotlů ocelových do 1000 kg</t>
  </si>
  <si>
    <t>Konstrukce truhlářské</t>
  </si>
  <si>
    <t>Montáž dveří do zárubně,otevíravých 1kř.do 0,8 m</t>
  </si>
  <si>
    <t>Bezp. kování  Klika-knoflík Ti</t>
  </si>
  <si>
    <t>Montáž dveří do zárubně,otevíravých 1kř.nad 0,8 m</t>
  </si>
  <si>
    <t>Montáž prahů dveří jednokřídlových š. nad 10 cm</t>
  </si>
  <si>
    <t>Montáž kliky a štítku</t>
  </si>
  <si>
    <t>Dveřní kování  Klika-klika Ti</t>
  </si>
  <si>
    <t>Prah bukový délka 80 cm šířka 15 cm 2 cm</t>
  </si>
  <si>
    <t>Podlahy z dlaždic</t>
  </si>
  <si>
    <t>Kladení dlažby keramické do TM, vel. do 400x400 mm</t>
  </si>
  <si>
    <t>Obklad soklíků keram.rovných do MC,20x10, H 10 cm</t>
  </si>
  <si>
    <t>Dlažba keramická</t>
  </si>
  <si>
    <t>Podlahy povlakové</t>
  </si>
  <si>
    <t>Demontáž povlakových podlah z nášlapné plochy</t>
  </si>
  <si>
    <t>PVC</t>
  </si>
  <si>
    <t>Podlahy ze syntetických hmot</t>
  </si>
  <si>
    <t>Nátěry podlah betonových  bezprašným nátěrem</t>
  </si>
  <si>
    <t>Nátěry</t>
  </si>
  <si>
    <t>Oškrabání maleb stropů a stěn</t>
  </si>
  <si>
    <t>VIZ.POLOŽKA č.40</t>
  </si>
  <si>
    <t>Tekutý roztok biocidních látek na ničení řas a plísní na zdivu 0,5 l</t>
  </si>
  <si>
    <t>Malby</t>
  </si>
  <si>
    <t>Malba disperzní interiérová , výška do 3,8 m</t>
  </si>
  <si>
    <t xml:space="preserve"> 2x nátěr, 1x penetrace</t>
  </si>
  <si>
    <t>606,73+184</t>
  </si>
  <si>
    <t>Penetrace podkladu  hloubková  1x</t>
  </si>
  <si>
    <t>Hodinové zúčtovací sazby (HZS)</t>
  </si>
  <si>
    <t>HZS-nespecifikované práce</t>
  </si>
  <si>
    <t>vyklízení domovního odpadu</t>
  </si>
  <si>
    <t>Lešení a stavební výtahy</t>
  </si>
  <si>
    <t>Lešení lehké pomocné, výška podlahy do 1,9 m</t>
  </si>
  <si>
    <t>rozměry VIZ.POLOŽKA č.3</t>
  </si>
  <si>
    <t>Různé dokončovací konstrukce a práce na pozemních stavbách</t>
  </si>
  <si>
    <t>Vyčištění budov o výšce podlaží do 4 m</t>
  </si>
  <si>
    <t>Budovy občanské výstavby</t>
  </si>
  <si>
    <t>Přesun hmot pro budovy zděné výšky do 6 m</t>
  </si>
  <si>
    <t>Přesun hmot pro kotelny, výšky do 6 m</t>
  </si>
  <si>
    <t>Přesun hmot pro truhlářské konstr., výšky do 6 m</t>
  </si>
  <si>
    <t>Přesun hmot pro podlahy z dlaždic, výšky do 6 m</t>
  </si>
  <si>
    <t>Přesun hmot pro podlahy povlakové, výšky do 6 m</t>
  </si>
  <si>
    <t>Přesun hmot pro podlahy syntetické, výšky do 6 m</t>
  </si>
  <si>
    <t>Elektromontáže</t>
  </si>
  <si>
    <t>Vodič nn a vn CY 6 mm2 uložený v trubkách</t>
  </si>
  <si>
    <t>Svorkovnice svítidlová</t>
  </si>
  <si>
    <t>Revize elektrozařízení</t>
  </si>
  <si>
    <t>provedení příslušných revizí a zkoušek elektro</t>
  </si>
  <si>
    <t>Demontáž stávajících rozvodů a zařízení</t>
  </si>
  <si>
    <t>demontáž zbytků stávajících rozvodů a nefunkčních zařízení v 1.PP, vyklizení a likvidace</t>
  </si>
  <si>
    <t>Montáž rozvodů a zařízení</t>
  </si>
  <si>
    <t>montáž rozvodů nn vč.koncových prvků</t>
  </si>
  <si>
    <t>HZS</t>
  </si>
  <si>
    <t>zednické přípomoce pro montáže a demontáže elektro rozvodů</t>
  </si>
  <si>
    <t>Krabice KR 68 vč.svorkovnice</t>
  </si>
  <si>
    <t>Zásuvka dvojnásobná bytová</t>
  </si>
  <si>
    <t>Kryt spínače bytového</t>
  </si>
  <si>
    <t>Rámeček pro spínače a zásuvky bytové</t>
  </si>
  <si>
    <t>Strojek spínače 1pólového bytového řaz.1</t>
  </si>
  <si>
    <t>Strojek spínače křížového bytového řaz.7</t>
  </si>
  <si>
    <t>Krabice přístrojová kruhová Kp 68/2 d 74x30 mm</t>
  </si>
  <si>
    <t>Kabel silový s Cu jádrem 750 V CYKY 3 C x 1,5 mm2</t>
  </si>
  <si>
    <t>Kabel silový s Cu jádrem 750 V CYKY 3A x 1,5 mm2</t>
  </si>
  <si>
    <t>Kabel silový s Cu jádrem 750 V CYKY 3 C x 2,5 mm2</t>
  </si>
  <si>
    <t>Kabel silový s Cu jádrem 750 V CYKY 5 x 2,5 mm2</t>
  </si>
  <si>
    <t>Kabel silový s Cu jádrem 750 V CYKY 5 x 4 mm2</t>
  </si>
  <si>
    <t>Kabel silový s Cu jádrem 750 V CYKY 4C x 1,5 mm2</t>
  </si>
  <si>
    <t>Krabice přístrojová odbočná kruhová z PH KO 97/5</t>
  </si>
  <si>
    <t>Víčko krabice z PC  KO 97 V/1HF</t>
  </si>
  <si>
    <t>Rozvaděč elektroměrový vč.výzbroje,spol.prostory a suterén</t>
  </si>
  <si>
    <t>Svorka vodičová</t>
  </si>
  <si>
    <t>1.NP</t>
  </si>
  <si>
    <t>Stěny a příčky</t>
  </si>
  <si>
    <t>Podhled sádrokartonový na zavěšenou ocel. konstr.</t>
  </si>
  <si>
    <t>desky standard tl. 12,5 mm, bez izolace</t>
  </si>
  <si>
    <t>159,2+19,04</t>
  </si>
  <si>
    <t>desky standard impreg. tl. 12,5 mm, bez izolace</t>
  </si>
  <si>
    <t>Obezdívka koupelnových van tl. 6,5 cm</t>
  </si>
  <si>
    <t>s použitím suché maltové směsi</t>
  </si>
  <si>
    <t>1,6*0,7*3</t>
  </si>
  <si>
    <t>Příčka z desek pórobetonových hladkých, tloušťka 10 cm</t>
  </si>
  <si>
    <t>tvárnice 600 x 250 x 100 mm, P 3 - 550,WC předstěny</t>
  </si>
  <si>
    <t>5,175*1,6</t>
  </si>
  <si>
    <t>tvárnice 600 x 250 x 100 mm, P 3 - 550,</t>
  </si>
  <si>
    <t>(2,4+2,4)*2,7</t>
  </si>
  <si>
    <t>(1,55+1,55)*2,7*3</t>
  </si>
  <si>
    <t>1,64*2,7*3</t>
  </si>
  <si>
    <t>-0,6*2*3*3</t>
  </si>
  <si>
    <t>-0,8*2*3</t>
  </si>
  <si>
    <t>Montáž výztužné sítě (perlinky) do stěrky-stěny</t>
  </si>
  <si>
    <t>3,36+8,28</t>
  </si>
  <si>
    <t>142,12*2,65</t>
  </si>
  <si>
    <t>8,28+376,62</t>
  </si>
  <si>
    <t>Hrubá výplň rýh ve stěnách do 10x10cm maltou z SMS</t>
  </si>
  <si>
    <t>60,6+376,62+60,6</t>
  </si>
  <si>
    <t>Podlahy a podlahové konstrukce</t>
  </si>
  <si>
    <t>Potěr samonivelační, plocha do 500 m2, tl. 35 mm</t>
  </si>
  <si>
    <t>7,65+9,95+15+17,89+3,69+14,5+2,48+0,94</t>
  </si>
  <si>
    <t>3,02+1,81+14,5+10,52+4,54+0,94</t>
  </si>
  <si>
    <t>6,12+9,95+5,41+0,94+6,76+11,45+22,21</t>
  </si>
  <si>
    <t>Zárubeň ocelová YH 900/1970EI, EW 45</t>
  </si>
  <si>
    <t>Izolace proti vodě</t>
  </si>
  <si>
    <t>Hydroizolační povlak - nátěr nebo stěrka</t>
  </si>
  <si>
    <t>proti vlhkosti, tl. 2mm</t>
  </si>
  <si>
    <t>7,29*1,5</t>
  </si>
  <si>
    <t>Izolace a dilatace separační rohoží</t>
  </si>
  <si>
    <t>lodžie</t>
  </si>
  <si>
    <t>proti vlhkosti, tl. 2mm,lodžie</t>
  </si>
  <si>
    <t>Izolace tepelné stropu spodem minerální rohoží</t>
  </si>
  <si>
    <t>tloušťka 10 cm</t>
  </si>
  <si>
    <t>159,2+19,04+11,07</t>
  </si>
  <si>
    <t>Montáž parozábrany stropů spodem s přelepením spojů</t>
  </si>
  <si>
    <t>(159,2+19,04+11,07)*1,1</t>
  </si>
  <si>
    <t>Vnitřní kanalizace</t>
  </si>
  <si>
    <t>Montážní práce vnitřní kanalizace</t>
  </si>
  <si>
    <t>montáž rozvodů kanalizace v bytech č.1-3, vč. bytových stoupaček</t>
  </si>
  <si>
    <t>Tlaková zkouška potrubí  DN 65</t>
  </si>
  <si>
    <t>Demontáže původních rozvodů, vč.likvidace</t>
  </si>
  <si>
    <t>demontáž rozvodů kanalizace v bytech č.1-3, vč. bytových stoupaček</t>
  </si>
  <si>
    <t>Trubka HT s hrdlem D 50 mm délka 1000 mm PP</t>
  </si>
  <si>
    <t>Trubka HT s hrdlem D 110 mm délka 1000 mm PP</t>
  </si>
  <si>
    <t>Odbočka HTEA D 50/ 50 mm 45° PP</t>
  </si>
  <si>
    <t>Odbočka HTEA D 110/ 50 mm 45° PP</t>
  </si>
  <si>
    <t>Koleno HTB D 50 mm 45° PP</t>
  </si>
  <si>
    <t>Koleno HTB D 50 mm 87° PP</t>
  </si>
  <si>
    <t>Koleno HTB D 110 mm 45° PP</t>
  </si>
  <si>
    <t>Vnitřní vodovod</t>
  </si>
  <si>
    <t>KE-251 kulový kohout M/M Standard páka DN20</t>
  </si>
  <si>
    <t>KE-271S kulový kohout vypouštěcí DN15</t>
  </si>
  <si>
    <t>Trubka třívrstvá vodovodní 20x2,3x4000 mm</t>
  </si>
  <si>
    <t>Trubka vodovodní D25x2,8</t>
  </si>
  <si>
    <t>Trubice izolační  22x15 mm,vč.spon</t>
  </si>
  <si>
    <t>Trubice izolační  28x15 mm,vč.spon</t>
  </si>
  <si>
    <t>Páska samolepicí LPE 3,0x50 mm x 15 m</t>
  </si>
  <si>
    <t>Tmel S 9780 kaučuk silikonový 310 ml kartuše</t>
  </si>
  <si>
    <t>Šroubení topenářské, rohové,  V-4301 DN 20</t>
  </si>
  <si>
    <t>Kohout kulový vypouštěcí,  DN 15</t>
  </si>
  <si>
    <t>Zpětný ventil s pružinou DN20</t>
  </si>
  <si>
    <t>Kulový kohout  Standard páka 3/4"</t>
  </si>
  <si>
    <t>Pojistný ventil DN 15/20 10 bar</t>
  </si>
  <si>
    <t>Nádoba expanzní  12l</t>
  </si>
  <si>
    <t>Montáž trub z plastických hmot PE, PP, 25 x 4,2</t>
  </si>
  <si>
    <t>montáž rozvodů vody v bytech č.1-3, vč. bytových stoupaček</t>
  </si>
  <si>
    <t>Tlaková zkouška</t>
  </si>
  <si>
    <t>Demontáž původních rozvodů vč.likvidace</t>
  </si>
  <si>
    <t>demontáž rozvodů vody v bytech č.1-3, vč. bytových stoupaček</t>
  </si>
  <si>
    <t>Montáž vodoměru závitového jdnovt. suchob. G3/4"</t>
  </si>
  <si>
    <t>Vodoměr byt. na stud.vodu  JET,DN 20, l=130</t>
  </si>
  <si>
    <t>Zařizovací předměty</t>
  </si>
  <si>
    <t>Umyvadlo na šrouby  , 60 x 49 cm, bílé</t>
  </si>
  <si>
    <t>Sifon umyvadlový a dřezový, HL 137 D 32, 40 mm</t>
  </si>
  <si>
    <t>Baterie dřezová stojánková ruční s výsuv. sprchou</t>
  </si>
  <si>
    <t>základní</t>
  </si>
  <si>
    <t>Baterie umyvadlová stoján. ruční, bez otvír.odpadu</t>
  </si>
  <si>
    <t>Ventil rohový s trubičkou G 1/2</t>
  </si>
  <si>
    <t>Sprchová sada M3 B9452 AA</t>
  </si>
  <si>
    <t>Dřez nerez odkapní typ 514  1a</t>
  </si>
  <si>
    <t xml:space="preserve"> Uzavírka zápachová , dřez</t>
  </si>
  <si>
    <t>Montáž baterie umyv.a dřezové stojánkové</t>
  </si>
  <si>
    <t>Montáž koupelnových doplňků - mýdelníků, držáků ap</t>
  </si>
  <si>
    <t>vč.dodávky doplňků</t>
  </si>
  <si>
    <t>Montáž umyvadla s 1stoj.ventilem</t>
  </si>
  <si>
    <t>Montáž vany</t>
  </si>
  <si>
    <t>Klozet závěsný  + sedátko, bílý</t>
  </si>
  <si>
    <t>Demontáž umyvadel bez výtokových armatur</t>
  </si>
  <si>
    <t>Demontáž ocelové vany</t>
  </si>
  <si>
    <t>Demontáž klozetů splachovacích</t>
  </si>
  <si>
    <t>Demontáž baterie nástěnné do G 3/4</t>
  </si>
  <si>
    <t>Demontáž baterie stojánkové do 1otvoru</t>
  </si>
  <si>
    <t>Montáž klozetu závěsného</t>
  </si>
  <si>
    <t>Montáž předstěnových systémů pro zazdění</t>
  </si>
  <si>
    <t>Baterie vanová nástěnná ruční, bez příslušenství</t>
  </si>
  <si>
    <t>Splachovač WC SLW 02GR pro splach nádrž, tlačítko</t>
  </si>
  <si>
    <t>Dvířka vanová  D 300 x 300 mm</t>
  </si>
  <si>
    <t>HL555N vanová odpadní souprava DN 40/50</t>
  </si>
  <si>
    <t>Zástěna vanová posuvná 120cm, čirá VZP2/120 S</t>
  </si>
  <si>
    <t>Vana akrylátová  160x70x41  140 litrů</t>
  </si>
  <si>
    <t>Sifon pračka,myčka HL440, D 40/50 mm</t>
  </si>
  <si>
    <t>podomítkový, suchá zápachová klapka</t>
  </si>
  <si>
    <t>Ventil pračka,myčka  DN 20</t>
  </si>
  <si>
    <t>Deska ovládací WC pro ovlád. zepředu</t>
  </si>
  <si>
    <t>Vzduchotechnika</t>
  </si>
  <si>
    <t>Montáž potrubí ohebného neizol. z AL do d 100 mm</t>
  </si>
  <si>
    <t>Potrubí ohebné 100/3, délka 3 m</t>
  </si>
  <si>
    <t>Klapka kruhová DN100,na potrubí ohebné ,ovl. ruční plast</t>
  </si>
  <si>
    <t>stavební přípomoce při montáži VZT</t>
  </si>
  <si>
    <t>Montáž mřížky větrací nebo ventilační do 0,15 m2</t>
  </si>
  <si>
    <t>Klimatizace  5 kW nadokenní</t>
  </si>
  <si>
    <t>Montáž nadokenní klimatizační jednotky</t>
  </si>
  <si>
    <t>specifikace jednotky : Antialergení filtr, funkce odstraňovače pachů, protiplísňový filtr, systém inverter s ekologickým chladivem R410a, automatická regulace svislého proudění vzduchu, režim Hot start,  časové programování,  autodiagnostika poruch, dálkové IR ovládání. Jednotka oceněna samostatně.</t>
  </si>
  <si>
    <t>Termostat prostorový digitální</t>
  </si>
  <si>
    <t>Zpětná montáž zásobníků tlakových  80 l</t>
  </si>
  <si>
    <t>Ohřívač vody zásobníkový el. 100 l.</t>
  </si>
  <si>
    <t>Rozvod potrubí</t>
  </si>
  <si>
    <t>Demontáž původních rozvodů ÚT,vč.likvidace</t>
  </si>
  <si>
    <t>demontáž rozvodů ÚT v bytech č.1-3, vč. bytových stoupaček</t>
  </si>
  <si>
    <t>Otopná tělesa</t>
  </si>
  <si>
    <t>Demontáž otopných těles litinových článkových</t>
  </si>
  <si>
    <t>12*1,5</t>
  </si>
  <si>
    <t>Těleso trubkové  1500.600</t>
  </si>
  <si>
    <t>Patrona elektrická 600 W</t>
  </si>
  <si>
    <t>Regulace</t>
  </si>
  <si>
    <t>Podlahové vytápění na systémovou desku</t>
  </si>
  <si>
    <t>Deska systémová  EN/PF 1060x755 mm</t>
  </si>
  <si>
    <t>15,94+10,25+6,72+19,24+14,73+14,04+12,08+10,08+20,74+21,93+13,45</t>
  </si>
  <si>
    <t>;ztratné 10%; 15,92</t>
  </si>
  <si>
    <t>Dveře vnitřní fólie plné 1kř. 60x197 bílé</t>
  </si>
  <si>
    <t>Dveře vnitřní fólie  2/3 sklo 1kř. 80x197</t>
  </si>
  <si>
    <t>Dveřní kování  klika klika Ti</t>
  </si>
  <si>
    <t>Dveřní kování KLASIK/S klíč Ti</t>
  </si>
  <si>
    <t>Prah bukový délka 90 cm šířka 15 cm tl. 2 cm</t>
  </si>
  <si>
    <t>Montáž dveří a obložkové zárubně šířky 60 cm</t>
  </si>
  <si>
    <t>Montáž dveří a obložkové zárubně šířky 80 cm</t>
  </si>
  <si>
    <t>Zárubeň obložková  š. 60cm/st. 6-17cm lamin.</t>
  </si>
  <si>
    <t>Zárubeň obložková  š. 80cm/st.  6-17cm fólie</t>
  </si>
  <si>
    <t>Montáž kukátka do vstupních dveří</t>
  </si>
  <si>
    <t>vč.dodávky kukátka</t>
  </si>
  <si>
    <t>Demontáž kuchyňských linek do 3 m</t>
  </si>
  <si>
    <t>Montáž parapetních desek š.do 30 cm,dl.do 260 cm</t>
  </si>
  <si>
    <t>Desky parapetní aglomer. dodávka a montáž</t>
  </si>
  <si>
    <t>šířka 30 cm</t>
  </si>
  <si>
    <t>2,1*10*1,1</t>
  </si>
  <si>
    <t>Konstrukce doplňkové stavební (zámečnické)</t>
  </si>
  <si>
    <t>Dveře protipožární jednokřídlové 90 x 197 cm, PB 30 minut</t>
  </si>
  <si>
    <t>Bezpečnostní kování  Klika-knoflík Ti</t>
  </si>
  <si>
    <t>D+M,Dvířka revizní  bílá 600x600 mm</t>
  </si>
  <si>
    <t>WC,koupelny</t>
  </si>
  <si>
    <t>Dlažba keramická ,WC,koupelny</t>
  </si>
  <si>
    <t>12,177</t>
  </si>
  <si>
    <t>chodby-předsíň</t>
  </si>
  <si>
    <t>6,72+6,72+5,6</t>
  </si>
  <si>
    <t>Dlažba keramická ,chodby-předsíň</t>
  </si>
  <si>
    <t>30,8</t>
  </si>
  <si>
    <t>Dlažba do tmele 15 x 15</t>
  </si>
  <si>
    <t xml:space="preserve"> dlažba ve specifikaci,lodžie</t>
  </si>
  <si>
    <t>3,27*2</t>
  </si>
  <si>
    <t>Dlažba keramická mrazuvzdorná,lodžie</t>
  </si>
  <si>
    <t>7,194</t>
  </si>
  <si>
    <t>Podlahy vlysové a parketové</t>
  </si>
  <si>
    <t>Fólie PE pod lamelové podlahy</t>
  </si>
  <si>
    <t>(15,94+10,25+6,72+19,24+14,73+14,04+12,08+10,08+20,74+21,93+13,45)*1,1</t>
  </si>
  <si>
    <t>Kladení podlah lamelových na podkladní rohož</t>
  </si>
  <si>
    <t>Podlaha lamin.  1285x192x8 mm</t>
  </si>
  <si>
    <t>15,94+10,25+6,72+19,24+14,73+14,04+12,08+10,08+20,74+21,93+13,45+15,92</t>
  </si>
  <si>
    <t>Podkladní rohož 3 mm pod lamelové podlahy</t>
  </si>
  <si>
    <t>Podlahové lišty připevněné vruty, BK 8/1,5 cm</t>
  </si>
  <si>
    <t>PVC nebo plovoucí podlahy</t>
  </si>
  <si>
    <t>Obklady (keramické)</t>
  </si>
  <si>
    <t>Obklad vnitřní stěn keramický, do tmele, 15x15 cm</t>
  </si>
  <si>
    <t>8*2*3</t>
  </si>
  <si>
    <t>(0,9*2+1,5)*3</t>
  </si>
  <si>
    <t>3*0,7*3</t>
  </si>
  <si>
    <t>-0,6*2*3</t>
  </si>
  <si>
    <t>Lišta hliníková rohová k obkladům</t>
  </si>
  <si>
    <t>profil RB, pro tloušťku obkladu 8 mm</t>
  </si>
  <si>
    <t>Obklad keramický</t>
  </si>
  <si>
    <t>66,66</t>
  </si>
  <si>
    <t>Odsekání obkladů vnitřních</t>
  </si>
  <si>
    <t>-0,6*2*3   ODEČET OTVORY</t>
  </si>
  <si>
    <t>rozměry VIZ POLOŽKA č.80</t>
  </si>
  <si>
    <t>2x nátěr, 1x penetrace</t>
  </si>
  <si>
    <t>11,07+178,24+384,9</t>
  </si>
  <si>
    <t>Stavební přípomoce pro ZTI a ÚT</t>
  </si>
  <si>
    <t>Stavební přípomoce pro HSV</t>
  </si>
  <si>
    <t>vyklízení odpadů z BJ</t>
  </si>
  <si>
    <t>Bourání konstrukcí</t>
  </si>
  <si>
    <t>Vyvěšení dřevěných dveřních křídel pl. do 2 m2</t>
  </si>
  <si>
    <t>Bourání lehkých příček</t>
  </si>
  <si>
    <t>předstěna stoupaček</t>
  </si>
  <si>
    <t>3,12*3</t>
  </si>
  <si>
    <t>-0,6*0,6*3</t>
  </si>
  <si>
    <t>Vybourání kovových dveřních zárubní pl. do 2 m2</t>
  </si>
  <si>
    <t>BYTY</t>
  </si>
  <si>
    <t>Vybourání vodovod., plynového vedení DN do 125 mm</t>
  </si>
  <si>
    <t>Vybourání kanalizačního potrubí DN do 100 mm</t>
  </si>
  <si>
    <t>Vybourání keramické nebo teracové dlažby</t>
  </si>
  <si>
    <t>2,47*2+2,35</t>
  </si>
  <si>
    <t>1,4*0,9*3</t>
  </si>
  <si>
    <t>Vybourání koupelnových buňek</t>
  </si>
  <si>
    <t>VSTUP BYTY</t>
  </si>
  <si>
    <t>Prorážení otvorů a ostatní bourací práce</t>
  </si>
  <si>
    <t>Vysekání rýh v betonových zdech 3x3 cm</t>
  </si>
  <si>
    <t>Přesun hmot pro budovy zděné výšky do 12 m</t>
  </si>
  <si>
    <t>Přesun hmot pro izolace proti vodě, výšky do 12 m</t>
  </si>
  <si>
    <t>Přesun hmot pro izolace tepelné, výšky do 12 m</t>
  </si>
  <si>
    <t>Zdravotně technické instalace</t>
  </si>
  <si>
    <t>Přesun hmot pro vzduchotechniku, výšky do 12 m</t>
  </si>
  <si>
    <t>Přesun hmot pro vnitřní kanalizaci, výšky do 12 m</t>
  </si>
  <si>
    <t>Přesun hmot pro vnitřní vodovod, výšky do 12 m</t>
  </si>
  <si>
    <t>Přesun hmot pro zařizovací předměty, výšky do 12 m</t>
  </si>
  <si>
    <t>Přesun hmot pro kotelny, výšky do 12 m</t>
  </si>
  <si>
    <t>Přesun hmot pro rozvody potrubí, výšky do 6 m</t>
  </si>
  <si>
    <t>Přesun hmot pro otopná tělesa, výšky do 12 m</t>
  </si>
  <si>
    <t>Přesun hmot pro podlahové vytápění, výšky do 12 m</t>
  </si>
  <si>
    <t>Přesun hmot pro truhlářské konstr., výšky do 12 m</t>
  </si>
  <si>
    <t>Přesun hmot pro zámečnické konstr., výšky do 12 m</t>
  </si>
  <si>
    <t>Přesun hmot pro podlahy z dlaždic, výšky do 12 m</t>
  </si>
  <si>
    <t>Přesun hmot pro podlahy vlysové, výšky do 12 m</t>
  </si>
  <si>
    <t>Přesun hmot pro podlahy povlakové, výšky do 12 m</t>
  </si>
  <si>
    <t>Přesun hmot pro obklady keramické, výšky do 12 m</t>
  </si>
  <si>
    <t>Zásuvka bytová</t>
  </si>
  <si>
    <t>Strojek spínače stříd.2x bytového řaz.6+6</t>
  </si>
  <si>
    <t>Zásuvka telefonní dvojitá</t>
  </si>
  <si>
    <t>Vodič  3Cx1,5 mm2</t>
  </si>
  <si>
    <t>Svorka na potrubí , včetně Cu pásku</t>
  </si>
  <si>
    <t>Kabel silový s Cu jádrem 750 V CYKY 4D x 1,5 mm2</t>
  </si>
  <si>
    <t>Kabel silový s Cu jádrem 750 V CYKY 4 x10 mm2</t>
  </si>
  <si>
    <t>Kabel silový s Cu jádrem 750 V CYKY 2 x 1,5 mm2</t>
  </si>
  <si>
    <t>Rozvaděč elektroměrový vč.výzbroje</t>
  </si>
  <si>
    <t>Spínač sporákový zapuštěný 400V</t>
  </si>
  <si>
    <t>|Demontáž stávajících rozvodů a zařízení</t>
  </si>
  <si>
    <t>Zednické přípomoce</t>
  </si>
  <si>
    <t>2x0,75 UP pod omítku-termostat</t>
  </si>
  <si>
    <t>Svorka ZS 4</t>
  </si>
  <si>
    <t>Účastnická zásuvka TV+R koncová pod omítku</t>
  </si>
  <si>
    <t>Optickokouřový senzor</t>
  </si>
  <si>
    <t>Ventilátor axiální do koupelny a WC 100</t>
  </si>
  <si>
    <t>2.NP</t>
  </si>
  <si>
    <t>3,124*2,65</t>
  </si>
  <si>
    <t>montáž rozvodů kanalizace v bytech č.4-6, vč. bytových stoupaček</t>
  </si>
  <si>
    <t>demontáž rozvodů kanalizace v bytech č.4-6, vč. bytových stoupaček</t>
  </si>
  <si>
    <t>montáž rozvodů vody v bytech č.4-6, vč. bytových stoupaček</t>
  </si>
  <si>
    <t>demontáž rozvodů vody v bytech č.4-6, vč. bytových stoupaček</t>
  </si>
  <si>
    <t>Trubka třívrstvá vodovodní  20x2,3x4000 mm</t>
  </si>
  <si>
    <t>Trubka vodovodní  D25x2,8</t>
  </si>
  <si>
    <t>Vana akrylátová 160x70x41 agais 140 litrů</t>
  </si>
  <si>
    <t>Mřížka  ochranná  fasádní vel. 150x150 mm</t>
  </si>
  <si>
    <t>stavební přípomoce pro montáž VZT</t>
  </si>
  <si>
    <t>Klapka kruhová DN100,na ohebné potrubí,ovl. ruční plast</t>
  </si>
  <si>
    <t>175,12</t>
  </si>
  <si>
    <t>Dveře vnitřní fólie  plné 1kř. 60x197 bílé</t>
  </si>
  <si>
    <t>rozměry VIZ POLOŽKA č.283</t>
  </si>
  <si>
    <t>Penetrace podkladu hloubková  1x</t>
  </si>
  <si>
    <t>Zásuvka  bytová</t>
  </si>
  <si>
    <t>SPOLEČNÉ PROSTORY</t>
  </si>
  <si>
    <t>Kanalizace vnitřní, centrální rozvody</t>
  </si>
  <si>
    <t>Oprava a napojení kanalizační přípojky</t>
  </si>
  <si>
    <t>Hydrantový systém, box nerez</t>
  </si>
  <si>
    <t>průměr 25/20, stálotvará hadice,vč.stoupaček a napojení</t>
  </si>
  <si>
    <t>Montáž hydrantového systému D25</t>
  </si>
  <si>
    <t>Demontáž hydrantových skříní</t>
  </si>
  <si>
    <t>Vodovod, centrální rozvody</t>
  </si>
  <si>
    <t>Oprava zábradlí schodištové, dl. 6m, madlo, nátěry, kotvení</t>
  </si>
  <si>
    <t>Podlahy z litého teraca</t>
  </si>
  <si>
    <t>Broušení teracových podlah dvojnásobné</t>
  </si>
  <si>
    <t>CHODBY,SCHODY</t>
  </si>
  <si>
    <t>3,45*1,4*4</t>
  </si>
  <si>
    <t>32*1,4*0,7</t>
  </si>
  <si>
    <t>(9,6*2,6+7,9*2,8)*2</t>
  </si>
  <si>
    <t>3,45*1,4*2</t>
  </si>
  <si>
    <t>3,45*4,7*2</t>
  </si>
  <si>
    <t>Bourání zdiva komínového z cihel na MC</t>
  </si>
  <si>
    <t>Elektroinstalace, centrální rozvody od HDR k bytovým rozvaděčům</t>
  </si>
  <si>
    <t>AYKY 4x50, AYKY 5x35, CYKY 5Jx10</t>
  </si>
  <si>
    <t>Hlavní domovní rozvaděč</t>
  </si>
  <si>
    <t>specifikace : přepěťová ochrana OVR T2 4L 40 275P, jističe : S 203 M B50, pojist.odpínač FH000 3A/T,
svorkovnice RSA50,35,10, nožová pojistka PN000 8A gG, montážní materiál CYKY 35,10, pojistka válcová  OPV22/3+N PV 50AgG</t>
  </si>
  <si>
    <t>D+M, Svítidlo nouzové , 11 W,3 h</t>
  </si>
  <si>
    <t>STŘECHA,FASÁDA,VÝPLNĚ OTVORŮ</t>
  </si>
  <si>
    <t>Zdi podpěrné a volné</t>
  </si>
  <si>
    <t>Zazdívka otvorů do 1 m2, pórobet.tvárnice, tl.25cm</t>
  </si>
  <si>
    <t>sklep</t>
  </si>
  <si>
    <t>1*0,8*0,25</t>
  </si>
  <si>
    <t>Úprava povrchů vnější</t>
  </si>
  <si>
    <t>Zateplovací systém , sokl, XPS tl. 160 mm</t>
  </si>
  <si>
    <t>zakončený stěrkou s výztužnou tkaninou</t>
  </si>
  <si>
    <t>178,5*0,3</t>
  </si>
  <si>
    <t>Omítka stěn  marmolit střednězrnná</t>
  </si>
  <si>
    <t>VCHOD</t>
  </si>
  <si>
    <t>31,25*0,8</t>
  </si>
  <si>
    <t>Zatepl.syst. , fasáda, miner.desky KV 200 mm</t>
  </si>
  <si>
    <t>556,25</t>
  </si>
  <si>
    <t>-(70,56)+(1*0,75*5)+(0,9*2,1*4)   ODEČET OKNA</t>
  </si>
  <si>
    <t>-(1,6*2+4,625)   ODEČET VCHODY</t>
  </si>
  <si>
    <t>-53,55   ODEČET SOKL</t>
  </si>
  <si>
    <t>Zatepl.syst. , ostění, miner.desky KV 30 mm</t>
  </si>
  <si>
    <t>(1,6+1,6+2,1)*21*0,3</t>
  </si>
  <si>
    <t>Soklová lišta KZS  tl. 200 mm</t>
  </si>
  <si>
    <t>22,07+22,07+11,4+11,4</t>
  </si>
  <si>
    <t>Omítka vnější stěn, MC, hrubá zatřená</t>
  </si>
  <si>
    <t>Očištění fasád tlakovou vodou složitost 1 - 2</t>
  </si>
  <si>
    <t>435,625+33,39+53,55</t>
  </si>
  <si>
    <t>Doplňky zatepl. systémů, podparapetní lišta s tkan</t>
  </si>
  <si>
    <t>21*2,1</t>
  </si>
  <si>
    <t>Příplatek za okenní lištu (APU) - montáž</t>
  </si>
  <si>
    <t>včetně dodávky lišty</t>
  </si>
  <si>
    <t>(1,6+1,6+2,1)*21</t>
  </si>
  <si>
    <t>(2+0,9)*4</t>
  </si>
  <si>
    <t>Omítka stěn tenkovrstvá minerální bílá</t>
  </si>
  <si>
    <t>zatíraná , tloušťka vrstvy 1,5 mm</t>
  </si>
  <si>
    <t>435,625+33,39</t>
  </si>
  <si>
    <t>Penetrace hloubková stěn pod tenkovrstvé omítky</t>
  </si>
  <si>
    <t>D+M,Lišta rohová AL s tkaninou 10/23 /2,5m</t>
  </si>
  <si>
    <t>8,41*4+3*4+2,1*21+1,6*2*21+2,8*8+2,4*12+2,8*6+11,247</t>
  </si>
  <si>
    <t>Okno plastové trojkřídlé 160 x 210 cm OS+O+OS bílé</t>
  </si>
  <si>
    <t>Montáž oken plastových plochy do 4,50 m2</t>
  </si>
  <si>
    <t>Okno plastové jednodílné 75 x 100 cm O, S</t>
  </si>
  <si>
    <t>Montáž oken plastových plochy do 1,50 m2</t>
  </si>
  <si>
    <t>Dveře balkonové plastové 1křídlové 90x210 cm OS,Uw=0,79W/m2.K</t>
  </si>
  <si>
    <t>Montáž dveří jednokřídlových šířky 90 cm</t>
  </si>
  <si>
    <t>Dveře vchodové plast  800x2000 otevíravé</t>
  </si>
  <si>
    <t>Montáž dveří jednokřídlových šířky 80 cm</t>
  </si>
  <si>
    <t>Dveře vchodové plast  1650x2000(2500)s nadsvětlíkem</t>
  </si>
  <si>
    <t>Montáž dveří dvoukřídlových</t>
  </si>
  <si>
    <t>Bezp. kování  Klika-knoflík nerez mat Ti</t>
  </si>
  <si>
    <t>Montáž garážových vrat výklopných</t>
  </si>
  <si>
    <t>Vrata ocelová 746616 240x210 cm s rámem zateplená výklopná</t>
  </si>
  <si>
    <t>Izolace tepelné stropů vrchem kladené volně</t>
  </si>
  <si>
    <t>2 vrstvy - materiál ve specifikaci</t>
  </si>
  <si>
    <t>Deska z minerální plsti tl. 140 mm</t>
  </si>
  <si>
    <t>225*2</t>
  </si>
  <si>
    <t>Konstrukce tesařské</t>
  </si>
  <si>
    <t>Doplnění střešní vazby z hranolů do 224 cm2 vč.dod.</t>
  </si>
  <si>
    <t>hranolů 120 x 140 mm</t>
  </si>
  <si>
    <t>Laťování střech rozteč 22 cm</t>
  </si>
  <si>
    <t>latě 3 x 5 cm, včetně dodávky řeziva</t>
  </si>
  <si>
    <t>Konstrukce klempířské</t>
  </si>
  <si>
    <t>Demontáž krytiny střech</t>
  </si>
  <si>
    <t>z plechu pozinkovaného</t>
  </si>
  <si>
    <t>6,05*22,5*2</t>
  </si>
  <si>
    <t>Hřebenáč z poplastovaného plechu střech jednoduchých</t>
  </si>
  <si>
    <t>Kotlík žlabový kónický z poplastovaného plechu ,vel.žlabu 150 mm</t>
  </si>
  <si>
    <t>Odpadní trouby kruhové z poplastovaného plechu , D 100 mm</t>
  </si>
  <si>
    <t>8,4*4</t>
  </si>
  <si>
    <t>Štítové lemování vrchní z poplastovaného plechu, tl. 0,5 mm</t>
  </si>
  <si>
    <t>6,05*4</t>
  </si>
  <si>
    <t>Žlab podokapní půlkruhový z poplastovaného plechu R,velikost 150 mm</t>
  </si>
  <si>
    <t>Izolační paropropustná folie (membrána)</t>
  </si>
  <si>
    <t>272,25*1,1</t>
  </si>
  <si>
    <t>Oplechování parapetů z poplastovaného plechu, rš 330 mm</t>
  </si>
  <si>
    <t>2,1*21</t>
  </si>
  <si>
    <t>Pás větrací hřebene  75x1000 mm</t>
  </si>
  <si>
    <t>Pás větrací ochranný  80x5000 mm</t>
  </si>
  <si>
    <t>Sněhový rozražeč , do dřeva</t>
  </si>
  <si>
    <t>Střešní vikýř, rozměr 600x600 mm</t>
  </si>
  <si>
    <t>Zastřešení hladkými poplastovanými plechy, do 30°</t>
  </si>
  <si>
    <t>Manžeta prostupová   32 - 76 mm</t>
  </si>
  <si>
    <t>Manžeta prostupová  76 - 152 mm</t>
  </si>
  <si>
    <t>Demontáž oplechování parapetů</t>
  </si>
  <si>
    <t>Demontáž oplechování říms,rš od 250 do 330 mm</t>
  </si>
  <si>
    <t>Oplechování říms z poplastovaného plechu, rš. 330 mm</t>
  </si>
  <si>
    <t>Oplechování lodžií z poplastovaného plechu, rš. 330 mm</t>
  </si>
  <si>
    <t>3,45*4</t>
  </si>
  <si>
    <t>Demontáž podokapních žlabů půlkruhových</t>
  </si>
  <si>
    <t>Demontáž háků, sklon do 30°</t>
  </si>
  <si>
    <t>Montáž háků  půlkruhových</t>
  </si>
  <si>
    <t>Hák žlabový l = 210 mm prům 150 mm</t>
  </si>
  <si>
    <t>Upevnění svodu 100 do zdi trn 150 mm</t>
  </si>
  <si>
    <t>Demontáž oplechování vchodové stříšky</t>
  </si>
  <si>
    <t>0,93*2,7</t>
  </si>
  <si>
    <t>1,2*0,4*2</t>
  </si>
  <si>
    <t>Oplechování vnějšího schodiště z poplastovaného plechu</t>
  </si>
  <si>
    <t>Oplechování vchodové stříšky z poplastovaného plechu</t>
  </si>
  <si>
    <t>Montáž doplňků dveří, samozavírače hydraulického</t>
  </si>
  <si>
    <t>Zavírač dveří hydraulický  zlatá bronz</t>
  </si>
  <si>
    <t>Nátěr syntetický OK "B" 1x + 2x email</t>
  </si>
  <si>
    <t>zábradlí lodžie</t>
  </si>
  <si>
    <t>Nátěr tesařských konstrukcí fungicidním a insekticidním přípravkem na dřevo 2x</t>
  </si>
  <si>
    <t>Přípravek poskytuje dlouhodobou ochranu proti dřevokaznému hmyzu, dřevokazným houbám a plísním. Aplikuje se natíráním. Spotřeba v exteriéru pro dvojitý nátěr 30 g/m2.</t>
  </si>
  <si>
    <t>272,25*2+160</t>
  </si>
  <si>
    <t>Demontáž lešení leh.řad.s podlahami,š.1 m, H 10 m</t>
  </si>
  <si>
    <t>22,07*2*8,5</t>
  </si>
  <si>
    <t>13,4*2*10,5</t>
  </si>
  <si>
    <t>Montáž lešení leh.řad.s podlahami,š.1,2 m, H 10 m</t>
  </si>
  <si>
    <t>Příplatek za každý měsíc použití lešení k pol.1041</t>
  </si>
  <si>
    <t>656,59*2</t>
  </si>
  <si>
    <t>Vybourání dřevěných rámů oken dvojitých pl. 2 m2</t>
  </si>
  <si>
    <t>2,1*1,6*21</t>
  </si>
  <si>
    <t>0,9*2,1*4</t>
  </si>
  <si>
    <t>1*0,75*5</t>
  </si>
  <si>
    <t>Vybourání garážových vrat</t>
  </si>
  <si>
    <t>2,4*2,1*6</t>
  </si>
  <si>
    <t>Vybourání kovových dveřních zárubní pl. nad 2 m2</t>
  </si>
  <si>
    <t>0,8*2*2</t>
  </si>
  <si>
    <t>1,85*2,5</t>
  </si>
  <si>
    <t>Přesun hmot pro tesařské konstrukce, výšky do 12 m</t>
  </si>
  <si>
    <t>Přesun hmot pro klempířské konstr., výšky do 12 m</t>
  </si>
  <si>
    <t>Hromosvod</t>
  </si>
  <si>
    <t>specifikace : jímací tyče, hromosvodový vodič vč.příchytek a spojek, měřících svorek, stěnové uchycení a napojení na zemnící soustavu.</t>
  </si>
  <si>
    <t>NÁKLADY</t>
  </si>
  <si>
    <t>Vedlejší náklady</t>
  </si>
  <si>
    <t>Zařízení staveniště - mobilní buńky</t>
  </si>
  <si>
    <t>Pronájem moblních buněk</t>
  </si>
  <si>
    <t>Zařízení staveniště - mobilní WC</t>
  </si>
  <si>
    <t>Pronájem moblních WC</t>
  </si>
  <si>
    <t>Zařízení staveniště -  provizorní oplocení</t>
  </si>
  <si>
    <t>Oplocení stavby se stojkami a plechovým opláštěním, uzavíratelná vrata. Délka oplocení 30 m</t>
  </si>
  <si>
    <t>Zařízení staveniště - Technická a strojní zařízení</t>
  </si>
  <si>
    <t>Strojní a montážní zařízení pro provádění stavebních prací , např. sbíjecí kladiva, svářecí soupravy , míchadla, vrátky  a pod.</t>
  </si>
  <si>
    <t>Provozní a dopravní náklady</t>
  </si>
  <si>
    <t>Provozní náklady , zajištění stavby. 
Doprava veškerých potřebných materiálů pro stavební a profesní práce na stavbě,  včetně  materiálů pro zabezpečení stavby, alt. použití UNC, kolový bagr a pod.)</t>
  </si>
  <si>
    <t>Inženýrská činnost</t>
  </si>
  <si>
    <t>Kontrolní a dozorová činnost v průběhu stavby včetně zajišťování legislativních činností.</t>
  </si>
  <si>
    <t>Zkoušky a revize</t>
  </si>
  <si>
    <t>Předání a převzetí díla</t>
  </si>
  <si>
    <t>Finanční náklady</t>
  </si>
  <si>
    <t>N8klady na spotřeby energií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</si>
  <si>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</si>
  <si>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</si>
  <si>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</si>
  <si>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</si>
  <si>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</si>
  <si>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</si>
  <si>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</si>
  <si>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</si>
  <si>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l</t>
  </si>
  <si>
    <t>h</t>
  </si>
  <si>
    <t>t</t>
  </si>
  <si>
    <t>kpl</t>
  </si>
  <si>
    <t>soubor</t>
  </si>
  <si>
    <t>hod.</t>
  </si>
  <si>
    <t>m3</t>
  </si>
  <si>
    <t>kompl.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</si>
  <si>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</si>
  <si>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</si>
  <si>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</si>
  <si>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</si>
  <si>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</si>
  <si>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</si>
  <si>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</si>
  <si>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</si>
  <si>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</si>
  <si>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</si>
  <si>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</si>
  <si>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SBZH z.s. Zhoř u Stříbra</t>
  </si>
  <si>
    <t>Ing.Jan Brožek Nábř.Jana Rysa 41/9 Kralupy nad Vlt</t>
  </si>
  <si>
    <t>Celkem</t>
  </si>
  <si>
    <t>Hmotnost (t)</t>
  </si>
  <si>
    <t>Cenová</t>
  </si>
  <si>
    <t>soustava</t>
  </si>
  <si>
    <t>RTS I / 2017</t>
  </si>
  <si>
    <t>RTS I / 2018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</si>
  <si>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</si>
  <si>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</si>
  <si>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</si>
  <si>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</si>
  <si>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</si>
  <si>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</si>
  <si>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</si>
  <si>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</si>
  <si>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</si>
  <si>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</si>
  <si>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</si>
  <si>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</si>
  <si>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</si>
  <si>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</si>
  <si>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</si>
  <si>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713_</t>
  </si>
  <si>
    <t>731_</t>
  </si>
  <si>
    <t>766_</t>
  </si>
  <si>
    <t>771_</t>
  </si>
  <si>
    <t>776_</t>
  </si>
  <si>
    <t>777_</t>
  </si>
  <si>
    <t>783_</t>
  </si>
  <si>
    <t>784_</t>
  </si>
  <si>
    <t>90_</t>
  </si>
  <si>
    <t>94_</t>
  </si>
  <si>
    <t>95_</t>
  </si>
  <si>
    <t>H01_</t>
  </si>
  <si>
    <t>H731_</t>
  </si>
  <si>
    <t>H766_</t>
  </si>
  <si>
    <t>H771_</t>
  </si>
  <si>
    <t>H776_</t>
  </si>
  <si>
    <t>H777_</t>
  </si>
  <si>
    <t>M21_</t>
  </si>
  <si>
    <t>34_</t>
  </si>
  <si>
    <t>63_</t>
  </si>
  <si>
    <t>711_</t>
  </si>
  <si>
    <t>721_</t>
  </si>
  <si>
    <t>722_</t>
  </si>
  <si>
    <t>725_</t>
  </si>
  <si>
    <t>728_</t>
  </si>
  <si>
    <t>733_</t>
  </si>
  <si>
    <t>735_</t>
  </si>
  <si>
    <t>736_</t>
  </si>
  <si>
    <t>767_</t>
  </si>
  <si>
    <t>775_</t>
  </si>
  <si>
    <t>781_</t>
  </si>
  <si>
    <t>96_</t>
  </si>
  <si>
    <t>97_</t>
  </si>
  <si>
    <t>H711_</t>
  </si>
  <si>
    <t>H713_</t>
  </si>
  <si>
    <t>H72_</t>
  </si>
  <si>
    <t>H721_</t>
  </si>
  <si>
    <t>H722_</t>
  </si>
  <si>
    <t>H725_</t>
  </si>
  <si>
    <t>H733_</t>
  </si>
  <si>
    <t>H735_</t>
  </si>
  <si>
    <t>H736_</t>
  </si>
  <si>
    <t>H767_</t>
  </si>
  <si>
    <t>H775_</t>
  </si>
  <si>
    <t>H781_</t>
  </si>
  <si>
    <t>773_</t>
  </si>
  <si>
    <t>31_</t>
  </si>
  <si>
    <t>62_</t>
  </si>
  <si>
    <t>762_</t>
  </si>
  <si>
    <t>764_</t>
  </si>
  <si>
    <t>H762_</t>
  </si>
  <si>
    <t>H764_</t>
  </si>
  <si>
    <t>051_</t>
  </si>
  <si>
    <t>6_</t>
  </si>
  <si>
    <t>71_</t>
  </si>
  <si>
    <t>73_</t>
  </si>
  <si>
    <t>76_</t>
  </si>
  <si>
    <t>77_</t>
  </si>
  <si>
    <t>78_</t>
  </si>
  <si>
    <t>9_</t>
  </si>
  <si>
    <t>3_</t>
  </si>
  <si>
    <t>72_</t>
  </si>
  <si>
    <t>0_</t>
  </si>
  <si>
    <t>01_</t>
  </si>
  <si>
    <t>02_</t>
  </si>
  <si>
    <t>03_</t>
  </si>
  <si>
    <t>04_</t>
  </si>
  <si>
    <t>05_</t>
  </si>
  <si>
    <t>06_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</si>
  <si>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</si>
  <si>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</si>
  <si>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</si>
  <si>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</si>
  <si>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</si>
  <si>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</si>
  <si>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</si>
  <si>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</si>
  <si>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</si>
  <si>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</si>
  <si>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</si>
  <si>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</si>
  <si>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</si>
  <si>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</si>
  <si>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</si>
  <si>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</si>
  <si>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</si>
  <si>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</si>
  <si>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</si>
  <si>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</si>
  <si>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</si>
  <si>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Neuvedené výměry u položek jsou dokladovány v projektové dokumentaci v tabulkách místností . 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</si>
  <si>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</si>
  <si>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</si>
  <si>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</si>
  <si>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</si>
  <si>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</si>
  <si>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</si>
  <si>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</si>
  <si>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</si>
  <si>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</si>
  <si>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</si>
  <si>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</si>
  <si>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</si>
  <si>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</si>
  <si>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</si>
  <si>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</si>
  <si>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</si>
  <si>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</si>
  <si>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</si>
  <si>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</si>
  <si>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</si>
  <si>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</si>
  <si>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</si>
  <si>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</si>
  <si>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</si>
  <si>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</si>
  <si>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</si>
  <si>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</si>
  <si>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</si>
  <si>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</si>
  <si>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</si>
  <si>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</si>
  <si>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01873032/</t>
  </si>
  <si>
    <t>66406293/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</si>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</sst>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right" vertical="center"/>
      <protection/>
    </xf>
    <xf numFmtId="49" fontId="10" fillId="3" borderId="0" xfId="0" applyNumberFormat="1" applyFont="1" applyFill="1" applyBorder="1" applyAlignment="1" applyProtection="1">
      <alignment horizontal="right"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3" xfId="0" applyNumberFormat="1" applyFont="1" applyFill="1" applyBorder="1" applyAlignment="1" applyProtection="1">
      <alignment horizontal="right" vertical="center"/>
      <protection/>
    </xf>
    <xf numFmtId="4" fontId="10" fillId="3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14" fillId="4" borderId="20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 applyProtection="1">
      <alignment horizontal="right" vertical="center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5" fillId="4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0" fontId="9" fillId="2" borderId="3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0" fontId="10" fillId="3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49" fontId="17" fillId="0" borderId="41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left" vertical="center"/>
      <protection/>
    </xf>
    <xf numFmtId="0" fontId="16" fillId="0" borderId="28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49" fontId="15" fillId="4" borderId="41" xfId="0" applyNumberFormat="1" applyFont="1" applyFill="1" applyBorder="1" applyAlignment="1" applyProtection="1">
      <alignment horizontal="left" vertical="center"/>
      <protection/>
    </xf>
    <xf numFmtId="0" fontId="15" fillId="4" borderId="40" xfId="0" applyNumberFormat="1" applyFont="1" applyFill="1" applyBorder="1" applyAlignment="1" applyProtection="1">
      <alignment horizontal="left" vertical="center"/>
      <protection/>
    </xf>
    <xf numFmtId="49" fontId="16" fillId="0" borderId="42" xfId="0" applyNumberFormat="1" applyFont="1" applyFill="1" applyBorder="1" applyAlignment="1" applyProtection="1">
      <alignment horizontal="left" vertical="center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center"/>
      <protection/>
    </xf>
    <xf numFmtId="49" fontId="16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30" xfId="0" applyNumberFormat="1" applyFont="1" applyFill="1" applyBorder="1" applyAlignment="1" applyProtection="1">
      <alignment horizontal="left" vertical="center"/>
      <protection/>
    </xf>
    <xf numFmtId="0" fontId="16" fillId="0" borderId="46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" fontId="15" fillId="0" borderId="49" xfId="0" applyNumberFormat="1" applyFont="1" applyFill="1" applyBorder="1" applyAlignment="1" applyProtection="1">
      <alignment horizontal="right" vertical="center"/>
      <protection/>
    </xf>
    <xf numFmtId="0" fontId="15" fillId="0" borderId="29" xfId="0" applyNumberFormat="1" applyFont="1" applyFill="1" applyBorder="1" applyAlignment="1" applyProtection="1">
      <alignment horizontal="right" vertical="center"/>
      <protection/>
    </xf>
    <xf numFmtId="0" fontId="15" fillId="0" borderId="5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3.05" customHeight="1">
      <c r="A1" s="79"/>
      <c r="B1" s="8"/>
      <c r="C1" s="110" t="s">
        <v>1641</v>
      </c>
      <c r="D1" s="111"/>
      <c r="E1" s="111"/>
      <c r="F1" s="111"/>
      <c r="G1" s="111"/>
      <c r="H1" s="111"/>
      <c r="I1" s="111"/>
    </row>
    <row r="2" spans="1:10" ht="12.75">
      <c r="A2" s="82" t="s">
        <v>1</v>
      </c>
      <c r="B2" s="83"/>
      <c r="C2" s="86" t="s">
        <v>961</v>
      </c>
      <c r="D2" s="109"/>
      <c r="E2" s="89" t="s">
        <v>1520</v>
      </c>
      <c r="F2" s="89" t="s">
        <v>1525</v>
      </c>
      <c r="G2" s="83"/>
      <c r="H2" s="89" t="s">
        <v>1666</v>
      </c>
      <c r="I2" s="112" t="s">
        <v>1670</v>
      </c>
      <c r="J2" s="37"/>
    </row>
    <row r="3" spans="1:10" ht="12.75" customHeight="1">
      <c r="A3" s="84"/>
      <c r="B3" s="85"/>
      <c r="C3" s="87"/>
      <c r="D3" s="87"/>
      <c r="E3" s="85"/>
      <c r="F3" s="85"/>
      <c r="G3" s="85"/>
      <c r="H3" s="85"/>
      <c r="I3" s="91"/>
      <c r="J3" s="37"/>
    </row>
    <row r="4" spans="1:10" ht="12.75">
      <c r="A4" s="92" t="s">
        <v>2</v>
      </c>
      <c r="B4" s="85"/>
      <c r="C4" s="93" t="s">
        <v>962</v>
      </c>
      <c r="D4" s="85"/>
      <c r="E4" s="93" t="s">
        <v>1521</v>
      </c>
      <c r="F4" s="93" t="s">
        <v>1526</v>
      </c>
      <c r="G4" s="85"/>
      <c r="H4" s="93" t="s">
        <v>1666</v>
      </c>
      <c r="I4" s="113" t="s">
        <v>1671</v>
      </c>
      <c r="J4" s="37"/>
    </row>
    <row r="5" spans="1:10" ht="12.75" customHeight="1">
      <c r="A5" s="84"/>
      <c r="B5" s="85"/>
      <c r="C5" s="85"/>
      <c r="D5" s="85"/>
      <c r="E5" s="85"/>
      <c r="F5" s="85"/>
      <c r="G5" s="85"/>
      <c r="H5" s="85"/>
      <c r="I5" s="91"/>
      <c r="J5" s="37"/>
    </row>
    <row r="6" spans="1:10" ht="12.75">
      <c r="A6" s="92" t="s">
        <v>3</v>
      </c>
      <c r="B6" s="85"/>
      <c r="C6" s="93" t="s">
        <v>963</v>
      </c>
      <c r="D6" s="85"/>
      <c r="E6" s="93" t="s">
        <v>1522</v>
      </c>
      <c r="F6" s="93"/>
      <c r="G6" s="85"/>
      <c r="H6" s="93" t="s">
        <v>1666</v>
      </c>
      <c r="I6" s="113"/>
      <c r="J6" s="37"/>
    </row>
    <row r="7" spans="1:10" ht="12.75" customHeight="1">
      <c r="A7" s="84"/>
      <c r="B7" s="85"/>
      <c r="C7" s="85"/>
      <c r="D7" s="85"/>
      <c r="E7" s="85"/>
      <c r="F7" s="85"/>
      <c r="G7" s="85"/>
      <c r="H7" s="85"/>
      <c r="I7" s="91"/>
      <c r="J7" s="37"/>
    </row>
    <row r="8" spans="1:10" ht="12.75">
      <c r="A8" s="92" t="s">
        <v>1499</v>
      </c>
      <c r="B8" s="85"/>
      <c r="C8" s="94" t="s">
        <v>6</v>
      </c>
      <c r="D8" s="85"/>
      <c r="E8" s="93" t="s">
        <v>1500</v>
      </c>
      <c r="F8" s="85"/>
      <c r="G8" s="85"/>
      <c r="H8" s="94" t="s">
        <v>1667</v>
      </c>
      <c r="I8" s="113" t="s">
        <v>590</v>
      </c>
      <c r="J8" s="3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37"/>
    </row>
    <row r="10" spans="1:10" ht="12.75">
      <c r="A10" s="92" t="s">
        <v>4</v>
      </c>
      <c r="B10" s="85"/>
      <c r="C10" s="93"/>
      <c r="D10" s="85"/>
      <c r="E10" s="93" t="s">
        <v>1523</v>
      </c>
      <c r="F10" s="93"/>
      <c r="G10" s="85"/>
      <c r="H10" s="94" t="s">
        <v>1668</v>
      </c>
      <c r="I10" s="116"/>
      <c r="J10" s="37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7"/>
    </row>
    <row r="12" spans="1:9" ht="18.75" customHeight="1">
      <c r="A12" s="118" t="s">
        <v>1625</v>
      </c>
      <c r="B12" s="119"/>
      <c r="C12" s="119"/>
      <c r="D12" s="119"/>
      <c r="E12" s="119"/>
      <c r="F12" s="119"/>
      <c r="G12" s="119"/>
      <c r="H12" s="119"/>
      <c r="I12" s="119"/>
    </row>
    <row r="13" spans="1:10" ht="26.55" customHeight="1">
      <c r="A13" s="55" t="s">
        <v>1626</v>
      </c>
      <c r="B13" s="120" t="s">
        <v>1639</v>
      </c>
      <c r="C13" s="121"/>
      <c r="D13" s="55" t="s">
        <v>1642</v>
      </c>
      <c r="E13" s="120" t="s">
        <v>1651</v>
      </c>
      <c r="F13" s="121"/>
      <c r="G13" s="55" t="s">
        <v>1652</v>
      </c>
      <c r="H13" s="120" t="s">
        <v>1669</v>
      </c>
      <c r="I13" s="121"/>
      <c r="J13" s="37"/>
    </row>
    <row r="14" spans="1:10" ht="12.75" customHeight="1">
      <c r="A14" s="56" t="s">
        <v>1627</v>
      </c>
      <c r="B14" s="60" t="s">
        <v>1640</v>
      </c>
      <c r="C14" s="63">
        <f>SUM('Stavební rozpočet'!R12:R1015)</f>
        <v>0</v>
      </c>
      <c r="D14" s="122" t="s">
        <v>1643</v>
      </c>
      <c r="E14" s="123"/>
      <c r="F14" s="63">
        <f>VORN!I15</f>
        <v>0</v>
      </c>
      <c r="G14" s="122" t="s">
        <v>1653</v>
      </c>
      <c r="H14" s="123"/>
      <c r="I14" s="63">
        <f>VORN!I21</f>
        <v>0</v>
      </c>
      <c r="J14" s="37"/>
    </row>
    <row r="15" spans="1:10" ht="12.75" customHeight="1">
      <c r="A15" s="57"/>
      <c r="B15" s="60" t="s">
        <v>1524</v>
      </c>
      <c r="C15" s="63">
        <f>SUM('Stavební rozpočet'!S12:S1015)</f>
        <v>0</v>
      </c>
      <c r="D15" s="122" t="s">
        <v>1644</v>
      </c>
      <c r="E15" s="123"/>
      <c r="F15" s="63">
        <f>VORN!I16</f>
        <v>0</v>
      </c>
      <c r="G15" s="122" t="s">
        <v>1654</v>
      </c>
      <c r="H15" s="123"/>
      <c r="I15" s="63">
        <f>VORN!I22</f>
        <v>0</v>
      </c>
      <c r="J15" s="37"/>
    </row>
    <row r="16" spans="1:10" ht="12.75" customHeight="1">
      <c r="A16" s="56" t="s">
        <v>1628</v>
      </c>
      <c r="B16" s="60" t="s">
        <v>1640</v>
      </c>
      <c r="C16" s="63">
        <f>SUM('Stavební rozpočet'!T12:T1015)</f>
        <v>0</v>
      </c>
      <c r="D16" s="122" t="s">
        <v>1645</v>
      </c>
      <c r="E16" s="123"/>
      <c r="F16" s="63">
        <f>VORN!I17</f>
        <v>0</v>
      </c>
      <c r="G16" s="122" t="s">
        <v>1655</v>
      </c>
      <c r="H16" s="123"/>
      <c r="I16" s="63">
        <f>VORN!I23</f>
        <v>0</v>
      </c>
      <c r="J16" s="37"/>
    </row>
    <row r="17" spans="1:10" ht="12.75" customHeight="1">
      <c r="A17" s="57"/>
      <c r="B17" s="60" t="s">
        <v>1524</v>
      </c>
      <c r="C17" s="63">
        <f>SUM('Stavební rozpočet'!U12:U1015)</f>
        <v>0</v>
      </c>
      <c r="D17" s="122"/>
      <c r="E17" s="123"/>
      <c r="F17" s="64"/>
      <c r="G17" s="122" t="s">
        <v>1656</v>
      </c>
      <c r="H17" s="123"/>
      <c r="I17" s="63">
        <f>VORN!I24</f>
        <v>0</v>
      </c>
      <c r="J17" s="37"/>
    </row>
    <row r="18" spans="1:10" ht="12.75" customHeight="1">
      <c r="A18" s="56" t="s">
        <v>1629</v>
      </c>
      <c r="B18" s="60" t="s">
        <v>1640</v>
      </c>
      <c r="C18" s="63">
        <f>SUM('Stavební rozpočet'!V12:V1015)</f>
        <v>0</v>
      </c>
      <c r="D18" s="122"/>
      <c r="E18" s="123"/>
      <c r="F18" s="64"/>
      <c r="G18" s="122" t="s">
        <v>1657</v>
      </c>
      <c r="H18" s="123"/>
      <c r="I18" s="63">
        <f>VORN!I25</f>
        <v>0</v>
      </c>
      <c r="J18" s="37"/>
    </row>
    <row r="19" spans="1:10" ht="12.75" customHeight="1">
      <c r="A19" s="57"/>
      <c r="B19" s="60" t="s">
        <v>1524</v>
      </c>
      <c r="C19" s="63">
        <f>SUM('Stavební rozpočet'!W12:W1015)</f>
        <v>0</v>
      </c>
      <c r="D19" s="122"/>
      <c r="E19" s="123"/>
      <c r="F19" s="64"/>
      <c r="G19" s="122" t="s">
        <v>1658</v>
      </c>
      <c r="H19" s="123"/>
      <c r="I19" s="63">
        <f>VORN!I26</f>
        <v>0</v>
      </c>
      <c r="J19" s="37"/>
    </row>
    <row r="20" spans="1:10" ht="12.75" customHeight="1">
      <c r="A20" s="124" t="s">
        <v>1630</v>
      </c>
      <c r="B20" s="125"/>
      <c r="C20" s="63">
        <f>SUM('Stavební rozpočet'!X12:X1015)</f>
        <v>0</v>
      </c>
      <c r="D20" s="122"/>
      <c r="E20" s="123"/>
      <c r="F20" s="64"/>
      <c r="G20" s="122"/>
      <c r="H20" s="123"/>
      <c r="I20" s="64"/>
      <c r="J20" s="37"/>
    </row>
    <row r="21" spans="1:10" ht="12.75" customHeight="1">
      <c r="A21" s="124" t="s">
        <v>1631</v>
      </c>
      <c r="B21" s="125"/>
      <c r="C21" s="63">
        <f>SUM('Stavební rozpočet'!P12:P1015)</f>
        <v>0</v>
      </c>
      <c r="D21" s="122"/>
      <c r="E21" s="123"/>
      <c r="F21" s="64"/>
      <c r="G21" s="122"/>
      <c r="H21" s="123"/>
      <c r="I21" s="64"/>
      <c r="J21" s="37"/>
    </row>
    <row r="22" spans="1:10" ht="16.95" customHeight="1">
      <c r="A22" s="124" t="s">
        <v>1632</v>
      </c>
      <c r="B22" s="125"/>
      <c r="C22" s="63">
        <f>SUM(C14:C21)</f>
        <v>0</v>
      </c>
      <c r="D22" s="124" t="s">
        <v>1646</v>
      </c>
      <c r="E22" s="125"/>
      <c r="F22" s="63">
        <f>SUM(F14:F21)</f>
        <v>0</v>
      </c>
      <c r="G22" s="124" t="s">
        <v>1659</v>
      </c>
      <c r="H22" s="125"/>
      <c r="I22" s="63">
        <f>SUM(I14:I21)</f>
        <v>0</v>
      </c>
      <c r="J22" s="37"/>
    </row>
    <row r="23" spans="1:10" ht="12.75" customHeight="1">
      <c r="A23" s="9"/>
      <c r="B23" s="9"/>
      <c r="C23" s="61"/>
      <c r="D23" s="124" t="s">
        <v>1647</v>
      </c>
      <c r="E23" s="125"/>
      <c r="F23" s="65">
        <v>0</v>
      </c>
      <c r="G23" s="124" t="s">
        <v>1660</v>
      </c>
      <c r="H23" s="125"/>
      <c r="I23" s="63">
        <v>0</v>
      </c>
      <c r="J23" s="37"/>
    </row>
    <row r="24" spans="4:10" ht="12.75" customHeight="1">
      <c r="D24" s="9"/>
      <c r="E24" s="9"/>
      <c r="F24" s="66"/>
      <c r="G24" s="124" t="s">
        <v>1661</v>
      </c>
      <c r="H24" s="125"/>
      <c r="I24" s="63">
        <f>vorn_sum</f>
        <v>0</v>
      </c>
      <c r="J24" s="37"/>
    </row>
    <row r="25" spans="6:10" ht="12.75" customHeight="1">
      <c r="F25" s="67"/>
      <c r="G25" s="124" t="s">
        <v>1662</v>
      </c>
      <c r="H25" s="125"/>
      <c r="I25" s="63">
        <v>0</v>
      </c>
      <c r="J25" s="37"/>
    </row>
    <row r="26" spans="1:9" ht="12.75">
      <c r="A26" s="8"/>
      <c r="B26" s="8"/>
      <c r="C26" s="8"/>
      <c r="G26" s="9"/>
      <c r="H26" s="9"/>
      <c r="I26" s="9"/>
    </row>
    <row r="27" spans="1:9" ht="12.75" customHeight="1">
      <c r="A27" s="126" t="s">
        <v>1633</v>
      </c>
      <c r="B27" s="127"/>
      <c r="C27" s="68">
        <f>SUM('Stavební rozpočet'!Z12:Z1015)</f>
        <v>0</v>
      </c>
      <c r="D27" s="62"/>
      <c r="E27" s="8"/>
      <c r="F27" s="8"/>
      <c r="G27" s="8"/>
      <c r="H27" s="8"/>
      <c r="I27" s="8"/>
    </row>
    <row r="28" spans="1:10" ht="12.75" customHeight="1">
      <c r="A28" s="126" t="s">
        <v>1634</v>
      </c>
      <c r="B28" s="127"/>
      <c r="C28" s="68">
        <f>SUM('Stavební rozpočet'!AA12:AA1015)+(F22+I22+F23+I23+I24+I25)</f>
        <v>0</v>
      </c>
      <c r="D28" s="126" t="s">
        <v>1648</v>
      </c>
      <c r="E28" s="127"/>
      <c r="F28" s="68">
        <f>ROUND(C28*(15/100),2)</f>
        <v>0</v>
      </c>
      <c r="G28" s="126" t="s">
        <v>1663</v>
      </c>
      <c r="H28" s="127"/>
      <c r="I28" s="68">
        <f>SUM(C27:C29)</f>
        <v>0</v>
      </c>
      <c r="J28" s="37"/>
    </row>
    <row r="29" spans="1:10" ht="12.75" customHeight="1">
      <c r="A29" s="126" t="s">
        <v>1635</v>
      </c>
      <c r="B29" s="127"/>
      <c r="C29" s="68">
        <f>SUM('Stavební rozpočet'!AB12:AB1015)</f>
        <v>0</v>
      </c>
      <c r="D29" s="126" t="s">
        <v>1649</v>
      </c>
      <c r="E29" s="127"/>
      <c r="F29" s="68">
        <f>ROUND(C29*(21/100),2)</f>
        <v>0</v>
      </c>
      <c r="G29" s="126" t="s">
        <v>1664</v>
      </c>
      <c r="H29" s="127"/>
      <c r="I29" s="68">
        <f>SUM(F28:F29)+I28</f>
        <v>0</v>
      </c>
      <c r="J29" s="37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2.75" customHeight="1">
      <c r="A31" s="128" t="s">
        <v>1636</v>
      </c>
      <c r="B31" s="129"/>
      <c r="C31" s="130"/>
      <c r="D31" s="128" t="s">
        <v>1650</v>
      </c>
      <c r="E31" s="129"/>
      <c r="F31" s="130"/>
      <c r="G31" s="128" t="s">
        <v>1665</v>
      </c>
      <c r="H31" s="129"/>
      <c r="I31" s="130"/>
      <c r="J31" s="38"/>
    </row>
    <row r="32" spans="1:10" ht="12.75" customHeight="1">
      <c r="A32" s="131"/>
      <c r="B32" s="132"/>
      <c r="C32" s="133"/>
      <c r="D32" s="131"/>
      <c r="E32" s="132"/>
      <c r="F32" s="133"/>
      <c r="G32" s="131"/>
      <c r="H32" s="132"/>
      <c r="I32" s="133"/>
      <c r="J32" s="38"/>
    </row>
    <row r="33" spans="1:10" ht="12.75" customHeight="1">
      <c r="A33" s="131"/>
      <c r="B33" s="132"/>
      <c r="C33" s="133"/>
      <c r="D33" s="131"/>
      <c r="E33" s="132"/>
      <c r="F33" s="133"/>
      <c r="G33" s="131"/>
      <c r="H33" s="132"/>
      <c r="I33" s="133"/>
      <c r="J33" s="38"/>
    </row>
    <row r="34" spans="1:10" ht="12.75" customHeight="1">
      <c r="A34" s="131"/>
      <c r="B34" s="132"/>
      <c r="C34" s="133"/>
      <c r="D34" s="131"/>
      <c r="E34" s="132"/>
      <c r="F34" s="133"/>
      <c r="G34" s="131"/>
      <c r="H34" s="132"/>
      <c r="I34" s="133"/>
      <c r="J34" s="38"/>
    </row>
    <row r="35" spans="1:10" ht="12.75" customHeight="1">
      <c r="A35" s="134" t="s">
        <v>1637</v>
      </c>
      <c r="B35" s="135"/>
      <c r="C35" s="136"/>
      <c r="D35" s="134" t="s">
        <v>1637</v>
      </c>
      <c r="E35" s="135"/>
      <c r="F35" s="136"/>
      <c r="G35" s="134" t="s">
        <v>1637</v>
      </c>
      <c r="H35" s="135"/>
      <c r="I35" s="136"/>
      <c r="J35" s="38"/>
    </row>
    <row r="36" spans="1:9" ht="10.8" customHeight="1">
      <c r="A36" s="59" t="s">
        <v>591</v>
      </c>
      <c r="B36" s="51"/>
      <c r="C36" s="51"/>
      <c r="D36" s="51"/>
      <c r="E36" s="51"/>
      <c r="F36" s="51"/>
      <c r="G36" s="51"/>
      <c r="H36" s="51"/>
      <c r="I36" s="51"/>
    </row>
    <row r="37" spans="1:9" ht="12.75" customHeight="1">
      <c r="A37" s="93" t="s">
        <v>1638</v>
      </c>
      <c r="B37" s="85"/>
      <c r="C37" s="85"/>
      <c r="D37" s="85"/>
      <c r="E37" s="85"/>
      <c r="F37" s="85"/>
      <c r="G37" s="85"/>
      <c r="H37" s="85"/>
      <c r="I37" s="8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3.05" customHeight="1">
      <c r="A1" s="79"/>
      <c r="B1" s="8"/>
      <c r="C1" s="110" t="s">
        <v>1680</v>
      </c>
      <c r="D1" s="111"/>
      <c r="E1" s="111"/>
      <c r="F1" s="111"/>
      <c r="G1" s="111"/>
      <c r="H1" s="111"/>
      <c r="I1" s="111"/>
    </row>
    <row r="2" spans="1:10" ht="12.75">
      <c r="A2" s="82" t="s">
        <v>1</v>
      </c>
      <c r="B2" s="83"/>
      <c r="C2" s="86" t="s">
        <v>961</v>
      </c>
      <c r="D2" s="109"/>
      <c r="E2" s="89" t="s">
        <v>1520</v>
      </c>
      <c r="F2" s="89" t="s">
        <v>1525</v>
      </c>
      <c r="G2" s="83"/>
      <c r="H2" s="89" t="s">
        <v>1666</v>
      </c>
      <c r="I2" s="112" t="s">
        <v>1670</v>
      </c>
      <c r="J2" s="37"/>
    </row>
    <row r="3" spans="1:10" ht="12.75" customHeight="1">
      <c r="A3" s="84"/>
      <c r="B3" s="85"/>
      <c r="C3" s="87"/>
      <c r="D3" s="87"/>
      <c r="E3" s="85"/>
      <c r="F3" s="85"/>
      <c r="G3" s="85"/>
      <c r="H3" s="85"/>
      <c r="I3" s="91"/>
      <c r="J3" s="37"/>
    </row>
    <row r="4" spans="1:10" ht="12.75">
      <c r="A4" s="92" t="s">
        <v>2</v>
      </c>
      <c r="B4" s="85"/>
      <c r="C4" s="93" t="s">
        <v>962</v>
      </c>
      <c r="D4" s="85"/>
      <c r="E4" s="93" t="s">
        <v>1521</v>
      </c>
      <c r="F4" s="93" t="s">
        <v>1526</v>
      </c>
      <c r="G4" s="85"/>
      <c r="H4" s="93" t="s">
        <v>1666</v>
      </c>
      <c r="I4" s="113" t="s">
        <v>1671</v>
      </c>
      <c r="J4" s="37"/>
    </row>
    <row r="5" spans="1:10" ht="12.75" customHeight="1">
      <c r="A5" s="84"/>
      <c r="B5" s="85"/>
      <c r="C5" s="85"/>
      <c r="D5" s="85"/>
      <c r="E5" s="85"/>
      <c r="F5" s="85"/>
      <c r="G5" s="85"/>
      <c r="H5" s="85"/>
      <c r="I5" s="91"/>
      <c r="J5" s="37"/>
    </row>
    <row r="6" spans="1:10" ht="12.75">
      <c r="A6" s="92" t="s">
        <v>3</v>
      </c>
      <c r="B6" s="85"/>
      <c r="C6" s="93" t="s">
        <v>963</v>
      </c>
      <c r="D6" s="85"/>
      <c r="E6" s="93" t="s">
        <v>1522</v>
      </c>
      <c r="F6" s="93"/>
      <c r="G6" s="85"/>
      <c r="H6" s="93" t="s">
        <v>1666</v>
      </c>
      <c r="I6" s="113"/>
      <c r="J6" s="37"/>
    </row>
    <row r="7" spans="1:10" ht="12.75" customHeight="1">
      <c r="A7" s="84"/>
      <c r="B7" s="85"/>
      <c r="C7" s="85"/>
      <c r="D7" s="85"/>
      <c r="E7" s="85"/>
      <c r="F7" s="85"/>
      <c r="G7" s="85"/>
      <c r="H7" s="85"/>
      <c r="I7" s="91"/>
      <c r="J7" s="37"/>
    </row>
    <row r="8" spans="1:10" ht="12.75">
      <c r="A8" s="92" t="s">
        <v>1499</v>
      </c>
      <c r="B8" s="85"/>
      <c r="C8" s="94" t="s">
        <v>6</v>
      </c>
      <c r="D8" s="85"/>
      <c r="E8" s="93" t="s">
        <v>1500</v>
      </c>
      <c r="F8" s="85"/>
      <c r="G8" s="85"/>
      <c r="H8" s="94" t="s">
        <v>1667</v>
      </c>
      <c r="I8" s="113" t="s">
        <v>590</v>
      </c>
      <c r="J8" s="37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37"/>
    </row>
    <row r="10" spans="1:10" ht="12.75">
      <c r="A10" s="92" t="s">
        <v>4</v>
      </c>
      <c r="B10" s="85"/>
      <c r="C10" s="93"/>
      <c r="D10" s="85"/>
      <c r="E10" s="93" t="s">
        <v>1523</v>
      </c>
      <c r="F10" s="93"/>
      <c r="G10" s="85"/>
      <c r="H10" s="94" t="s">
        <v>1668</v>
      </c>
      <c r="I10" s="116"/>
      <c r="J10" s="37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7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 customHeight="1">
      <c r="A13" s="137" t="s">
        <v>1672</v>
      </c>
      <c r="B13" s="138"/>
      <c r="C13" s="138"/>
      <c r="D13" s="138"/>
      <c r="E13" s="138"/>
      <c r="F13" s="70"/>
      <c r="G13" s="70"/>
      <c r="H13" s="70"/>
      <c r="I13" s="70"/>
    </row>
    <row r="14" spans="1:10" ht="12.75">
      <c r="A14" s="139" t="s">
        <v>1673</v>
      </c>
      <c r="B14" s="140"/>
      <c r="C14" s="140"/>
      <c r="D14" s="140"/>
      <c r="E14" s="141"/>
      <c r="F14" s="71" t="s">
        <v>1681</v>
      </c>
      <c r="G14" s="71" t="s">
        <v>1682</v>
      </c>
      <c r="H14" s="71" t="s">
        <v>1683</v>
      </c>
      <c r="I14" s="71" t="s">
        <v>1681</v>
      </c>
      <c r="J14" s="38"/>
    </row>
    <row r="15" spans="1:10" ht="12.75">
      <c r="A15" s="142" t="s">
        <v>1643</v>
      </c>
      <c r="B15" s="143"/>
      <c r="C15" s="143"/>
      <c r="D15" s="143"/>
      <c r="E15" s="144"/>
      <c r="F15" s="72">
        <v>0</v>
      </c>
      <c r="G15" s="75"/>
      <c r="H15" s="75"/>
      <c r="I15" s="72">
        <f>F15</f>
        <v>0</v>
      </c>
      <c r="J15" s="37"/>
    </row>
    <row r="16" spans="1:10" ht="12.75">
      <c r="A16" s="142" t="s">
        <v>1644</v>
      </c>
      <c r="B16" s="143"/>
      <c r="C16" s="143"/>
      <c r="D16" s="143"/>
      <c r="E16" s="144"/>
      <c r="F16" s="72">
        <v>0</v>
      </c>
      <c r="G16" s="75"/>
      <c r="H16" s="75"/>
      <c r="I16" s="72">
        <f>F16</f>
        <v>0</v>
      </c>
      <c r="J16" s="37"/>
    </row>
    <row r="17" spans="1:10" ht="12.75">
      <c r="A17" s="145" t="s">
        <v>1645</v>
      </c>
      <c r="B17" s="146"/>
      <c r="C17" s="146"/>
      <c r="D17" s="146"/>
      <c r="E17" s="147"/>
      <c r="F17" s="73">
        <v>0</v>
      </c>
      <c r="G17" s="76"/>
      <c r="H17" s="76"/>
      <c r="I17" s="73">
        <f>F17</f>
        <v>0</v>
      </c>
      <c r="J17" s="37"/>
    </row>
    <row r="18" spans="1:10" ht="12.75">
      <c r="A18" s="148" t="s">
        <v>1674</v>
      </c>
      <c r="B18" s="149"/>
      <c r="C18" s="149"/>
      <c r="D18" s="149"/>
      <c r="E18" s="150"/>
      <c r="F18" s="74"/>
      <c r="G18" s="77"/>
      <c r="H18" s="77"/>
      <c r="I18" s="78">
        <f>SUM(I15:I17)</f>
        <v>0</v>
      </c>
      <c r="J18" s="38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10" ht="12.75">
      <c r="A20" s="139" t="s">
        <v>1669</v>
      </c>
      <c r="B20" s="140"/>
      <c r="C20" s="140"/>
      <c r="D20" s="140"/>
      <c r="E20" s="141"/>
      <c r="F20" s="71" t="s">
        <v>1681</v>
      </c>
      <c r="G20" s="71" t="s">
        <v>1682</v>
      </c>
      <c r="H20" s="71" t="s">
        <v>1683</v>
      </c>
      <c r="I20" s="71" t="s">
        <v>1681</v>
      </c>
      <c r="J20" s="38"/>
    </row>
    <row r="21" spans="1:10" ht="12.75">
      <c r="A21" s="142" t="s">
        <v>1653</v>
      </c>
      <c r="B21" s="143"/>
      <c r="C21" s="143"/>
      <c r="D21" s="143"/>
      <c r="E21" s="144"/>
      <c r="F21" s="72">
        <v>0</v>
      </c>
      <c r="G21" s="75"/>
      <c r="H21" s="75"/>
      <c r="I21" s="72">
        <f aca="true" t="shared" si="0" ref="I21:I26">F21</f>
        <v>0</v>
      </c>
      <c r="J21" s="37"/>
    </row>
    <row r="22" spans="1:10" ht="12.75">
      <c r="A22" s="142" t="s">
        <v>1654</v>
      </c>
      <c r="B22" s="143"/>
      <c r="C22" s="143"/>
      <c r="D22" s="143"/>
      <c r="E22" s="144"/>
      <c r="F22" s="72">
        <v>0</v>
      </c>
      <c r="G22" s="75"/>
      <c r="H22" s="75"/>
      <c r="I22" s="72">
        <f t="shared" si="0"/>
        <v>0</v>
      </c>
      <c r="J22" s="37"/>
    </row>
    <row r="23" spans="1:10" ht="12.75">
      <c r="A23" s="142" t="s">
        <v>1655</v>
      </c>
      <c r="B23" s="143"/>
      <c r="C23" s="143"/>
      <c r="D23" s="143"/>
      <c r="E23" s="144"/>
      <c r="F23" s="72">
        <v>0</v>
      </c>
      <c r="G23" s="75"/>
      <c r="H23" s="75"/>
      <c r="I23" s="72">
        <f t="shared" si="0"/>
        <v>0</v>
      </c>
      <c r="J23" s="37"/>
    </row>
    <row r="24" spans="1:10" ht="12.75">
      <c r="A24" s="142" t="s">
        <v>1656</v>
      </c>
      <c r="B24" s="143"/>
      <c r="C24" s="143"/>
      <c r="D24" s="143"/>
      <c r="E24" s="144"/>
      <c r="F24" s="72">
        <v>0</v>
      </c>
      <c r="G24" s="75"/>
      <c r="H24" s="75"/>
      <c r="I24" s="72">
        <f t="shared" si="0"/>
        <v>0</v>
      </c>
      <c r="J24" s="37"/>
    </row>
    <row r="25" spans="1:10" ht="12.75">
      <c r="A25" s="142" t="s">
        <v>1657</v>
      </c>
      <c r="B25" s="143"/>
      <c r="C25" s="143"/>
      <c r="D25" s="143"/>
      <c r="E25" s="144"/>
      <c r="F25" s="72">
        <v>0</v>
      </c>
      <c r="G25" s="75"/>
      <c r="H25" s="75"/>
      <c r="I25" s="72">
        <f t="shared" si="0"/>
        <v>0</v>
      </c>
      <c r="J25" s="37"/>
    </row>
    <row r="26" spans="1:10" ht="12.75">
      <c r="A26" s="145" t="s">
        <v>1658</v>
      </c>
      <c r="B26" s="146"/>
      <c r="C26" s="146"/>
      <c r="D26" s="146"/>
      <c r="E26" s="147"/>
      <c r="F26" s="73">
        <v>0</v>
      </c>
      <c r="G26" s="76"/>
      <c r="H26" s="76"/>
      <c r="I26" s="73">
        <f t="shared" si="0"/>
        <v>0</v>
      </c>
      <c r="J26" s="37"/>
    </row>
    <row r="27" spans="1:10" ht="12.75">
      <c r="A27" s="148" t="s">
        <v>1675</v>
      </c>
      <c r="B27" s="149"/>
      <c r="C27" s="149"/>
      <c r="D27" s="149"/>
      <c r="E27" s="150"/>
      <c r="F27" s="74"/>
      <c r="G27" s="77"/>
      <c r="H27" s="77"/>
      <c r="I27" s="78">
        <f>SUM(I21:I26)</f>
        <v>0</v>
      </c>
      <c r="J27" s="38"/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10" ht="12.75" customHeight="1">
      <c r="A29" s="151" t="s">
        <v>1676</v>
      </c>
      <c r="B29" s="152"/>
      <c r="C29" s="152"/>
      <c r="D29" s="152"/>
      <c r="E29" s="153"/>
      <c r="F29" s="154">
        <f>I18+I27</f>
        <v>0</v>
      </c>
      <c r="G29" s="155"/>
      <c r="H29" s="155"/>
      <c r="I29" s="156"/>
      <c r="J29" s="38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3" spans="1:9" ht="12.75" customHeight="1">
      <c r="A33" s="137" t="s">
        <v>1677</v>
      </c>
      <c r="B33" s="138"/>
      <c r="C33" s="138"/>
      <c r="D33" s="138"/>
      <c r="E33" s="138"/>
      <c r="F33" s="70"/>
      <c r="G33" s="70"/>
      <c r="H33" s="70"/>
      <c r="I33" s="70"/>
    </row>
    <row r="34" spans="1:10" ht="12.75">
      <c r="A34" s="139" t="s">
        <v>1678</v>
      </c>
      <c r="B34" s="140"/>
      <c r="C34" s="140"/>
      <c r="D34" s="140"/>
      <c r="E34" s="141"/>
      <c r="F34" s="71" t="s">
        <v>1681</v>
      </c>
      <c r="G34" s="71" t="s">
        <v>1682</v>
      </c>
      <c r="H34" s="71" t="s">
        <v>1683</v>
      </c>
      <c r="I34" s="71" t="s">
        <v>1681</v>
      </c>
      <c r="J34" s="38"/>
    </row>
    <row r="35" spans="1:10" ht="12.75">
      <c r="A35" s="145"/>
      <c r="B35" s="146"/>
      <c r="C35" s="146"/>
      <c r="D35" s="146"/>
      <c r="E35" s="147"/>
      <c r="F35" s="73">
        <v>0</v>
      </c>
      <c r="G35" s="76"/>
      <c r="H35" s="76"/>
      <c r="I35" s="73">
        <f>F35</f>
        <v>0</v>
      </c>
      <c r="J35" s="37"/>
    </row>
    <row r="36" spans="1:10" ht="12.75">
      <c r="A36" s="148" t="s">
        <v>1679</v>
      </c>
      <c r="B36" s="149"/>
      <c r="C36" s="149"/>
      <c r="D36" s="149"/>
      <c r="E36" s="150"/>
      <c r="F36" s="74"/>
      <c r="G36" s="77"/>
      <c r="H36" s="77"/>
      <c r="I36" s="78">
        <f>SUM(I35:I35)</f>
        <v>0</v>
      </c>
      <c r="J36" s="38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</sheetData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workbookViewId="0" topLeftCell="A1">
      <selection activeCell="E8" sqref="E8:G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28125" style="0" customWidth="1"/>
    <col min="5" max="5" width="21.00390625" style="0" customWidth="1"/>
    <col min="6" max="6" width="20.7109375" style="0" customWidth="1"/>
    <col min="7" max="7" width="19.7109375" style="0" customWidth="1"/>
    <col min="8" max="9" width="11.57421875" style="0" hidden="1" customWidth="1"/>
  </cols>
  <sheetData>
    <row r="1" spans="1:7" ht="73.05" customHeight="1">
      <c r="A1" s="80" t="s">
        <v>1617</v>
      </c>
      <c r="B1" s="81"/>
      <c r="C1" s="81"/>
      <c r="D1" s="81"/>
      <c r="E1" s="81"/>
      <c r="F1" s="81"/>
      <c r="G1" s="81"/>
    </row>
    <row r="2" spans="1:8" ht="12.75">
      <c r="A2" s="82" t="s">
        <v>1</v>
      </c>
      <c r="B2" s="86" t="s">
        <v>961</v>
      </c>
      <c r="C2" s="109"/>
      <c r="D2" s="89" t="s">
        <v>1520</v>
      </c>
      <c r="E2" s="89" t="s">
        <v>1525</v>
      </c>
      <c r="F2" s="83"/>
      <c r="G2" s="90"/>
      <c r="H2" s="37"/>
    </row>
    <row r="3" spans="1:8" ht="12.75" customHeight="1">
      <c r="A3" s="84"/>
      <c r="B3" s="87"/>
      <c r="C3" s="87"/>
      <c r="D3" s="85"/>
      <c r="E3" s="85"/>
      <c r="F3" s="85"/>
      <c r="G3" s="91"/>
      <c r="H3" s="37"/>
    </row>
    <row r="4" spans="1:8" ht="12.75">
      <c r="A4" s="92" t="s">
        <v>2</v>
      </c>
      <c r="B4" s="93" t="s">
        <v>962</v>
      </c>
      <c r="C4" s="85"/>
      <c r="D4" s="93" t="s">
        <v>1521</v>
      </c>
      <c r="E4" s="93" t="s">
        <v>1526</v>
      </c>
      <c r="F4" s="85"/>
      <c r="G4" s="91"/>
      <c r="H4" s="37"/>
    </row>
    <row r="5" spans="1:8" ht="12.75" customHeight="1">
      <c r="A5" s="84"/>
      <c r="B5" s="85"/>
      <c r="C5" s="85"/>
      <c r="D5" s="85"/>
      <c r="E5" s="85"/>
      <c r="F5" s="85"/>
      <c r="G5" s="91"/>
      <c r="H5" s="37"/>
    </row>
    <row r="6" spans="1:8" ht="12.75">
      <c r="A6" s="92" t="s">
        <v>3</v>
      </c>
      <c r="B6" s="93" t="s">
        <v>963</v>
      </c>
      <c r="C6" s="85"/>
      <c r="D6" s="93" t="s">
        <v>1522</v>
      </c>
      <c r="E6" s="93"/>
      <c r="F6" s="85"/>
      <c r="G6" s="91"/>
      <c r="H6" s="37"/>
    </row>
    <row r="7" spans="1:8" ht="12.75" customHeight="1">
      <c r="A7" s="84"/>
      <c r="B7" s="85"/>
      <c r="C7" s="85"/>
      <c r="D7" s="85"/>
      <c r="E7" s="85"/>
      <c r="F7" s="85"/>
      <c r="G7" s="91"/>
      <c r="H7" s="37"/>
    </row>
    <row r="8" spans="1:8" ht="12.75">
      <c r="A8" s="92" t="s">
        <v>1523</v>
      </c>
      <c r="B8" s="93"/>
      <c r="C8" s="85"/>
      <c r="D8" s="94" t="s">
        <v>1501</v>
      </c>
      <c r="E8" s="97"/>
      <c r="F8" s="85"/>
      <c r="G8" s="91"/>
      <c r="H8" s="37"/>
    </row>
    <row r="9" spans="1:8" ht="12.75">
      <c r="A9" s="95"/>
      <c r="B9" s="96"/>
      <c r="C9" s="96"/>
      <c r="D9" s="96"/>
      <c r="E9" s="96"/>
      <c r="F9" s="96"/>
      <c r="G9" s="98"/>
      <c r="H9" s="37"/>
    </row>
    <row r="10" spans="1:8" ht="12.75">
      <c r="A10" s="46" t="s">
        <v>593</v>
      </c>
      <c r="B10" s="48" t="s">
        <v>600</v>
      </c>
      <c r="C10" s="49" t="s">
        <v>1618</v>
      </c>
      <c r="D10" s="50" t="s">
        <v>1619</v>
      </c>
      <c r="E10" s="50" t="s">
        <v>1620</v>
      </c>
      <c r="F10" s="50" t="s">
        <v>1621</v>
      </c>
      <c r="G10" s="53" t="s">
        <v>1622</v>
      </c>
      <c r="H10" s="38"/>
    </row>
    <row r="11" spans="1:9" ht="12.75">
      <c r="A11" s="47" t="s">
        <v>594</v>
      </c>
      <c r="B11" s="47"/>
      <c r="C11" s="47" t="s">
        <v>966</v>
      </c>
      <c r="D11" s="51"/>
      <c r="E11" s="51"/>
      <c r="F11" s="54">
        <f aca="true" t="shared" si="0" ref="F11:F42">D11+E11</f>
        <v>0</v>
      </c>
      <c r="G11" s="54">
        <v>14.64319</v>
      </c>
      <c r="H11" s="39" t="s">
        <v>1623</v>
      </c>
      <c r="I11" s="39">
        <f aca="true" t="shared" si="1" ref="I11:I42">IF(H11="T",0,F11)</f>
        <v>0</v>
      </c>
    </row>
    <row r="12" spans="1:9" ht="12.75">
      <c r="A12" s="20" t="s">
        <v>594</v>
      </c>
      <c r="B12" s="20" t="s">
        <v>67</v>
      </c>
      <c r="C12" s="20" t="s">
        <v>967</v>
      </c>
      <c r="F12" s="39">
        <f t="shared" si="0"/>
        <v>0</v>
      </c>
      <c r="G12" s="39">
        <v>7.33671</v>
      </c>
      <c r="H12" s="39" t="s">
        <v>1624</v>
      </c>
      <c r="I12" s="39">
        <f t="shared" si="1"/>
        <v>0</v>
      </c>
    </row>
    <row r="13" spans="1:9" ht="12.75">
      <c r="A13" s="20" t="s">
        <v>594</v>
      </c>
      <c r="B13" s="20" t="s">
        <v>70</v>
      </c>
      <c r="C13" s="20" t="s">
        <v>980</v>
      </c>
      <c r="F13" s="39">
        <f t="shared" si="0"/>
        <v>0</v>
      </c>
      <c r="G13" s="39">
        <v>1.42923</v>
      </c>
      <c r="H13" s="39" t="s">
        <v>1624</v>
      </c>
      <c r="I13" s="39">
        <f t="shared" si="1"/>
        <v>0</v>
      </c>
    </row>
    <row r="14" spans="1:9" ht="12.75">
      <c r="A14" s="20" t="s">
        <v>594</v>
      </c>
      <c r="B14" s="20" t="s">
        <v>612</v>
      </c>
      <c r="C14" s="20" t="s">
        <v>987</v>
      </c>
      <c r="F14" s="39">
        <f t="shared" si="0"/>
        <v>0</v>
      </c>
      <c r="G14" s="39">
        <v>0.6164</v>
      </c>
      <c r="H14" s="39" t="s">
        <v>1624</v>
      </c>
      <c r="I14" s="39">
        <f t="shared" si="1"/>
        <v>0</v>
      </c>
    </row>
    <row r="15" spans="1:9" ht="12.75">
      <c r="A15" s="20" t="s">
        <v>594</v>
      </c>
      <c r="B15" s="20" t="s">
        <v>615</v>
      </c>
      <c r="C15" s="20" t="s">
        <v>991</v>
      </c>
      <c r="F15" s="39">
        <f t="shared" si="0"/>
        <v>0</v>
      </c>
      <c r="G15" s="39">
        <v>3.4158</v>
      </c>
      <c r="H15" s="39" t="s">
        <v>1624</v>
      </c>
      <c r="I15" s="39">
        <f t="shared" si="1"/>
        <v>0</v>
      </c>
    </row>
    <row r="16" spans="1:9" ht="12.75">
      <c r="A16" s="20" t="s">
        <v>594</v>
      </c>
      <c r="B16" s="20" t="s">
        <v>628</v>
      </c>
      <c r="C16" s="20" t="s">
        <v>1004</v>
      </c>
      <c r="F16" s="39">
        <f t="shared" si="0"/>
        <v>0</v>
      </c>
      <c r="G16" s="39">
        <v>0.01086</v>
      </c>
      <c r="H16" s="39" t="s">
        <v>1624</v>
      </c>
      <c r="I16" s="39">
        <f t="shared" si="1"/>
        <v>0</v>
      </c>
    </row>
    <row r="17" spans="1:9" ht="12.75">
      <c r="A17" s="20" t="s">
        <v>594</v>
      </c>
      <c r="B17" s="20" t="s">
        <v>636</v>
      </c>
      <c r="C17" s="20" t="s">
        <v>1012</v>
      </c>
      <c r="F17" s="39">
        <f t="shared" si="0"/>
        <v>0</v>
      </c>
      <c r="G17" s="39">
        <v>0.82008</v>
      </c>
      <c r="H17" s="39" t="s">
        <v>1624</v>
      </c>
      <c r="I17" s="39">
        <f t="shared" si="1"/>
        <v>0</v>
      </c>
    </row>
    <row r="18" spans="1:9" ht="12.75">
      <c r="A18" s="20" t="s">
        <v>594</v>
      </c>
      <c r="B18" s="20" t="s">
        <v>640</v>
      </c>
      <c r="C18" s="20" t="s">
        <v>1016</v>
      </c>
      <c r="F18" s="39">
        <f t="shared" si="0"/>
        <v>0</v>
      </c>
      <c r="G18" s="39">
        <v>0.085</v>
      </c>
      <c r="H18" s="39" t="s">
        <v>1624</v>
      </c>
      <c r="I18" s="39">
        <f t="shared" si="1"/>
        <v>0</v>
      </c>
    </row>
    <row r="19" spans="1:9" ht="12.75">
      <c r="A19" s="20" t="s">
        <v>594</v>
      </c>
      <c r="B19" s="20" t="s">
        <v>642</v>
      </c>
      <c r="C19" s="20" t="s">
        <v>1019</v>
      </c>
      <c r="F19" s="39">
        <f t="shared" si="0"/>
        <v>0</v>
      </c>
      <c r="G19" s="39">
        <v>0.07081</v>
      </c>
      <c r="H19" s="39" t="s">
        <v>1624</v>
      </c>
      <c r="I19" s="39">
        <f t="shared" si="1"/>
        <v>0</v>
      </c>
    </row>
    <row r="20" spans="1:9" ht="12.75">
      <c r="A20" s="20" t="s">
        <v>594</v>
      </c>
      <c r="B20" s="20" t="s">
        <v>644</v>
      </c>
      <c r="C20" s="20" t="s">
        <v>1021</v>
      </c>
      <c r="F20" s="39">
        <f t="shared" si="0"/>
        <v>0</v>
      </c>
      <c r="G20" s="39">
        <v>0.03791</v>
      </c>
      <c r="H20" s="39" t="s">
        <v>1624</v>
      </c>
      <c r="I20" s="39">
        <f t="shared" si="1"/>
        <v>0</v>
      </c>
    </row>
    <row r="21" spans="1:9" ht="12.75">
      <c r="A21" s="20" t="s">
        <v>594</v>
      </c>
      <c r="B21" s="20" t="s">
        <v>647</v>
      </c>
      <c r="C21" s="20" t="s">
        <v>1025</v>
      </c>
      <c r="F21" s="39">
        <f t="shared" si="0"/>
        <v>0</v>
      </c>
      <c r="G21" s="39">
        <v>0.36373</v>
      </c>
      <c r="H21" s="39" t="s">
        <v>1624</v>
      </c>
      <c r="I21" s="39">
        <f t="shared" si="1"/>
        <v>0</v>
      </c>
    </row>
    <row r="22" spans="1:9" ht="12.75">
      <c r="A22" s="20" t="s">
        <v>594</v>
      </c>
      <c r="B22" s="20" t="s">
        <v>96</v>
      </c>
      <c r="C22" s="20" t="s">
        <v>1030</v>
      </c>
      <c r="F22" s="39">
        <f t="shared" si="0"/>
        <v>0</v>
      </c>
      <c r="G22" s="39">
        <v>0</v>
      </c>
      <c r="H22" s="39" t="s">
        <v>1624</v>
      </c>
      <c r="I22" s="39">
        <f t="shared" si="1"/>
        <v>0</v>
      </c>
    </row>
    <row r="23" spans="1:9" ht="12.75">
      <c r="A23" s="20" t="s">
        <v>594</v>
      </c>
      <c r="B23" s="20" t="s">
        <v>100</v>
      </c>
      <c r="C23" s="20" t="s">
        <v>1033</v>
      </c>
      <c r="F23" s="39">
        <f t="shared" si="0"/>
        <v>0</v>
      </c>
      <c r="G23" s="39">
        <v>0.29072</v>
      </c>
      <c r="H23" s="39" t="s">
        <v>1624</v>
      </c>
      <c r="I23" s="39">
        <f t="shared" si="1"/>
        <v>0</v>
      </c>
    </row>
    <row r="24" spans="1:9" ht="12.75">
      <c r="A24" s="20" t="s">
        <v>594</v>
      </c>
      <c r="B24" s="20" t="s">
        <v>101</v>
      </c>
      <c r="C24" s="20" t="s">
        <v>1036</v>
      </c>
      <c r="F24" s="39">
        <f t="shared" si="0"/>
        <v>0</v>
      </c>
      <c r="G24" s="39">
        <v>0.00736</v>
      </c>
      <c r="H24" s="39" t="s">
        <v>1624</v>
      </c>
      <c r="I24" s="39">
        <f t="shared" si="1"/>
        <v>0</v>
      </c>
    </row>
    <row r="25" spans="1:9" ht="12.75">
      <c r="A25" s="20" t="s">
        <v>594</v>
      </c>
      <c r="B25" s="20" t="s">
        <v>653</v>
      </c>
      <c r="C25" s="20" t="s">
        <v>1038</v>
      </c>
      <c r="F25" s="39">
        <f t="shared" si="0"/>
        <v>0</v>
      </c>
      <c r="G25" s="39">
        <v>0</v>
      </c>
      <c r="H25" s="39" t="s">
        <v>1624</v>
      </c>
      <c r="I25" s="39">
        <f t="shared" si="1"/>
        <v>0</v>
      </c>
    </row>
    <row r="26" spans="1:9" ht="12.75">
      <c r="A26" s="20" t="s">
        <v>594</v>
      </c>
      <c r="B26" s="20" t="s">
        <v>655</v>
      </c>
      <c r="C26" s="20" t="s">
        <v>991</v>
      </c>
      <c r="F26" s="39">
        <f t="shared" si="0"/>
        <v>0</v>
      </c>
      <c r="G26" s="39">
        <v>0</v>
      </c>
      <c r="H26" s="39" t="s">
        <v>1624</v>
      </c>
      <c r="I26" s="39">
        <f t="shared" si="1"/>
        <v>0</v>
      </c>
    </row>
    <row r="27" spans="1:9" ht="12.75">
      <c r="A27" s="20" t="s">
        <v>594</v>
      </c>
      <c r="B27" s="20" t="s">
        <v>657</v>
      </c>
      <c r="C27" s="20" t="s">
        <v>1004</v>
      </c>
      <c r="F27" s="39">
        <f t="shared" si="0"/>
        <v>0</v>
      </c>
      <c r="G27" s="39">
        <v>0</v>
      </c>
      <c r="H27" s="39" t="s">
        <v>1624</v>
      </c>
      <c r="I27" s="39">
        <f t="shared" si="1"/>
        <v>0</v>
      </c>
    </row>
    <row r="28" spans="1:9" ht="12.75">
      <c r="A28" s="20" t="s">
        <v>594</v>
      </c>
      <c r="B28" s="20" t="s">
        <v>659</v>
      </c>
      <c r="C28" s="20" t="s">
        <v>1012</v>
      </c>
      <c r="F28" s="39">
        <f t="shared" si="0"/>
        <v>0</v>
      </c>
      <c r="G28" s="39">
        <v>0</v>
      </c>
      <c r="H28" s="39" t="s">
        <v>1624</v>
      </c>
      <c r="I28" s="39">
        <f t="shared" si="1"/>
        <v>0</v>
      </c>
    </row>
    <row r="29" spans="1:9" ht="12.75">
      <c r="A29" s="20" t="s">
        <v>594</v>
      </c>
      <c r="B29" s="20" t="s">
        <v>661</v>
      </c>
      <c r="C29" s="20" t="s">
        <v>1016</v>
      </c>
      <c r="F29" s="39">
        <f t="shared" si="0"/>
        <v>0</v>
      </c>
      <c r="G29" s="39">
        <v>0</v>
      </c>
      <c r="H29" s="39" t="s">
        <v>1624</v>
      </c>
      <c r="I29" s="39">
        <f t="shared" si="1"/>
        <v>0</v>
      </c>
    </row>
    <row r="30" spans="1:9" ht="12.75">
      <c r="A30" s="20" t="s">
        <v>594</v>
      </c>
      <c r="B30" s="20" t="s">
        <v>663</v>
      </c>
      <c r="C30" s="20" t="s">
        <v>1019</v>
      </c>
      <c r="F30" s="39">
        <f t="shared" si="0"/>
        <v>0</v>
      </c>
      <c r="G30" s="39">
        <v>0</v>
      </c>
      <c r="H30" s="39" t="s">
        <v>1624</v>
      </c>
      <c r="I30" s="39">
        <f t="shared" si="1"/>
        <v>0</v>
      </c>
    </row>
    <row r="31" spans="1:9" ht="12.75">
      <c r="A31" s="20" t="s">
        <v>594</v>
      </c>
      <c r="B31" s="20" t="s">
        <v>665</v>
      </c>
      <c r="C31" s="20" t="s">
        <v>1045</v>
      </c>
      <c r="F31" s="39">
        <f t="shared" si="0"/>
        <v>0</v>
      </c>
      <c r="G31" s="39">
        <v>0.15858</v>
      </c>
      <c r="H31" s="39" t="s">
        <v>1624</v>
      </c>
      <c r="I31" s="39">
        <f t="shared" si="1"/>
        <v>0</v>
      </c>
    </row>
    <row r="32" spans="1:9" ht="12.75">
      <c r="A32" s="20" t="s">
        <v>595</v>
      </c>
      <c r="B32" s="20"/>
      <c r="C32" s="20" t="s">
        <v>1073</v>
      </c>
      <c r="F32" s="39">
        <f t="shared" si="0"/>
        <v>0</v>
      </c>
      <c r="G32" s="39">
        <v>48.03893</v>
      </c>
      <c r="H32" s="39" t="s">
        <v>1623</v>
      </c>
      <c r="I32" s="39">
        <f t="shared" si="1"/>
        <v>0</v>
      </c>
    </row>
    <row r="33" spans="1:9" ht="12.75">
      <c r="A33" s="20" t="s">
        <v>595</v>
      </c>
      <c r="B33" s="20" t="s">
        <v>40</v>
      </c>
      <c r="C33" s="20" t="s">
        <v>1074</v>
      </c>
      <c r="F33" s="39">
        <f t="shared" si="0"/>
        <v>0</v>
      </c>
      <c r="G33" s="39">
        <v>7.11212</v>
      </c>
      <c r="H33" s="39" t="s">
        <v>1624</v>
      </c>
      <c r="I33" s="39">
        <f t="shared" si="1"/>
        <v>0</v>
      </c>
    </row>
    <row r="34" spans="1:9" ht="12.75">
      <c r="A34" s="20" t="s">
        <v>595</v>
      </c>
      <c r="B34" s="20" t="s">
        <v>67</v>
      </c>
      <c r="C34" s="20" t="s">
        <v>967</v>
      </c>
      <c r="F34" s="39">
        <f t="shared" si="0"/>
        <v>0</v>
      </c>
      <c r="G34" s="39">
        <v>7.70424</v>
      </c>
      <c r="H34" s="39" t="s">
        <v>1624</v>
      </c>
      <c r="I34" s="39">
        <f t="shared" si="1"/>
        <v>0</v>
      </c>
    </row>
    <row r="35" spans="1:9" ht="12.75">
      <c r="A35" s="20" t="s">
        <v>595</v>
      </c>
      <c r="B35" s="20" t="s">
        <v>69</v>
      </c>
      <c r="C35" s="20" t="s">
        <v>1097</v>
      </c>
      <c r="F35" s="39">
        <f t="shared" si="0"/>
        <v>0</v>
      </c>
      <c r="G35" s="39">
        <v>13.2419</v>
      </c>
      <c r="H35" s="39" t="s">
        <v>1624</v>
      </c>
      <c r="I35" s="39">
        <f t="shared" si="1"/>
        <v>0</v>
      </c>
    </row>
    <row r="36" spans="1:9" ht="12.75">
      <c r="A36" s="20" t="s">
        <v>595</v>
      </c>
      <c r="B36" s="20" t="s">
        <v>70</v>
      </c>
      <c r="C36" s="20" t="s">
        <v>980</v>
      </c>
      <c r="F36" s="39">
        <f t="shared" si="0"/>
        <v>0</v>
      </c>
      <c r="G36" s="39">
        <v>0.20343</v>
      </c>
      <c r="H36" s="39" t="s">
        <v>1624</v>
      </c>
      <c r="I36" s="39">
        <f t="shared" si="1"/>
        <v>0</v>
      </c>
    </row>
    <row r="37" spans="1:9" ht="12.75">
      <c r="A37" s="20" t="s">
        <v>595</v>
      </c>
      <c r="B37" s="20" t="s">
        <v>696</v>
      </c>
      <c r="C37" s="20" t="s">
        <v>1103</v>
      </c>
      <c r="F37" s="39">
        <f t="shared" si="0"/>
        <v>0</v>
      </c>
      <c r="G37" s="39">
        <v>0.0821</v>
      </c>
      <c r="H37" s="39" t="s">
        <v>1624</v>
      </c>
      <c r="I37" s="39">
        <f t="shared" si="1"/>
        <v>0</v>
      </c>
    </row>
    <row r="38" spans="1:9" ht="12.75">
      <c r="A38" s="20" t="s">
        <v>595</v>
      </c>
      <c r="B38" s="20" t="s">
        <v>612</v>
      </c>
      <c r="C38" s="20" t="s">
        <v>987</v>
      </c>
      <c r="F38" s="39">
        <f t="shared" si="0"/>
        <v>0</v>
      </c>
      <c r="G38" s="39">
        <v>0.86988</v>
      </c>
      <c r="H38" s="39" t="s">
        <v>1624</v>
      </c>
      <c r="I38" s="39">
        <f t="shared" si="1"/>
        <v>0</v>
      </c>
    </row>
    <row r="39" spans="1:9" ht="12.75">
      <c r="A39" s="20" t="s">
        <v>595</v>
      </c>
      <c r="B39" s="20" t="s">
        <v>701</v>
      </c>
      <c r="C39" s="20" t="s">
        <v>1115</v>
      </c>
      <c r="F39" s="39">
        <f t="shared" si="0"/>
        <v>0</v>
      </c>
      <c r="G39" s="39">
        <v>0.03921</v>
      </c>
      <c r="H39" s="39" t="s">
        <v>1624</v>
      </c>
      <c r="I39" s="39">
        <f t="shared" si="1"/>
        <v>0</v>
      </c>
    </row>
    <row r="40" spans="1:9" ht="12.75">
      <c r="A40" s="20" t="s">
        <v>595</v>
      </c>
      <c r="B40" s="20" t="s">
        <v>712</v>
      </c>
      <c r="C40" s="20" t="s">
        <v>1128</v>
      </c>
      <c r="F40" s="39">
        <f t="shared" si="0"/>
        <v>0</v>
      </c>
      <c r="G40" s="39">
        <v>0.11601</v>
      </c>
      <c r="H40" s="39" t="s">
        <v>1624</v>
      </c>
      <c r="I40" s="39">
        <f t="shared" si="1"/>
        <v>0</v>
      </c>
    </row>
    <row r="41" spans="1:9" ht="12.75">
      <c r="A41" s="20" t="s">
        <v>595</v>
      </c>
      <c r="B41" s="20" t="s">
        <v>732</v>
      </c>
      <c r="C41" s="20" t="s">
        <v>1150</v>
      </c>
      <c r="F41" s="39">
        <f t="shared" si="0"/>
        <v>0</v>
      </c>
      <c r="G41" s="39">
        <v>0.48975</v>
      </c>
      <c r="H41" s="39" t="s">
        <v>1624</v>
      </c>
      <c r="I41" s="39">
        <f t="shared" si="1"/>
        <v>0</v>
      </c>
    </row>
    <row r="42" spans="1:9" ht="12.75">
      <c r="A42" s="20" t="s">
        <v>595</v>
      </c>
      <c r="B42" s="20" t="s">
        <v>762</v>
      </c>
      <c r="C42" s="20" t="s">
        <v>1183</v>
      </c>
      <c r="F42" s="39">
        <f t="shared" si="0"/>
        <v>0</v>
      </c>
      <c r="G42" s="39">
        <v>0.08504</v>
      </c>
      <c r="H42" s="39" t="s">
        <v>1624</v>
      </c>
      <c r="I42" s="39">
        <f t="shared" si="1"/>
        <v>0</v>
      </c>
    </row>
    <row r="43" spans="1:9" ht="12.75">
      <c r="A43" s="20" t="s">
        <v>595</v>
      </c>
      <c r="B43" s="20" t="s">
        <v>615</v>
      </c>
      <c r="C43" s="20" t="s">
        <v>991</v>
      </c>
      <c r="F43" s="39">
        <f aca="true" t="shared" si="2" ref="F43:F74">D43+E43</f>
        <v>0</v>
      </c>
      <c r="G43" s="39">
        <v>0.11106</v>
      </c>
      <c r="H43" s="39" t="s">
        <v>1624</v>
      </c>
      <c r="I43" s="39">
        <f aca="true" t="shared" si="3" ref="I43:I74">IF(H43="T",0,F43)</f>
        <v>0</v>
      </c>
    </row>
    <row r="44" spans="1:9" ht="12.75">
      <c r="A44" s="20" t="s">
        <v>595</v>
      </c>
      <c r="B44" s="20" t="s">
        <v>772</v>
      </c>
      <c r="C44" s="20" t="s">
        <v>1195</v>
      </c>
      <c r="F44" s="39">
        <f t="shared" si="2"/>
        <v>0</v>
      </c>
      <c r="G44" s="39">
        <v>0.02118</v>
      </c>
      <c r="H44" s="39" t="s">
        <v>1624</v>
      </c>
      <c r="I44" s="39">
        <f t="shared" si="3"/>
        <v>0</v>
      </c>
    </row>
    <row r="45" spans="1:9" ht="12.75">
      <c r="A45" s="20" t="s">
        <v>595</v>
      </c>
      <c r="B45" s="20" t="s">
        <v>774</v>
      </c>
      <c r="C45" s="20" t="s">
        <v>1198</v>
      </c>
      <c r="F45" s="39">
        <f t="shared" si="2"/>
        <v>0</v>
      </c>
      <c r="G45" s="39">
        <v>0.46299</v>
      </c>
      <c r="H45" s="39" t="s">
        <v>1624</v>
      </c>
      <c r="I45" s="39">
        <f t="shared" si="3"/>
        <v>0</v>
      </c>
    </row>
    <row r="46" spans="1:9" ht="12.75">
      <c r="A46" s="20" t="s">
        <v>595</v>
      </c>
      <c r="B46" s="20" t="s">
        <v>778</v>
      </c>
      <c r="C46" s="20" t="s">
        <v>1203</v>
      </c>
      <c r="F46" s="39">
        <f t="shared" si="2"/>
        <v>0</v>
      </c>
      <c r="G46" s="39">
        <v>0.94247</v>
      </c>
      <c r="H46" s="39" t="s">
        <v>1624</v>
      </c>
      <c r="I46" s="39">
        <f t="shared" si="3"/>
        <v>0</v>
      </c>
    </row>
    <row r="47" spans="1:9" ht="12.75">
      <c r="A47" s="20" t="s">
        <v>595</v>
      </c>
      <c r="B47" s="20" t="s">
        <v>628</v>
      </c>
      <c r="C47" s="20" t="s">
        <v>1004</v>
      </c>
      <c r="F47" s="39">
        <f t="shared" si="2"/>
        <v>0</v>
      </c>
      <c r="G47" s="39">
        <v>1.36897</v>
      </c>
      <c r="H47" s="39" t="s">
        <v>1624</v>
      </c>
      <c r="I47" s="39">
        <f t="shared" si="3"/>
        <v>0</v>
      </c>
    </row>
    <row r="48" spans="1:9" ht="12.75">
      <c r="A48" s="20" t="s">
        <v>595</v>
      </c>
      <c r="B48" s="20" t="s">
        <v>794</v>
      </c>
      <c r="C48" s="20" t="s">
        <v>1224</v>
      </c>
      <c r="F48" s="39">
        <f t="shared" si="2"/>
        <v>0</v>
      </c>
      <c r="G48" s="39">
        <v>0.17241</v>
      </c>
      <c r="H48" s="39" t="s">
        <v>1624</v>
      </c>
      <c r="I48" s="39">
        <f t="shared" si="3"/>
        <v>0</v>
      </c>
    </row>
    <row r="49" spans="1:9" ht="12.75">
      <c r="A49" s="20" t="s">
        <v>595</v>
      </c>
      <c r="B49" s="20" t="s">
        <v>636</v>
      </c>
      <c r="C49" s="20" t="s">
        <v>1012</v>
      </c>
      <c r="F49" s="39">
        <f t="shared" si="2"/>
        <v>0</v>
      </c>
      <c r="G49" s="39">
        <v>1.16288</v>
      </c>
      <c r="H49" s="39" t="s">
        <v>1624</v>
      </c>
      <c r="I49" s="39">
        <f t="shared" si="3"/>
        <v>0</v>
      </c>
    </row>
    <row r="50" spans="1:9" ht="12.75">
      <c r="A50" s="20" t="s">
        <v>595</v>
      </c>
      <c r="B50" s="20" t="s">
        <v>800</v>
      </c>
      <c r="C50" s="20" t="s">
        <v>1240</v>
      </c>
      <c r="F50" s="39">
        <f t="shared" si="2"/>
        <v>0</v>
      </c>
      <c r="G50" s="39">
        <v>1.43439</v>
      </c>
      <c r="H50" s="39" t="s">
        <v>1624</v>
      </c>
      <c r="I50" s="39">
        <f t="shared" si="3"/>
        <v>0</v>
      </c>
    </row>
    <row r="51" spans="1:9" ht="12.75">
      <c r="A51" s="20" t="s">
        <v>595</v>
      </c>
      <c r="B51" s="20" t="s">
        <v>640</v>
      </c>
      <c r="C51" s="20" t="s">
        <v>1016</v>
      </c>
      <c r="F51" s="39">
        <f t="shared" si="2"/>
        <v>0</v>
      </c>
      <c r="G51" s="39">
        <v>0.1592</v>
      </c>
      <c r="H51" s="39" t="s">
        <v>1624</v>
      </c>
      <c r="I51" s="39">
        <f t="shared" si="3"/>
        <v>0</v>
      </c>
    </row>
    <row r="52" spans="1:9" ht="12.75">
      <c r="A52" s="20" t="s">
        <v>595</v>
      </c>
      <c r="B52" s="20" t="s">
        <v>806</v>
      </c>
      <c r="C52" s="20" t="s">
        <v>1249</v>
      </c>
      <c r="F52" s="39">
        <f t="shared" si="2"/>
        <v>0</v>
      </c>
      <c r="G52" s="39">
        <v>5.23766</v>
      </c>
      <c r="H52" s="39" t="s">
        <v>1624</v>
      </c>
      <c r="I52" s="39">
        <f t="shared" si="3"/>
        <v>0</v>
      </c>
    </row>
    <row r="53" spans="1:9" ht="12.75">
      <c r="A53" s="20" t="s">
        <v>595</v>
      </c>
      <c r="B53" s="20" t="s">
        <v>644</v>
      </c>
      <c r="C53" s="20" t="s">
        <v>1021</v>
      </c>
      <c r="F53" s="39">
        <f t="shared" si="2"/>
        <v>0</v>
      </c>
      <c r="G53" s="39">
        <v>0.01377</v>
      </c>
      <c r="H53" s="39" t="s">
        <v>1624</v>
      </c>
      <c r="I53" s="39">
        <f t="shared" si="3"/>
        <v>0</v>
      </c>
    </row>
    <row r="54" spans="1:9" ht="12.75">
      <c r="A54" s="20" t="s">
        <v>595</v>
      </c>
      <c r="B54" s="20" t="s">
        <v>647</v>
      </c>
      <c r="C54" s="20" t="s">
        <v>1025</v>
      </c>
      <c r="F54" s="39">
        <f t="shared" si="2"/>
        <v>0</v>
      </c>
      <c r="G54" s="39">
        <v>0.26413</v>
      </c>
      <c r="H54" s="39" t="s">
        <v>1624</v>
      </c>
      <c r="I54" s="39">
        <f t="shared" si="3"/>
        <v>0</v>
      </c>
    </row>
    <row r="55" spans="1:9" ht="12.75">
      <c r="A55" s="20" t="s">
        <v>595</v>
      </c>
      <c r="B55" s="20" t="s">
        <v>96</v>
      </c>
      <c r="C55" s="20" t="s">
        <v>1030</v>
      </c>
      <c r="F55" s="39">
        <f t="shared" si="2"/>
        <v>0</v>
      </c>
      <c r="G55" s="39">
        <v>0</v>
      </c>
      <c r="H55" s="39" t="s">
        <v>1624</v>
      </c>
      <c r="I55" s="39">
        <f t="shared" si="3"/>
        <v>0</v>
      </c>
    </row>
    <row r="56" spans="1:9" ht="12.75">
      <c r="A56" s="20" t="s">
        <v>595</v>
      </c>
      <c r="B56" s="20" t="s">
        <v>100</v>
      </c>
      <c r="C56" s="20" t="s">
        <v>1033</v>
      </c>
      <c r="F56" s="39">
        <f t="shared" si="2"/>
        <v>0</v>
      </c>
      <c r="G56" s="39">
        <v>0.29911</v>
      </c>
      <c r="H56" s="39" t="s">
        <v>1624</v>
      </c>
      <c r="I56" s="39">
        <f t="shared" si="3"/>
        <v>0</v>
      </c>
    </row>
    <row r="57" spans="1:9" ht="12.75">
      <c r="A57" s="20" t="s">
        <v>595</v>
      </c>
      <c r="B57" s="20" t="s">
        <v>101</v>
      </c>
      <c r="C57" s="20" t="s">
        <v>1036</v>
      </c>
      <c r="F57" s="39">
        <f t="shared" si="2"/>
        <v>0</v>
      </c>
      <c r="G57" s="39">
        <v>0.00757</v>
      </c>
      <c r="H57" s="39" t="s">
        <v>1624</v>
      </c>
      <c r="I57" s="39">
        <f t="shared" si="3"/>
        <v>0</v>
      </c>
    </row>
    <row r="58" spans="1:9" ht="12.75">
      <c r="A58" s="20" t="s">
        <v>595</v>
      </c>
      <c r="B58" s="20" t="s">
        <v>102</v>
      </c>
      <c r="C58" s="20" t="s">
        <v>1267</v>
      </c>
      <c r="F58" s="39">
        <f t="shared" si="2"/>
        <v>0</v>
      </c>
      <c r="G58" s="39">
        <v>5.78241</v>
      </c>
      <c r="H58" s="39" t="s">
        <v>1624</v>
      </c>
      <c r="I58" s="39">
        <f t="shared" si="3"/>
        <v>0</v>
      </c>
    </row>
    <row r="59" spans="1:9" ht="12.75">
      <c r="A59" s="20" t="s">
        <v>595</v>
      </c>
      <c r="B59" s="20" t="s">
        <v>103</v>
      </c>
      <c r="C59" s="20" t="s">
        <v>1282</v>
      </c>
      <c r="F59" s="39">
        <f t="shared" si="2"/>
        <v>0</v>
      </c>
      <c r="G59" s="39">
        <v>0.3735</v>
      </c>
      <c r="H59" s="39" t="s">
        <v>1624</v>
      </c>
      <c r="I59" s="39">
        <f t="shared" si="3"/>
        <v>0</v>
      </c>
    </row>
    <row r="60" spans="1:9" ht="12.75">
      <c r="A60" s="20" t="s">
        <v>595</v>
      </c>
      <c r="B60" s="20" t="s">
        <v>653</v>
      </c>
      <c r="C60" s="20" t="s">
        <v>1038</v>
      </c>
      <c r="F60" s="39">
        <f t="shared" si="2"/>
        <v>0</v>
      </c>
      <c r="G60" s="39">
        <v>0</v>
      </c>
      <c r="H60" s="39" t="s">
        <v>1624</v>
      </c>
      <c r="I60" s="39">
        <f t="shared" si="3"/>
        <v>0</v>
      </c>
    </row>
    <row r="61" spans="1:9" ht="12.75">
      <c r="A61" s="20" t="s">
        <v>595</v>
      </c>
      <c r="B61" s="20" t="s">
        <v>821</v>
      </c>
      <c r="C61" s="20" t="s">
        <v>1103</v>
      </c>
      <c r="F61" s="39">
        <f t="shared" si="2"/>
        <v>0</v>
      </c>
      <c r="G61" s="39">
        <v>0</v>
      </c>
      <c r="H61" s="39" t="s">
        <v>1624</v>
      </c>
      <c r="I61" s="39">
        <f t="shared" si="3"/>
        <v>0</v>
      </c>
    </row>
    <row r="62" spans="1:9" ht="12.75">
      <c r="A62" s="20" t="s">
        <v>595</v>
      </c>
      <c r="B62" s="20" t="s">
        <v>823</v>
      </c>
      <c r="C62" s="20" t="s">
        <v>987</v>
      </c>
      <c r="F62" s="39">
        <f t="shared" si="2"/>
        <v>0</v>
      </c>
      <c r="G62" s="39">
        <v>0</v>
      </c>
      <c r="H62" s="39" t="s">
        <v>1624</v>
      </c>
      <c r="I62" s="39">
        <f t="shared" si="3"/>
        <v>0</v>
      </c>
    </row>
    <row r="63" spans="1:9" ht="12.75">
      <c r="A63" s="20" t="s">
        <v>595</v>
      </c>
      <c r="B63" s="20" t="s">
        <v>825</v>
      </c>
      <c r="C63" s="20" t="s">
        <v>1287</v>
      </c>
      <c r="F63" s="39">
        <f t="shared" si="2"/>
        <v>0</v>
      </c>
      <c r="G63" s="39">
        <v>0</v>
      </c>
      <c r="H63" s="39" t="s">
        <v>1624</v>
      </c>
      <c r="I63" s="39">
        <f t="shared" si="3"/>
        <v>0</v>
      </c>
    </row>
    <row r="64" spans="1:9" ht="12.75">
      <c r="A64" s="20" t="s">
        <v>595</v>
      </c>
      <c r="B64" s="20" t="s">
        <v>827</v>
      </c>
      <c r="C64" s="20" t="s">
        <v>1115</v>
      </c>
      <c r="F64" s="39">
        <f t="shared" si="2"/>
        <v>0</v>
      </c>
      <c r="G64" s="39">
        <v>0</v>
      </c>
      <c r="H64" s="39" t="s">
        <v>1624</v>
      </c>
      <c r="I64" s="39">
        <f t="shared" si="3"/>
        <v>0</v>
      </c>
    </row>
    <row r="65" spans="1:9" ht="12.75">
      <c r="A65" s="20" t="s">
        <v>595</v>
      </c>
      <c r="B65" s="20" t="s">
        <v>829</v>
      </c>
      <c r="C65" s="20" t="s">
        <v>1128</v>
      </c>
      <c r="F65" s="39">
        <f t="shared" si="2"/>
        <v>0</v>
      </c>
      <c r="G65" s="39">
        <v>0</v>
      </c>
      <c r="H65" s="39" t="s">
        <v>1624</v>
      </c>
      <c r="I65" s="39">
        <f t="shared" si="3"/>
        <v>0</v>
      </c>
    </row>
    <row r="66" spans="1:9" ht="12.75">
      <c r="A66" s="20" t="s">
        <v>595</v>
      </c>
      <c r="B66" s="20" t="s">
        <v>831</v>
      </c>
      <c r="C66" s="20" t="s">
        <v>1150</v>
      </c>
      <c r="F66" s="39">
        <f t="shared" si="2"/>
        <v>0</v>
      </c>
      <c r="G66" s="39">
        <v>0</v>
      </c>
      <c r="H66" s="39" t="s">
        <v>1624</v>
      </c>
      <c r="I66" s="39">
        <f t="shared" si="3"/>
        <v>0</v>
      </c>
    </row>
    <row r="67" spans="1:9" ht="12.75">
      <c r="A67" s="20" t="s">
        <v>595</v>
      </c>
      <c r="B67" s="20" t="s">
        <v>655</v>
      </c>
      <c r="C67" s="20" t="s">
        <v>991</v>
      </c>
      <c r="F67" s="39">
        <f t="shared" si="2"/>
        <v>0</v>
      </c>
      <c r="G67" s="39">
        <v>0</v>
      </c>
      <c r="H67" s="39" t="s">
        <v>1624</v>
      </c>
      <c r="I67" s="39">
        <f t="shared" si="3"/>
        <v>0</v>
      </c>
    </row>
    <row r="68" spans="1:9" ht="12.75">
      <c r="A68" s="20" t="s">
        <v>595</v>
      </c>
      <c r="B68" s="20" t="s">
        <v>834</v>
      </c>
      <c r="C68" s="20" t="s">
        <v>1195</v>
      </c>
      <c r="F68" s="39">
        <f t="shared" si="2"/>
        <v>0</v>
      </c>
      <c r="G68" s="39">
        <v>0</v>
      </c>
      <c r="H68" s="39" t="s">
        <v>1624</v>
      </c>
      <c r="I68" s="39">
        <f t="shared" si="3"/>
        <v>0</v>
      </c>
    </row>
    <row r="69" spans="1:9" ht="12.75">
      <c r="A69" s="20" t="s">
        <v>595</v>
      </c>
      <c r="B69" s="20" t="s">
        <v>836</v>
      </c>
      <c r="C69" s="20" t="s">
        <v>1198</v>
      </c>
      <c r="F69" s="39">
        <f t="shared" si="2"/>
        <v>0</v>
      </c>
      <c r="G69" s="39">
        <v>0</v>
      </c>
      <c r="H69" s="39" t="s">
        <v>1624</v>
      </c>
      <c r="I69" s="39">
        <f t="shared" si="3"/>
        <v>0</v>
      </c>
    </row>
    <row r="70" spans="1:9" ht="12.75">
      <c r="A70" s="20" t="s">
        <v>595</v>
      </c>
      <c r="B70" s="20" t="s">
        <v>838</v>
      </c>
      <c r="C70" s="20" t="s">
        <v>1203</v>
      </c>
      <c r="F70" s="39">
        <f t="shared" si="2"/>
        <v>0</v>
      </c>
      <c r="G70" s="39">
        <v>0</v>
      </c>
      <c r="H70" s="39" t="s">
        <v>1624</v>
      </c>
      <c r="I70" s="39">
        <f t="shared" si="3"/>
        <v>0</v>
      </c>
    </row>
    <row r="71" spans="1:9" ht="12.75">
      <c r="A71" s="20" t="s">
        <v>595</v>
      </c>
      <c r="B71" s="20" t="s">
        <v>657</v>
      </c>
      <c r="C71" s="20" t="s">
        <v>1004</v>
      </c>
      <c r="F71" s="39">
        <f t="shared" si="2"/>
        <v>0</v>
      </c>
      <c r="G71" s="39">
        <v>0</v>
      </c>
      <c r="H71" s="39" t="s">
        <v>1624</v>
      </c>
      <c r="I71" s="39">
        <f t="shared" si="3"/>
        <v>0</v>
      </c>
    </row>
    <row r="72" spans="1:9" ht="12.75">
      <c r="A72" s="20" t="s">
        <v>595</v>
      </c>
      <c r="B72" s="20" t="s">
        <v>841</v>
      </c>
      <c r="C72" s="20" t="s">
        <v>1224</v>
      </c>
      <c r="F72" s="39">
        <f t="shared" si="2"/>
        <v>0</v>
      </c>
      <c r="G72" s="39">
        <v>0</v>
      </c>
      <c r="H72" s="39" t="s">
        <v>1624</v>
      </c>
      <c r="I72" s="39">
        <f t="shared" si="3"/>
        <v>0</v>
      </c>
    </row>
    <row r="73" spans="1:9" ht="12.75">
      <c r="A73" s="20" t="s">
        <v>595</v>
      </c>
      <c r="B73" s="20" t="s">
        <v>659</v>
      </c>
      <c r="C73" s="20" t="s">
        <v>1012</v>
      </c>
      <c r="F73" s="39">
        <f t="shared" si="2"/>
        <v>0</v>
      </c>
      <c r="G73" s="39">
        <v>0</v>
      </c>
      <c r="H73" s="39" t="s">
        <v>1624</v>
      </c>
      <c r="I73" s="39">
        <f t="shared" si="3"/>
        <v>0</v>
      </c>
    </row>
    <row r="74" spans="1:9" ht="12.75">
      <c r="A74" s="20" t="s">
        <v>595</v>
      </c>
      <c r="B74" s="20" t="s">
        <v>844</v>
      </c>
      <c r="C74" s="20" t="s">
        <v>1240</v>
      </c>
      <c r="F74" s="39">
        <f t="shared" si="2"/>
        <v>0</v>
      </c>
      <c r="G74" s="39">
        <v>0</v>
      </c>
      <c r="H74" s="39" t="s">
        <v>1624</v>
      </c>
      <c r="I74" s="39">
        <f t="shared" si="3"/>
        <v>0</v>
      </c>
    </row>
    <row r="75" spans="1:9" ht="12.75">
      <c r="A75" s="20" t="s">
        <v>595</v>
      </c>
      <c r="B75" s="20" t="s">
        <v>661</v>
      </c>
      <c r="C75" s="20" t="s">
        <v>1016</v>
      </c>
      <c r="F75" s="39">
        <f aca="true" t="shared" si="4" ref="F75:F106">D75+E75</f>
        <v>0</v>
      </c>
      <c r="G75" s="39">
        <v>0</v>
      </c>
      <c r="H75" s="39" t="s">
        <v>1624</v>
      </c>
      <c r="I75" s="39">
        <f aca="true" t="shared" si="5" ref="I75:I106">IF(H75="T",0,F75)</f>
        <v>0</v>
      </c>
    </row>
    <row r="76" spans="1:9" ht="12.75">
      <c r="A76" s="20" t="s">
        <v>595</v>
      </c>
      <c r="B76" s="20" t="s">
        <v>847</v>
      </c>
      <c r="C76" s="20" t="s">
        <v>1249</v>
      </c>
      <c r="F76" s="39">
        <f t="shared" si="4"/>
        <v>0</v>
      </c>
      <c r="G76" s="39">
        <v>0</v>
      </c>
      <c r="H76" s="39" t="s">
        <v>1624</v>
      </c>
      <c r="I76" s="39">
        <f t="shared" si="5"/>
        <v>0</v>
      </c>
    </row>
    <row r="77" spans="1:9" ht="12.75">
      <c r="A77" s="20" t="s">
        <v>595</v>
      </c>
      <c r="B77" s="20" t="s">
        <v>665</v>
      </c>
      <c r="C77" s="20" t="s">
        <v>1045</v>
      </c>
      <c r="F77" s="39">
        <f t="shared" si="4"/>
        <v>0</v>
      </c>
      <c r="G77" s="39">
        <v>0.28155</v>
      </c>
      <c r="H77" s="39" t="s">
        <v>1624</v>
      </c>
      <c r="I77" s="39">
        <f t="shared" si="5"/>
        <v>0</v>
      </c>
    </row>
    <row r="78" spans="1:9" ht="12.75">
      <c r="A78" s="20" t="s">
        <v>596</v>
      </c>
      <c r="B78" s="20"/>
      <c r="C78" s="20" t="s">
        <v>1319</v>
      </c>
      <c r="F78" s="39">
        <f t="shared" si="4"/>
        <v>0</v>
      </c>
      <c r="G78" s="39">
        <v>48.03883</v>
      </c>
      <c r="H78" s="39" t="s">
        <v>1623</v>
      </c>
      <c r="I78" s="39">
        <f t="shared" si="5"/>
        <v>0</v>
      </c>
    </row>
    <row r="79" spans="1:9" ht="12.75">
      <c r="A79" s="20" t="s">
        <v>596</v>
      </c>
      <c r="B79" s="20" t="s">
        <v>40</v>
      </c>
      <c r="C79" s="20" t="s">
        <v>1074</v>
      </c>
      <c r="F79" s="39">
        <f t="shared" si="4"/>
        <v>0</v>
      </c>
      <c r="G79" s="39">
        <v>7.11202</v>
      </c>
      <c r="H79" s="39" t="s">
        <v>1624</v>
      </c>
      <c r="I79" s="39">
        <f t="shared" si="5"/>
        <v>0</v>
      </c>
    </row>
    <row r="80" spans="1:9" ht="12.75">
      <c r="A80" s="20" t="s">
        <v>596</v>
      </c>
      <c r="B80" s="20" t="s">
        <v>67</v>
      </c>
      <c r="C80" s="20" t="s">
        <v>967</v>
      </c>
      <c r="F80" s="39">
        <f t="shared" si="4"/>
        <v>0</v>
      </c>
      <c r="G80" s="39">
        <v>7.70424</v>
      </c>
      <c r="H80" s="39" t="s">
        <v>1624</v>
      </c>
      <c r="I80" s="39">
        <f t="shared" si="5"/>
        <v>0</v>
      </c>
    </row>
    <row r="81" spans="1:9" ht="12.75">
      <c r="A81" s="20" t="s">
        <v>596</v>
      </c>
      <c r="B81" s="20" t="s">
        <v>69</v>
      </c>
      <c r="C81" s="20" t="s">
        <v>1097</v>
      </c>
      <c r="F81" s="39">
        <f t="shared" si="4"/>
        <v>0</v>
      </c>
      <c r="G81" s="39">
        <v>13.2419</v>
      </c>
      <c r="H81" s="39" t="s">
        <v>1624</v>
      </c>
      <c r="I81" s="39">
        <f t="shared" si="5"/>
        <v>0</v>
      </c>
    </row>
    <row r="82" spans="1:9" ht="12.75">
      <c r="A82" s="20" t="s">
        <v>596</v>
      </c>
      <c r="B82" s="20" t="s">
        <v>70</v>
      </c>
      <c r="C82" s="20" t="s">
        <v>980</v>
      </c>
      <c r="F82" s="39">
        <f t="shared" si="4"/>
        <v>0</v>
      </c>
      <c r="G82" s="39">
        <v>0.20343</v>
      </c>
      <c r="H82" s="39" t="s">
        <v>1624</v>
      </c>
      <c r="I82" s="39">
        <f t="shared" si="5"/>
        <v>0</v>
      </c>
    </row>
    <row r="83" spans="1:9" ht="12.75">
      <c r="A83" s="20" t="s">
        <v>596</v>
      </c>
      <c r="B83" s="20" t="s">
        <v>696</v>
      </c>
      <c r="C83" s="20" t="s">
        <v>1103</v>
      </c>
      <c r="F83" s="39">
        <f t="shared" si="4"/>
        <v>0</v>
      </c>
      <c r="G83" s="39">
        <v>0.0821</v>
      </c>
      <c r="H83" s="39" t="s">
        <v>1624</v>
      </c>
      <c r="I83" s="39">
        <f t="shared" si="5"/>
        <v>0</v>
      </c>
    </row>
    <row r="84" spans="1:9" ht="12.75">
      <c r="A84" s="20" t="s">
        <v>596</v>
      </c>
      <c r="B84" s="20" t="s">
        <v>612</v>
      </c>
      <c r="C84" s="20" t="s">
        <v>987</v>
      </c>
      <c r="F84" s="39">
        <f t="shared" si="4"/>
        <v>0</v>
      </c>
      <c r="G84" s="39">
        <v>0.86988</v>
      </c>
      <c r="H84" s="39" t="s">
        <v>1624</v>
      </c>
      <c r="I84" s="39">
        <f t="shared" si="5"/>
        <v>0</v>
      </c>
    </row>
    <row r="85" spans="1:9" ht="12.75">
      <c r="A85" s="20" t="s">
        <v>596</v>
      </c>
      <c r="B85" s="20" t="s">
        <v>701</v>
      </c>
      <c r="C85" s="20" t="s">
        <v>1115</v>
      </c>
      <c r="F85" s="39">
        <f t="shared" si="4"/>
        <v>0</v>
      </c>
      <c r="G85" s="39">
        <v>0.03921</v>
      </c>
      <c r="H85" s="39" t="s">
        <v>1624</v>
      </c>
      <c r="I85" s="39">
        <f t="shared" si="5"/>
        <v>0</v>
      </c>
    </row>
    <row r="86" spans="1:9" ht="12.75">
      <c r="A86" s="20" t="s">
        <v>596</v>
      </c>
      <c r="B86" s="20" t="s">
        <v>712</v>
      </c>
      <c r="C86" s="20" t="s">
        <v>1128</v>
      </c>
      <c r="F86" s="39">
        <f t="shared" si="4"/>
        <v>0</v>
      </c>
      <c r="G86" s="39">
        <v>0.11601</v>
      </c>
      <c r="H86" s="39" t="s">
        <v>1624</v>
      </c>
      <c r="I86" s="39">
        <f t="shared" si="5"/>
        <v>0</v>
      </c>
    </row>
    <row r="87" spans="1:9" ht="12.75">
      <c r="A87" s="20" t="s">
        <v>596</v>
      </c>
      <c r="B87" s="20" t="s">
        <v>732</v>
      </c>
      <c r="C87" s="20" t="s">
        <v>1150</v>
      </c>
      <c r="F87" s="39">
        <f t="shared" si="4"/>
        <v>0</v>
      </c>
      <c r="G87" s="39">
        <v>0.48975</v>
      </c>
      <c r="H87" s="39" t="s">
        <v>1624</v>
      </c>
      <c r="I87" s="39">
        <f t="shared" si="5"/>
        <v>0</v>
      </c>
    </row>
    <row r="88" spans="1:9" ht="12.75">
      <c r="A88" s="20" t="s">
        <v>596</v>
      </c>
      <c r="B88" s="20" t="s">
        <v>762</v>
      </c>
      <c r="C88" s="20" t="s">
        <v>1183</v>
      </c>
      <c r="F88" s="39">
        <f t="shared" si="4"/>
        <v>0</v>
      </c>
      <c r="G88" s="39">
        <v>0.08504</v>
      </c>
      <c r="H88" s="39" t="s">
        <v>1624</v>
      </c>
      <c r="I88" s="39">
        <f t="shared" si="5"/>
        <v>0</v>
      </c>
    </row>
    <row r="89" spans="1:9" ht="12.75">
      <c r="A89" s="20" t="s">
        <v>596</v>
      </c>
      <c r="B89" s="20" t="s">
        <v>615</v>
      </c>
      <c r="C89" s="20" t="s">
        <v>991</v>
      </c>
      <c r="F89" s="39">
        <f t="shared" si="4"/>
        <v>0</v>
      </c>
      <c r="G89" s="39">
        <v>0.11106</v>
      </c>
      <c r="H89" s="39" t="s">
        <v>1624</v>
      </c>
      <c r="I89" s="39">
        <f t="shared" si="5"/>
        <v>0</v>
      </c>
    </row>
    <row r="90" spans="1:9" ht="12.75">
      <c r="A90" s="20" t="s">
        <v>596</v>
      </c>
      <c r="B90" s="20" t="s">
        <v>772</v>
      </c>
      <c r="C90" s="20" t="s">
        <v>1195</v>
      </c>
      <c r="F90" s="39">
        <f t="shared" si="4"/>
        <v>0</v>
      </c>
      <c r="G90" s="39">
        <v>0.02118</v>
      </c>
      <c r="H90" s="39" t="s">
        <v>1624</v>
      </c>
      <c r="I90" s="39">
        <f t="shared" si="5"/>
        <v>0</v>
      </c>
    </row>
    <row r="91" spans="1:9" ht="12.75">
      <c r="A91" s="20" t="s">
        <v>596</v>
      </c>
      <c r="B91" s="20" t="s">
        <v>774</v>
      </c>
      <c r="C91" s="20" t="s">
        <v>1198</v>
      </c>
      <c r="F91" s="39">
        <f t="shared" si="4"/>
        <v>0</v>
      </c>
      <c r="G91" s="39">
        <v>0.46299</v>
      </c>
      <c r="H91" s="39" t="s">
        <v>1624</v>
      </c>
      <c r="I91" s="39">
        <f t="shared" si="5"/>
        <v>0</v>
      </c>
    </row>
    <row r="92" spans="1:9" ht="12.75">
      <c r="A92" s="20" t="s">
        <v>596</v>
      </c>
      <c r="B92" s="20" t="s">
        <v>778</v>
      </c>
      <c r="C92" s="20" t="s">
        <v>1203</v>
      </c>
      <c r="F92" s="39">
        <f t="shared" si="4"/>
        <v>0</v>
      </c>
      <c r="G92" s="39">
        <v>0.94247</v>
      </c>
      <c r="H92" s="39" t="s">
        <v>1624</v>
      </c>
      <c r="I92" s="39">
        <f t="shared" si="5"/>
        <v>0</v>
      </c>
    </row>
    <row r="93" spans="1:9" ht="12.75">
      <c r="A93" s="20" t="s">
        <v>596</v>
      </c>
      <c r="B93" s="20" t="s">
        <v>628</v>
      </c>
      <c r="C93" s="20" t="s">
        <v>1004</v>
      </c>
      <c r="F93" s="39">
        <f t="shared" si="4"/>
        <v>0</v>
      </c>
      <c r="G93" s="39">
        <v>1.36897</v>
      </c>
      <c r="H93" s="39" t="s">
        <v>1624</v>
      </c>
      <c r="I93" s="39">
        <f t="shared" si="5"/>
        <v>0</v>
      </c>
    </row>
    <row r="94" spans="1:9" ht="12.75">
      <c r="A94" s="20" t="s">
        <v>596</v>
      </c>
      <c r="B94" s="20" t="s">
        <v>794</v>
      </c>
      <c r="C94" s="20" t="s">
        <v>1224</v>
      </c>
      <c r="F94" s="39">
        <f t="shared" si="4"/>
        <v>0</v>
      </c>
      <c r="G94" s="39">
        <v>0.17241</v>
      </c>
      <c r="H94" s="39" t="s">
        <v>1624</v>
      </c>
      <c r="I94" s="39">
        <f t="shared" si="5"/>
        <v>0</v>
      </c>
    </row>
    <row r="95" spans="1:9" ht="12.75">
      <c r="A95" s="20" t="s">
        <v>596</v>
      </c>
      <c r="B95" s="20" t="s">
        <v>636</v>
      </c>
      <c r="C95" s="20" t="s">
        <v>1012</v>
      </c>
      <c r="F95" s="39">
        <f t="shared" si="4"/>
        <v>0</v>
      </c>
      <c r="G95" s="39">
        <v>1.16288</v>
      </c>
      <c r="H95" s="39" t="s">
        <v>1624</v>
      </c>
      <c r="I95" s="39">
        <f t="shared" si="5"/>
        <v>0</v>
      </c>
    </row>
    <row r="96" spans="1:9" ht="12.75">
      <c r="A96" s="20" t="s">
        <v>596</v>
      </c>
      <c r="B96" s="20" t="s">
        <v>800</v>
      </c>
      <c r="C96" s="20" t="s">
        <v>1240</v>
      </c>
      <c r="F96" s="39">
        <f t="shared" si="4"/>
        <v>0</v>
      </c>
      <c r="G96" s="39">
        <v>1.43439</v>
      </c>
      <c r="H96" s="39" t="s">
        <v>1624</v>
      </c>
      <c r="I96" s="39">
        <f t="shared" si="5"/>
        <v>0</v>
      </c>
    </row>
    <row r="97" spans="1:9" ht="12.75">
      <c r="A97" s="20" t="s">
        <v>596</v>
      </c>
      <c r="B97" s="20" t="s">
        <v>640</v>
      </c>
      <c r="C97" s="20" t="s">
        <v>1016</v>
      </c>
      <c r="F97" s="39">
        <f t="shared" si="4"/>
        <v>0</v>
      </c>
      <c r="G97" s="39">
        <v>0.1592</v>
      </c>
      <c r="H97" s="39" t="s">
        <v>1624</v>
      </c>
      <c r="I97" s="39">
        <f t="shared" si="5"/>
        <v>0</v>
      </c>
    </row>
    <row r="98" spans="1:9" ht="12.75">
      <c r="A98" s="20" t="s">
        <v>596</v>
      </c>
      <c r="B98" s="20" t="s">
        <v>806</v>
      </c>
      <c r="C98" s="20" t="s">
        <v>1249</v>
      </c>
      <c r="F98" s="39">
        <f t="shared" si="4"/>
        <v>0</v>
      </c>
      <c r="G98" s="39">
        <v>5.23766</v>
      </c>
      <c r="H98" s="39" t="s">
        <v>1624</v>
      </c>
      <c r="I98" s="39">
        <f t="shared" si="5"/>
        <v>0</v>
      </c>
    </row>
    <row r="99" spans="1:9" ht="12.75">
      <c r="A99" s="20" t="s">
        <v>596</v>
      </c>
      <c r="B99" s="20" t="s">
        <v>644</v>
      </c>
      <c r="C99" s="20" t="s">
        <v>1021</v>
      </c>
      <c r="F99" s="39">
        <f t="shared" si="4"/>
        <v>0</v>
      </c>
      <c r="G99" s="39">
        <v>0.01377</v>
      </c>
      <c r="H99" s="39" t="s">
        <v>1624</v>
      </c>
      <c r="I99" s="39">
        <f t="shared" si="5"/>
        <v>0</v>
      </c>
    </row>
    <row r="100" spans="1:9" ht="12.75">
      <c r="A100" s="20" t="s">
        <v>596</v>
      </c>
      <c r="B100" s="20" t="s">
        <v>647</v>
      </c>
      <c r="C100" s="20" t="s">
        <v>1025</v>
      </c>
      <c r="F100" s="39">
        <f t="shared" si="4"/>
        <v>0</v>
      </c>
      <c r="G100" s="39">
        <v>0.26413</v>
      </c>
      <c r="H100" s="39" t="s">
        <v>1624</v>
      </c>
      <c r="I100" s="39">
        <f t="shared" si="5"/>
        <v>0</v>
      </c>
    </row>
    <row r="101" spans="1:9" ht="12.75">
      <c r="A101" s="20" t="s">
        <v>596</v>
      </c>
      <c r="B101" s="20" t="s">
        <v>96</v>
      </c>
      <c r="C101" s="20" t="s">
        <v>1030</v>
      </c>
      <c r="F101" s="39">
        <f t="shared" si="4"/>
        <v>0</v>
      </c>
      <c r="G101" s="39">
        <v>0</v>
      </c>
      <c r="H101" s="39" t="s">
        <v>1624</v>
      </c>
      <c r="I101" s="39">
        <f t="shared" si="5"/>
        <v>0</v>
      </c>
    </row>
    <row r="102" spans="1:9" ht="12.75">
      <c r="A102" s="20" t="s">
        <v>596</v>
      </c>
      <c r="B102" s="20" t="s">
        <v>100</v>
      </c>
      <c r="C102" s="20" t="s">
        <v>1033</v>
      </c>
      <c r="F102" s="39">
        <f t="shared" si="4"/>
        <v>0</v>
      </c>
      <c r="G102" s="39">
        <v>0.29911</v>
      </c>
      <c r="H102" s="39" t="s">
        <v>1624</v>
      </c>
      <c r="I102" s="39">
        <f t="shared" si="5"/>
        <v>0</v>
      </c>
    </row>
    <row r="103" spans="1:9" ht="12.75">
      <c r="A103" s="20" t="s">
        <v>596</v>
      </c>
      <c r="B103" s="20" t="s">
        <v>101</v>
      </c>
      <c r="C103" s="20" t="s">
        <v>1036</v>
      </c>
      <c r="F103" s="39">
        <f t="shared" si="4"/>
        <v>0</v>
      </c>
      <c r="G103" s="39">
        <v>0.00757</v>
      </c>
      <c r="H103" s="39" t="s">
        <v>1624</v>
      </c>
      <c r="I103" s="39">
        <f t="shared" si="5"/>
        <v>0</v>
      </c>
    </row>
    <row r="104" spans="1:9" ht="12.75">
      <c r="A104" s="20" t="s">
        <v>596</v>
      </c>
      <c r="B104" s="20" t="s">
        <v>102</v>
      </c>
      <c r="C104" s="20" t="s">
        <v>1267</v>
      </c>
      <c r="F104" s="39">
        <f t="shared" si="4"/>
        <v>0</v>
      </c>
      <c r="G104" s="39">
        <v>5.78241</v>
      </c>
      <c r="H104" s="39" t="s">
        <v>1624</v>
      </c>
      <c r="I104" s="39">
        <f t="shared" si="5"/>
        <v>0</v>
      </c>
    </row>
    <row r="105" spans="1:9" ht="12.75">
      <c r="A105" s="20" t="s">
        <v>596</v>
      </c>
      <c r="B105" s="20" t="s">
        <v>103</v>
      </c>
      <c r="C105" s="20" t="s">
        <v>1282</v>
      </c>
      <c r="F105" s="39">
        <f t="shared" si="4"/>
        <v>0</v>
      </c>
      <c r="G105" s="39">
        <v>0.3735</v>
      </c>
      <c r="H105" s="39" t="s">
        <v>1624</v>
      </c>
      <c r="I105" s="39">
        <f t="shared" si="5"/>
        <v>0</v>
      </c>
    </row>
    <row r="106" spans="1:9" ht="12.75">
      <c r="A106" s="20" t="s">
        <v>596</v>
      </c>
      <c r="B106" s="20" t="s">
        <v>653</v>
      </c>
      <c r="C106" s="20" t="s">
        <v>1038</v>
      </c>
      <c r="F106" s="39">
        <f t="shared" si="4"/>
        <v>0</v>
      </c>
      <c r="G106" s="39">
        <v>0</v>
      </c>
      <c r="H106" s="39" t="s">
        <v>1624</v>
      </c>
      <c r="I106" s="39">
        <f t="shared" si="5"/>
        <v>0</v>
      </c>
    </row>
    <row r="107" spans="1:9" ht="12.75">
      <c r="A107" s="20" t="s">
        <v>596</v>
      </c>
      <c r="B107" s="20" t="s">
        <v>821</v>
      </c>
      <c r="C107" s="20" t="s">
        <v>1103</v>
      </c>
      <c r="F107" s="39">
        <f aca="true" t="shared" si="6" ref="F107:F138">D107+E107</f>
        <v>0</v>
      </c>
      <c r="G107" s="39">
        <v>0</v>
      </c>
      <c r="H107" s="39" t="s">
        <v>1624</v>
      </c>
      <c r="I107" s="39">
        <f aca="true" t="shared" si="7" ref="I107:I138">IF(H107="T",0,F107)</f>
        <v>0</v>
      </c>
    </row>
    <row r="108" spans="1:9" ht="12.75">
      <c r="A108" s="20" t="s">
        <v>596</v>
      </c>
      <c r="B108" s="20" t="s">
        <v>823</v>
      </c>
      <c r="C108" s="20" t="s">
        <v>987</v>
      </c>
      <c r="F108" s="39">
        <f t="shared" si="6"/>
        <v>0</v>
      </c>
      <c r="G108" s="39">
        <v>0</v>
      </c>
      <c r="H108" s="39" t="s">
        <v>1624</v>
      </c>
      <c r="I108" s="39">
        <f t="shared" si="7"/>
        <v>0</v>
      </c>
    </row>
    <row r="109" spans="1:9" ht="12.75">
      <c r="A109" s="20" t="s">
        <v>596</v>
      </c>
      <c r="B109" s="20" t="s">
        <v>825</v>
      </c>
      <c r="C109" s="20" t="s">
        <v>1287</v>
      </c>
      <c r="F109" s="39">
        <f t="shared" si="6"/>
        <v>0</v>
      </c>
      <c r="G109" s="39">
        <v>0</v>
      </c>
      <c r="H109" s="39" t="s">
        <v>1624</v>
      </c>
      <c r="I109" s="39">
        <f t="shared" si="7"/>
        <v>0</v>
      </c>
    </row>
    <row r="110" spans="1:9" ht="12.75">
      <c r="A110" s="20" t="s">
        <v>596</v>
      </c>
      <c r="B110" s="20" t="s">
        <v>827</v>
      </c>
      <c r="C110" s="20" t="s">
        <v>1115</v>
      </c>
      <c r="F110" s="39">
        <f t="shared" si="6"/>
        <v>0</v>
      </c>
      <c r="G110" s="39">
        <v>0</v>
      </c>
      <c r="H110" s="39" t="s">
        <v>1624</v>
      </c>
      <c r="I110" s="39">
        <f t="shared" si="7"/>
        <v>0</v>
      </c>
    </row>
    <row r="111" spans="1:9" ht="12.75">
      <c r="A111" s="20" t="s">
        <v>596</v>
      </c>
      <c r="B111" s="20" t="s">
        <v>829</v>
      </c>
      <c r="C111" s="20" t="s">
        <v>1128</v>
      </c>
      <c r="F111" s="39">
        <f t="shared" si="6"/>
        <v>0</v>
      </c>
      <c r="G111" s="39">
        <v>0</v>
      </c>
      <c r="H111" s="39" t="s">
        <v>1624</v>
      </c>
      <c r="I111" s="39">
        <f t="shared" si="7"/>
        <v>0</v>
      </c>
    </row>
    <row r="112" spans="1:9" ht="12.75">
      <c r="A112" s="20" t="s">
        <v>596</v>
      </c>
      <c r="B112" s="20" t="s">
        <v>831</v>
      </c>
      <c r="C112" s="20" t="s">
        <v>1150</v>
      </c>
      <c r="F112" s="39">
        <f t="shared" si="6"/>
        <v>0</v>
      </c>
      <c r="G112" s="39">
        <v>0</v>
      </c>
      <c r="H112" s="39" t="s">
        <v>1624</v>
      </c>
      <c r="I112" s="39">
        <f t="shared" si="7"/>
        <v>0</v>
      </c>
    </row>
    <row r="113" spans="1:9" ht="12.75">
      <c r="A113" s="20" t="s">
        <v>596</v>
      </c>
      <c r="B113" s="20" t="s">
        <v>655</v>
      </c>
      <c r="C113" s="20" t="s">
        <v>991</v>
      </c>
      <c r="F113" s="39">
        <f t="shared" si="6"/>
        <v>0</v>
      </c>
      <c r="G113" s="39">
        <v>0</v>
      </c>
      <c r="H113" s="39" t="s">
        <v>1624</v>
      </c>
      <c r="I113" s="39">
        <f t="shared" si="7"/>
        <v>0</v>
      </c>
    </row>
    <row r="114" spans="1:9" ht="12.75">
      <c r="A114" s="20" t="s">
        <v>596</v>
      </c>
      <c r="B114" s="20" t="s">
        <v>834</v>
      </c>
      <c r="C114" s="20" t="s">
        <v>1195</v>
      </c>
      <c r="F114" s="39">
        <f t="shared" si="6"/>
        <v>0</v>
      </c>
      <c r="G114" s="39">
        <v>0</v>
      </c>
      <c r="H114" s="39" t="s">
        <v>1624</v>
      </c>
      <c r="I114" s="39">
        <f t="shared" si="7"/>
        <v>0</v>
      </c>
    </row>
    <row r="115" spans="1:9" ht="12.75">
      <c r="A115" s="20" t="s">
        <v>596</v>
      </c>
      <c r="B115" s="20" t="s">
        <v>836</v>
      </c>
      <c r="C115" s="20" t="s">
        <v>1198</v>
      </c>
      <c r="F115" s="39">
        <f t="shared" si="6"/>
        <v>0</v>
      </c>
      <c r="G115" s="39">
        <v>0</v>
      </c>
      <c r="H115" s="39" t="s">
        <v>1624</v>
      </c>
      <c r="I115" s="39">
        <f t="shared" si="7"/>
        <v>0</v>
      </c>
    </row>
    <row r="116" spans="1:9" ht="12.75">
      <c r="A116" s="20" t="s">
        <v>596</v>
      </c>
      <c r="B116" s="20" t="s">
        <v>838</v>
      </c>
      <c r="C116" s="20" t="s">
        <v>1203</v>
      </c>
      <c r="F116" s="39">
        <f t="shared" si="6"/>
        <v>0</v>
      </c>
      <c r="G116" s="39">
        <v>0</v>
      </c>
      <c r="H116" s="39" t="s">
        <v>1624</v>
      </c>
      <c r="I116" s="39">
        <f t="shared" si="7"/>
        <v>0</v>
      </c>
    </row>
    <row r="117" spans="1:9" ht="12.75">
      <c r="A117" s="20" t="s">
        <v>596</v>
      </c>
      <c r="B117" s="20" t="s">
        <v>657</v>
      </c>
      <c r="C117" s="20" t="s">
        <v>1004</v>
      </c>
      <c r="F117" s="39">
        <f t="shared" si="6"/>
        <v>0</v>
      </c>
      <c r="G117" s="39">
        <v>0</v>
      </c>
      <c r="H117" s="39" t="s">
        <v>1624</v>
      </c>
      <c r="I117" s="39">
        <f t="shared" si="7"/>
        <v>0</v>
      </c>
    </row>
    <row r="118" spans="1:9" ht="12.75">
      <c r="A118" s="20" t="s">
        <v>596</v>
      </c>
      <c r="B118" s="20" t="s">
        <v>841</v>
      </c>
      <c r="C118" s="20" t="s">
        <v>1224</v>
      </c>
      <c r="F118" s="39">
        <f t="shared" si="6"/>
        <v>0</v>
      </c>
      <c r="G118" s="39">
        <v>0</v>
      </c>
      <c r="H118" s="39" t="s">
        <v>1624</v>
      </c>
      <c r="I118" s="39">
        <f t="shared" si="7"/>
        <v>0</v>
      </c>
    </row>
    <row r="119" spans="1:9" ht="12.75">
      <c r="A119" s="20" t="s">
        <v>596</v>
      </c>
      <c r="B119" s="20" t="s">
        <v>659</v>
      </c>
      <c r="C119" s="20" t="s">
        <v>1012</v>
      </c>
      <c r="F119" s="39">
        <f t="shared" si="6"/>
        <v>0</v>
      </c>
      <c r="G119" s="39">
        <v>0</v>
      </c>
      <c r="H119" s="39" t="s">
        <v>1624</v>
      </c>
      <c r="I119" s="39">
        <f t="shared" si="7"/>
        <v>0</v>
      </c>
    </row>
    <row r="120" spans="1:9" ht="12.75">
      <c r="A120" s="20" t="s">
        <v>596</v>
      </c>
      <c r="B120" s="20" t="s">
        <v>844</v>
      </c>
      <c r="C120" s="20" t="s">
        <v>1240</v>
      </c>
      <c r="F120" s="39">
        <f t="shared" si="6"/>
        <v>0</v>
      </c>
      <c r="G120" s="39">
        <v>0</v>
      </c>
      <c r="H120" s="39" t="s">
        <v>1624</v>
      </c>
      <c r="I120" s="39">
        <f t="shared" si="7"/>
        <v>0</v>
      </c>
    </row>
    <row r="121" spans="1:9" ht="12.75">
      <c r="A121" s="20" t="s">
        <v>596</v>
      </c>
      <c r="B121" s="20" t="s">
        <v>661</v>
      </c>
      <c r="C121" s="20" t="s">
        <v>1016</v>
      </c>
      <c r="F121" s="39">
        <f t="shared" si="6"/>
        <v>0</v>
      </c>
      <c r="G121" s="39">
        <v>0</v>
      </c>
      <c r="H121" s="39" t="s">
        <v>1624</v>
      </c>
      <c r="I121" s="39">
        <f t="shared" si="7"/>
        <v>0</v>
      </c>
    </row>
    <row r="122" spans="1:9" ht="12.75">
      <c r="A122" s="20" t="s">
        <v>596</v>
      </c>
      <c r="B122" s="20" t="s">
        <v>847</v>
      </c>
      <c r="C122" s="20" t="s">
        <v>1249</v>
      </c>
      <c r="F122" s="39">
        <f t="shared" si="6"/>
        <v>0</v>
      </c>
      <c r="G122" s="39">
        <v>0</v>
      </c>
      <c r="H122" s="39" t="s">
        <v>1624</v>
      </c>
      <c r="I122" s="39">
        <f t="shared" si="7"/>
        <v>0</v>
      </c>
    </row>
    <row r="123" spans="1:9" ht="12.75">
      <c r="A123" s="20" t="s">
        <v>596</v>
      </c>
      <c r="B123" s="20" t="s">
        <v>665</v>
      </c>
      <c r="C123" s="20" t="s">
        <v>1045</v>
      </c>
      <c r="F123" s="39">
        <f t="shared" si="6"/>
        <v>0</v>
      </c>
      <c r="G123" s="39">
        <v>0.28155</v>
      </c>
      <c r="H123" s="39" t="s">
        <v>1624</v>
      </c>
      <c r="I123" s="39">
        <f t="shared" si="7"/>
        <v>0</v>
      </c>
    </row>
    <row r="124" spans="1:9" ht="12.75">
      <c r="A124" s="20" t="s">
        <v>597</v>
      </c>
      <c r="B124" s="20"/>
      <c r="C124" s="20" t="s">
        <v>1336</v>
      </c>
      <c r="F124" s="39">
        <f t="shared" si="6"/>
        <v>0</v>
      </c>
      <c r="G124" s="39">
        <v>17.72102</v>
      </c>
      <c r="H124" s="39" t="s">
        <v>1623</v>
      </c>
      <c r="I124" s="39">
        <f t="shared" si="7"/>
        <v>0</v>
      </c>
    </row>
    <row r="125" spans="1:9" ht="12.75">
      <c r="A125" s="20" t="s">
        <v>597</v>
      </c>
      <c r="B125" s="20" t="s">
        <v>67</v>
      </c>
      <c r="C125" s="20" t="s">
        <v>967</v>
      </c>
      <c r="F125" s="39">
        <f t="shared" si="6"/>
        <v>0</v>
      </c>
      <c r="G125" s="39">
        <v>1.36523</v>
      </c>
      <c r="H125" s="39" t="s">
        <v>1624</v>
      </c>
      <c r="I125" s="39">
        <f t="shared" si="7"/>
        <v>0</v>
      </c>
    </row>
    <row r="126" spans="1:9" ht="12.75">
      <c r="A126" s="20" t="s">
        <v>597</v>
      </c>
      <c r="B126" s="20" t="s">
        <v>701</v>
      </c>
      <c r="C126" s="20" t="s">
        <v>1115</v>
      </c>
      <c r="F126" s="39">
        <f t="shared" si="6"/>
        <v>0</v>
      </c>
      <c r="G126" s="39">
        <v>0.0777</v>
      </c>
      <c r="H126" s="39" t="s">
        <v>1624</v>
      </c>
      <c r="I126" s="39">
        <f t="shared" si="7"/>
        <v>0</v>
      </c>
    </row>
    <row r="127" spans="1:9" ht="12.75">
      <c r="A127" s="20" t="s">
        <v>597</v>
      </c>
      <c r="B127" s="20" t="s">
        <v>712</v>
      </c>
      <c r="C127" s="20" t="s">
        <v>1128</v>
      </c>
      <c r="F127" s="39">
        <f t="shared" si="6"/>
        <v>0</v>
      </c>
      <c r="G127" s="39">
        <v>0.04625</v>
      </c>
      <c r="H127" s="39" t="s">
        <v>1624</v>
      </c>
      <c r="I127" s="39">
        <f t="shared" si="7"/>
        <v>0</v>
      </c>
    </row>
    <row r="128" spans="1:9" ht="12.75">
      <c r="A128" s="20" t="s">
        <v>597</v>
      </c>
      <c r="B128" s="20" t="s">
        <v>794</v>
      </c>
      <c r="C128" s="20" t="s">
        <v>1224</v>
      </c>
      <c r="F128" s="39">
        <f t="shared" si="6"/>
        <v>0</v>
      </c>
      <c r="G128" s="39">
        <v>0.01808</v>
      </c>
      <c r="H128" s="39" t="s">
        <v>1624</v>
      </c>
      <c r="I128" s="39">
        <f t="shared" si="7"/>
        <v>0</v>
      </c>
    </row>
    <row r="129" spans="1:9" ht="12.75">
      <c r="A129" s="20" t="s">
        <v>597</v>
      </c>
      <c r="B129" s="20" t="s">
        <v>872</v>
      </c>
      <c r="C129" s="20" t="s">
        <v>1345</v>
      </c>
      <c r="F129" s="39">
        <f t="shared" si="6"/>
        <v>0</v>
      </c>
      <c r="G129" s="39">
        <v>0</v>
      </c>
      <c r="H129" s="39" t="s">
        <v>1624</v>
      </c>
      <c r="I129" s="39">
        <f t="shared" si="7"/>
        <v>0</v>
      </c>
    </row>
    <row r="130" spans="1:9" ht="12.75">
      <c r="A130" s="20" t="s">
        <v>597</v>
      </c>
      <c r="B130" s="20" t="s">
        <v>644</v>
      </c>
      <c r="C130" s="20" t="s">
        <v>1021</v>
      </c>
      <c r="F130" s="39">
        <f t="shared" si="6"/>
        <v>0</v>
      </c>
      <c r="G130" s="39">
        <v>0.00136</v>
      </c>
      <c r="H130" s="39" t="s">
        <v>1624</v>
      </c>
      <c r="I130" s="39">
        <f t="shared" si="7"/>
        <v>0</v>
      </c>
    </row>
    <row r="131" spans="1:9" ht="12.75">
      <c r="A131" s="20" t="s">
        <v>597</v>
      </c>
      <c r="B131" s="20" t="s">
        <v>647</v>
      </c>
      <c r="C131" s="20" t="s">
        <v>1025</v>
      </c>
      <c r="F131" s="39">
        <f t="shared" si="6"/>
        <v>0</v>
      </c>
      <c r="G131" s="39">
        <v>0.06268</v>
      </c>
      <c r="H131" s="39" t="s">
        <v>1624</v>
      </c>
      <c r="I131" s="39">
        <f t="shared" si="7"/>
        <v>0</v>
      </c>
    </row>
    <row r="132" spans="1:9" ht="12.75">
      <c r="A132" s="20" t="s">
        <v>597</v>
      </c>
      <c r="B132" s="20" t="s">
        <v>102</v>
      </c>
      <c r="C132" s="20" t="s">
        <v>1267</v>
      </c>
      <c r="F132" s="39">
        <f t="shared" si="6"/>
        <v>0</v>
      </c>
      <c r="G132" s="39">
        <v>16.14186</v>
      </c>
      <c r="H132" s="39" t="s">
        <v>1624</v>
      </c>
      <c r="I132" s="39">
        <f t="shared" si="7"/>
        <v>0</v>
      </c>
    </row>
    <row r="133" spans="1:9" ht="12.75">
      <c r="A133" s="20" t="s">
        <v>597</v>
      </c>
      <c r="B133" s="20" t="s">
        <v>653</v>
      </c>
      <c r="C133" s="20" t="s">
        <v>1038</v>
      </c>
      <c r="F133" s="39">
        <f t="shared" si="6"/>
        <v>0</v>
      </c>
      <c r="G133" s="39">
        <v>0</v>
      </c>
      <c r="H133" s="39" t="s">
        <v>1624</v>
      </c>
      <c r="I133" s="39">
        <f t="shared" si="7"/>
        <v>0</v>
      </c>
    </row>
    <row r="134" spans="1:9" ht="12.75">
      <c r="A134" s="20" t="s">
        <v>597</v>
      </c>
      <c r="B134" s="20" t="s">
        <v>827</v>
      </c>
      <c r="C134" s="20" t="s">
        <v>1115</v>
      </c>
      <c r="F134" s="39">
        <f t="shared" si="6"/>
        <v>0</v>
      </c>
      <c r="G134" s="39">
        <v>0</v>
      </c>
      <c r="H134" s="39" t="s">
        <v>1624</v>
      </c>
      <c r="I134" s="39">
        <f t="shared" si="7"/>
        <v>0</v>
      </c>
    </row>
    <row r="135" spans="1:9" ht="12.75">
      <c r="A135" s="20" t="s">
        <v>597</v>
      </c>
      <c r="B135" s="20" t="s">
        <v>829</v>
      </c>
      <c r="C135" s="20" t="s">
        <v>1128</v>
      </c>
      <c r="F135" s="39">
        <f t="shared" si="6"/>
        <v>0</v>
      </c>
      <c r="G135" s="39">
        <v>0</v>
      </c>
      <c r="H135" s="39" t="s">
        <v>1624</v>
      </c>
      <c r="I135" s="39">
        <f t="shared" si="7"/>
        <v>0</v>
      </c>
    </row>
    <row r="136" spans="1:9" ht="12.75">
      <c r="A136" s="20" t="s">
        <v>597</v>
      </c>
      <c r="B136" s="20" t="s">
        <v>841</v>
      </c>
      <c r="C136" s="20" t="s">
        <v>1224</v>
      </c>
      <c r="F136" s="39">
        <f t="shared" si="6"/>
        <v>0</v>
      </c>
      <c r="G136" s="39">
        <v>0</v>
      </c>
      <c r="H136" s="39" t="s">
        <v>1624</v>
      </c>
      <c r="I136" s="39">
        <f t="shared" si="7"/>
        <v>0</v>
      </c>
    </row>
    <row r="137" spans="1:9" ht="12.75">
      <c r="A137" s="20" t="s">
        <v>597</v>
      </c>
      <c r="B137" s="20" t="s">
        <v>665</v>
      </c>
      <c r="C137" s="20" t="s">
        <v>1045</v>
      </c>
      <c r="F137" s="39">
        <f t="shared" si="6"/>
        <v>0</v>
      </c>
      <c r="G137" s="39">
        <v>0.00786</v>
      </c>
      <c r="H137" s="39" t="s">
        <v>1624</v>
      </c>
      <c r="I137" s="39">
        <f t="shared" si="7"/>
        <v>0</v>
      </c>
    </row>
    <row r="138" spans="1:9" ht="12.75">
      <c r="A138" s="20" t="s">
        <v>598</v>
      </c>
      <c r="B138" s="20"/>
      <c r="C138" s="20" t="s">
        <v>1359</v>
      </c>
      <c r="F138" s="39">
        <f t="shared" si="6"/>
        <v>0</v>
      </c>
      <c r="G138" s="39">
        <v>52.81665</v>
      </c>
      <c r="H138" s="39" t="s">
        <v>1623</v>
      </c>
      <c r="I138" s="39">
        <f t="shared" si="7"/>
        <v>0</v>
      </c>
    </row>
    <row r="139" spans="1:9" ht="12.75">
      <c r="A139" s="20" t="s">
        <v>598</v>
      </c>
      <c r="B139" s="20" t="s">
        <v>37</v>
      </c>
      <c r="C139" s="20" t="s">
        <v>1360</v>
      </c>
      <c r="F139" s="39">
        <f aca="true" t="shared" si="8" ref="F139:F170">D139+E139</f>
        <v>0</v>
      </c>
      <c r="G139" s="39">
        <v>0.15101</v>
      </c>
      <c r="H139" s="39" t="s">
        <v>1624</v>
      </c>
      <c r="I139" s="39">
        <f aca="true" t="shared" si="9" ref="I139:I170">IF(H139="T",0,F139)</f>
        <v>0</v>
      </c>
    </row>
    <row r="140" spans="1:9" ht="12.75">
      <c r="A140" s="20" t="s">
        <v>598</v>
      </c>
      <c r="B140" s="20" t="s">
        <v>68</v>
      </c>
      <c r="C140" s="20" t="s">
        <v>1364</v>
      </c>
      <c r="F140" s="39">
        <f t="shared" si="8"/>
        <v>0</v>
      </c>
      <c r="G140" s="39">
        <v>18.77088</v>
      </c>
      <c r="H140" s="39" t="s">
        <v>1624</v>
      </c>
      <c r="I140" s="39">
        <f t="shared" si="9"/>
        <v>0</v>
      </c>
    </row>
    <row r="141" spans="1:9" ht="12.75">
      <c r="A141" s="20" t="s">
        <v>598</v>
      </c>
      <c r="B141" s="20" t="s">
        <v>70</v>
      </c>
      <c r="C141" s="20" t="s">
        <v>980</v>
      </c>
      <c r="F141" s="39">
        <f t="shared" si="8"/>
        <v>0</v>
      </c>
      <c r="G141" s="39">
        <v>4.35168</v>
      </c>
      <c r="H141" s="39" t="s">
        <v>1624</v>
      </c>
      <c r="I141" s="39">
        <f t="shared" si="9"/>
        <v>0</v>
      </c>
    </row>
    <row r="142" spans="1:9" ht="12.75">
      <c r="A142" s="20" t="s">
        <v>598</v>
      </c>
      <c r="B142" s="20" t="s">
        <v>612</v>
      </c>
      <c r="C142" s="20" t="s">
        <v>987</v>
      </c>
      <c r="F142" s="39">
        <f t="shared" si="8"/>
        <v>0</v>
      </c>
      <c r="G142" s="39">
        <v>2.52</v>
      </c>
      <c r="H142" s="39" t="s">
        <v>1624</v>
      </c>
      <c r="I142" s="39">
        <f t="shared" si="9"/>
        <v>0</v>
      </c>
    </row>
    <row r="143" spans="1:9" ht="12.75">
      <c r="A143" s="20" t="s">
        <v>598</v>
      </c>
      <c r="B143" s="20" t="s">
        <v>906</v>
      </c>
      <c r="C143" s="20" t="s">
        <v>1412</v>
      </c>
      <c r="F143" s="39">
        <f t="shared" si="8"/>
        <v>0</v>
      </c>
      <c r="G143" s="39">
        <v>1.35662</v>
      </c>
      <c r="H143" s="39" t="s">
        <v>1624</v>
      </c>
      <c r="I143" s="39">
        <f t="shared" si="9"/>
        <v>0</v>
      </c>
    </row>
    <row r="144" spans="1:9" ht="12.75">
      <c r="A144" s="20" t="s">
        <v>598</v>
      </c>
      <c r="B144" s="20" t="s">
        <v>909</v>
      </c>
      <c r="C144" s="20" t="s">
        <v>1417</v>
      </c>
      <c r="F144" s="39">
        <f t="shared" si="8"/>
        <v>0</v>
      </c>
      <c r="G144" s="39">
        <v>4.1815</v>
      </c>
      <c r="H144" s="39" t="s">
        <v>1624</v>
      </c>
      <c r="I144" s="39">
        <f t="shared" si="9"/>
        <v>0</v>
      </c>
    </row>
    <row r="145" spans="1:9" ht="12.75">
      <c r="A145" s="20" t="s">
        <v>598</v>
      </c>
      <c r="B145" s="20" t="s">
        <v>794</v>
      </c>
      <c r="C145" s="20" t="s">
        <v>1224</v>
      </c>
      <c r="F145" s="39">
        <f t="shared" si="8"/>
        <v>0</v>
      </c>
      <c r="G145" s="39">
        <v>0.01677</v>
      </c>
      <c r="H145" s="39" t="s">
        <v>1624</v>
      </c>
      <c r="I145" s="39">
        <f t="shared" si="9"/>
        <v>0</v>
      </c>
    </row>
    <row r="146" spans="1:9" ht="12.75">
      <c r="A146" s="20" t="s">
        <v>598</v>
      </c>
      <c r="B146" s="20" t="s">
        <v>644</v>
      </c>
      <c r="C146" s="20" t="s">
        <v>1021</v>
      </c>
      <c r="F146" s="39">
        <f t="shared" si="8"/>
        <v>0</v>
      </c>
      <c r="G146" s="39">
        <v>0.11072</v>
      </c>
      <c r="H146" s="39" t="s">
        <v>1624</v>
      </c>
      <c r="I146" s="39">
        <f t="shared" si="9"/>
        <v>0</v>
      </c>
    </row>
    <row r="147" spans="1:9" ht="12.75">
      <c r="A147" s="20" t="s">
        <v>598</v>
      </c>
      <c r="B147" s="20" t="s">
        <v>100</v>
      </c>
      <c r="C147" s="20" t="s">
        <v>1033</v>
      </c>
      <c r="F147" s="39">
        <f t="shared" si="8"/>
        <v>0</v>
      </c>
      <c r="G147" s="39">
        <v>13.3419</v>
      </c>
      <c r="H147" s="39" t="s">
        <v>1624</v>
      </c>
      <c r="I147" s="39">
        <f t="shared" si="9"/>
        <v>0</v>
      </c>
    </row>
    <row r="148" spans="1:9" ht="12.75">
      <c r="A148" s="20" t="s">
        <v>598</v>
      </c>
      <c r="B148" s="20" t="s">
        <v>102</v>
      </c>
      <c r="C148" s="20" t="s">
        <v>1267</v>
      </c>
      <c r="F148" s="39">
        <f t="shared" si="8"/>
        <v>0</v>
      </c>
      <c r="G148" s="39">
        <v>7.71614</v>
      </c>
      <c r="H148" s="39" t="s">
        <v>1624</v>
      </c>
      <c r="I148" s="39">
        <f t="shared" si="9"/>
        <v>0</v>
      </c>
    </row>
    <row r="149" spans="1:9" ht="12.75">
      <c r="A149" s="20" t="s">
        <v>598</v>
      </c>
      <c r="B149" s="20" t="s">
        <v>653</v>
      </c>
      <c r="C149" s="20" t="s">
        <v>1038</v>
      </c>
      <c r="F149" s="39">
        <f t="shared" si="8"/>
        <v>0</v>
      </c>
      <c r="G149" s="39">
        <v>0</v>
      </c>
      <c r="H149" s="39" t="s">
        <v>1624</v>
      </c>
      <c r="I149" s="39">
        <f t="shared" si="9"/>
        <v>0</v>
      </c>
    </row>
    <row r="150" spans="1:9" ht="12.75">
      <c r="A150" s="20" t="s">
        <v>598</v>
      </c>
      <c r="B150" s="20" t="s">
        <v>823</v>
      </c>
      <c r="C150" s="20" t="s">
        <v>987</v>
      </c>
      <c r="F150" s="39">
        <f t="shared" si="8"/>
        <v>0</v>
      </c>
      <c r="G150" s="39">
        <v>0</v>
      </c>
      <c r="H150" s="39" t="s">
        <v>1624</v>
      </c>
      <c r="I150" s="39">
        <f t="shared" si="9"/>
        <v>0</v>
      </c>
    </row>
    <row r="151" spans="1:9" ht="12.75">
      <c r="A151" s="20" t="s">
        <v>598</v>
      </c>
      <c r="B151" s="20" t="s">
        <v>946</v>
      </c>
      <c r="C151" s="20" t="s">
        <v>1412</v>
      </c>
      <c r="F151" s="39">
        <f t="shared" si="8"/>
        <v>0</v>
      </c>
      <c r="G151" s="39">
        <v>0</v>
      </c>
      <c r="H151" s="39" t="s">
        <v>1624</v>
      </c>
      <c r="I151" s="39">
        <f t="shared" si="9"/>
        <v>0</v>
      </c>
    </row>
    <row r="152" spans="1:9" ht="12.75">
      <c r="A152" s="20" t="s">
        <v>598</v>
      </c>
      <c r="B152" s="20" t="s">
        <v>948</v>
      </c>
      <c r="C152" s="20" t="s">
        <v>1417</v>
      </c>
      <c r="F152" s="39">
        <f t="shared" si="8"/>
        <v>0</v>
      </c>
      <c r="G152" s="39">
        <v>0</v>
      </c>
      <c r="H152" s="39" t="s">
        <v>1624</v>
      </c>
      <c r="I152" s="39">
        <f t="shared" si="9"/>
        <v>0</v>
      </c>
    </row>
    <row r="153" spans="1:9" ht="12.75">
      <c r="A153" s="20" t="s">
        <v>598</v>
      </c>
      <c r="B153" s="20" t="s">
        <v>841</v>
      </c>
      <c r="C153" s="20" t="s">
        <v>1224</v>
      </c>
      <c r="F153" s="39">
        <f t="shared" si="8"/>
        <v>0</v>
      </c>
      <c r="G153" s="39">
        <v>0</v>
      </c>
      <c r="H153" s="39" t="s">
        <v>1624</v>
      </c>
      <c r="I153" s="39">
        <f t="shared" si="9"/>
        <v>0</v>
      </c>
    </row>
    <row r="154" spans="1:9" ht="12.75">
      <c r="A154" s="20" t="s">
        <v>598</v>
      </c>
      <c r="B154" s="20" t="s">
        <v>665</v>
      </c>
      <c r="C154" s="20" t="s">
        <v>1045</v>
      </c>
      <c r="F154" s="39">
        <f t="shared" si="8"/>
        <v>0</v>
      </c>
      <c r="G154" s="39">
        <v>0.29943</v>
      </c>
      <c r="H154" s="39" t="s">
        <v>1624</v>
      </c>
      <c r="I154" s="39">
        <f t="shared" si="9"/>
        <v>0</v>
      </c>
    </row>
    <row r="155" spans="1:9" ht="12.75">
      <c r="A155" s="20" t="s">
        <v>599</v>
      </c>
      <c r="B155" s="20"/>
      <c r="C155" s="20" t="s">
        <v>1480</v>
      </c>
      <c r="F155" s="39">
        <f t="shared" si="8"/>
        <v>0</v>
      </c>
      <c r="G155" s="39">
        <v>0</v>
      </c>
      <c r="H155" s="39" t="s">
        <v>1623</v>
      </c>
      <c r="I155" s="39">
        <f t="shared" si="9"/>
        <v>0</v>
      </c>
    </row>
    <row r="156" spans="1:9" ht="12.75">
      <c r="A156" s="20" t="s">
        <v>599</v>
      </c>
      <c r="B156" s="20" t="s">
        <v>951</v>
      </c>
      <c r="C156" s="20" t="s">
        <v>1481</v>
      </c>
      <c r="F156" s="39">
        <f t="shared" si="8"/>
        <v>0</v>
      </c>
      <c r="G156" s="39">
        <v>0</v>
      </c>
      <c r="H156" s="39" t="s">
        <v>1624</v>
      </c>
      <c r="I156" s="39">
        <f t="shared" si="9"/>
        <v>0</v>
      </c>
    </row>
    <row r="158" spans="5:6" ht="12.75">
      <c r="E158" s="52" t="s">
        <v>1519</v>
      </c>
      <c r="F158" s="45">
        <f>SUM(I11:I156)</f>
        <v>0</v>
      </c>
    </row>
  </sheetData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8"/>
  <sheetViews>
    <sheetView workbookViewId="0" topLeftCell="A1">
      <selection activeCell="G8" sqref="G8:H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0.57421875" style="0" customWidth="1"/>
    <col min="5" max="5" width="8.8515625" style="0" customWidth="1"/>
    <col min="6" max="6" width="12.710937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9.7109375" style="0" hidden="1" customWidth="1"/>
  </cols>
  <sheetData>
    <row r="1" spans="1:13" ht="73.0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1</v>
      </c>
      <c r="B2" s="83"/>
      <c r="C2" s="83"/>
      <c r="D2" s="86" t="s">
        <v>961</v>
      </c>
      <c r="E2" s="88" t="s">
        <v>1498</v>
      </c>
      <c r="F2" s="83"/>
      <c r="G2" s="88"/>
      <c r="H2" s="83"/>
      <c r="I2" s="89" t="s">
        <v>1520</v>
      </c>
      <c r="J2" s="89" t="s">
        <v>1525</v>
      </c>
      <c r="K2" s="83"/>
      <c r="L2" s="83"/>
      <c r="M2" s="90"/>
      <c r="N2" s="37"/>
    </row>
    <row r="3" spans="1:14" ht="12.75" customHeight="1">
      <c r="A3" s="84"/>
      <c r="B3" s="85"/>
      <c r="C3" s="85"/>
      <c r="D3" s="87"/>
      <c r="E3" s="85"/>
      <c r="F3" s="85"/>
      <c r="G3" s="85"/>
      <c r="H3" s="85"/>
      <c r="I3" s="85"/>
      <c r="J3" s="85"/>
      <c r="K3" s="85"/>
      <c r="L3" s="85"/>
      <c r="M3" s="91"/>
      <c r="N3" s="37"/>
    </row>
    <row r="4" spans="1:14" ht="12.75">
      <c r="A4" s="92" t="s">
        <v>2</v>
      </c>
      <c r="B4" s="85"/>
      <c r="C4" s="85"/>
      <c r="D4" s="93" t="s">
        <v>962</v>
      </c>
      <c r="E4" s="94" t="s">
        <v>1499</v>
      </c>
      <c r="F4" s="85"/>
      <c r="G4" s="94" t="s">
        <v>6</v>
      </c>
      <c r="H4" s="85"/>
      <c r="I4" s="93" t="s">
        <v>1521</v>
      </c>
      <c r="J4" s="93" t="s">
        <v>1526</v>
      </c>
      <c r="K4" s="85"/>
      <c r="L4" s="85"/>
      <c r="M4" s="91"/>
      <c r="N4" s="37"/>
    </row>
    <row r="5" spans="1:14" ht="12.7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37"/>
    </row>
    <row r="6" spans="1:14" ht="12.75">
      <c r="A6" s="92" t="s">
        <v>3</v>
      </c>
      <c r="B6" s="85"/>
      <c r="C6" s="85"/>
      <c r="D6" s="93" t="s">
        <v>963</v>
      </c>
      <c r="E6" s="94" t="s">
        <v>1500</v>
      </c>
      <c r="F6" s="85"/>
      <c r="G6" s="85"/>
      <c r="H6" s="85"/>
      <c r="I6" s="93" t="s">
        <v>1522</v>
      </c>
      <c r="J6" s="93"/>
      <c r="K6" s="85"/>
      <c r="L6" s="85"/>
      <c r="M6" s="91"/>
      <c r="N6" s="37"/>
    </row>
    <row r="7" spans="1:14" ht="12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37"/>
    </row>
    <row r="8" spans="1:14" ht="12.75">
      <c r="A8" s="92" t="s">
        <v>4</v>
      </c>
      <c r="B8" s="85"/>
      <c r="C8" s="85"/>
      <c r="D8" s="93"/>
      <c r="E8" s="94" t="s">
        <v>1501</v>
      </c>
      <c r="F8" s="85"/>
      <c r="G8" s="97"/>
      <c r="H8" s="85"/>
      <c r="I8" s="93" t="s">
        <v>1523</v>
      </c>
      <c r="J8" s="93"/>
      <c r="K8" s="85"/>
      <c r="L8" s="85"/>
      <c r="M8" s="91"/>
      <c r="N8" s="37"/>
    </row>
    <row r="9" spans="1:14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8"/>
      <c r="N9" s="37"/>
    </row>
    <row r="10" spans="1:14" ht="12.75">
      <c r="A10" s="1" t="s">
        <v>5</v>
      </c>
      <c r="B10" s="11" t="s">
        <v>593</v>
      </c>
      <c r="C10" s="11" t="s">
        <v>600</v>
      </c>
      <c r="D10" s="11" t="s">
        <v>964</v>
      </c>
      <c r="E10" s="11" t="s">
        <v>1502</v>
      </c>
      <c r="F10" s="21" t="s">
        <v>1514</v>
      </c>
      <c r="G10" s="25" t="s">
        <v>1515</v>
      </c>
      <c r="H10" s="99" t="s">
        <v>1517</v>
      </c>
      <c r="I10" s="100"/>
      <c r="J10" s="101"/>
      <c r="K10" s="99" t="s">
        <v>1528</v>
      </c>
      <c r="L10" s="101"/>
      <c r="M10" s="33" t="s">
        <v>1529</v>
      </c>
      <c r="N10" s="38"/>
    </row>
    <row r="11" spans="1:24" ht="12.75">
      <c r="A11" s="2" t="s">
        <v>6</v>
      </c>
      <c r="B11" s="12" t="s">
        <v>6</v>
      </c>
      <c r="C11" s="12" t="s">
        <v>6</v>
      </c>
      <c r="D11" s="16" t="s">
        <v>965</v>
      </c>
      <c r="E11" s="12" t="s">
        <v>6</v>
      </c>
      <c r="F11" s="12" t="s">
        <v>6</v>
      </c>
      <c r="G11" s="26" t="s">
        <v>1516</v>
      </c>
      <c r="H11" s="27" t="s">
        <v>1518</v>
      </c>
      <c r="I11" s="28" t="s">
        <v>1524</v>
      </c>
      <c r="J11" s="29" t="s">
        <v>1527</v>
      </c>
      <c r="K11" s="27" t="s">
        <v>1515</v>
      </c>
      <c r="L11" s="29" t="s">
        <v>1527</v>
      </c>
      <c r="M11" s="34" t="s">
        <v>1530</v>
      </c>
      <c r="N11" s="38"/>
      <c r="P11" s="31" t="s">
        <v>1534</v>
      </c>
      <c r="Q11" s="31" t="s">
        <v>1535</v>
      </c>
      <c r="R11" s="31" t="s">
        <v>1539</v>
      </c>
      <c r="S11" s="31" t="s">
        <v>1540</v>
      </c>
      <c r="T11" s="31" t="s">
        <v>1541</v>
      </c>
      <c r="U11" s="31" t="s">
        <v>1542</v>
      </c>
      <c r="V11" s="31" t="s">
        <v>1543</v>
      </c>
      <c r="W11" s="31" t="s">
        <v>1544</v>
      </c>
      <c r="X11" s="31" t="s">
        <v>1545</v>
      </c>
    </row>
    <row r="12" spans="1:13" ht="12.75">
      <c r="A12" s="3"/>
      <c r="B12" s="13" t="s">
        <v>594</v>
      </c>
      <c r="C12" s="13"/>
      <c r="D12" s="102" t="s">
        <v>966</v>
      </c>
      <c r="E12" s="103"/>
      <c r="F12" s="103"/>
      <c r="G12" s="103"/>
      <c r="H12" s="41">
        <f>H13+H34+H41+H47+H60+H68+H73+H76+H78+H82+H88+H91+H94+H97+H99+H101+H103+H105+H107+H109</f>
        <v>0</v>
      </c>
      <c r="I12" s="41">
        <f>I13+I34+I41+I47+I60+I68+I73+I76+I78+I82+I88+I91+I94+I97+I99+I101+I103+I105+I107+I109</f>
        <v>0</v>
      </c>
      <c r="J12" s="41">
        <f>H12+I12</f>
        <v>0</v>
      </c>
      <c r="K12" s="30"/>
      <c r="L12" s="41">
        <f>L13+L34+L41+L47+L60+L68+L73+L76+L78+L82+L88+L91+L94+L97+L99+L101+L103+L105+L107+L109</f>
        <v>14.643194000000005</v>
      </c>
      <c r="M12" s="30"/>
    </row>
    <row r="13" spans="1:37" ht="12.75">
      <c r="A13" s="4"/>
      <c r="B13" s="14" t="s">
        <v>594</v>
      </c>
      <c r="C13" s="14" t="s">
        <v>67</v>
      </c>
      <c r="D13" s="104" t="s">
        <v>967</v>
      </c>
      <c r="E13" s="105"/>
      <c r="F13" s="105"/>
      <c r="G13" s="105"/>
      <c r="H13" s="42">
        <f>SUM(H14:H31)</f>
        <v>0</v>
      </c>
      <c r="I13" s="42">
        <f>SUM(I14:I31)</f>
        <v>0</v>
      </c>
      <c r="J13" s="42">
        <f>H13+I13</f>
        <v>0</v>
      </c>
      <c r="K13" s="31"/>
      <c r="L13" s="42">
        <f>SUM(L14:L31)</f>
        <v>7.3367085</v>
      </c>
      <c r="M13" s="31"/>
      <c r="P13" s="42">
        <f>IF(Q13="PR",J13,SUM(O14:O31))</f>
        <v>0</v>
      </c>
      <c r="Q13" s="31" t="s">
        <v>1536</v>
      </c>
      <c r="R13" s="42">
        <f>IF(Q13="HS",H13,0)</f>
        <v>0</v>
      </c>
      <c r="S13" s="42">
        <f>IF(Q13="HS",I13-P13,0)</f>
        <v>0</v>
      </c>
      <c r="T13" s="42">
        <f>IF(Q13="PS",H13,0)</f>
        <v>0</v>
      </c>
      <c r="U13" s="42">
        <f>IF(Q13="PS",I13-P13,0)</f>
        <v>0</v>
      </c>
      <c r="V13" s="42">
        <f>IF(Q13="MP",H13,0)</f>
        <v>0</v>
      </c>
      <c r="W13" s="42">
        <f>IF(Q13="MP",I13-P13,0)</f>
        <v>0</v>
      </c>
      <c r="X13" s="42">
        <f>IF(Q13="OM",H13,0)</f>
        <v>0</v>
      </c>
      <c r="Y13" s="31" t="s">
        <v>594</v>
      </c>
      <c r="AI13" s="42">
        <f>SUM(Z14:Z31)</f>
        <v>0</v>
      </c>
      <c r="AJ13" s="42">
        <f>SUM(AA14:AA31)</f>
        <v>0</v>
      </c>
      <c r="AK13" s="42">
        <f>SUM(AB14:AB31)</f>
        <v>0</v>
      </c>
    </row>
    <row r="14" spans="1:43" ht="12.75">
      <c r="A14" s="5" t="s">
        <v>7</v>
      </c>
      <c r="B14" s="5" t="s">
        <v>594</v>
      </c>
      <c r="C14" s="5" t="s">
        <v>601</v>
      </c>
      <c r="D14" s="5" t="s">
        <v>968</v>
      </c>
      <c r="E14" s="5" t="s">
        <v>1503</v>
      </c>
      <c r="F14" s="22">
        <v>606.73</v>
      </c>
      <c r="G14" s="22">
        <v>0</v>
      </c>
      <c r="H14" s="22">
        <f>F14*AE14</f>
        <v>0</v>
      </c>
      <c r="I14" s="22">
        <f>J14-H14</f>
        <v>0</v>
      </c>
      <c r="J14" s="22">
        <f>F14*G14</f>
        <v>0</v>
      </c>
      <c r="K14" s="22">
        <v>0.0021</v>
      </c>
      <c r="L14" s="22">
        <f>F14*K14</f>
        <v>1.274133</v>
      </c>
      <c r="M14" s="35" t="s">
        <v>1531</v>
      </c>
      <c r="N14" s="35" t="s">
        <v>7</v>
      </c>
      <c r="O14" s="22">
        <f>IF(N14="5",I14,0)</f>
        <v>0</v>
      </c>
      <c r="Z14" s="22">
        <f>IF(AD14=0,J14,0)</f>
        <v>0</v>
      </c>
      <c r="AA14" s="22">
        <f>IF(AD14=15,J14,0)</f>
        <v>0</v>
      </c>
      <c r="AB14" s="22">
        <f>IF(AD14=21,J14,0)</f>
        <v>0</v>
      </c>
      <c r="AD14" s="39">
        <v>15</v>
      </c>
      <c r="AE14" s="39">
        <f>G14*0.815916955017301</f>
        <v>0</v>
      </c>
      <c r="AF14" s="39">
        <f>G14*(1-0.815916955017301)</f>
        <v>0</v>
      </c>
      <c r="AM14" s="39">
        <f>F14*AE14</f>
        <v>0</v>
      </c>
      <c r="AN14" s="39">
        <f>F14*AF14</f>
        <v>0</v>
      </c>
      <c r="AO14" s="40" t="s">
        <v>1546</v>
      </c>
      <c r="AP14" s="40" t="s">
        <v>1601</v>
      </c>
      <c r="AQ14" s="31" t="s">
        <v>1611</v>
      </c>
    </row>
    <row r="15" spans="4:6" ht="10.8" customHeight="1">
      <c r="D15" s="17" t="s">
        <v>969</v>
      </c>
      <c r="F15" s="23">
        <v>671.32</v>
      </c>
    </row>
    <row r="16" spans="4:6" ht="10.8" customHeight="1">
      <c r="D16" s="17" t="s">
        <v>970</v>
      </c>
      <c r="F16" s="23">
        <v>-30.6</v>
      </c>
    </row>
    <row r="17" spans="4:6" ht="10.8" customHeight="1">
      <c r="D17" s="17" t="s">
        <v>971</v>
      </c>
      <c r="F17" s="23">
        <v>-30.24</v>
      </c>
    </row>
    <row r="18" spans="4:6" ht="10.8" customHeight="1">
      <c r="D18" s="17" t="s">
        <v>972</v>
      </c>
      <c r="F18" s="23">
        <v>-3.75</v>
      </c>
    </row>
    <row r="19" spans="1:43" ht="12.75">
      <c r="A19" s="5" t="s">
        <v>8</v>
      </c>
      <c r="B19" s="5" t="s">
        <v>594</v>
      </c>
      <c r="C19" s="5" t="s">
        <v>602</v>
      </c>
      <c r="D19" s="5" t="s">
        <v>973</v>
      </c>
      <c r="E19" s="5" t="s">
        <v>1503</v>
      </c>
      <c r="F19" s="22">
        <v>606.73</v>
      </c>
      <c r="G19" s="22">
        <v>0</v>
      </c>
      <c r="H19" s="22">
        <f>F19*AE19</f>
        <v>0</v>
      </c>
      <c r="I19" s="22">
        <f>J19-H19</f>
        <v>0</v>
      </c>
      <c r="J19" s="22">
        <f>F19*G19</f>
        <v>0</v>
      </c>
      <c r="K19" s="22">
        <v>0.00635</v>
      </c>
      <c r="L19" s="22">
        <f>F19*K19</f>
        <v>3.8527355</v>
      </c>
      <c r="M19" s="35" t="s">
        <v>1531</v>
      </c>
      <c r="N19" s="35" t="s">
        <v>7</v>
      </c>
      <c r="O19" s="22">
        <f>IF(N19="5",I19,0)</f>
        <v>0</v>
      </c>
      <c r="Z19" s="22">
        <f>IF(AD19=0,J19,0)</f>
        <v>0</v>
      </c>
      <c r="AA19" s="22">
        <f>IF(AD19=15,J19,0)</f>
        <v>0</v>
      </c>
      <c r="AB19" s="22">
        <f>IF(AD19=21,J19,0)</f>
        <v>0</v>
      </c>
      <c r="AD19" s="39">
        <v>15</v>
      </c>
      <c r="AE19" s="39">
        <f>G19*0.0665993945509586</f>
        <v>0</v>
      </c>
      <c r="AF19" s="39">
        <f>G19*(1-0.0665993945509586)</f>
        <v>0</v>
      </c>
      <c r="AM19" s="39">
        <f>F19*AE19</f>
        <v>0</v>
      </c>
      <c r="AN19" s="39">
        <f>F19*AF19</f>
        <v>0</v>
      </c>
      <c r="AO19" s="40" t="s">
        <v>1546</v>
      </c>
      <c r="AP19" s="40" t="s">
        <v>1601</v>
      </c>
      <c r="AQ19" s="31" t="s">
        <v>1611</v>
      </c>
    </row>
    <row r="20" spans="4:6" ht="10.8" customHeight="1">
      <c r="D20" s="17" t="s">
        <v>969</v>
      </c>
      <c r="F20" s="23">
        <v>671.32</v>
      </c>
    </row>
    <row r="21" spans="4:6" ht="10.8" customHeight="1">
      <c r="D21" s="17" t="s">
        <v>970</v>
      </c>
      <c r="F21" s="23">
        <v>-30.6</v>
      </c>
    </row>
    <row r="22" spans="4:6" ht="10.8" customHeight="1">
      <c r="D22" s="17" t="s">
        <v>971</v>
      </c>
      <c r="F22" s="23">
        <v>-30.24</v>
      </c>
    </row>
    <row r="23" spans="4:6" ht="10.8" customHeight="1">
      <c r="D23" s="17" t="s">
        <v>972</v>
      </c>
      <c r="F23" s="23">
        <v>-3.75</v>
      </c>
    </row>
    <row r="24" spans="1:43" ht="12.75">
      <c r="A24" s="5" t="s">
        <v>9</v>
      </c>
      <c r="B24" s="5" t="s">
        <v>594</v>
      </c>
      <c r="C24" s="5" t="s">
        <v>603</v>
      </c>
      <c r="D24" s="5" t="s">
        <v>974</v>
      </c>
      <c r="E24" s="5" t="s">
        <v>1503</v>
      </c>
      <c r="F24" s="22">
        <v>184</v>
      </c>
      <c r="G24" s="22">
        <v>0</v>
      </c>
      <c r="H24" s="22">
        <f>F24*AE24</f>
        <v>0</v>
      </c>
      <c r="I24" s="22">
        <f>J24-H24</f>
        <v>0</v>
      </c>
      <c r="J24" s="22">
        <f>F24*G24</f>
        <v>0</v>
      </c>
      <c r="K24" s="22">
        <v>0.00768</v>
      </c>
      <c r="L24" s="22">
        <f>F24*K24</f>
        <v>1.41312</v>
      </c>
      <c r="M24" s="35" t="s">
        <v>1531</v>
      </c>
      <c r="N24" s="35" t="s">
        <v>7</v>
      </c>
      <c r="O24" s="22">
        <f>IF(N24="5",I24,0)</f>
        <v>0</v>
      </c>
      <c r="Z24" s="22">
        <f>IF(AD24=0,J24,0)</f>
        <v>0</v>
      </c>
      <c r="AA24" s="22">
        <f>IF(AD24=15,J24,0)</f>
        <v>0</v>
      </c>
      <c r="AB24" s="22">
        <f>IF(AD24=21,J24,0)</f>
        <v>0</v>
      </c>
      <c r="AD24" s="39">
        <v>15</v>
      </c>
      <c r="AE24" s="39">
        <f>G24*0.234564182880549</f>
        <v>0</v>
      </c>
      <c r="AF24" s="39">
        <f>G24*(1-0.234564182880549)</f>
        <v>0</v>
      </c>
      <c r="AM24" s="39">
        <f>F24*AE24</f>
        <v>0</v>
      </c>
      <c r="AN24" s="39">
        <f>F24*AF24</f>
        <v>0</v>
      </c>
      <c r="AO24" s="40" t="s">
        <v>1546</v>
      </c>
      <c r="AP24" s="40" t="s">
        <v>1601</v>
      </c>
      <c r="AQ24" s="31" t="s">
        <v>1611</v>
      </c>
    </row>
    <row r="25" spans="4:6" ht="10.8" customHeight="1">
      <c r="D25" s="17" t="s">
        <v>975</v>
      </c>
      <c r="F25" s="23">
        <v>122.01</v>
      </c>
    </row>
    <row r="26" spans="4:6" ht="10.8" customHeight="1">
      <c r="D26" s="17" t="s">
        <v>976</v>
      </c>
      <c r="F26" s="23">
        <v>61.99</v>
      </c>
    </row>
    <row r="27" spans="1:43" ht="12.75">
      <c r="A27" s="5" t="s">
        <v>10</v>
      </c>
      <c r="B27" s="5" t="s">
        <v>594</v>
      </c>
      <c r="C27" s="5" t="s">
        <v>604</v>
      </c>
      <c r="D27" s="5" t="s">
        <v>977</v>
      </c>
      <c r="E27" s="5" t="s">
        <v>1503</v>
      </c>
      <c r="F27" s="22">
        <v>184</v>
      </c>
      <c r="G27" s="22">
        <v>0</v>
      </c>
      <c r="H27" s="22">
        <f>F27*AE27</f>
        <v>0</v>
      </c>
      <c r="I27" s="22">
        <f>J27-H27</f>
        <v>0</v>
      </c>
      <c r="J27" s="22">
        <f>F27*G27</f>
        <v>0</v>
      </c>
      <c r="K27" s="22">
        <v>0.00411</v>
      </c>
      <c r="L27" s="22">
        <f>F27*K27</f>
        <v>0.75624</v>
      </c>
      <c r="M27" s="35" t="s">
        <v>1531</v>
      </c>
      <c r="N27" s="35" t="s">
        <v>7</v>
      </c>
      <c r="O27" s="22">
        <f>IF(N27="5",I27,0)</f>
        <v>0</v>
      </c>
      <c r="Z27" s="22">
        <f>IF(AD27=0,J27,0)</f>
        <v>0</v>
      </c>
      <c r="AA27" s="22">
        <f>IF(AD27=15,J27,0)</f>
        <v>0</v>
      </c>
      <c r="AB27" s="22">
        <f>IF(AD27=21,J27,0)</f>
        <v>0</v>
      </c>
      <c r="AD27" s="39">
        <v>15</v>
      </c>
      <c r="AE27" s="39">
        <f>G27*0.278546489072805</f>
        <v>0</v>
      </c>
      <c r="AF27" s="39">
        <f>G27*(1-0.278546489072805)</f>
        <v>0</v>
      </c>
      <c r="AM27" s="39">
        <f>F27*AE27</f>
        <v>0</v>
      </c>
      <c r="AN27" s="39">
        <f>F27*AF27</f>
        <v>0</v>
      </c>
      <c r="AO27" s="40" t="s">
        <v>1546</v>
      </c>
      <c r="AP27" s="40" t="s">
        <v>1601</v>
      </c>
      <c r="AQ27" s="31" t="s">
        <v>1611</v>
      </c>
    </row>
    <row r="28" ht="12.75">
      <c r="D28" s="18" t="s">
        <v>978</v>
      </c>
    </row>
    <row r="29" spans="4:6" ht="10.8" customHeight="1">
      <c r="D29" s="17" t="s">
        <v>975</v>
      </c>
      <c r="F29" s="23">
        <v>122.01</v>
      </c>
    </row>
    <row r="30" spans="4:6" ht="10.8" customHeight="1">
      <c r="D30" s="17" t="s">
        <v>976</v>
      </c>
      <c r="F30" s="23">
        <v>61.99</v>
      </c>
    </row>
    <row r="31" spans="1:43" ht="12.75">
      <c r="A31" s="5" t="s">
        <v>11</v>
      </c>
      <c r="B31" s="5" t="s">
        <v>594</v>
      </c>
      <c r="C31" s="5" t="s">
        <v>605</v>
      </c>
      <c r="D31" s="5" t="s">
        <v>979</v>
      </c>
      <c r="E31" s="5" t="s">
        <v>1503</v>
      </c>
      <c r="F31" s="22">
        <v>184</v>
      </c>
      <c r="G31" s="22">
        <v>0</v>
      </c>
      <c r="H31" s="22">
        <f>F31*AE31</f>
        <v>0</v>
      </c>
      <c r="I31" s="22">
        <f>J31-H31</f>
        <v>0</v>
      </c>
      <c r="J31" s="22">
        <f>F31*G31</f>
        <v>0</v>
      </c>
      <c r="K31" s="22">
        <v>0.00022</v>
      </c>
      <c r="L31" s="22">
        <f>F31*K31</f>
        <v>0.04048</v>
      </c>
      <c r="M31" s="35" t="s">
        <v>1531</v>
      </c>
      <c r="N31" s="35" t="s">
        <v>7</v>
      </c>
      <c r="O31" s="22">
        <f>IF(N31="5",I31,0)</f>
        <v>0</v>
      </c>
      <c r="Z31" s="22">
        <f>IF(AD31=0,J31,0)</f>
        <v>0</v>
      </c>
      <c r="AA31" s="22">
        <f>IF(AD31=15,J31,0)</f>
        <v>0</v>
      </c>
      <c r="AB31" s="22">
        <f>IF(AD31=21,J31,0)</f>
        <v>0</v>
      </c>
      <c r="AD31" s="39">
        <v>15</v>
      </c>
      <c r="AE31" s="39">
        <f>G31*0.691749773345422</f>
        <v>0</v>
      </c>
      <c r="AF31" s="39">
        <f>G31*(1-0.691749773345422)</f>
        <v>0</v>
      </c>
      <c r="AM31" s="39">
        <f>F31*AE31</f>
        <v>0</v>
      </c>
      <c r="AN31" s="39">
        <f>F31*AF31</f>
        <v>0</v>
      </c>
      <c r="AO31" s="40" t="s">
        <v>1546</v>
      </c>
      <c r="AP31" s="40" t="s">
        <v>1601</v>
      </c>
      <c r="AQ31" s="31" t="s">
        <v>1611</v>
      </c>
    </row>
    <row r="32" spans="4:6" ht="10.8" customHeight="1">
      <c r="D32" s="17" t="s">
        <v>975</v>
      </c>
      <c r="F32" s="23">
        <v>122.01</v>
      </c>
    </row>
    <row r="33" spans="4:6" ht="10.8" customHeight="1">
      <c r="D33" s="17" t="s">
        <v>976</v>
      </c>
      <c r="F33" s="23">
        <v>61.99</v>
      </c>
    </row>
    <row r="34" spans="1:37" ht="12.75">
      <c r="A34" s="4"/>
      <c r="B34" s="14" t="s">
        <v>594</v>
      </c>
      <c r="C34" s="14" t="s">
        <v>70</v>
      </c>
      <c r="D34" s="104" t="s">
        <v>980</v>
      </c>
      <c r="E34" s="105"/>
      <c r="F34" s="105"/>
      <c r="G34" s="105"/>
      <c r="H34" s="42">
        <f>SUM(H35:H40)</f>
        <v>0</v>
      </c>
      <c r="I34" s="42">
        <f>SUM(I35:I40)</f>
        <v>0</v>
      </c>
      <c r="J34" s="42">
        <f>H34+I34</f>
        <v>0</v>
      </c>
      <c r="K34" s="31"/>
      <c r="L34" s="42">
        <f>SUM(L35:L40)</f>
        <v>1.4292300000000002</v>
      </c>
      <c r="M34" s="31"/>
      <c r="P34" s="42">
        <f>IF(Q34="PR",J34,SUM(O35:O40))</f>
        <v>0</v>
      </c>
      <c r="Q34" s="31" t="s">
        <v>1536</v>
      </c>
      <c r="R34" s="42">
        <f>IF(Q34="HS",H34,0)</f>
        <v>0</v>
      </c>
      <c r="S34" s="42">
        <f>IF(Q34="HS",I34-P34,0)</f>
        <v>0</v>
      </c>
      <c r="T34" s="42">
        <f>IF(Q34="PS",H34,0)</f>
        <v>0</v>
      </c>
      <c r="U34" s="42">
        <f>IF(Q34="PS",I34-P34,0)</f>
        <v>0</v>
      </c>
      <c r="V34" s="42">
        <f>IF(Q34="MP",H34,0)</f>
        <v>0</v>
      </c>
      <c r="W34" s="42">
        <f>IF(Q34="MP",I34-P34,0)</f>
        <v>0</v>
      </c>
      <c r="X34" s="42">
        <f>IF(Q34="OM",H34,0)</f>
        <v>0</v>
      </c>
      <c r="Y34" s="31" t="s">
        <v>594</v>
      </c>
      <c r="AI34" s="42">
        <f>SUM(Z35:Z40)</f>
        <v>0</v>
      </c>
      <c r="AJ34" s="42">
        <f>SUM(AA35:AA40)</f>
        <v>0</v>
      </c>
      <c r="AK34" s="42">
        <f>SUM(AB35:AB40)</f>
        <v>0</v>
      </c>
    </row>
    <row r="35" spans="1:43" ht="12.75">
      <c r="A35" s="5" t="s">
        <v>12</v>
      </c>
      <c r="B35" s="5" t="s">
        <v>594</v>
      </c>
      <c r="C35" s="5" t="s">
        <v>606</v>
      </c>
      <c r="D35" s="5" t="s">
        <v>981</v>
      </c>
      <c r="E35" s="5" t="s">
        <v>1504</v>
      </c>
      <c r="F35" s="22">
        <v>17</v>
      </c>
      <c r="G35" s="22">
        <v>0</v>
      </c>
      <c r="H35" s="22">
        <f aca="true" t="shared" si="0" ref="H35:H40">F35*AE35</f>
        <v>0</v>
      </c>
      <c r="I35" s="22">
        <f aca="true" t="shared" si="1" ref="I35:I40">J35-H35</f>
        <v>0</v>
      </c>
      <c r="J35" s="22">
        <f aca="true" t="shared" si="2" ref="J35:J40">F35*G35</f>
        <v>0</v>
      </c>
      <c r="K35" s="22">
        <v>0.05401</v>
      </c>
      <c r="L35" s="22">
        <f aca="true" t="shared" si="3" ref="L35:L40">F35*K35</f>
        <v>0.91817</v>
      </c>
      <c r="M35" s="35" t="s">
        <v>1531</v>
      </c>
      <c r="N35" s="35" t="s">
        <v>7</v>
      </c>
      <c r="O35" s="22">
        <f aca="true" t="shared" si="4" ref="O35:O40">IF(N35="5",I35,0)</f>
        <v>0</v>
      </c>
      <c r="Z35" s="22">
        <f aca="true" t="shared" si="5" ref="Z35:Z40">IF(AD35=0,J35,0)</f>
        <v>0</v>
      </c>
      <c r="AA35" s="22">
        <f aca="true" t="shared" si="6" ref="AA35:AA40">IF(AD35=15,J35,0)</f>
        <v>0</v>
      </c>
      <c r="AB35" s="22">
        <f aca="true" t="shared" si="7" ref="AB35:AB40">IF(AD35=21,J35,0)</f>
        <v>0</v>
      </c>
      <c r="AD35" s="39">
        <v>15</v>
      </c>
      <c r="AE35" s="39">
        <f>G35*0.130146064908988</f>
        <v>0</v>
      </c>
      <c r="AF35" s="39">
        <f>G35*(1-0.130146064908988)</f>
        <v>0</v>
      </c>
      <c r="AM35" s="39">
        <f aca="true" t="shared" si="8" ref="AM35:AM40">F35*AE35</f>
        <v>0</v>
      </c>
      <c r="AN35" s="39">
        <f aca="true" t="shared" si="9" ref="AN35:AN40">F35*AF35</f>
        <v>0</v>
      </c>
      <c r="AO35" s="40" t="s">
        <v>1547</v>
      </c>
      <c r="AP35" s="40" t="s">
        <v>1601</v>
      </c>
      <c r="AQ35" s="31" t="s">
        <v>1611</v>
      </c>
    </row>
    <row r="36" spans="1:43" ht="12.75">
      <c r="A36" s="6" t="s">
        <v>13</v>
      </c>
      <c r="B36" s="6" t="s">
        <v>594</v>
      </c>
      <c r="C36" s="6" t="s">
        <v>607</v>
      </c>
      <c r="D36" s="6" t="s">
        <v>982</v>
      </c>
      <c r="E36" s="6" t="s">
        <v>1504</v>
      </c>
      <c r="F36" s="24">
        <v>6</v>
      </c>
      <c r="G36" s="24">
        <v>0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4">
        <v>0.0113</v>
      </c>
      <c r="L36" s="24">
        <f t="shared" si="3"/>
        <v>0.0678</v>
      </c>
      <c r="M36" s="36" t="s">
        <v>1531</v>
      </c>
      <c r="N36" s="36" t="s">
        <v>1533</v>
      </c>
      <c r="O36" s="24">
        <f t="shared" si="4"/>
        <v>0</v>
      </c>
      <c r="Z36" s="24">
        <f t="shared" si="5"/>
        <v>0</v>
      </c>
      <c r="AA36" s="24">
        <f t="shared" si="6"/>
        <v>0</v>
      </c>
      <c r="AB36" s="24">
        <f t="shared" si="7"/>
        <v>0</v>
      </c>
      <c r="AD36" s="39">
        <v>15</v>
      </c>
      <c r="AE36" s="39">
        <f>G36*1</f>
        <v>0</v>
      </c>
      <c r="AF36" s="39">
        <f>G36*(1-1)</f>
        <v>0</v>
      </c>
      <c r="AM36" s="39">
        <f t="shared" si="8"/>
        <v>0</v>
      </c>
      <c r="AN36" s="39">
        <f t="shared" si="9"/>
        <v>0</v>
      </c>
      <c r="AO36" s="40" t="s">
        <v>1547</v>
      </c>
      <c r="AP36" s="40" t="s">
        <v>1601</v>
      </c>
      <c r="AQ36" s="31" t="s">
        <v>1611</v>
      </c>
    </row>
    <row r="37" spans="1:43" ht="12.75">
      <c r="A37" s="6" t="s">
        <v>14</v>
      </c>
      <c r="B37" s="6" t="s">
        <v>594</v>
      </c>
      <c r="C37" s="6" t="s">
        <v>608</v>
      </c>
      <c r="D37" s="6" t="s">
        <v>983</v>
      </c>
      <c r="E37" s="6" t="s">
        <v>1504</v>
      </c>
      <c r="F37" s="24">
        <v>11</v>
      </c>
      <c r="G37" s="24">
        <v>0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4">
        <v>0.01186</v>
      </c>
      <c r="L37" s="24">
        <f t="shared" si="3"/>
        <v>0.13046000000000002</v>
      </c>
      <c r="M37" s="36" t="s">
        <v>1531</v>
      </c>
      <c r="N37" s="36" t="s">
        <v>1533</v>
      </c>
      <c r="O37" s="24">
        <f t="shared" si="4"/>
        <v>0</v>
      </c>
      <c r="Z37" s="24">
        <f t="shared" si="5"/>
        <v>0</v>
      </c>
      <c r="AA37" s="24">
        <f t="shared" si="6"/>
        <v>0</v>
      </c>
      <c r="AB37" s="24">
        <f t="shared" si="7"/>
        <v>0</v>
      </c>
      <c r="AD37" s="39">
        <v>15</v>
      </c>
      <c r="AE37" s="39">
        <f>G37*1</f>
        <v>0</v>
      </c>
      <c r="AF37" s="39">
        <f>G37*(1-1)</f>
        <v>0</v>
      </c>
      <c r="AM37" s="39">
        <f t="shared" si="8"/>
        <v>0</v>
      </c>
      <c r="AN37" s="39">
        <f t="shared" si="9"/>
        <v>0</v>
      </c>
      <c r="AO37" s="40" t="s">
        <v>1547</v>
      </c>
      <c r="AP37" s="40" t="s">
        <v>1601</v>
      </c>
      <c r="AQ37" s="31" t="s">
        <v>1611</v>
      </c>
    </row>
    <row r="38" spans="1:43" ht="12.75">
      <c r="A38" s="6" t="s">
        <v>15</v>
      </c>
      <c r="B38" s="6" t="s">
        <v>594</v>
      </c>
      <c r="C38" s="6" t="s">
        <v>609</v>
      </c>
      <c r="D38" s="6" t="s">
        <v>984</v>
      </c>
      <c r="E38" s="6" t="s">
        <v>1504</v>
      </c>
      <c r="F38" s="24">
        <v>6</v>
      </c>
      <c r="G38" s="24">
        <v>0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4">
        <v>0.025</v>
      </c>
      <c r="L38" s="24">
        <f t="shared" si="3"/>
        <v>0.15000000000000002</v>
      </c>
      <c r="M38" s="36" t="s">
        <v>1531</v>
      </c>
      <c r="N38" s="36" t="s">
        <v>1533</v>
      </c>
      <c r="O38" s="24">
        <f t="shared" si="4"/>
        <v>0</v>
      </c>
      <c r="Z38" s="24">
        <f t="shared" si="5"/>
        <v>0</v>
      </c>
      <c r="AA38" s="24">
        <f t="shared" si="6"/>
        <v>0</v>
      </c>
      <c r="AB38" s="24">
        <f t="shared" si="7"/>
        <v>0</v>
      </c>
      <c r="AD38" s="39">
        <v>15</v>
      </c>
      <c r="AE38" s="39">
        <f>G38*1</f>
        <v>0</v>
      </c>
      <c r="AF38" s="39">
        <f>G38*(1-1)</f>
        <v>0</v>
      </c>
      <c r="AM38" s="39">
        <f t="shared" si="8"/>
        <v>0</v>
      </c>
      <c r="AN38" s="39">
        <f t="shared" si="9"/>
        <v>0</v>
      </c>
      <c r="AO38" s="40" t="s">
        <v>1547</v>
      </c>
      <c r="AP38" s="40" t="s">
        <v>1601</v>
      </c>
      <c r="AQ38" s="31" t="s">
        <v>1611</v>
      </c>
    </row>
    <row r="39" spans="1:43" ht="12.75">
      <c r="A39" s="6" t="s">
        <v>16</v>
      </c>
      <c r="B39" s="6" t="s">
        <v>594</v>
      </c>
      <c r="C39" s="6" t="s">
        <v>610</v>
      </c>
      <c r="D39" s="6" t="s">
        <v>985</v>
      </c>
      <c r="E39" s="6" t="s">
        <v>1504</v>
      </c>
      <c r="F39" s="24">
        <v>6</v>
      </c>
      <c r="G39" s="24">
        <v>0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4">
        <v>0.0138</v>
      </c>
      <c r="L39" s="24">
        <f t="shared" si="3"/>
        <v>0.0828</v>
      </c>
      <c r="M39" s="36" t="s">
        <v>1531</v>
      </c>
      <c r="N39" s="36" t="s">
        <v>1533</v>
      </c>
      <c r="O39" s="24">
        <f t="shared" si="4"/>
        <v>0</v>
      </c>
      <c r="Z39" s="24">
        <f t="shared" si="5"/>
        <v>0</v>
      </c>
      <c r="AA39" s="24">
        <f t="shared" si="6"/>
        <v>0</v>
      </c>
      <c r="AB39" s="24">
        <f t="shared" si="7"/>
        <v>0</v>
      </c>
      <c r="AD39" s="39">
        <v>15</v>
      </c>
      <c r="AE39" s="39">
        <f>G39*1</f>
        <v>0</v>
      </c>
      <c r="AF39" s="39">
        <f>G39*(1-1)</f>
        <v>0</v>
      </c>
      <c r="AM39" s="39">
        <f t="shared" si="8"/>
        <v>0</v>
      </c>
      <c r="AN39" s="39">
        <f t="shared" si="9"/>
        <v>0</v>
      </c>
      <c r="AO39" s="40" t="s">
        <v>1547</v>
      </c>
      <c r="AP39" s="40" t="s">
        <v>1601</v>
      </c>
      <c r="AQ39" s="31" t="s">
        <v>1611</v>
      </c>
    </row>
    <row r="40" spans="1:43" ht="12.75">
      <c r="A40" s="6" t="s">
        <v>17</v>
      </c>
      <c r="B40" s="6" t="s">
        <v>594</v>
      </c>
      <c r="C40" s="6" t="s">
        <v>611</v>
      </c>
      <c r="D40" s="6" t="s">
        <v>986</v>
      </c>
      <c r="E40" s="6" t="s">
        <v>1504</v>
      </c>
      <c r="F40" s="24">
        <v>5</v>
      </c>
      <c r="G40" s="24">
        <v>0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4">
        <v>0.016</v>
      </c>
      <c r="L40" s="24">
        <f t="shared" si="3"/>
        <v>0.08</v>
      </c>
      <c r="M40" s="36" t="s">
        <v>1531</v>
      </c>
      <c r="N40" s="36" t="s">
        <v>1533</v>
      </c>
      <c r="O40" s="24">
        <f t="shared" si="4"/>
        <v>0</v>
      </c>
      <c r="Z40" s="24">
        <f t="shared" si="5"/>
        <v>0</v>
      </c>
      <c r="AA40" s="24">
        <f t="shared" si="6"/>
        <v>0</v>
      </c>
      <c r="AB40" s="24">
        <f t="shared" si="7"/>
        <v>0</v>
      </c>
      <c r="AD40" s="39">
        <v>15</v>
      </c>
      <c r="AE40" s="39">
        <f>G40*1</f>
        <v>0</v>
      </c>
      <c r="AF40" s="39">
        <f>G40*(1-1)</f>
        <v>0</v>
      </c>
      <c r="AM40" s="39">
        <f t="shared" si="8"/>
        <v>0</v>
      </c>
      <c r="AN40" s="39">
        <f t="shared" si="9"/>
        <v>0</v>
      </c>
      <c r="AO40" s="40" t="s">
        <v>1547</v>
      </c>
      <c r="AP40" s="40" t="s">
        <v>1601</v>
      </c>
      <c r="AQ40" s="31" t="s">
        <v>1611</v>
      </c>
    </row>
    <row r="41" spans="1:37" ht="12.75">
      <c r="A41" s="4"/>
      <c r="B41" s="14" t="s">
        <v>594</v>
      </c>
      <c r="C41" s="14" t="s">
        <v>612</v>
      </c>
      <c r="D41" s="104" t="s">
        <v>987</v>
      </c>
      <c r="E41" s="105"/>
      <c r="F41" s="105"/>
      <c r="G41" s="105"/>
      <c r="H41" s="42">
        <f>SUM(H42:H45)</f>
        <v>0</v>
      </c>
      <c r="I41" s="42">
        <f>SUM(I42:I45)</f>
        <v>0</v>
      </c>
      <c r="J41" s="42">
        <f>H41+I41</f>
        <v>0</v>
      </c>
      <c r="K41" s="31"/>
      <c r="L41" s="42">
        <f>SUM(L42:L45)</f>
        <v>0.6164</v>
      </c>
      <c r="M41" s="31"/>
      <c r="P41" s="42">
        <f>IF(Q41="PR",J41,SUM(O42:O45))</f>
        <v>0</v>
      </c>
      <c r="Q41" s="31" t="s">
        <v>1537</v>
      </c>
      <c r="R41" s="42">
        <f>IF(Q41="HS",H41,0)</f>
        <v>0</v>
      </c>
      <c r="S41" s="42">
        <f>IF(Q41="HS",I41-P41,0)</f>
        <v>0</v>
      </c>
      <c r="T41" s="42">
        <f>IF(Q41="PS",H41,0)</f>
        <v>0</v>
      </c>
      <c r="U41" s="42">
        <f>IF(Q41="PS",I41-P41,0)</f>
        <v>0</v>
      </c>
      <c r="V41" s="42">
        <f>IF(Q41="MP",H41,0)</f>
        <v>0</v>
      </c>
      <c r="W41" s="42">
        <f>IF(Q41="MP",I41-P41,0)</f>
        <v>0</v>
      </c>
      <c r="X41" s="42">
        <f>IF(Q41="OM",H41,0)</f>
        <v>0</v>
      </c>
      <c r="Y41" s="31" t="s">
        <v>594</v>
      </c>
      <c r="AI41" s="42">
        <f>SUM(Z42:Z45)</f>
        <v>0</v>
      </c>
      <c r="AJ41" s="42">
        <f>SUM(AA42:AA45)</f>
        <v>0</v>
      </c>
      <c r="AK41" s="42">
        <f>SUM(AB42:AB45)</f>
        <v>0</v>
      </c>
    </row>
    <row r="42" spans="1:43" ht="12.75">
      <c r="A42" s="5" t="s">
        <v>18</v>
      </c>
      <c r="B42" s="5" t="s">
        <v>594</v>
      </c>
      <c r="C42" s="5" t="s">
        <v>613</v>
      </c>
      <c r="D42" s="5" t="s">
        <v>988</v>
      </c>
      <c r="E42" s="5" t="s">
        <v>1503</v>
      </c>
      <c r="F42" s="22">
        <v>184</v>
      </c>
      <c r="G42" s="22">
        <v>0</v>
      </c>
      <c r="H42" s="22">
        <f>F42*AE42</f>
        <v>0</v>
      </c>
      <c r="I42" s="22">
        <f>J42-H42</f>
        <v>0</v>
      </c>
      <c r="J42" s="22">
        <f>F42*G42</f>
        <v>0</v>
      </c>
      <c r="K42" s="22">
        <v>0.00083</v>
      </c>
      <c r="L42" s="22">
        <f>F42*K42</f>
        <v>0.15272</v>
      </c>
      <c r="M42" s="35" t="s">
        <v>1531</v>
      </c>
      <c r="N42" s="35" t="s">
        <v>7</v>
      </c>
      <c r="O42" s="22">
        <f>IF(N42="5",I42,0)</f>
        <v>0</v>
      </c>
      <c r="Z42" s="22">
        <f>IF(AD42=0,J42,0)</f>
        <v>0</v>
      </c>
      <c r="AA42" s="22">
        <f>IF(AD42=15,J42,0)</f>
        <v>0</v>
      </c>
      <c r="AB42" s="22">
        <f>IF(AD42=21,J42,0)</f>
        <v>0</v>
      </c>
      <c r="AD42" s="39">
        <v>15</v>
      </c>
      <c r="AE42" s="39">
        <f>G42*0.445758273152924</f>
        <v>0</v>
      </c>
      <c r="AF42" s="39">
        <f>G42*(1-0.445758273152924)</f>
        <v>0</v>
      </c>
      <c r="AM42" s="39">
        <f>F42*AE42</f>
        <v>0</v>
      </c>
      <c r="AN42" s="39">
        <f>F42*AF42</f>
        <v>0</v>
      </c>
      <c r="AO42" s="40" t="s">
        <v>1548</v>
      </c>
      <c r="AP42" s="40" t="s">
        <v>1602</v>
      </c>
      <c r="AQ42" s="31" t="s">
        <v>1611</v>
      </c>
    </row>
    <row r="43" spans="4:6" ht="10.8" customHeight="1">
      <c r="D43" s="17" t="s">
        <v>975</v>
      </c>
      <c r="F43" s="23">
        <v>122.01</v>
      </c>
    </row>
    <row r="44" spans="4:6" ht="10.8" customHeight="1">
      <c r="D44" s="17" t="s">
        <v>976</v>
      </c>
      <c r="F44" s="23">
        <v>61.99</v>
      </c>
    </row>
    <row r="45" spans="1:43" ht="12.75">
      <c r="A45" s="6" t="s">
        <v>19</v>
      </c>
      <c r="B45" s="6" t="s">
        <v>594</v>
      </c>
      <c r="C45" s="6" t="s">
        <v>614</v>
      </c>
      <c r="D45" s="6" t="s">
        <v>989</v>
      </c>
      <c r="E45" s="6" t="s">
        <v>1503</v>
      </c>
      <c r="F45" s="24">
        <v>193.2</v>
      </c>
      <c r="G45" s="24">
        <v>0</v>
      </c>
      <c r="H45" s="24">
        <f>F45*AE45</f>
        <v>0</v>
      </c>
      <c r="I45" s="24">
        <f>J45-H45</f>
        <v>0</v>
      </c>
      <c r="J45" s="24">
        <f>F45*G45</f>
        <v>0</v>
      </c>
      <c r="K45" s="24">
        <v>0.0024</v>
      </c>
      <c r="L45" s="24">
        <f>F45*K45</f>
        <v>0.4636799999999999</v>
      </c>
      <c r="M45" s="36" t="s">
        <v>1531</v>
      </c>
      <c r="N45" s="36" t="s">
        <v>1533</v>
      </c>
      <c r="O45" s="24">
        <f>IF(N45="5",I45,0)</f>
        <v>0</v>
      </c>
      <c r="Z45" s="24">
        <f>IF(AD45=0,J45,0)</f>
        <v>0</v>
      </c>
      <c r="AA45" s="24">
        <f>IF(AD45=15,J45,0)</f>
        <v>0</v>
      </c>
      <c r="AB45" s="24">
        <f>IF(AD45=21,J45,0)</f>
        <v>0</v>
      </c>
      <c r="AD45" s="39">
        <v>15</v>
      </c>
      <c r="AE45" s="39">
        <f>G45*1</f>
        <v>0</v>
      </c>
      <c r="AF45" s="39">
        <f>G45*(1-1)</f>
        <v>0</v>
      </c>
      <c r="AM45" s="39">
        <f>F45*AE45</f>
        <v>0</v>
      </c>
      <c r="AN45" s="39">
        <f>F45*AF45</f>
        <v>0</v>
      </c>
      <c r="AO45" s="40" t="s">
        <v>1548</v>
      </c>
      <c r="AP45" s="40" t="s">
        <v>1602</v>
      </c>
      <c r="AQ45" s="31" t="s">
        <v>1611</v>
      </c>
    </row>
    <row r="46" spans="4:6" ht="10.8" customHeight="1">
      <c r="D46" s="17" t="s">
        <v>990</v>
      </c>
      <c r="F46" s="23">
        <v>193.2</v>
      </c>
    </row>
    <row r="47" spans="1:37" ht="12.75">
      <c r="A47" s="4"/>
      <c r="B47" s="14" t="s">
        <v>594</v>
      </c>
      <c r="C47" s="14" t="s">
        <v>615</v>
      </c>
      <c r="D47" s="104" t="s">
        <v>991</v>
      </c>
      <c r="E47" s="105"/>
      <c r="F47" s="105"/>
      <c r="G47" s="105"/>
      <c r="H47" s="42">
        <f>SUM(H48:H59)</f>
        <v>0</v>
      </c>
      <c r="I47" s="42">
        <f>SUM(I48:I59)</f>
        <v>0</v>
      </c>
      <c r="J47" s="42">
        <f>H47+I47</f>
        <v>0</v>
      </c>
      <c r="K47" s="31"/>
      <c r="L47" s="42">
        <f>SUM(L48:L59)</f>
        <v>3.415800000000001</v>
      </c>
      <c r="M47" s="31"/>
      <c r="P47" s="42">
        <f>IF(Q47="PR",J47,SUM(O48:O59))</f>
        <v>0</v>
      </c>
      <c r="Q47" s="31" t="s">
        <v>1537</v>
      </c>
      <c r="R47" s="42">
        <f>IF(Q47="HS",H47,0)</f>
        <v>0</v>
      </c>
      <c r="S47" s="42">
        <f>IF(Q47="HS",I47-P47,0)</f>
        <v>0</v>
      </c>
      <c r="T47" s="42">
        <f>IF(Q47="PS",H47,0)</f>
        <v>0</v>
      </c>
      <c r="U47" s="42">
        <f>IF(Q47="PS",I47-P47,0)</f>
        <v>0</v>
      </c>
      <c r="V47" s="42">
        <f>IF(Q47="MP",H47,0)</f>
        <v>0</v>
      </c>
      <c r="W47" s="42">
        <f>IF(Q47="MP",I47-P47,0)</f>
        <v>0</v>
      </c>
      <c r="X47" s="42">
        <f>IF(Q47="OM",H47,0)</f>
        <v>0</v>
      </c>
      <c r="Y47" s="31" t="s">
        <v>594</v>
      </c>
      <c r="AI47" s="42">
        <f>SUM(Z48:Z59)</f>
        <v>0</v>
      </c>
      <c r="AJ47" s="42">
        <f>SUM(AA48:AA59)</f>
        <v>0</v>
      </c>
      <c r="AK47" s="42">
        <f>SUM(AB48:AB59)</f>
        <v>0</v>
      </c>
    </row>
    <row r="48" spans="1:43" ht="12.75">
      <c r="A48" s="5" t="s">
        <v>20</v>
      </c>
      <c r="B48" s="5" t="s">
        <v>594</v>
      </c>
      <c r="C48" s="5" t="s">
        <v>616</v>
      </c>
      <c r="D48" s="5" t="s">
        <v>992</v>
      </c>
      <c r="E48" s="5" t="s">
        <v>1504</v>
      </c>
      <c r="F48" s="22">
        <v>1</v>
      </c>
      <c r="G48" s="22">
        <v>0</v>
      </c>
      <c r="H48" s="22">
        <f aca="true" t="shared" si="10" ref="H48:H59">F48*AE48</f>
        <v>0</v>
      </c>
      <c r="I48" s="22">
        <f aca="true" t="shared" si="11" ref="I48:I59">J48-H48</f>
        <v>0</v>
      </c>
      <c r="J48" s="22">
        <f aca="true" t="shared" si="12" ref="J48:J59">F48*G48</f>
        <v>0</v>
      </c>
      <c r="K48" s="22">
        <v>1.3204</v>
      </c>
      <c r="L48" s="22">
        <f aca="true" t="shared" si="13" ref="L48:L59">F48*K48</f>
        <v>1.3204</v>
      </c>
      <c r="M48" s="35" t="s">
        <v>1531</v>
      </c>
      <c r="N48" s="35" t="s">
        <v>7</v>
      </c>
      <c r="O48" s="22">
        <f aca="true" t="shared" si="14" ref="O48:O59">IF(N48="5",I48,0)</f>
        <v>0</v>
      </c>
      <c r="Z48" s="22">
        <f aca="true" t="shared" si="15" ref="Z48:Z59">IF(AD48=0,J48,0)</f>
        <v>0</v>
      </c>
      <c r="AA48" s="22">
        <f aca="true" t="shared" si="16" ref="AA48:AA59">IF(AD48=15,J48,0)</f>
        <v>0</v>
      </c>
      <c r="AB48" s="22">
        <f aca="true" t="shared" si="17" ref="AB48:AB59">IF(AD48=21,J48,0)</f>
        <v>0</v>
      </c>
      <c r="AD48" s="39">
        <v>15</v>
      </c>
      <c r="AE48" s="39">
        <f>G48*0.00677286135693215</f>
        <v>0</v>
      </c>
      <c r="AF48" s="39">
        <f>G48*(1-0.00677286135693215)</f>
        <v>0</v>
      </c>
      <c r="AM48" s="39">
        <f aca="true" t="shared" si="18" ref="AM48:AM59">F48*AE48</f>
        <v>0</v>
      </c>
      <c r="AN48" s="39">
        <f aca="true" t="shared" si="19" ref="AN48:AN59">F48*AF48</f>
        <v>0</v>
      </c>
      <c r="AO48" s="40" t="s">
        <v>1549</v>
      </c>
      <c r="AP48" s="40" t="s">
        <v>1603</v>
      </c>
      <c r="AQ48" s="31" t="s">
        <v>1611</v>
      </c>
    </row>
    <row r="49" spans="1:43" ht="12.75">
      <c r="A49" s="5" t="s">
        <v>21</v>
      </c>
      <c r="B49" s="5" t="s">
        <v>594</v>
      </c>
      <c r="C49" s="5" t="s">
        <v>617</v>
      </c>
      <c r="D49" s="5" t="s">
        <v>993</v>
      </c>
      <c r="E49" s="5" t="s">
        <v>1504</v>
      </c>
      <c r="F49" s="22">
        <v>1</v>
      </c>
      <c r="G49" s="22">
        <v>0</v>
      </c>
      <c r="H49" s="22">
        <f t="shared" si="10"/>
        <v>0</v>
      </c>
      <c r="I49" s="22">
        <f t="shared" si="11"/>
        <v>0</v>
      </c>
      <c r="J49" s="22">
        <f t="shared" si="12"/>
        <v>0</v>
      </c>
      <c r="K49" s="22">
        <v>0.7092</v>
      </c>
      <c r="L49" s="22">
        <f t="shared" si="13"/>
        <v>0.7092</v>
      </c>
      <c r="M49" s="35" t="s">
        <v>1531</v>
      </c>
      <c r="N49" s="35" t="s">
        <v>7</v>
      </c>
      <c r="O49" s="22">
        <f t="shared" si="14"/>
        <v>0</v>
      </c>
      <c r="Z49" s="22">
        <f t="shared" si="15"/>
        <v>0</v>
      </c>
      <c r="AA49" s="22">
        <f t="shared" si="16"/>
        <v>0</v>
      </c>
      <c r="AB49" s="22">
        <f t="shared" si="17"/>
        <v>0</v>
      </c>
      <c r="AD49" s="39">
        <v>15</v>
      </c>
      <c r="AE49" s="39">
        <f>G49*0</f>
        <v>0</v>
      </c>
      <c r="AF49" s="39">
        <f>G49*(1-0)</f>
        <v>0</v>
      </c>
      <c r="AM49" s="39">
        <f t="shared" si="18"/>
        <v>0</v>
      </c>
      <c r="AN49" s="39">
        <f t="shared" si="19"/>
        <v>0</v>
      </c>
      <c r="AO49" s="40" t="s">
        <v>1549</v>
      </c>
      <c r="AP49" s="40" t="s">
        <v>1603</v>
      </c>
      <c r="AQ49" s="31" t="s">
        <v>1611</v>
      </c>
    </row>
    <row r="50" spans="1:43" ht="12.75">
      <c r="A50" s="5" t="s">
        <v>22</v>
      </c>
      <c r="B50" s="5" t="s">
        <v>594</v>
      </c>
      <c r="C50" s="5" t="s">
        <v>618</v>
      </c>
      <c r="D50" s="5" t="s">
        <v>994</v>
      </c>
      <c r="E50" s="5" t="s">
        <v>1504</v>
      </c>
      <c r="F50" s="22">
        <v>2</v>
      </c>
      <c r="G50" s="22">
        <v>0</v>
      </c>
      <c r="H50" s="22">
        <f t="shared" si="10"/>
        <v>0</v>
      </c>
      <c r="I50" s="22">
        <f t="shared" si="11"/>
        <v>0</v>
      </c>
      <c r="J50" s="22">
        <f t="shared" si="12"/>
        <v>0</v>
      </c>
      <c r="K50" s="22">
        <v>0</v>
      </c>
      <c r="L50" s="22">
        <f t="shared" si="13"/>
        <v>0</v>
      </c>
      <c r="M50" s="35" t="s">
        <v>1531</v>
      </c>
      <c r="N50" s="35" t="s">
        <v>7</v>
      </c>
      <c r="O50" s="22">
        <f t="shared" si="14"/>
        <v>0</v>
      </c>
      <c r="Z50" s="22">
        <f t="shared" si="15"/>
        <v>0</v>
      </c>
      <c r="AA50" s="22">
        <f t="shared" si="16"/>
        <v>0</v>
      </c>
      <c r="AB50" s="22">
        <f t="shared" si="17"/>
        <v>0</v>
      </c>
      <c r="AD50" s="39">
        <v>15</v>
      </c>
      <c r="AE50" s="39">
        <f>G50*0</f>
        <v>0</v>
      </c>
      <c r="AF50" s="39">
        <f>G50*(1-0)</f>
        <v>0</v>
      </c>
      <c r="AM50" s="39">
        <f t="shared" si="18"/>
        <v>0</v>
      </c>
      <c r="AN50" s="39">
        <f t="shared" si="19"/>
        <v>0</v>
      </c>
      <c r="AO50" s="40" t="s">
        <v>1549</v>
      </c>
      <c r="AP50" s="40" t="s">
        <v>1603</v>
      </c>
      <c r="AQ50" s="31" t="s">
        <v>1611</v>
      </c>
    </row>
    <row r="51" spans="1:43" ht="12.75">
      <c r="A51" s="5" t="s">
        <v>23</v>
      </c>
      <c r="B51" s="5" t="s">
        <v>594</v>
      </c>
      <c r="C51" s="5" t="s">
        <v>619</v>
      </c>
      <c r="D51" s="5" t="s">
        <v>995</v>
      </c>
      <c r="E51" s="5" t="s">
        <v>1504</v>
      </c>
      <c r="F51" s="22">
        <v>8</v>
      </c>
      <c r="G51" s="22">
        <v>0</v>
      </c>
      <c r="H51" s="22">
        <f t="shared" si="10"/>
        <v>0</v>
      </c>
      <c r="I51" s="22">
        <f t="shared" si="11"/>
        <v>0</v>
      </c>
      <c r="J51" s="22">
        <f t="shared" si="12"/>
        <v>0</v>
      </c>
      <c r="K51" s="22">
        <v>0.04401</v>
      </c>
      <c r="L51" s="22">
        <f t="shared" si="13"/>
        <v>0.35208</v>
      </c>
      <c r="M51" s="35" t="s">
        <v>1531</v>
      </c>
      <c r="N51" s="35" t="s">
        <v>7</v>
      </c>
      <c r="O51" s="22">
        <f t="shared" si="14"/>
        <v>0</v>
      </c>
      <c r="Z51" s="22">
        <f t="shared" si="15"/>
        <v>0</v>
      </c>
      <c r="AA51" s="22">
        <f t="shared" si="16"/>
        <v>0</v>
      </c>
      <c r="AB51" s="22">
        <f t="shared" si="17"/>
        <v>0</v>
      </c>
      <c r="AD51" s="39">
        <v>15</v>
      </c>
      <c r="AE51" s="39">
        <f>G51*0.0108247422680412</f>
        <v>0</v>
      </c>
      <c r="AF51" s="39">
        <f>G51*(1-0.0108247422680412)</f>
        <v>0</v>
      </c>
      <c r="AM51" s="39">
        <f t="shared" si="18"/>
        <v>0</v>
      </c>
      <c r="AN51" s="39">
        <f t="shared" si="19"/>
        <v>0</v>
      </c>
      <c r="AO51" s="40" t="s">
        <v>1549</v>
      </c>
      <c r="AP51" s="40" t="s">
        <v>1603</v>
      </c>
      <c r="AQ51" s="31" t="s">
        <v>1611</v>
      </c>
    </row>
    <row r="52" spans="1:43" ht="12.75">
      <c r="A52" s="5" t="s">
        <v>24</v>
      </c>
      <c r="B52" s="5" t="s">
        <v>594</v>
      </c>
      <c r="C52" s="5" t="s">
        <v>620</v>
      </c>
      <c r="D52" s="5" t="s">
        <v>996</v>
      </c>
      <c r="E52" s="5" t="s">
        <v>1504</v>
      </c>
      <c r="F52" s="22">
        <v>1</v>
      </c>
      <c r="G52" s="22">
        <v>0</v>
      </c>
      <c r="H52" s="22">
        <f t="shared" si="10"/>
        <v>0</v>
      </c>
      <c r="I52" s="22">
        <f t="shared" si="11"/>
        <v>0</v>
      </c>
      <c r="J52" s="22">
        <f t="shared" si="12"/>
        <v>0</v>
      </c>
      <c r="K52" s="22">
        <v>0.00614</v>
      </c>
      <c r="L52" s="22">
        <f t="shared" si="13"/>
        <v>0.00614</v>
      </c>
      <c r="M52" s="35" t="s">
        <v>1531</v>
      </c>
      <c r="N52" s="35" t="s">
        <v>7</v>
      </c>
      <c r="O52" s="22">
        <f t="shared" si="14"/>
        <v>0</v>
      </c>
      <c r="Z52" s="22">
        <f t="shared" si="15"/>
        <v>0</v>
      </c>
      <c r="AA52" s="22">
        <f t="shared" si="16"/>
        <v>0</v>
      </c>
      <c r="AB52" s="22">
        <f t="shared" si="17"/>
        <v>0</v>
      </c>
      <c r="AD52" s="39">
        <v>15</v>
      </c>
      <c r="AE52" s="39">
        <f>G52*0.545244754599245</f>
        <v>0</v>
      </c>
      <c r="AF52" s="39">
        <f>G52*(1-0.545244754599245)</f>
        <v>0</v>
      </c>
      <c r="AM52" s="39">
        <f t="shared" si="18"/>
        <v>0</v>
      </c>
      <c r="AN52" s="39">
        <f t="shared" si="19"/>
        <v>0</v>
      </c>
      <c r="AO52" s="40" t="s">
        <v>1549</v>
      </c>
      <c r="AP52" s="40" t="s">
        <v>1603</v>
      </c>
      <c r="AQ52" s="31" t="s">
        <v>1611</v>
      </c>
    </row>
    <row r="53" spans="1:43" ht="12.75">
      <c r="A53" s="5" t="s">
        <v>25</v>
      </c>
      <c r="B53" s="5" t="s">
        <v>594</v>
      </c>
      <c r="C53" s="5" t="s">
        <v>621</v>
      </c>
      <c r="D53" s="5" t="s">
        <v>997</v>
      </c>
      <c r="E53" s="5" t="s">
        <v>1504</v>
      </c>
      <c r="F53" s="22">
        <v>2</v>
      </c>
      <c r="G53" s="22">
        <v>0</v>
      </c>
      <c r="H53" s="22">
        <f t="shared" si="10"/>
        <v>0</v>
      </c>
      <c r="I53" s="22">
        <f t="shared" si="11"/>
        <v>0</v>
      </c>
      <c r="J53" s="22">
        <f t="shared" si="12"/>
        <v>0</v>
      </c>
      <c r="K53" s="22">
        <v>0.01536</v>
      </c>
      <c r="L53" s="22">
        <f t="shared" si="13"/>
        <v>0.03072</v>
      </c>
      <c r="M53" s="35" t="s">
        <v>1531</v>
      </c>
      <c r="N53" s="35" t="s">
        <v>7</v>
      </c>
      <c r="O53" s="22">
        <f t="shared" si="14"/>
        <v>0</v>
      </c>
      <c r="Z53" s="22">
        <f t="shared" si="15"/>
        <v>0</v>
      </c>
      <c r="AA53" s="22">
        <f t="shared" si="16"/>
        <v>0</v>
      </c>
      <c r="AB53" s="22">
        <f t="shared" si="17"/>
        <v>0</v>
      </c>
      <c r="AD53" s="39">
        <v>15</v>
      </c>
      <c r="AE53" s="39">
        <f>G53*0.59388474025974</f>
        <v>0</v>
      </c>
      <c r="AF53" s="39">
        <f>G53*(1-0.59388474025974)</f>
        <v>0</v>
      </c>
      <c r="AM53" s="39">
        <f t="shared" si="18"/>
        <v>0</v>
      </c>
      <c r="AN53" s="39">
        <f t="shared" si="19"/>
        <v>0</v>
      </c>
      <c r="AO53" s="40" t="s">
        <v>1549</v>
      </c>
      <c r="AP53" s="40" t="s">
        <v>1603</v>
      </c>
      <c r="AQ53" s="31" t="s">
        <v>1611</v>
      </c>
    </row>
    <row r="54" spans="1:43" ht="12.75">
      <c r="A54" s="5" t="s">
        <v>26</v>
      </c>
      <c r="B54" s="5" t="s">
        <v>594</v>
      </c>
      <c r="C54" s="5" t="s">
        <v>622</v>
      </c>
      <c r="D54" s="5" t="s">
        <v>998</v>
      </c>
      <c r="E54" s="5" t="s">
        <v>1504</v>
      </c>
      <c r="F54" s="22">
        <v>2</v>
      </c>
      <c r="G54" s="22">
        <v>0</v>
      </c>
      <c r="H54" s="22">
        <f t="shared" si="10"/>
        <v>0</v>
      </c>
      <c r="I54" s="22">
        <f t="shared" si="11"/>
        <v>0</v>
      </c>
      <c r="J54" s="22">
        <f t="shared" si="12"/>
        <v>0</v>
      </c>
      <c r="K54" s="22">
        <v>0.04801</v>
      </c>
      <c r="L54" s="22">
        <f t="shared" si="13"/>
        <v>0.09602</v>
      </c>
      <c r="M54" s="35" t="s">
        <v>1531</v>
      </c>
      <c r="N54" s="35" t="s">
        <v>7</v>
      </c>
      <c r="O54" s="22">
        <f t="shared" si="14"/>
        <v>0</v>
      </c>
      <c r="Z54" s="22">
        <f t="shared" si="15"/>
        <v>0</v>
      </c>
      <c r="AA54" s="22">
        <f t="shared" si="16"/>
        <v>0</v>
      </c>
      <c r="AB54" s="22">
        <f t="shared" si="17"/>
        <v>0</v>
      </c>
      <c r="AD54" s="39">
        <v>15</v>
      </c>
      <c r="AE54" s="39">
        <f>G54*0.00803234501347709</f>
        <v>0</v>
      </c>
      <c r="AF54" s="39">
        <f>G54*(1-0.00803234501347709)</f>
        <v>0</v>
      </c>
      <c r="AM54" s="39">
        <f t="shared" si="18"/>
        <v>0</v>
      </c>
      <c r="AN54" s="39">
        <f t="shared" si="19"/>
        <v>0</v>
      </c>
      <c r="AO54" s="40" t="s">
        <v>1549</v>
      </c>
      <c r="AP54" s="40" t="s">
        <v>1603</v>
      </c>
      <c r="AQ54" s="31" t="s">
        <v>1611</v>
      </c>
    </row>
    <row r="55" spans="1:43" ht="12.75">
      <c r="A55" s="5" t="s">
        <v>27</v>
      </c>
      <c r="B55" s="5" t="s">
        <v>594</v>
      </c>
      <c r="C55" s="5" t="s">
        <v>623</v>
      </c>
      <c r="D55" s="5" t="s">
        <v>999</v>
      </c>
      <c r="E55" s="5" t="s">
        <v>1504</v>
      </c>
      <c r="F55" s="22">
        <v>1</v>
      </c>
      <c r="G55" s="22">
        <v>0</v>
      </c>
      <c r="H55" s="22">
        <f t="shared" si="10"/>
        <v>0</v>
      </c>
      <c r="I55" s="22">
        <f t="shared" si="11"/>
        <v>0</v>
      </c>
      <c r="J55" s="22">
        <f t="shared" si="12"/>
        <v>0</v>
      </c>
      <c r="K55" s="22">
        <v>0</v>
      </c>
      <c r="L55" s="22">
        <f t="shared" si="13"/>
        <v>0</v>
      </c>
      <c r="M55" s="35" t="s">
        <v>1531</v>
      </c>
      <c r="N55" s="35" t="s">
        <v>7</v>
      </c>
      <c r="O55" s="22">
        <f t="shared" si="14"/>
        <v>0</v>
      </c>
      <c r="Z55" s="22">
        <f t="shared" si="15"/>
        <v>0</v>
      </c>
      <c r="AA55" s="22">
        <f t="shared" si="16"/>
        <v>0</v>
      </c>
      <c r="AB55" s="22">
        <f t="shared" si="17"/>
        <v>0</v>
      </c>
      <c r="AD55" s="39">
        <v>15</v>
      </c>
      <c r="AE55" s="39">
        <f>G55*0</f>
        <v>0</v>
      </c>
      <c r="AF55" s="39">
        <f>G55*(1-0)</f>
        <v>0</v>
      </c>
      <c r="AM55" s="39">
        <f t="shared" si="18"/>
        <v>0</v>
      </c>
      <c r="AN55" s="39">
        <f t="shared" si="19"/>
        <v>0</v>
      </c>
      <c r="AO55" s="40" t="s">
        <v>1549</v>
      </c>
      <c r="AP55" s="40" t="s">
        <v>1603</v>
      </c>
      <c r="AQ55" s="31" t="s">
        <v>1611</v>
      </c>
    </row>
    <row r="56" spans="1:43" ht="12.75">
      <c r="A56" s="5" t="s">
        <v>28</v>
      </c>
      <c r="B56" s="5" t="s">
        <v>594</v>
      </c>
      <c r="C56" s="5" t="s">
        <v>624</v>
      </c>
      <c r="D56" s="5" t="s">
        <v>1000</v>
      </c>
      <c r="E56" s="5" t="s">
        <v>1505</v>
      </c>
      <c r="F56" s="22">
        <v>25</v>
      </c>
      <c r="G56" s="22">
        <v>0</v>
      </c>
      <c r="H56" s="22">
        <f t="shared" si="10"/>
        <v>0</v>
      </c>
      <c r="I56" s="22">
        <f t="shared" si="11"/>
        <v>0</v>
      </c>
      <c r="J56" s="22">
        <f t="shared" si="12"/>
        <v>0</v>
      </c>
      <c r="K56" s="22">
        <v>0.00867</v>
      </c>
      <c r="L56" s="22">
        <f t="shared" si="13"/>
        <v>0.21675000000000003</v>
      </c>
      <c r="M56" s="35" t="s">
        <v>1531</v>
      </c>
      <c r="N56" s="35" t="s">
        <v>7</v>
      </c>
      <c r="O56" s="22">
        <f t="shared" si="14"/>
        <v>0</v>
      </c>
      <c r="Z56" s="22">
        <f t="shared" si="15"/>
        <v>0</v>
      </c>
      <c r="AA56" s="22">
        <f t="shared" si="16"/>
        <v>0</v>
      </c>
      <c r="AB56" s="22">
        <f t="shared" si="17"/>
        <v>0</v>
      </c>
      <c r="AD56" s="39">
        <v>15</v>
      </c>
      <c r="AE56" s="39">
        <f>G56*0.412666666666667</f>
        <v>0</v>
      </c>
      <c r="AF56" s="39">
        <f>G56*(1-0.412666666666667)</f>
        <v>0</v>
      </c>
      <c r="AM56" s="39">
        <f t="shared" si="18"/>
        <v>0</v>
      </c>
      <c r="AN56" s="39">
        <f t="shared" si="19"/>
        <v>0</v>
      </c>
      <c r="AO56" s="40" t="s">
        <v>1549</v>
      </c>
      <c r="AP56" s="40" t="s">
        <v>1603</v>
      </c>
      <c r="AQ56" s="31" t="s">
        <v>1611</v>
      </c>
    </row>
    <row r="57" spans="1:43" ht="12.75">
      <c r="A57" s="5" t="s">
        <v>29</v>
      </c>
      <c r="B57" s="5" t="s">
        <v>594</v>
      </c>
      <c r="C57" s="5" t="s">
        <v>625</v>
      </c>
      <c r="D57" s="5" t="s">
        <v>1001</v>
      </c>
      <c r="E57" s="5" t="s">
        <v>1505</v>
      </c>
      <c r="F57" s="22">
        <v>33</v>
      </c>
      <c r="G57" s="22">
        <v>0</v>
      </c>
      <c r="H57" s="22">
        <f t="shared" si="10"/>
        <v>0</v>
      </c>
      <c r="I57" s="22">
        <f t="shared" si="11"/>
        <v>0</v>
      </c>
      <c r="J57" s="22">
        <f t="shared" si="12"/>
        <v>0</v>
      </c>
      <c r="K57" s="22">
        <v>0.00537</v>
      </c>
      <c r="L57" s="22">
        <f t="shared" si="13"/>
        <v>0.17720999999999998</v>
      </c>
      <c r="M57" s="35" t="s">
        <v>1531</v>
      </c>
      <c r="N57" s="35" t="s">
        <v>7</v>
      </c>
      <c r="O57" s="22">
        <f t="shared" si="14"/>
        <v>0</v>
      </c>
      <c r="Z57" s="22">
        <f t="shared" si="15"/>
        <v>0</v>
      </c>
      <c r="AA57" s="22">
        <f t="shared" si="16"/>
        <v>0</v>
      </c>
      <c r="AB57" s="22">
        <f t="shared" si="17"/>
        <v>0</v>
      </c>
      <c r="AD57" s="39">
        <v>15</v>
      </c>
      <c r="AE57" s="39">
        <f>G57*0.268024691358025</f>
        <v>0</v>
      </c>
      <c r="AF57" s="39">
        <f>G57*(1-0.268024691358025)</f>
        <v>0</v>
      </c>
      <c r="AM57" s="39">
        <f t="shared" si="18"/>
        <v>0</v>
      </c>
      <c r="AN57" s="39">
        <f t="shared" si="19"/>
        <v>0</v>
      </c>
      <c r="AO57" s="40" t="s">
        <v>1549</v>
      </c>
      <c r="AP57" s="40" t="s">
        <v>1603</v>
      </c>
      <c r="AQ57" s="31" t="s">
        <v>1611</v>
      </c>
    </row>
    <row r="58" spans="1:43" ht="12.75">
      <c r="A58" s="5" t="s">
        <v>30</v>
      </c>
      <c r="B58" s="5" t="s">
        <v>594</v>
      </c>
      <c r="C58" s="5" t="s">
        <v>626</v>
      </c>
      <c r="D58" s="5" t="s">
        <v>1002</v>
      </c>
      <c r="E58" s="5" t="s">
        <v>1504</v>
      </c>
      <c r="F58" s="22">
        <v>6</v>
      </c>
      <c r="G58" s="22">
        <v>0</v>
      </c>
      <c r="H58" s="22">
        <f t="shared" si="10"/>
        <v>0</v>
      </c>
      <c r="I58" s="22">
        <f t="shared" si="11"/>
        <v>0</v>
      </c>
      <c r="J58" s="22">
        <f t="shared" si="12"/>
        <v>0</v>
      </c>
      <c r="K58" s="22">
        <v>0.08302</v>
      </c>
      <c r="L58" s="22">
        <f t="shared" si="13"/>
        <v>0.49812</v>
      </c>
      <c r="M58" s="35" t="s">
        <v>1531</v>
      </c>
      <c r="N58" s="35" t="s">
        <v>7</v>
      </c>
      <c r="O58" s="22">
        <f t="shared" si="14"/>
        <v>0</v>
      </c>
      <c r="Z58" s="22">
        <f t="shared" si="15"/>
        <v>0</v>
      </c>
      <c r="AA58" s="22">
        <f t="shared" si="16"/>
        <v>0</v>
      </c>
      <c r="AB58" s="22">
        <f t="shared" si="17"/>
        <v>0</v>
      </c>
      <c r="AD58" s="39">
        <v>15</v>
      </c>
      <c r="AE58" s="39">
        <f>G58*0.003</f>
        <v>0</v>
      </c>
      <c r="AF58" s="39">
        <f>G58*(1-0.003)</f>
        <v>0</v>
      </c>
      <c r="AM58" s="39">
        <f t="shared" si="18"/>
        <v>0</v>
      </c>
      <c r="AN58" s="39">
        <f t="shared" si="19"/>
        <v>0</v>
      </c>
      <c r="AO58" s="40" t="s">
        <v>1549</v>
      </c>
      <c r="AP58" s="40" t="s">
        <v>1603</v>
      </c>
      <c r="AQ58" s="31" t="s">
        <v>1611</v>
      </c>
    </row>
    <row r="59" spans="1:43" ht="12.75">
      <c r="A59" s="5" t="s">
        <v>31</v>
      </c>
      <c r="B59" s="5" t="s">
        <v>594</v>
      </c>
      <c r="C59" s="5" t="s">
        <v>627</v>
      </c>
      <c r="D59" s="5" t="s">
        <v>1003</v>
      </c>
      <c r="E59" s="5" t="s">
        <v>1504</v>
      </c>
      <c r="F59" s="22">
        <v>1</v>
      </c>
      <c r="G59" s="22">
        <v>0</v>
      </c>
      <c r="H59" s="22">
        <f t="shared" si="10"/>
        <v>0</v>
      </c>
      <c r="I59" s="22">
        <f t="shared" si="11"/>
        <v>0</v>
      </c>
      <c r="J59" s="22">
        <f t="shared" si="12"/>
        <v>0</v>
      </c>
      <c r="K59" s="22">
        <v>0.00916</v>
      </c>
      <c r="L59" s="22">
        <f t="shared" si="13"/>
        <v>0.00916</v>
      </c>
      <c r="M59" s="35" t="s">
        <v>1531</v>
      </c>
      <c r="N59" s="35" t="s">
        <v>7</v>
      </c>
      <c r="O59" s="22">
        <f t="shared" si="14"/>
        <v>0</v>
      </c>
      <c r="Z59" s="22">
        <f t="shared" si="15"/>
        <v>0</v>
      </c>
      <c r="AA59" s="22">
        <f t="shared" si="16"/>
        <v>0</v>
      </c>
      <c r="AB59" s="22">
        <f t="shared" si="17"/>
        <v>0</v>
      </c>
      <c r="AD59" s="39">
        <v>15</v>
      </c>
      <c r="AE59" s="39">
        <f>G59*0.31078544986319</f>
        <v>0</v>
      </c>
      <c r="AF59" s="39">
        <f>G59*(1-0.31078544986319)</f>
        <v>0</v>
      </c>
      <c r="AM59" s="39">
        <f t="shared" si="18"/>
        <v>0</v>
      </c>
      <c r="AN59" s="39">
        <f t="shared" si="19"/>
        <v>0</v>
      </c>
      <c r="AO59" s="40" t="s">
        <v>1549</v>
      </c>
      <c r="AP59" s="40" t="s">
        <v>1603</v>
      </c>
      <c r="AQ59" s="31" t="s">
        <v>1611</v>
      </c>
    </row>
    <row r="60" spans="1:37" ht="12.75">
      <c r="A60" s="4"/>
      <c r="B60" s="14" t="s">
        <v>594</v>
      </c>
      <c r="C60" s="14" t="s">
        <v>628</v>
      </c>
      <c r="D60" s="104" t="s">
        <v>1004</v>
      </c>
      <c r="E60" s="105"/>
      <c r="F60" s="105"/>
      <c r="G60" s="105"/>
      <c r="H60" s="42">
        <f>SUM(H61:H67)</f>
        <v>0</v>
      </c>
      <c r="I60" s="42">
        <f>SUM(I61:I67)</f>
        <v>0</v>
      </c>
      <c r="J60" s="42">
        <f>H60+I60</f>
        <v>0</v>
      </c>
      <c r="K60" s="31"/>
      <c r="L60" s="42">
        <f>SUM(L61:L67)</f>
        <v>0.01086</v>
      </c>
      <c r="M60" s="31"/>
      <c r="P60" s="42">
        <f>IF(Q60="PR",J60,SUM(O61:O67))</f>
        <v>0</v>
      </c>
      <c r="Q60" s="31" t="s">
        <v>1537</v>
      </c>
      <c r="R60" s="42">
        <f>IF(Q60="HS",H60,0)</f>
        <v>0</v>
      </c>
      <c r="S60" s="42">
        <f>IF(Q60="HS",I60-P60,0)</f>
        <v>0</v>
      </c>
      <c r="T60" s="42">
        <f>IF(Q60="PS",H60,0)</f>
        <v>0</v>
      </c>
      <c r="U60" s="42">
        <f>IF(Q60="PS",I60-P60,0)</f>
        <v>0</v>
      </c>
      <c r="V60" s="42">
        <f>IF(Q60="MP",H60,0)</f>
        <v>0</v>
      </c>
      <c r="W60" s="42">
        <f>IF(Q60="MP",I60-P60,0)</f>
        <v>0</v>
      </c>
      <c r="X60" s="42">
        <f>IF(Q60="OM",H60,0)</f>
        <v>0</v>
      </c>
      <c r="Y60" s="31" t="s">
        <v>594</v>
      </c>
      <c r="AI60" s="42">
        <f>SUM(Z61:Z67)</f>
        <v>0</v>
      </c>
      <c r="AJ60" s="42">
        <f>SUM(AA61:AA67)</f>
        <v>0</v>
      </c>
      <c r="AK60" s="42">
        <f>SUM(AB61:AB67)</f>
        <v>0</v>
      </c>
    </row>
    <row r="61" spans="1:43" ht="12.75">
      <c r="A61" s="5" t="s">
        <v>32</v>
      </c>
      <c r="B61" s="5" t="s">
        <v>594</v>
      </c>
      <c r="C61" s="5" t="s">
        <v>629</v>
      </c>
      <c r="D61" s="5" t="s">
        <v>1005</v>
      </c>
      <c r="E61" s="5" t="s">
        <v>1504</v>
      </c>
      <c r="F61" s="22">
        <v>6</v>
      </c>
      <c r="G61" s="22">
        <v>0</v>
      </c>
      <c r="H61" s="22">
        <f aca="true" t="shared" si="20" ref="H61:H67">F61*AE61</f>
        <v>0</v>
      </c>
      <c r="I61" s="22">
        <f aca="true" t="shared" si="21" ref="I61:I67">J61-H61</f>
        <v>0</v>
      </c>
      <c r="J61" s="22">
        <f aca="true" t="shared" si="22" ref="J61:J67">F61*G61</f>
        <v>0</v>
      </c>
      <c r="K61" s="22">
        <v>0</v>
      </c>
      <c r="L61" s="22">
        <f aca="true" t="shared" si="23" ref="L61:L67">F61*K61</f>
        <v>0</v>
      </c>
      <c r="M61" s="35" t="s">
        <v>1531</v>
      </c>
      <c r="N61" s="35" t="s">
        <v>7</v>
      </c>
      <c r="O61" s="22">
        <f aca="true" t="shared" si="24" ref="O61:O67">IF(N61="5",I61,0)</f>
        <v>0</v>
      </c>
      <c r="Z61" s="22">
        <f aca="true" t="shared" si="25" ref="Z61:Z67">IF(AD61=0,J61,0)</f>
        <v>0</v>
      </c>
      <c r="AA61" s="22">
        <f aca="true" t="shared" si="26" ref="AA61:AA67">IF(AD61=15,J61,0)</f>
        <v>0</v>
      </c>
      <c r="AB61" s="22">
        <f aca="true" t="shared" si="27" ref="AB61:AB67">IF(AD61=21,J61,0)</f>
        <v>0</v>
      </c>
      <c r="AD61" s="39">
        <v>15</v>
      </c>
      <c r="AE61" s="39">
        <f>G61*0</f>
        <v>0</v>
      </c>
      <c r="AF61" s="39">
        <f>G61*(1-0)</f>
        <v>0</v>
      </c>
      <c r="AM61" s="39">
        <f aca="true" t="shared" si="28" ref="AM61:AM67">F61*AE61</f>
        <v>0</v>
      </c>
      <c r="AN61" s="39">
        <f aca="true" t="shared" si="29" ref="AN61:AN67">F61*AF61</f>
        <v>0</v>
      </c>
      <c r="AO61" s="40" t="s">
        <v>1550</v>
      </c>
      <c r="AP61" s="40" t="s">
        <v>1604</v>
      </c>
      <c r="AQ61" s="31" t="s">
        <v>1611</v>
      </c>
    </row>
    <row r="62" spans="1:43" ht="12.75">
      <c r="A62" s="6" t="s">
        <v>33</v>
      </c>
      <c r="B62" s="6" t="s">
        <v>594</v>
      </c>
      <c r="C62" s="6" t="s">
        <v>630</v>
      </c>
      <c r="D62" s="6" t="s">
        <v>1006</v>
      </c>
      <c r="E62" s="6" t="s">
        <v>1504</v>
      </c>
      <c r="F62" s="24">
        <v>6</v>
      </c>
      <c r="G62" s="24">
        <v>0</v>
      </c>
      <c r="H62" s="24">
        <f t="shared" si="20"/>
        <v>0</v>
      </c>
      <c r="I62" s="24">
        <f t="shared" si="21"/>
        <v>0</v>
      </c>
      <c r="J62" s="24">
        <f t="shared" si="22"/>
        <v>0</v>
      </c>
      <c r="K62" s="24">
        <v>0</v>
      </c>
      <c r="L62" s="24">
        <f t="shared" si="23"/>
        <v>0</v>
      </c>
      <c r="M62" s="36" t="s">
        <v>1531</v>
      </c>
      <c r="N62" s="36" t="s">
        <v>1533</v>
      </c>
      <c r="O62" s="24">
        <f t="shared" si="24"/>
        <v>0</v>
      </c>
      <c r="Z62" s="24">
        <f t="shared" si="25"/>
        <v>0</v>
      </c>
      <c r="AA62" s="24">
        <f t="shared" si="26"/>
        <v>0</v>
      </c>
      <c r="AB62" s="24">
        <f t="shared" si="27"/>
        <v>0</v>
      </c>
      <c r="AD62" s="39">
        <v>15</v>
      </c>
      <c r="AE62" s="39">
        <f>G62*1</f>
        <v>0</v>
      </c>
      <c r="AF62" s="39">
        <f>G62*(1-1)</f>
        <v>0</v>
      </c>
      <c r="AM62" s="39">
        <f t="shared" si="28"/>
        <v>0</v>
      </c>
      <c r="AN62" s="39">
        <f t="shared" si="29"/>
        <v>0</v>
      </c>
      <c r="AO62" s="40" t="s">
        <v>1550</v>
      </c>
      <c r="AP62" s="40" t="s">
        <v>1604</v>
      </c>
      <c r="AQ62" s="31" t="s">
        <v>1611</v>
      </c>
    </row>
    <row r="63" spans="1:43" ht="12.75">
      <c r="A63" s="5" t="s">
        <v>34</v>
      </c>
      <c r="B63" s="5" t="s">
        <v>594</v>
      </c>
      <c r="C63" s="5" t="s">
        <v>631</v>
      </c>
      <c r="D63" s="5" t="s">
        <v>1007</v>
      </c>
      <c r="E63" s="5" t="s">
        <v>1504</v>
      </c>
      <c r="F63" s="22">
        <v>11</v>
      </c>
      <c r="G63" s="22">
        <v>0</v>
      </c>
      <c r="H63" s="22">
        <f t="shared" si="20"/>
        <v>0</v>
      </c>
      <c r="I63" s="22">
        <f t="shared" si="21"/>
        <v>0</v>
      </c>
      <c r="J63" s="22">
        <f t="shared" si="22"/>
        <v>0</v>
      </c>
      <c r="K63" s="22">
        <v>0</v>
      </c>
      <c r="L63" s="22">
        <f t="shared" si="23"/>
        <v>0</v>
      </c>
      <c r="M63" s="35" t="s">
        <v>1531</v>
      </c>
      <c r="N63" s="35" t="s">
        <v>7</v>
      </c>
      <c r="O63" s="22">
        <f t="shared" si="24"/>
        <v>0</v>
      </c>
      <c r="Z63" s="22">
        <f t="shared" si="25"/>
        <v>0</v>
      </c>
      <c r="AA63" s="22">
        <f t="shared" si="26"/>
        <v>0</v>
      </c>
      <c r="AB63" s="22">
        <f t="shared" si="27"/>
        <v>0</v>
      </c>
      <c r="AD63" s="39">
        <v>15</v>
      </c>
      <c r="AE63" s="39">
        <f>G63*0</f>
        <v>0</v>
      </c>
      <c r="AF63" s="39">
        <f>G63*(1-0)</f>
        <v>0</v>
      </c>
      <c r="AM63" s="39">
        <f t="shared" si="28"/>
        <v>0</v>
      </c>
      <c r="AN63" s="39">
        <f t="shared" si="29"/>
        <v>0</v>
      </c>
      <c r="AO63" s="40" t="s">
        <v>1550</v>
      </c>
      <c r="AP63" s="40" t="s">
        <v>1604</v>
      </c>
      <c r="AQ63" s="31" t="s">
        <v>1611</v>
      </c>
    </row>
    <row r="64" spans="1:43" ht="12.75">
      <c r="A64" s="5" t="s">
        <v>35</v>
      </c>
      <c r="B64" s="5" t="s">
        <v>594</v>
      </c>
      <c r="C64" s="5" t="s">
        <v>632</v>
      </c>
      <c r="D64" s="5" t="s">
        <v>1008</v>
      </c>
      <c r="E64" s="5" t="s">
        <v>1504</v>
      </c>
      <c r="F64" s="22">
        <v>6</v>
      </c>
      <c r="G64" s="22">
        <v>0</v>
      </c>
      <c r="H64" s="22">
        <f t="shared" si="20"/>
        <v>0</v>
      </c>
      <c r="I64" s="22">
        <f t="shared" si="21"/>
        <v>0</v>
      </c>
      <c r="J64" s="22">
        <f t="shared" si="22"/>
        <v>0</v>
      </c>
      <c r="K64" s="22">
        <v>1E-05</v>
      </c>
      <c r="L64" s="22">
        <f t="shared" si="23"/>
        <v>6.000000000000001E-05</v>
      </c>
      <c r="M64" s="35" t="s">
        <v>1531</v>
      </c>
      <c r="N64" s="35" t="s">
        <v>7</v>
      </c>
      <c r="O64" s="22">
        <f t="shared" si="24"/>
        <v>0</v>
      </c>
      <c r="Z64" s="22">
        <f t="shared" si="25"/>
        <v>0</v>
      </c>
      <c r="AA64" s="22">
        <f t="shared" si="26"/>
        <v>0</v>
      </c>
      <c r="AB64" s="22">
        <f t="shared" si="27"/>
        <v>0</v>
      </c>
      <c r="AD64" s="39">
        <v>15</v>
      </c>
      <c r="AE64" s="39">
        <f>G64*0.0277644230769231</f>
        <v>0</v>
      </c>
      <c r="AF64" s="39">
        <f>G64*(1-0.0277644230769231)</f>
        <v>0</v>
      </c>
      <c r="AM64" s="39">
        <f t="shared" si="28"/>
        <v>0</v>
      </c>
      <c r="AN64" s="39">
        <f t="shared" si="29"/>
        <v>0</v>
      </c>
      <c r="AO64" s="40" t="s">
        <v>1550</v>
      </c>
      <c r="AP64" s="40" t="s">
        <v>1604</v>
      </c>
      <c r="AQ64" s="31" t="s">
        <v>1611</v>
      </c>
    </row>
    <row r="65" spans="1:43" ht="12.75">
      <c r="A65" s="5" t="s">
        <v>36</v>
      </c>
      <c r="B65" s="5" t="s">
        <v>594</v>
      </c>
      <c r="C65" s="5" t="s">
        <v>633</v>
      </c>
      <c r="D65" s="5" t="s">
        <v>1009</v>
      </c>
      <c r="E65" s="5" t="s">
        <v>1504</v>
      </c>
      <c r="F65" s="22">
        <v>17</v>
      </c>
      <c r="G65" s="22">
        <v>0</v>
      </c>
      <c r="H65" s="22">
        <f t="shared" si="20"/>
        <v>0</v>
      </c>
      <c r="I65" s="22">
        <f t="shared" si="21"/>
        <v>0</v>
      </c>
      <c r="J65" s="22">
        <f t="shared" si="22"/>
        <v>0</v>
      </c>
      <c r="K65" s="22">
        <v>0</v>
      </c>
      <c r="L65" s="22">
        <f t="shared" si="23"/>
        <v>0</v>
      </c>
      <c r="M65" s="35" t="s">
        <v>1531</v>
      </c>
      <c r="N65" s="35" t="s">
        <v>7</v>
      </c>
      <c r="O65" s="22">
        <f t="shared" si="24"/>
        <v>0</v>
      </c>
      <c r="Z65" s="22">
        <f t="shared" si="25"/>
        <v>0</v>
      </c>
      <c r="AA65" s="22">
        <f t="shared" si="26"/>
        <v>0</v>
      </c>
      <c r="AB65" s="22">
        <f t="shared" si="27"/>
        <v>0</v>
      </c>
      <c r="AD65" s="39">
        <v>15</v>
      </c>
      <c r="AE65" s="39">
        <f>G65*0</f>
        <v>0</v>
      </c>
      <c r="AF65" s="39">
        <f>G65*(1-0)</f>
        <v>0</v>
      </c>
      <c r="AM65" s="39">
        <f t="shared" si="28"/>
        <v>0</v>
      </c>
      <c r="AN65" s="39">
        <f t="shared" si="29"/>
        <v>0</v>
      </c>
      <c r="AO65" s="40" t="s">
        <v>1550</v>
      </c>
      <c r="AP65" s="40" t="s">
        <v>1604</v>
      </c>
      <c r="AQ65" s="31" t="s">
        <v>1611</v>
      </c>
    </row>
    <row r="66" spans="1:43" ht="12.75">
      <c r="A66" s="6" t="s">
        <v>37</v>
      </c>
      <c r="B66" s="6" t="s">
        <v>594</v>
      </c>
      <c r="C66" s="6" t="s">
        <v>634</v>
      </c>
      <c r="D66" s="6" t="s">
        <v>1010</v>
      </c>
      <c r="E66" s="6" t="s">
        <v>1504</v>
      </c>
      <c r="F66" s="24">
        <v>11</v>
      </c>
      <c r="G66" s="24">
        <v>0</v>
      </c>
      <c r="H66" s="24">
        <f t="shared" si="20"/>
        <v>0</v>
      </c>
      <c r="I66" s="24">
        <f t="shared" si="21"/>
        <v>0</v>
      </c>
      <c r="J66" s="24">
        <f t="shared" si="22"/>
        <v>0</v>
      </c>
      <c r="K66" s="24">
        <v>0</v>
      </c>
      <c r="L66" s="24">
        <f t="shared" si="23"/>
        <v>0</v>
      </c>
      <c r="M66" s="36" t="s">
        <v>1531</v>
      </c>
      <c r="N66" s="36" t="s">
        <v>1533</v>
      </c>
      <c r="O66" s="24">
        <f t="shared" si="24"/>
        <v>0</v>
      </c>
      <c r="Z66" s="24">
        <f t="shared" si="25"/>
        <v>0</v>
      </c>
      <c r="AA66" s="24">
        <f t="shared" si="26"/>
        <v>0</v>
      </c>
      <c r="AB66" s="24">
        <f t="shared" si="27"/>
        <v>0</v>
      </c>
      <c r="AD66" s="39">
        <v>15</v>
      </c>
      <c r="AE66" s="39">
        <f>G66*1</f>
        <v>0</v>
      </c>
      <c r="AF66" s="39">
        <f>G66*(1-1)</f>
        <v>0</v>
      </c>
      <c r="AM66" s="39">
        <f t="shared" si="28"/>
        <v>0</v>
      </c>
      <c r="AN66" s="39">
        <f t="shared" si="29"/>
        <v>0</v>
      </c>
      <c r="AO66" s="40" t="s">
        <v>1550</v>
      </c>
      <c r="AP66" s="40" t="s">
        <v>1604</v>
      </c>
      <c r="AQ66" s="31" t="s">
        <v>1611</v>
      </c>
    </row>
    <row r="67" spans="1:43" ht="12.75">
      <c r="A67" s="6" t="s">
        <v>38</v>
      </c>
      <c r="B67" s="6" t="s">
        <v>594</v>
      </c>
      <c r="C67" s="6" t="s">
        <v>635</v>
      </c>
      <c r="D67" s="6" t="s">
        <v>1011</v>
      </c>
      <c r="E67" s="6" t="s">
        <v>1504</v>
      </c>
      <c r="F67" s="24">
        <v>6</v>
      </c>
      <c r="G67" s="24">
        <v>0</v>
      </c>
      <c r="H67" s="24">
        <f t="shared" si="20"/>
        <v>0</v>
      </c>
      <c r="I67" s="24">
        <f t="shared" si="21"/>
        <v>0</v>
      </c>
      <c r="J67" s="24">
        <f t="shared" si="22"/>
        <v>0</v>
      </c>
      <c r="K67" s="24">
        <v>0.0018</v>
      </c>
      <c r="L67" s="24">
        <f t="shared" si="23"/>
        <v>0.0108</v>
      </c>
      <c r="M67" s="36" t="s">
        <v>1531</v>
      </c>
      <c r="N67" s="36" t="s">
        <v>1533</v>
      </c>
      <c r="O67" s="24">
        <f t="shared" si="24"/>
        <v>0</v>
      </c>
      <c r="Z67" s="24">
        <f t="shared" si="25"/>
        <v>0</v>
      </c>
      <c r="AA67" s="24">
        <f t="shared" si="26"/>
        <v>0</v>
      </c>
      <c r="AB67" s="24">
        <f t="shared" si="27"/>
        <v>0</v>
      </c>
      <c r="AD67" s="39">
        <v>15</v>
      </c>
      <c r="AE67" s="39">
        <f>G67*1</f>
        <v>0</v>
      </c>
      <c r="AF67" s="39">
        <f>G67*(1-1)</f>
        <v>0</v>
      </c>
      <c r="AM67" s="39">
        <f t="shared" si="28"/>
        <v>0</v>
      </c>
      <c r="AN67" s="39">
        <f t="shared" si="29"/>
        <v>0</v>
      </c>
      <c r="AO67" s="40" t="s">
        <v>1550</v>
      </c>
      <c r="AP67" s="40" t="s">
        <v>1604</v>
      </c>
      <c r="AQ67" s="31" t="s">
        <v>1611</v>
      </c>
    </row>
    <row r="68" spans="1:37" ht="12.75">
      <c r="A68" s="4"/>
      <c r="B68" s="14" t="s">
        <v>594</v>
      </c>
      <c r="C68" s="14" t="s">
        <v>636</v>
      </c>
      <c r="D68" s="104" t="s">
        <v>1012</v>
      </c>
      <c r="E68" s="105"/>
      <c r="F68" s="105"/>
      <c r="G68" s="105"/>
      <c r="H68" s="42">
        <f>SUM(H69:H71)</f>
        <v>0</v>
      </c>
      <c r="I68" s="42">
        <f>SUM(I69:I71)</f>
        <v>0</v>
      </c>
      <c r="J68" s="42">
        <f>H68+I68</f>
        <v>0</v>
      </c>
      <c r="K68" s="31"/>
      <c r="L68" s="42">
        <f>SUM(L69:L71)</f>
        <v>0.8200799999999999</v>
      </c>
      <c r="M68" s="31"/>
      <c r="P68" s="42">
        <f>IF(Q68="PR",J68,SUM(O69:O71))</f>
        <v>0</v>
      </c>
      <c r="Q68" s="31" t="s">
        <v>1537</v>
      </c>
      <c r="R68" s="42">
        <f>IF(Q68="HS",H68,0)</f>
        <v>0</v>
      </c>
      <c r="S68" s="42">
        <f>IF(Q68="HS",I68-P68,0)</f>
        <v>0</v>
      </c>
      <c r="T68" s="42">
        <f>IF(Q68="PS",H68,0)</f>
        <v>0</v>
      </c>
      <c r="U68" s="42">
        <f>IF(Q68="PS",I68-P68,0)</f>
        <v>0</v>
      </c>
      <c r="V68" s="42">
        <f>IF(Q68="MP",H68,0)</f>
        <v>0</v>
      </c>
      <c r="W68" s="42">
        <f>IF(Q68="MP",I68-P68,0)</f>
        <v>0</v>
      </c>
      <c r="X68" s="42">
        <f>IF(Q68="OM",H68,0)</f>
        <v>0</v>
      </c>
      <c r="Y68" s="31" t="s">
        <v>594</v>
      </c>
      <c r="AI68" s="42">
        <f>SUM(Z69:Z71)</f>
        <v>0</v>
      </c>
      <c r="AJ68" s="42">
        <f>SUM(AA69:AA71)</f>
        <v>0</v>
      </c>
      <c r="AK68" s="42">
        <f>SUM(AB69:AB71)</f>
        <v>0</v>
      </c>
    </row>
    <row r="69" spans="1:43" ht="12.75">
      <c r="A69" s="5" t="s">
        <v>39</v>
      </c>
      <c r="B69" s="5" t="s">
        <v>594</v>
      </c>
      <c r="C69" s="5" t="s">
        <v>637</v>
      </c>
      <c r="D69" s="5" t="s">
        <v>1013</v>
      </c>
      <c r="E69" s="5" t="s">
        <v>1503</v>
      </c>
      <c r="F69" s="22">
        <v>25.3</v>
      </c>
      <c r="G69" s="22">
        <v>0</v>
      </c>
      <c r="H69" s="22">
        <f>F69*AE69</f>
        <v>0</v>
      </c>
      <c r="I69" s="22">
        <f>J69-H69</f>
        <v>0</v>
      </c>
      <c r="J69" s="22">
        <f>F69*G69</f>
        <v>0</v>
      </c>
      <c r="K69" s="22">
        <v>0</v>
      </c>
      <c r="L69" s="22">
        <f>F69*K69</f>
        <v>0</v>
      </c>
      <c r="M69" s="35" t="s">
        <v>1531</v>
      </c>
      <c r="N69" s="35" t="s">
        <v>7</v>
      </c>
      <c r="O69" s="22">
        <f>IF(N69="5",I69,0)</f>
        <v>0</v>
      </c>
      <c r="Z69" s="22">
        <f>IF(AD69=0,J69,0)</f>
        <v>0</v>
      </c>
      <c r="AA69" s="22">
        <f>IF(AD69=15,J69,0)</f>
        <v>0</v>
      </c>
      <c r="AB69" s="22">
        <f>IF(AD69=21,J69,0)</f>
        <v>0</v>
      </c>
      <c r="AD69" s="39">
        <v>15</v>
      </c>
      <c r="AE69" s="39">
        <f>G69*0</f>
        <v>0</v>
      </c>
      <c r="AF69" s="39">
        <f>G69*(1-0)</f>
        <v>0</v>
      </c>
      <c r="AM69" s="39">
        <f>F69*AE69</f>
        <v>0</v>
      </c>
      <c r="AN69" s="39">
        <f>F69*AF69</f>
        <v>0</v>
      </c>
      <c r="AO69" s="40" t="s">
        <v>1551</v>
      </c>
      <c r="AP69" s="40" t="s">
        <v>1605</v>
      </c>
      <c r="AQ69" s="31" t="s">
        <v>1611</v>
      </c>
    </row>
    <row r="70" spans="1:43" ht="12.75">
      <c r="A70" s="5" t="s">
        <v>40</v>
      </c>
      <c r="B70" s="5" t="s">
        <v>594</v>
      </c>
      <c r="C70" s="5" t="s">
        <v>638</v>
      </c>
      <c r="D70" s="5" t="s">
        <v>1014</v>
      </c>
      <c r="E70" s="5" t="s">
        <v>1505</v>
      </c>
      <c r="F70" s="22">
        <v>36</v>
      </c>
      <c r="G70" s="22">
        <v>0</v>
      </c>
      <c r="H70" s="22">
        <f>F70*AE70</f>
        <v>0</v>
      </c>
      <c r="I70" s="22">
        <f>J70-H70</f>
        <v>0</v>
      </c>
      <c r="J70" s="22">
        <f>F70*G70</f>
        <v>0</v>
      </c>
      <c r="K70" s="22">
        <v>0.00518</v>
      </c>
      <c r="L70" s="22">
        <f>F70*K70</f>
        <v>0.18647999999999998</v>
      </c>
      <c r="M70" s="35" t="s">
        <v>1531</v>
      </c>
      <c r="N70" s="35" t="s">
        <v>7</v>
      </c>
      <c r="O70" s="22">
        <f>IF(N70="5",I70,0)</f>
        <v>0</v>
      </c>
      <c r="Z70" s="22">
        <f>IF(AD70=0,J70,0)</f>
        <v>0</v>
      </c>
      <c r="AA70" s="22">
        <f>IF(AD70=15,J70,0)</f>
        <v>0</v>
      </c>
      <c r="AB70" s="22">
        <f>IF(AD70=21,J70,0)</f>
        <v>0</v>
      </c>
      <c r="AD70" s="39">
        <v>15</v>
      </c>
      <c r="AE70" s="39">
        <f>G70*0.0526060606060606</f>
        <v>0</v>
      </c>
      <c r="AF70" s="39">
        <f>G70*(1-0.0526060606060606)</f>
        <v>0</v>
      </c>
      <c r="AM70" s="39">
        <f>F70*AE70</f>
        <v>0</v>
      </c>
      <c r="AN70" s="39">
        <f>F70*AF70</f>
        <v>0</v>
      </c>
      <c r="AO70" s="40" t="s">
        <v>1551</v>
      </c>
      <c r="AP70" s="40" t="s">
        <v>1605</v>
      </c>
      <c r="AQ70" s="31" t="s">
        <v>1611</v>
      </c>
    </row>
    <row r="71" spans="1:43" ht="12.75">
      <c r="A71" s="6" t="s">
        <v>41</v>
      </c>
      <c r="B71" s="6" t="s">
        <v>594</v>
      </c>
      <c r="C71" s="6" t="s">
        <v>639</v>
      </c>
      <c r="D71" s="6" t="s">
        <v>1015</v>
      </c>
      <c r="E71" s="6" t="s">
        <v>1503</v>
      </c>
      <c r="F71" s="24">
        <v>33</v>
      </c>
      <c r="G71" s="24">
        <v>0</v>
      </c>
      <c r="H71" s="24">
        <f>F71*AE71</f>
        <v>0</v>
      </c>
      <c r="I71" s="24">
        <f>J71-H71</f>
        <v>0</v>
      </c>
      <c r="J71" s="24">
        <f>F71*G71</f>
        <v>0</v>
      </c>
      <c r="K71" s="24">
        <v>0.0192</v>
      </c>
      <c r="L71" s="24">
        <f>F71*K71</f>
        <v>0.6335999999999999</v>
      </c>
      <c r="M71" s="36" t="s">
        <v>1531</v>
      </c>
      <c r="N71" s="36" t="s">
        <v>1533</v>
      </c>
      <c r="O71" s="24">
        <f>IF(N71="5",I71,0)</f>
        <v>0</v>
      </c>
      <c r="Z71" s="24">
        <f>IF(AD71=0,J71,0)</f>
        <v>0</v>
      </c>
      <c r="AA71" s="24">
        <f>IF(AD71=15,J71,0)</f>
        <v>0</v>
      </c>
      <c r="AB71" s="24">
        <f>IF(AD71=21,J71,0)</f>
        <v>0</v>
      </c>
      <c r="AD71" s="39">
        <v>15</v>
      </c>
      <c r="AE71" s="39">
        <f>G71*1</f>
        <v>0</v>
      </c>
      <c r="AF71" s="39">
        <f>G71*(1-1)</f>
        <v>0</v>
      </c>
      <c r="AM71" s="39">
        <f>F71*AE71</f>
        <v>0</v>
      </c>
      <c r="AN71" s="39">
        <f>F71*AF71</f>
        <v>0</v>
      </c>
      <c r="AO71" s="40" t="s">
        <v>1551</v>
      </c>
      <c r="AP71" s="40" t="s">
        <v>1605</v>
      </c>
      <c r="AQ71" s="31" t="s">
        <v>1611</v>
      </c>
    </row>
    <row r="72" spans="4:6" ht="10.8" customHeight="1">
      <c r="D72" s="17" t="s">
        <v>39</v>
      </c>
      <c r="F72" s="23">
        <v>33</v>
      </c>
    </row>
    <row r="73" spans="1:37" ht="12.75">
      <c r="A73" s="4"/>
      <c r="B73" s="14" t="s">
        <v>594</v>
      </c>
      <c r="C73" s="14" t="s">
        <v>640</v>
      </c>
      <c r="D73" s="104" t="s">
        <v>1016</v>
      </c>
      <c r="E73" s="105"/>
      <c r="F73" s="105"/>
      <c r="G73" s="105"/>
      <c r="H73" s="42">
        <f>SUM(H74:H74)</f>
        <v>0</v>
      </c>
      <c r="I73" s="42">
        <f>SUM(I74:I74)</f>
        <v>0</v>
      </c>
      <c r="J73" s="42">
        <f>H73+I73</f>
        <v>0</v>
      </c>
      <c r="K73" s="31"/>
      <c r="L73" s="42">
        <f>SUM(L74:L74)</f>
        <v>0.085</v>
      </c>
      <c r="M73" s="31"/>
      <c r="P73" s="42">
        <f>IF(Q73="PR",J73,SUM(O74:O74))</f>
        <v>0</v>
      </c>
      <c r="Q73" s="31" t="s">
        <v>1537</v>
      </c>
      <c r="R73" s="42">
        <f>IF(Q73="HS",H73,0)</f>
        <v>0</v>
      </c>
      <c r="S73" s="42">
        <f>IF(Q73="HS",I73-P73,0)</f>
        <v>0</v>
      </c>
      <c r="T73" s="42">
        <f>IF(Q73="PS",H73,0)</f>
        <v>0</v>
      </c>
      <c r="U73" s="42">
        <f>IF(Q73="PS",I73-P73,0)</f>
        <v>0</v>
      </c>
      <c r="V73" s="42">
        <f>IF(Q73="MP",H73,0)</f>
        <v>0</v>
      </c>
      <c r="W73" s="42">
        <f>IF(Q73="MP",I73-P73,0)</f>
        <v>0</v>
      </c>
      <c r="X73" s="42">
        <f>IF(Q73="OM",H73,0)</f>
        <v>0</v>
      </c>
      <c r="Y73" s="31" t="s">
        <v>594</v>
      </c>
      <c r="AI73" s="42">
        <f>SUM(Z74:Z74)</f>
        <v>0</v>
      </c>
      <c r="AJ73" s="42">
        <f>SUM(AA74:AA74)</f>
        <v>0</v>
      </c>
      <c r="AK73" s="42">
        <f>SUM(AB74:AB74)</f>
        <v>0</v>
      </c>
    </row>
    <row r="74" spans="1:43" ht="12.75">
      <c r="A74" s="5" t="s">
        <v>42</v>
      </c>
      <c r="B74" s="5" t="s">
        <v>594</v>
      </c>
      <c r="C74" s="5" t="s">
        <v>641</v>
      </c>
      <c r="D74" s="5" t="s">
        <v>1017</v>
      </c>
      <c r="E74" s="5" t="s">
        <v>1503</v>
      </c>
      <c r="F74" s="22">
        <v>85</v>
      </c>
      <c r="G74" s="22">
        <v>0</v>
      </c>
      <c r="H74" s="22">
        <f>F74*AE74</f>
        <v>0</v>
      </c>
      <c r="I74" s="22">
        <f>J74-H74</f>
        <v>0</v>
      </c>
      <c r="J74" s="22">
        <f>F74*G74</f>
        <v>0</v>
      </c>
      <c r="K74" s="22">
        <v>0.001</v>
      </c>
      <c r="L74" s="22">
        <f>F74*K74</f>
        <v>0.085</v>
      </c>
      <c r="M74" s="35" t="s">
        <v>1531</v>
      </c>
      <c r="N74" s="35" t="s">
        <v>9</v>
      </c>
      <c r="O74" s="22">
        <f>IF(N74="5",I74,0)</f>
        <v>0</v>
      </c>
      <c r="Z74" s="22">
        <f>IF(AD74=0,J74,0)</f>
        <v>0</v>
      </c>
      <c r="AA74" s="22">
        <f>IF(AD74=15,J74,0)</f>
        <v>0</v>
      </c>
      <c r="AB74" s="22">
        <f>IF(AD74=21,J74,0)</f>
        <v>0</v>
      </c>
      <c r="AD74" s="39">
        <v>15</v>
      </c>
      <c r="AE74" s="39">
        <f>G74*0</f>
        <v>0</v>
      </c>
      <c r="AF74" s="39">
        <f>G74*(1-0)</f>
        <v>0</v>
      </c>
      <c r="AM74" s="39">
        <f>F74*AE74</f>
        <v>0</v>
      </c>
      <c r="AN74" s="39">
        <f>F74*AF74</f>
        <v>0</v>
      </c>
      <c r="AO74" s="40" t="s">
        <v>1552</v>
      </c>
      <c r="AP74" s="40" t="s">
        <v>1605</v>
      </c>
      <c r="AQ74" s="31" t="s">
        <v>1611</v>
      </c>
    </row>
    <row r="75" ht="12.75">
      <c r="D75" s="18" t="s">
        <v>1018</v>
      </c>
    </row>
    <row r="76" spans="1:37" ht="12.75">
      <c r="A76" s="4"/>
      <c r="B76" s="14" t="s">
        <v>594</v>
      </c>
      <c r="C76" s="14" t="s">
        <v>642</v>
      </c>
      <c r="D76" s="104" t="s">
        <v>1019</v>
      </c>
      <c r="E76" s="105"/>
      <c r="F76" s="105"/>
      <c r="G76" s="105"/>
      <c r="H76" s="42">
        <f>SUM(H77:H77)</f>
        <v>0</v>
      </c>
      <c r="I76" s="42">
        <f>SUM(I77:I77)</f>
        <v>0</v>
      </c>
      <c r="J76" s="42">
        <f>H76+I76</f>
        <v>0</v>
      </c>
      <c r="K76" s="31"/>
      <c r="L76" s="42">
        <f>SUM(L77:L77)</f>
        <v>0.0708124</v>
      </c>
      <c r="M76" s="31"/>
      <c r="P76" s="42">
        <f>IF(Q76="PR",J76,SUM(O77:O77))</f>
        <v>0</v>
      </c>
      <c r="Q76" s="31" t="s">
        <v>1537</v>
      </c>
      <c r="R76" s="42">
        <f>IF(Q76="HS",H76,0)</f>
        <v>0</v>
      </c>
      <c r="S76" s="42">
        <f>IF(Q76="HS",I76-P76,0)</f>
        <v>0</v>
      </c>
      <c r="T76" s="42">
        <f>IF(Q76="PS",H76,0)</f>
        <v>0</v>
      </c>
      <c r="U76" s="42">
        <f>IF(Q76="PS",I76-P76,0)</f>
        <v>0</v>
      </c>
      <c r="V76" s="42">
        <f>IF(Q76="MP",H76,0)</f>
        <v>0</v>
      </c>
      <c r="W76" s="42">
        <f>IF(Q76="MP",I76-P76,0)</f>
        <v>0</v>
      </c>
      <c r="X76" s="42">
        <f>IF(Q76="OM",H76,0)</f>
        <v>0</v>
      </c>
      <c r="Y76" s="31" t="s">
        <v>594</v>
      </c>
      <c r="AI76" s="42">
        <f>SUM(Z77:Z77)</f>
        <v>0</v>
      </c>
      <c r="AJ76" s="42">
        <f>SUM(AA77:AA77)</f>
        <v>0</v>
      </c>
      <c r="AK76" s="42">
        <f>SUM(AB77:AB77)</f>
        <v>0</v>
      </c>
    </row>
    <row r="77" spans="1:43" ht="12.75">
      <c r="A77" s="5" t="s">
        <v>43</v>
      </c>
      <c r="B77" s="5" t="s">
        <v>594</v>
      </c>
      <c r="C77" s="5" t="s">
        <v>643</v>
      </c>
      <c r="D77" s="5" t="s">
        <v>1020</v>
      </c>
      <c r="E77" s="5" t="s">
        <v>1503</v>
      </c>
      <c r="F77" s="22">
        <v>164.68</v>
      </c>
      <c r="G77" s="22">
        <v>0</v>
      </c>
      <c r="H77" s="22">
        <f>F77*AE77</f>
        <v>0</v>
      </c>
      <c r="I77" s="22">
        <f>J77-H77</f>
        <v>0</v>
      </c>
      <c r="J77" s="22">
        <f>F77*G77</f>
        <v>0</v>
      </c>
      <c r="K77" s="22">
        <v>0.00043</v>
      </c>
      <c r="L77" s="22">
        <f>F77*K77</f>
        <v>0.0708124</v>
      </c>
      <c r="M77" s="35" t="s">
        <v>1531</v>
      </c>
      <c r="N77" s="35" t="s">
        <v>7</v>
      </c>
      <c r="O77" s="22">
        <f>IF(N77="5",I77,0)</f>
        <v>0</v>
      </c>
      <c r="Z77" s="22">
        <f>IF(AD77=0,J77,0)</f>
        <v>0</v>
      </c>
      <c r="AA77" s="22">
        <f>IF(AD77=15,J77,0)</f>
        <v>0</v>
      </c>
      <c r="AB77" s="22">
        <f>IF(AD77=21,J77,0)</f>
        <v>0</v>
      </c>
      <c r="AD77" s="39">
        <v>15</v>
      </c>
      <c r="AE77" s="39">
        <f>G77*0.336787148594378</f>
        <v>0</v>
      </c>
      <c r="AF77" s="39">
        <f>G77*(1-0.336787148594378)</f>
        <v>0</v>
      </c>
      <c r="AM77" s="39">
        <f>F77*AE77</f>
        <v>0</v>
      </c>
      <c r="AN77" s="39">
        <f>F77*AF77</f>
        <v>0</v>
      </c>
      <c r="AO77" s="40" t="s">
        <v>1553</v>
      </c>
      <c r="AP77" s="40" t="s">
        <v>1605</v>
      </c>
      <c r="AQ77" s="31" t="s">
        <v>1611</v>
      </c>
    </row>
    <row r="78" spans="1:37" ht="12.75">
      <c r="A78" s="4"/>
      <c r="B78" s="14" t="s">
        <v>594</v>
      </c>
      <c r="C78" s="14" t="s">
        <v>644</v>
      </c>
      <c r="D78" s="104" t="s">
        <v>1021</v>
      </c>
      <c r="E78" s="105"/>
      <c r="F78" s="105"/>
      <c r="G78" s="105"/>
      <c r="H78" s="42">
        <f>SUM(H79:H81)</f>
        <v>0</v>
      </c>
      <c r="I78" s="42">
        <f>SUM(I79:I81)</f>
        <v>0</v>
      </c>
      <c r="J78" s="42">
        <f>H78+I78</f>
        <v>0</v>
      </c>
      <c r="K78" s="31"/>
      <c r="L78" s="42">
        <f>SUM(L79:L81)</f>
        <v>0.0379073</v>
      </c>
      <c r="M78" s="31"/>
      <c r="P78" s="42">
        <f>IF(Q78="PR",J78,SUM(O79:O81))</f>
        <v>0</v>
      </c>
      <c r="Q78" s="31" t="s">
        <v>1537</v>
      </c>
      <c r="R78" s="42">
        <f>IF(Q78="HS",H78,0)</f>
        <v>0</v>
      </c>
      <c r="S78" s="42">
        <f>IF(Q78="HS",I78-P78,0)</f>
        <v>0</v>
      </c>
      <c r="T78" s="42">
        <f>IF(Q78="PS",H78,0)</f>
        <v>0</v>
      </c>
      <c r="U78" s="42">
        <f>IF(Q78="PS",I78-P78,0)</f>
        <v>0</v>
      </c>
      <c r="V78" s="42">
        <f>IF(Q78="MP",H78,0)</f>
        <v>0</v>
      </c>
      <c r="W78" s="42">
        <f>IF(Q78="MP",I78-P78,0)</f>
        <v>0</v>
      </c>
      <c r="X78" s="42">
        <f>IF(Q78="OM",H78,0)</f>
        <v>0</v>
      </c>
      <c r="Y78" s="31" t="s">
        <v>594</v>
      </c>
      <c r="AI78" s="42">
        <f>SUM(Z79:Z81)</f>
        <v>0</v>
      </c>
      <c r="AJ78" s="42">
        <f>SUM(AA79:AA81)</f>
        <v>0</v>
      </c>
      <c r="AK78" s="42">
        <f>SUM(AB79:AB81)</f>
        <v>0</v>
      </c>
    </row>
    <row r="79" spans="1:43" ht="12.75">
      <c r="A79" s="5" t="s">
        <v>44</v>
      </c>
      <c r="B79" s="5" t="s">
        <v>594</v>
      </c>
      <c r="C79" s="5" t="s">
        <v>645</v>
      </c>
      <c r="D79" s="5" t="s">
        <v>1022</v>
      </c>
      <c r="E79" s="5" t="s">
        <v>1503</v>
      </c>
      <c r="F79" s="22">
        <v>790.73</v>
      </c>
      <c r="G79" s="22">
        <v>0</v>
      </c>
      <c r="H79" s="22">
        <f>F79*AE79</f>
        <v>0</v>
      </c>
      <c r="I79" s="22">
        <f>J79-H79</f>
        <v>0</v>
      </c>
      <c r="J79" s="22">
        <f>F79*G79</f>
        <v>0</v>
      </c>
      <c r="K79" s="22">
        <v>1E-05</v>
      </c>
      <c r="L79" s="22">
        <f>F79*K79</f>
        <v>0.0079073</v>
      </c>
      <c r="M79" s="35" t="s">
        <v>1531</v>
      </c>
      <c r="N79" s="35" t="s">
        <v>7</v>
      </c>
      <c r="O79" s="22">
        <f>IF(N79="5",I79,0)</f>
        <v>0</v>
      </c>
      <c r="Z79" s="22">
        <f>IF(AD79=0,J79,0)</f>
        <v>0</v>
      </c>
      <c r="AA79" s="22">
        <f>IF(AD79=15,J79,0)</f>
        <v>0</v>
      </c>
      <c r="AB79" s="22">
        <f>IF(AD79=21,J79,0)</f>
        <v>0</v>
      </c>
      <c r="AD79" s="39">
        <v>15</v>
      </c>
      <c r="AE79" s="39">
        <f>G79*0.0915384615384615</f>
        <v>0</v>
      </c>
      <c r="AF79" s="39">
        <f>G79*(1-0.0915384615384615)</f>
        <v>0</v>
      </c>
      <c r="AM79" s="39">
        <f>F79*AE79</f>
        <v>0</v>
      </c>
      <c r="AN79" s="39">
        <f>F79*AF79</f>
        <v>0</v>
      </c>
      <c r="AO79" s="40" t="s">
        <v>1554</v>
      </c>
      <c r="AP79" s="40" t="s">
        <v>1606</v>
      </c>
      <c r="AQ79" s="31" t="s">
        <v>1611</v>
      </c>
    </row>
    <row r="80" ht="12.75">
      <c r="D80" s="18" t="s">
        <v>1023</v>
      </c>
    </row>
    <row r="81" spans="1:43" ht="12.75">
      <c r="A81" s="6" t="s">
        <v>45</v>
      </c>
      <c r="B81" s="6" t="s">
        <v>594</v>
      </c>
      <c r="C81" s="6" t="s">
        <v>646</v>
      </c>
      <c r="D81" s="6" t="s">
        <v>1024</v>
      </c>
      <c r="E81" s="6" t="s">
        <v>1506</v>
      </c>
      <c r="F81" s="24">
        <v>30</v>
      </c>
      <c r="G81" s="24">
        <v>0</v>
      </c>
      <c r="H81" s="24">
        <f>F81*AE81</f>
        <v>0</v>
      </c>
      <c r="I81" s="24">
        <f>J81-H81</f>
        <v>0</v>
      </c>
      <c r="J81" s="24">
        <f>F81*G81</f>
        <v>0</v>
      </c>
      <c r="K81" s="24">
        <v>0.001</v>
      </c>
      <c r="L81" s="24">
        <f>F81*K81</f>
        <v>0.03</v>
      </c>
      <c r="M81" s="36" t="s">
        <v>1531</v>
      </c>
      <c r="N81" s="36" t="s">
        <v>1533</v>
      </c>
      <c r="O81" s="24">
        <f>IF(N81="5",I81,0)</f>
        <v>0</v>
      </c>
      <c r="Z81" s="24">
        <f>IF(AD81=0,J81,0)</f>
        <v>0</v>
      </c>
      <c r="AA81" s="24">
        <f>IF(AD81=15,J81,0)</f>
        <v>0</v>
      </c>
      <c r="AB81" s="24">
        <f>IF(AD81=21,J81,0)</f>
        <v>0</v>
      </c>
      <c r="AD81" s="39">
        <v>15</v>
      </c>
      <c r="AE81" s="39">
        <f>G81*1</f>
        <v>0</v>
      </c>
      <c r="AF81" s="39">
        <f>G81*(1-1)</f>
        <v>0</v>
      </c>
      <c r="AM81" s="39">
        <f>F81*AE81</f>
        <v>0</v>
      </c>
      <c r="AN81" s="39">
        <f>F81*AF81</f>
        <v>0</v>
      </c>
      <c r="AO81" s="40" t="s">
        <v>1554</v>
      </c>
      <c r="AP81" s="40" t="s">
        <v>1606</v>
      </c>
      <c r="AQ81" s="31" t="s">
        <v>1611</v>
      </c>
    </row>
    <row r="82" spans="1:37" ht="12.75">
      <c r="A82" s="4"/>
      <c r="B82" s="14" t="s">
        <v>594</v>
      </c>
      <c r="C82" s="14" t="s">
        <v>647</v>
      </c>
      <c r="D82" s="104" t="s">
        <v>1025</v>
      </c>
      <c r="E82" s="105"/>
      <c r="F82" s="105"/>
      <c r="G82" s="105"/>
      <c r="H82" s="42">
        <f>SUM(H83:H86)</f>
        <v>0</v>
      </c>
      <c r="I82" s="42">
        <f>SUM(I83:I86)</f>
        <v>0</v>
      </c>
      <c r="J82" s="42">
        <f>H82+I82</f>
        <v>0</v>
      </c>
      <c r="K82" s="31"/>
      <c r="L82" s="42">
        <f>SUM(L83:L86)</f>
        <v>0.3637358</v>
      </c>
      <c r="M82" s="31"/>
      <c r="P82" s="42">
        <f>IF(Q82="PR",J82,SUM(O83:O86))</f>
        <v>0</v>
      </c>
      <c r="Q82" s="31" t="s">
        <v>1537</v>
      </c>
      <c r="R82" s="42">
        <f>IF(Q82="HS",H82,0)</f>
        <v>0</v>
      </c>
      <c r="S82" s="42">
        <f>IF(Q82="HS",I82-P82,0)</f>
        <v>0</v>
      </c>
      <c r="T82" s="42">
        <f>IF(Q82="PS",H82,0)</f>
        <v>0</v>
      </c>
      <c r="U82" s="42">
        <f>IF(Q82="PS",I82-P82,0)</f>
        <v>0</v>
      </c>
      <c r="V82" s="42">
        <f>IF(Q82="MP",H82,0)</f>
        <v>0</v>
      </c>
      <c r="W82" s="42">
        <f>IF(Q82="MP",I82-P82,0)</f>
        <v>0</v>
      </c>
      <c r="X82" s="42">
        <f>IF(Q82="OM",H82,0)</f>
        <v>0</v>
      </c>
      <c r="Y82" s="31" t="s">
        <v>594</v>
      </c>
      <c r="AI82" s="42">
        <f>SUM(Z83:Z86)</f>
        <v>0</v>
      </c>
      <c r="AJ82" s="42">
        <f>SUM(AA83:AA86)</f>
        <v>0</v>
      </c>
      <c r="AK82" s="42">
        <f>SUM(AB83:AB86)</f>
        <v>0</v>
      </c>
    </row>
    <row r="83" spans="1:43" ht="12.75">
      <c r="A83" s="5" t="s">
        <v>46</v>
      </c>
      <c r="B83" s="5" t="s">
        <v>594</v>
      </c>
      <c r="C83" s="5" t="s">
        <v>648</v>
      </c>
      <c r="D83" s="5" t="s">
        <v>1026</v>
      </c>
      <c r="E83" s="5" t="s">
        <v>1503</v>
      </c>
      <c r="F83" s="22">
        <v>790.73</v>
      </c>
      <c r="G83" s="22">
        <v>0</v>
      </c>
      <c r="H83" s="22">
        <f>F83*AE83</f>
        <v>0</v>
      </c>
      <c r="I83" s="22">
        <f>J83-H83</f>
        <v>0</v>
      </c>
      <c r="J83" s="22">
        <f>F83*G83</f>
        <v>0</v>
      </c>
      <c r="K83" s="22">
        <v>0.00039</v>
      </c>
      <c r="L83" s="22">
        <f>F83*K83</f>
        <v>0.3083847</v>
      </c>
      <c r="M83" s="35" t="s">
        <v>1531</v>
      </c>
      <c r="N83" s="35" t="s">
        <v>7</v>
      </c>
      <c r="O83" s="22">
        <f>IF(N83="5",I83,0)</f>
        <v>0</v>
      </c>
      <c r="Z83" s="22">
        <f>IF(AD83=0,J83,0)</f>
        <v>0</v>
      </c>
      <c r="AA83" s="22">
        <f>IF(AD83=15,J83,0)</f>
        <v>0</v>
      </c>
      <c r="AB83" s="22">
        <f>IF(AD83=21,J83,0)</f>
        <v>0</v>
      </c>
      <c r="AD83" s="39">
        <v>15</v>
      </c>
      <c r="AE83" s="39">
        <f>G83*0.253731343283582</f>
        <v>0</v>
      </c>
      <c r="AF83" s="39">
        <f>G83*(1-0.253731343283582)</f>
        <v>0</v>
      </c>
      <c r="AM83" s="39">
        <f>F83*AE83</f>
        <v>0</v>
      </c>
      <c r="AN83" s="39">
        <f>F83*AF83</f>
        <v>0</v>
      </c>
      <c r="AO83" s="40" t="s">
        <v>1555</v>
      </c>
      <c r="AP83" s="40" t="s">
        <v>1606</v>
      </c>
      <c r="AQ83" s="31" t="s">
        <v>1611</v>
      </c>
    </row>
    <row r="84" ht="12.75">
      <c r="D84" s="18" t="s">
        <v>1027</v>
      </c>
    </row>
    <row r="85" spans="4:6" ht="10.8" customHeight="1">
      <c r="D85" s="17" t="s">
        <v>1028</v>
      </c>
      <c r="F85" s="23">
        <v>790.73</v>
      </c>
    </row>
    <row r="86" spans="1:43" ht="12.75">
      <c r="A86" s="5" t="s">
        <v>47</v>
      </c>
      <c r="B86" s="5" t="s">
        <v>594</v>
      </c>
      <c r="C86" s="5" t="s">
        <v>649</v>
      </c>
      <c r="D86" s="5" t="s">
        <v>1029</v>
      </c>
      <c r="E86" s="5" t="s">
        <v>1503</v>
      </c>
      <c r="F86" s="22">
        <v>790.73</v>
      </c>
      <c r="G86" s="22">
        <v>0</v>
      </c>
      <c r="H86" s="22">
        <f>F86*AE86</f>
        <v>0</v>
      </c>
      <c r="I86" s="22">
        <f>J86-H86</f>
        <v>0</v>
      </c>
      <c r="J86" s="22">
        <f>F86*G86</f>
        <v>0</v>
      </c>
      <c r="K86" s="22">
        <v>7E-05</v>
      </c>
      <c r="L86" s="22">
        <f>F86*K86</f>
        <v>0.05535109999999999</v>
      </c>
      <c r="M86" s="35" t="s">
        <v>1531</v>
      </c>
      <c r="N86" s="35" t="s">
        <v>7</v>
      </c>
      <c r="O86" s="22">
        <f>IF(N86="5",I86,0)</f>
        <v>0</v>
      </c>
      <c r="Z86" s="22">
        <f>IF(AD86=0,J86,0)</f>
        <v>0</v>
      </c>
      <c r="AA86" s="22">
        <f>IF(AD86=15,J86,0)</f>
        <v>0</v>
      </c>
      <c r="AB86" s="22">
        <f>IF(AD86=21,J86,0)</f>
        <v>0</v>
      </c>
      <c r="AD86" s="39">
        <v>15</v>
      </c>
      <c r="AE86" s="39">
        <f>G86*0.296066252587992</f>
        <v>0</v>
      </c>
      <c r="AF86" s="39">
        <f>G86*(1-0.296066252587992)</f>
        <v>0</v>
      </c>
      <c r="AM86" s="39">
        <f>F86*AE86</f>
        <v>0</v>
      </c>
      <c r="AN86" s="39">
        <f>F86*AF86</f>
        <v>0</v>
      </c>
      <c r="AO86" s="40" t="s">
        <v>1555</v>
      </c>
      <c r="AP86" s="40" t="s">
        <v>1606</v>
      </c>
      <c r="AQ86" s="31" t="s">
        <v>1611</v>
      </c>
    </row>
    <row r="87" ht="12.75">
      <c r="D87" s="18" t="s">
        <v>1023</v>
      </c>
    </row>
    <row r="88" spans="1:37" ht="12.75">
      <c r="A88" s="4"/>
      <c r="B88" s="14" t="s">
        <v>594</v>
      </c>
      <c r="C88" s="14" t="s">
        <v>96</v>
      </c>
      <c r="D88" s="104" t="s">
        <v>1030</v>
      </c>
      <c r="E88" s="105"/>
      <c r="F88" s="105"/>
      <c r="G88" s="105"/>
      <c r="H88" s="42">
        <f>SUM(H89:H89)</f>
        <v>0</v>
      </c>
      <c r="I88" s="42">
        <f>SUM(I89:I89)</f>
        <v>0</v>
      </c>
      <c r="J88" s="42">
        <f>H88+I88</f>
        <v>0</v>
      </c>
      <c r="K88" s="31"/>
      <c r="L88" s="42">
        <f>SUM(L89:L89)</f>
        <v>0</v>
      </c>
      <c r="M88" s="31"/>
      <c r="P88" s="42">
        <f>IF(Q88="PR",J88,SUM(O89:O89))</f>
        <v>0</v>
      </c>
      <c r="Q88" s="31" t="s">
        <v>1536</v>
      </c>
      <c r="R88" s="42">
        <f>IF(Q88="HS",H88,0)</f>
        <v>0</v>
      </c>
      <c r="S88" s="42">
        <f>IF(Q88="HS",I88-P88,0)</f>
        <v>0</v>
      </c>
      <c r="T88" s="42">
        <f>IF(Q88="PS",H88,0)</f>
        <v>0</v>
      </c>
      <c r="U88" s="42">
        <f>IF(Q88="PS",I88-P88,0)</f>
        <v>0</v>
      </c>
      <c r="V88" s="42">
        <f>IF(Q88="MP",H88,0)</f>
        <v>0</v>
      </c>
      <c r="W88" s="42">
        <f>IF(Q88="MP",I88-P88,0)</f>
        <v>0</v>
      </c>
      <c r="X88" s="42">
        <f>IF(Q88="OM",H88,0)</f>
        <v>0</v>
      </c>
      <c r="Y88" s="31" t="s">
        <v>594</v>
      </c>
      <c r="AI88" s="42">
        <f>SUM(Z89:Z89)</f>
        <v>0</v>
      </c>
      <c r="AJ88" s="42">
        <f>SUM(AA89:AA89)</f>
        <v>0</v>
      </c>
      <c r="AK88" s="42">
        <f>SUM(AB89:AB89)</f>
        <v>0</v>
      </c>
    </row>
    <row r="89" spans="1:43" ht="12.75">
      <c r="A89" s="5" t="s">
        <v>48</v>
      </c>
      <c r="B89" s="5" t="s">
        <v>594</v>
      </c>
      <c r="C89" s="5" t="s">
        <v>650</v>
      </c>
      <c r="D89" s="5" t="s">
        <v>1031</v>
      </c>
      <c r="E89" s="5" t="s">
        <v>1507</v>
      </c>
      <c r="F89" s="22">
        <v>150</v>
      </c>
      <c r="G89" s="22">
        <v>0</v>
      </c>
      <c r="H89" s="22">
        <f>F89*AE89</f>
        <v>0</v>
      </c>
      <c r="I89" s="22">
        <f>J89-H89</f>
        <v>0</v>
      </c>
      <c r="J89" s="22">
        <f>F89*G89</f>
        <v>0</v>
      </c>
      <c r="K89" s="22">
        <v>0</v>
      </c>
      <c r="L89" s="22">
        <f>F89*K89</f>
        <v>0</v>
      </c>
      <c r="M89" s="35" t="s">
        <v>1531</v>
      </c>
      <c r="N89" s="35" t="s">
        <v>7</v>
      </c>
      <c r="O89" s="22">
        <f>IF(N89="5",I89,0)</f>
        <v>0</v>
      </c>
      <c r="Z89" s="22">
        <f>IF(AD89=0,J89,0)</f>
        <v>0</v>
      </c>
      <c r="AA89" s="22">
        <f>IF(AD89=15,J89,0)</f>
        <v>0</v>
      </c>
      <c r="AB89" s="22">
        <f>IF(AD89=21,J89,0)</f>
        <v>0</v>
      </c>
      <c r="AD89" s="39">
        <v>15</v>
      </c>
      <c r="AE89" s="39">
        <f>G89*0</f>
        <v>0</v>
      </c>
      <c r="AF89" s="39">
        <f>G89*(1-0)</f>
        <v>0</v>
      </c>
      <c r="AM89" s="39">
        <f>F89*AE89</f>
        <v>0</v>
      </c>
      <c r="AN89" s="39">
        <f>F89*AF89</f>
        <v>0</v>
      </c>
      <c r="AO89" s="40" t="s">
        <v>1556</v>
      </c>
      <c r="AP89" s="40" t="s">
        <v>1607</v>
      </c>
      <c r="AQ89" s="31" t="s">
        <v>1611</v>
      </c>
    </row>
    <row r="90" ht="12.75">
      <c r="D90" s="18" t="s">
        <v>1032</v>
      </c>
    </row>
    <row r="91" spans="1:37" ht="12.75">
      <c r="A91" s="4"/>
      <c r="B91" s="14" t="s">
        <v>594</v>
      </c>
      <c r="C91" s="14" t="s">
        <v>100</v>
      </c>
      <c r="D91" s="104" t="s">
        <v>1033</v>
      </c>
      <c r="E91" s="105"/>
      <c r="F91" s="105"/>
      <c r="G91" s="105"/>
      <c r="H91" s="42">
        <f>SUM(H92:H92)</f>
        <v>0</v>
      </c>
      <c r="I91" s="42">
        <f>SUM(I92:I92)</f>
        <v>0</v>
      </c>
      <c r="J91" s="42">
        <f>H91+I91</f>
        <v>0</v>
      </c>
      <c r="K91" s="31"/>
      <c r="L91" s="42">
        <f>SUM(L92:L92)</f>
        <v>0.29072</v>
      </c>
      <c r="M91" s="31"/>
      <c r="P91" s="42">
        <f>IF(Q91="PR",J91,SUM(O92:O92))</f>
        <v>0</v>
      </c>
      <c r="Q91" s="31" t="s">
        <v>1536</v>
      </c>
      <c r="R91" s="42">
        <f>IF(Q91="HS",H91,0)</f>
        <v>0</v>
      </c>
      <c r="S91" s="42">
        <f>IF(Q91="HS",I91-P91,0)</f>
        <v>0</v>
      </c>
      <c r="T91" s="42">
        <f>IF(Q91="PS",H91,0)</f>
        <v>0</v>
      </c>
      <c r="U91" s="42">
        <f>IF(Q91="PS",I91-P91,0)</f>
        <v>0</v>
      </c>
      <c r="V91" s="42">
        <f>IF(Q91="MP",H91,0)</f>
        <v>0</v>
      </c>
      <c r="W91" s="42">
        <f>IF(Q91="MP",I91-P91,0)</f>
        <v>0</v>
      </c>
      <c r="X91" s="42">
        <f>IF(Q91="OM",H91,0)</f>
        <v>0</v>
      </c>
      <c r="Y91" s="31" t="s">
        <v>594</v>
      </c>
      <c r="AI91" s="42">
        <f>SUM(Z92:Z92)</f>
        <v>0</v>
      </c>
      <c r="AJ91" s="42">
        <f>SUM(AA92:AA92)</f>
        <v>0</v>
      </c>
      <c r="AK91" s="42">
        <f>SUM(AB92:AB92)</f>
        <v>0</v>
      </c>
    </row>
    <row r="92" spans="1:43" ht="12.75">
      <c r="A92" s="5" t="s">
        <v>49</v>
      </c>
      <c r="B92" s="5" t="s">
        <v>594</v>
      </c>
      <c r="C92" s="5" t="s">
        <v>651</v>
      </c>
      <c r="D92" s="5" t="s">
        <v>1034</v>
      </c>
      <c r="E92" s="5" t="s">
        <v>1503</v>
      </c>
      <c r="F92" s="22">
        <v>184</v>
      </c>
      <c r="G92" s="22">
        <v>0</v>
      </c>
      <c r="H92" s="22">
        <f>F92*AE92</f>
        <v>0</v>
      </c>
      <c r="I92" s="22">
        <f>J92-H92</f>
        <v>0</v>
      </c>
      <c r="J92" s="22">
        <f>F92*G92</f>
        <v>0</v>
      </c>
      <c r="K92" s="22">
        <v>0.00158</v>
      </c>
      <c r="L92" s="22">
        <f>F92*K92</f>
        <v>0.29072</v>
      </c>
      <c r="M92" s="35" t="s">
        <v>1531</v>
      </c>
      <c r="N92" s="35" t="s">
        <v>7</v>
      </c>
      <c r="O92" s="22">
        <f>IF(N92="5",I92,0)</f>
        <v>0</v>
      </c>
      <c r="Z92" s="22">
        <f>IF(AD92=0,J92,0)</f>
        <v>0</v>
      </c>
      <c r="AA92" s="22">
        <f>IF(AD92=15,J92,0)</f>
        <v>0</v>
      </c>
      <c r="AB92" s="22">
        <f>IF(AD92=21,J92,0)</f>
        <v>0</v>
      </c>
      <c r="AD92" s="39">
        <v>15</v>
      </c>
      <c r="AE92" s="39">
        <f>G92*0.455303820267324</f>
        <v>0</v>
      </c>
      <c r="AF92" s="39">
        <f>G92*(1-0.455303820267324)</f>
        <v>0</v>
      </c>
      <c r="AM92" s="39">
        <f>F92*AE92</f>
        <v>0</v>
      </c>
      <c r="AN92" s="39">
        <f>F92*AF92</f>
        <v>0</v>
      </c>
      <c r="AO92" s="40" t="s">
        <v>1557</v>
      </c>
      <c r="AP92" s="40" t="s">
        <v>1607</v>
      </c>
      <c r="AQ92" s="31" t="s">
        <v>1611</v>
      </c>
    </row>
    <row r="93" ht="12.75">
      <c r="D93" s="18" t="s">
        <v>1035</v>
      </c>
    </row>
    <row r="94" spans="1:37" ht="12.75">
      <c r="A94" s="4"/>
      <c r="B94" s="14" t="s">
        <v>594</v>
      </c>
      <c r="C94" s="14" t="s">
        <v>101</v>
      </c>
      <c r="D94" s="104" t="s">
        <v>1036</v>
      </c>
      <c r="E94" s="105"/>
      <c r="F94" s="105"/>
      <c r="G94" s="105"/>
      <c r="H94" s="42">
        <f>SUM(H95:H95)</f>
        <v>0</v>
      </c>
      <c r="I94" s="42">
        <f>SUM(I95:I95)</f>
        <v>0</v>
      </c>
      <c r="J94" s="42">
        <f>H94+I94</f>
        <v>0</v>
      </c>
      <c r="K94" s="31"/>
      <c r="L94" s="42">
        <f>SUM(L95:L95)</f>
        <v>0.00736</v>
      </c>
      <c r="M94" s="31"/>
      <c r="P94" s="42">
        <f>IF(Q94="PR",J94,SUM(O95:O95))</f>
        <v>0</v>
      </c>
      <c r="Q94" s="31" t="s">
        <v>1536</v>
      </c>
      <c r="R94" s="42">
        <f>IF(Q94="HS",H94,0)</f>
        <v>0</v>
      </c>
      <c r="S94" s="42">
        <f>IF(Q94="HS",I94-P94,0)</f>
        <v>0</v>
      </c>
      <c r="T94" s="42">
        <f>IF(Q94="PS",H94,0)</f>
        <v>0</v>
      </c>
      <c r="U94" s="42">
        <f>IF(Q94="PS",I94-P94,0)</f>
        <v>0</v>
      </c>
      <c r="V94" s="42">
        <f>IF(Q94="MP",H94,0)</f>
        <v>0</v>
      </c>
      <c r="W94" s="42">
        <f>IF(Q94="MP",I94-P94,0)</f>
        <v>0</v>
      </c>
      <c r="X94" s="42">
        <f>IF(Q94="OM",H94,0)</f>
        <v>0</v>
      </c>
      <c r="Y94" s="31" t="s">
        <v>594</v>
      </c>
      <c r="AI94" s="42">
        <f>SUM(Z95:Z95)</f>
        <v>0</v>
      </c>
      <c r="AJ94" s="42">
        <f>SUM(AA95:AA95)</f>
        <v>0</v>
      </c>
      <c r="AK94" s="42">
        <f>SUM(AB95:AB95)</f>
        <v>0</v>
      </c>
    </row>
    <row r="95" spans="1:43" ht="12.75">
      <c r="A95" s="5" t="s">
        <v>50</v>
      </c>
      <c r="B95" s="5" t="s">
        <v>594</v>
      </c>
      <c r="C95" s="5" t="s">
        <v>652</v>
      </c>
      <c r="D95" s="5" t="s">
        <v>1037</v>
      </c>
      <c r="E95" s="5" t="s">
        <v>1503</v>
      </c>
      <c r="F95" s="22">
        <v>184</v>
      </c>
      <c r="G95" s="22">
        <v>0</v>
      </c>
      <c r="H95" s="22">
        <f>F95*AE95</f>
        <v>0</v>
      </c>
      <c r="I95" s="22">
        <f>J95-H95</f>
        <v>0</v>
      </c>
      <c r="J95" s="22">
        <f>F95*G95</f>
        <v>0</v>
      </c>
      <c r="K95" s="22">
        <v>4E-05</v>
      </c>
      <c r="L95" s="22">
        <f>F95*K95</f>
        <v>0.00736</v>
      </c>
      <c r="M95" s="35" t="s">
        <v>1531</v>
      </c>
      <c r="N95" s="35" t="s">
        <v>7</v>
      </c>
      <c r="O95" s="22">
        <f>IF(N95="5",I95,0)</f>
        <v>0</v>
      </c>
      <c r="Z95" s="22">
        <f>IF(AD95=0,J95,0)</f>
        <v>0</v>
      </c>
      <c r="AA95" s="22">
        <f>IF(AD95=15,J95,0)</f>
        <v>0</v>
      </c>
      <c r="AB95" s="22">
        <f>IF(AD95=21,J95,0)</f>
        <v>0</v>
      </c>
      <c r="AD95" s="39">
        <v>15</v>
      </c>
      <c r="AE95" s="39">
        <f>G95*0.0183098591549296</f>
        <v>0</v>
      </c>
      <c r="AF95" s="39">
        <f>G95*(1-0.0183098591549296)</f>
        <v>0</v>
      </c>
      <c r="AM95" s="39">
        <f>F95*AE95</f>
        <v>0</v>
      </c>
      <c r="AN95" s="39">
        <f>F95*AF95</f>
        <v>0</v>
      </c>
      <c r="AO95" s="40" t="s">
        <v>1558</v>
      </c>
      <c r="AP95" s="40" t="s">
        <v>1607</v>
      </c>
      <c r="AQ95" s="31" t="s">
        <v>1611</v>
      </c>
    </row>
    <row r="96" ht="12.75">
      <c r="D96" s="18" t="s">
        <v>1035</v>
      </c>
    </row>
    <row r="97" spans="1:37" ht="12.75">
      <c r="A97" s="4"/>
      <c r="B97" s="14" t="s">
        <v>594</v>
      </c>
      <c r="C97" s="14" t="s">
        <v>653</v>
      </c>
      <c r="D97" s="104" t="s">
        <v>1038</v>
      </c>
      <c r="E97" s="105"/>
      <c r="F97" s="105"/>
      <c r="G97" s="105"/>
      <c r="H97" s="42">
        <f>SUM(H98:H98)</f>
        <v>0</v>
      </c>
      <c r="I97" s="42">
        <f>SUM(I98:I98)</f>
        <v>0</v>
      </c>
      <c r="J97" s="42">
        <f>H97+I97</f>
        <v>0</v>
      </c>
      <c r="K97" s="31"/>
      <c r="L97" s="42">
        <f>SUM(L98:L98)</f>
        <v>0</v>
      </c>
      <c r="M97" s="31"/>
      <c r="P97" s="42">
        <f>IF(Q97="PR",J97,SUM(O98:O98))</f>
        <v>0</v>
      </c>
      <c r="Q97" s="31" t="s">
        <v>1536</v>
      </c>
      <c r="R97" s="42">
        <f>IF(Q97="HS",H97,0)</f>
        <v>0</v>
      </c>
      <c r="S97" s="42">
        <f>IF(Q97="HS",I97-P97,0)</f>
        <v>0</v>
      </c>
      <c r="T97" s="42">
        <f>IF(Q97="PS",H97,0)</f>
        <v>0</v>
      </c>
      <c r="U97" s="42">
        <f>IF(Q97="PS",I97-P97,0)</f>
        <v>0</v>
      </c>
      <c r="V97" s="42">
        <f>IF(Q97="MP",H97,0)</f>
        <v>0</v>
      </c>
      <c r="W97" s="42">
        <f>IF(Q97="MP",I97-P97,0)</f>
        <v>0</v>
      </c>
      <c r="X97" s="42">
        <f>IF(Q97="OM",H97,0)</f>
        <v>0</v>
      </c>
      <c r="Y97" s="31" t="s">
        <v>594</v>
      </c>
      <c r="AI97" s="42">
        <f>SUM(Z98:Z98)</f>
        <v>0</v>
      </c>
      <c r="AJ97" s="42">
        <f>SUM(AA98:AA98)</f>
        <v>0</v>
      </c>
      <c r="AK97" s="42">
        <f>SUM(AB98:AB98)</f>
        <v>0</v>
      </c>
    </row>
    <row r="98" spans="1:43" ht="12.75">
      <c r="A98" s="5" t="s">
        <v>51</v>
      </c>
      <c r="B98" s="5" t="s">
        <v>594</v>
      </c>
      <c r="C98" s="5" t="s">
        <v>654</v>
      </c>
      <c r="D98" s="5" t="s">
        <v>1039</v>
      </c>
      <c r="E98" s="5" t="s">
        <v>1508</v>
      </c>
      <c r="F98" s="22">
        <v>7.96</v>
      </c>
      <c r="G98" s="22">
        <v>0</v>
      </c>
      <c r="H98" s="22">
        <f>F98*AE98</f>
        <v>0</v>
      </c>
      <c r="I98" s="22">
        <f>J98-H98</f>
        <v>0</v>
      </c>
      <c r="J98" s="22">
        <f>F98*G98</f>
        <v>0</v>
      </c>
      <c r="K98" s="22">
        <v>0</v>
      </c>
      <c r="L98" s="22">
        <f>F98*K98</f>
        <v>0</v>
      </c>
      <c r="M98" s="35" t="s">
        <v>1531</v>
      </c>
      <c r="N98" s="35" t="s">
        <v>11</v>
      </c>
      <c r="O98" s="22">
        <f>IF(N98="5",I98,0)</f>
        <v>0</v>
      </c>
      <c r="Z98" s="22">
        <f>IF(AD98=0,J98,0)</f>
        <v>0</v>
      </c>
      <c r="AA98" s="22">
        <f>IF(AD98=15,J98,0)</f>
        <v>0</v>
      </c>
      <c r="AB98" s="22">
        <f>IF(AD98=21,J98,0)</f>
        <v>0</v>
      </c>
      <c r="AD98" s="39">
        <v>15</v>
      </c>
      <c r="AE98" s="39">
        <f>G98*0</f>
        <v>0</v>
      </c>
      <c r="AF98" s="39">
        <f>G98*(1-0)</f>
        <v>0</v>
      </c>
      <c r="AM98" s="39">
        <f>F98*AE98</f>
        <v>0</v>
      </c>
      <c r="AN98" s="39">
        <f>F98*AF98</f>
        <v>0</v>
      </c>
      <c r="AO98" s="40" t="s">
        <v>1559</v>
      </c>
      <c r="AP98" s="40" t="s">
        <v>1607</v>
      </c>
      <c r="AQ98" s="31" t="s">
        <v>1611</v>
      </c>
    </row>
    <row r="99" spans="1:37" ht="12.75">
      <c r="A99" s="4"/>
      <c r="B99" s="14" t="s">
        <v>594</v>
      </c>
      <c r="C99" s="14" t="s">
        <v>655</v>
      </c>
      <c r="D99" s="104" t="s">
        <v>991</v>
      </c>
      <c r="E99" s="105"/>
      <c r="F99" s="105"/>
      <c r="G99" s="105"/>
      <c r="H99" s="42">
        <f>SUM(H100:H100)</f>
        <v>0</v>
      </c>
      <c r="I99" s="42">
        <f>SUM(I100:I100)</f>
        <v>0</v>
      </c>
      <c r="J99" s="42">
        <f>H99+I99</f>
        <v>0</v>
      </c>
      <c r="K99" s="31"/>
      <c r="L99" s="42">
        <f>SUM(L100:L100)</f>
        <v>0</v>
      </c>
      <c r="M99" s="31"/>
      <c r="P99" s="42">
        <f>IF(Q99="PR",J99,SUM(O100:O100))</f>
        <v>0</v>
      </c>
      <c r="Q99" s="31" t="s">
        <v>1536</v>
      </c>
      <c r="R99" s="42">
        <f>IF(Q99="HS",H99,0)</f>
        <v>0</v>
      </c>
      <c r="S99" s="42">
        <f>IF(Q99="HS",I99-P99,0)</f>
        <v>0</v>
      </c>
      <c r="T99" s="42">
        <f>IF(Q99="PS",H99,0)</f>
        <v>0</v>
      </c>
      <c r="U99" s="42">
        <f>IF(Q99="PS",I99-P99,0)</f>
        <v>0</v>
      </c>
      <c r="V99" s="42">
        <f>IF(Q99="MP",H99,0)</f>
        <v>0</v>
      </c>
      <c r="W99" s="42">
        <f>IF(Q99="MP",I99-P99,0)</f>
        <v>0</v>
      </c>
      <c r="X99" s="42">
        <f>IF(Q99="OM",H99,0)</f>
        <v>0</v>
      </c>
      <c r="Y99" s="31" t="s">
        <v>594</v>
      </c>
      <c r="AI99" s="42">
        <f>SUM(Z100:Z100)</f>
        <v>0</v>
      </c>
      <c r="AJ99" s="42">
        <f>SUM(AA100:AA100)</f>
        <v>0</v>
      </c>
      <c r="AK99" s="42">
        <f>SUM(AB100:AB100)</f>
        <v>0</v>
      </c>
    </row>
    <row r="100" spans="1:43" ht="12.75">
      <c r="A100" s="5" t="s">
        <v>52</v>
      </c>
      <c r="B100" s="5" t="s">
        <v>594</v>
      </c>
      <c r="C100" s="5" t="s">
        <v>656</v>
      </c>
      <c r="D100" s="5" t="s">
        <v>1040</v>
      </c>
      <c r="E100" s="5" t="s">
        <v>1509</v>
      </c>
      <c r="F100" s="22">
        <v>1</v>
      </c>
      <c r="G100" s="22">
        <v>0</v>
      </c>
      <c r="H100" s="22">
        <f>F100*AE100</f>
        <v>0</v>
      </c>
      <c r="I100" s="22">
        <f>J100-H100</f>
        <v>0</v>
      </c>
      <c r="J100" s="22">
        <f>F100*G100</f>
        <v>0</v>
      </c>
      <c r="K100" s="22">
        <v>0</v>
      </c>
      <c r="L100" s="22">
        <f>F100*K100</f>
        <v>0</v>
      </c>
      <c r="M100" s="35" t="s">
        <v>1531</v>
      </c>
      <c r="N100" s="35" t="s">
        <v>11</v>
      </c>
      <c r="O100" s="22">
        <f>IF(N100="5",I100,0)</f>
        <v>0</v>
      </c>
      <c r="Z100" s="22">
        <f>IF(AD100=0,J100,0)</f>
        <v>0</v>
      </c>
      <c r="AA100" s="22">
        <f>IF(AD100=15,J100,0)</f>
        <v>0</v>
      </c>
      <c r="AB100" s="22">
        <f>IF(AD100=21,J100,0)</f>
        <v>0</v>
      </c>
      <c r="AD100" s="39">
        <v>15</v>
      </c>
      <c r="AE100" s="39">
        <f>G100*0</f>
        <v>0</v>
      </c>
      <c r="AF100" s="39">
        <f>G100*(1-0)</f>
        <v>0</v>
      </c>
      <c r="AM100" s="39">
        <f>F100*AE100</f>
        <v>0</v>
      </c>
      <c r="AN100" s="39">
        <f>F100*AF100</f>
        <v>0</v>
      </c>
      <c r="AO100" s="40" t="s">
        <v>1560</v>
      </c>
      <c r="AP100" s="40" t="s">
        <v>1607</v>
      </c>
      <c r="AQ100" s="31" t="s">
        <v>1611</v>
      </c>
    </row>
    <row r="101" spans="1:37" ht="12.75">
      <c r="A101" s="4"/>
      <c r="B101" s="14" t="s">
        <v>594</v>
      </c>
      <c r="C101" s="14" t="s">
        <v>657</v>
      </c>
      <c r="D101" s="104" t="s">
        <v>1004</v>
      </c>
      <c r="E101" s="105"/>
      <c r="F101" s="105"/>
      <c r="G101" s="105"/>
      <c r="H101" s="42">
        <f>SUM(H102:H102)</f>
        <v>0</v>
      </c>
      <c r="I101" s="42">
        <f>SUM(I102:I102)</f>
        <v>0</v>
      </c>
      <c r="J101" s="42">
        <f>H101+I101</f>
        <v>0</v>
      </c>
      <c r="K101" s="31"/>
      <c r="L101" s="42">
        <f>SUM(L102:L102)</f>
        <v>0</v>
      </c>
      <c r="M101" s="31"/>
      <c r="P101" s="42">
        <f>IF(Q101="PR",J101,SUM(O102:O102))</f>
        <v>0</v>
      </c>
      <c r="Q101" s="31" t="s">
        <v>1536</v>
      </c>
      <c r="R101" s="42">
        <f>IF(Q101="HS",H101,0)</f>
        <v>0</v>
      </c>
      <c r="S101" s="42">
        <f>IF(Q101="HS",I101-P101,0)</f>
        <v>0</v>
      </c>
      <c r="T101" s="42">
        <f>IF(Q101="PS",H101,0)</f>
        <v>0</v>
      </c>
      <c r="U101" s="42">
        <f>IF(Q101="PS",I101-P101,0)</f>
        <v>0</v>
      </c>
      <c r="V101" s="42">
        <f>IF(Q101="MP",H101,0)</f>
        <v>0</v>
      </c>
      <c r="W101" s="42">
        <f>IF(Q101="MP",I101-P101,0)</f>
        <v>0</v>
      </c>
      <c r="X101" s="42">
        <f>IF(Q101="OM",H101,0)</f>
        <v>0</v>
      </c>
      <c r="Y101" s="31" t="s">
        <v>594</v>
      </c>
      <c r="AI101" s="42">
        <f>SUM(Z102:Z102)</f>
        <v>0</v>
      </c>
      <c r="AJ101" s="42">
        <f>SUM(AA102:AA102)</f>
        <v>0</v>
      </c>
      <c r="AK101" s="42">
        <f>SUM(AB102:AB102)</f>
        <v>0</v>
      </c>
    </row>
    <row r="102" spans="1:43" ht="12.75">
      <c r="A102" s="5" t="s">
        <v>53</v>
      </c>
      <c r="B102" s="5" t="s">
        <v>594</v>
      </c>
      <c r="C102" s="5" t="s">
        <v>658</v>
      </c>
      <c r="D102" s="5" t="s">
        <v>1041</v>
      </c>
      <c r="E102" s="5" t="s">
        <v>1509</v>
      </c>
      <c r="F102" s="22">
        <v>1</v>
      </c>
      <c r="G102" s="22">
        <v>0</v>
      </c>
      <c r="H102" s="22">
        <f>F102*AE102</f>
        <v>0</v>
      </c>
      <c r="I102" s="22">
        <f>J102-H102</f>
        <v>0</v>
      </c>
      <c r="J102" s="22">
        <f>F102*G102</f>
        <v>0</v>
      </c>
      <c r="K102" s="22">
        <v>0</v>
      </c>
      <c r="L102" s="22">
        <f>F102*K102</f>
        <v>0</v>
      </c>
      <c r="M102" s="35" t="s">
        <v>1531</v>
      </c>
      <c r="N102" s="35" t="s">
        <v>11</v>
      </c>
      <c r="O102" s="22">
        <f>IF(N102="5",I102,0)</f>
        <v>0</v>
      </c>
      <c r="Z102" s="22">
        <f>IF(AD102=0,J102,0)</f>
        <v>0</v>
      </c>
      <c r="AA102" s="22">
        <f>IF(AD102=15,J102,0)</f>
        <v>0</v>
      </c>
      <c r="AB102" s="22">
        <f>IF(AD102=21,J102,0)</f>
        <v>0</v>
      </c>
      <c r="AD102" s="39">
        <v>15</v>
      </c>
      <c r="AE102" s="39">
        <f>G102*0</f>
        <v>0</v>
      </c>
      <c r="AF102" s="39">
        <f>G102*(1-0)</f>
        <v>0</v>
      </c>
      <c r="AM102" s="39">
        <f>F102*AE102</f>
        <v>0</v>
      </c>
      <c r="AN102" s="39">
        <f>F102*AF102</f>
        <v>0</v>
      </c>
      <c r="AO102" s="40" t="s">
        <v>1561</v>
      </c>
      <c r="AP102" s="40" t="s">
        <v>1607</v>
      </c>
      <c r="AQ102" s="31" t="s">
        <v>1611</v>
      </c>
    </row>
    <row r="103" spans="1:37" ht="12.75">
      <c r="A103" s="4"/>
      <c r="B103" s="14" t="s">
        <v>594</v>
      </c>
      <c r="C103" s="14" t="s">
        <v>659</v>
      </c>
      <c r="D103" s="104" t="s">
        <v>1012</v>
      </c>
      <c r="E103" s="105"/>
      <c r="F103" s="105"/>
      <c r="G103" s="105"/>
      <c r="H103" s="42">
        <f>SUM(H104:H104)</f>
        <v>0</v>
      </c>
      <c r="I103" s="42">
        <f>SUM(I104:I104)</f>
        <v>0</v>
      </c>
      <c r="J103" s="42">
        <f>H103+I103</f>
        <v>0</v>
      </c>
      <c r="K103" s="31"/>
      <c r="L103" s="42">
        <f>SUM(L104:L104)</f>
        <v>0</v>
      </c>
      <c r="M103" s="31"/>
      <c r="P103" s="42">
        <f>IF(Q103="PR",J103,SUM(O104:O104))</f>
        <v>0</v>
      </c>
      <c r="Q103" s="31" t="s">
        <v>1536</v>
      </c>
      <c r="R103" s="42">
        <f>IF(Q103="HS",H103,0)</f>
        <v>0</v>
      </c>
      <c r="S103" s="42">
        <f>IF(Q103="HS",I103-P103,0)</f>
        <v>0</v>
      </c>
      <c r="T103" s="42">
        <f>IF(Q103="PS",H103,0)</f>
        <v>0</v>
      </c>
      <c r="U103" s="42">
        <f>IF(Q103="PS",I103-P103,0)</f>
        <v>0</v>
      </c>
      <c r="V103" s="42">
        <f>IF(Q103="MP",H103,0)</f>
        <v>0</v>
      </c>
      <c r="W103" s="42">
        <f>IF(Q103="MP",I103-P103,0)</f>
        <v>0</v>
      </c>
      <c r="X103" s="42">
        <f>IF(Q103="OM",H103,0)</f>
        <v>0</v>
      </c>
      <c r="Y103" s="31" t="s">
        <v>594</v>
      </c>
      <c r="AI103" s="42">
        <f>SUM(Z104:Z104)</f>
        <v>0</v>
      </c>
      <c r="AJ103" s="42">
        <f>SUM(AA104:AA104)</f>
        <v>0</v>
      </c>
      <c r="AK103" s="42">
        <f>SUM(AB104:AB104)</f>
        <v>0</v>
      </c>
    </row>
    <row r="104" spans="1:43" ht="12.75">
      <c r="A104" s="5" t="s">
        <v>54</v>
      </c>
      <c r="B104" s="5" t="s">
        <v>594</v>
      </c>
      <c r="C104" s="5" t="s">
        <v>660</v>
      </c>
      <c r="D104" s="5" t="s">
        <v>1042</v>
      </c>
      <c r="E104" s="5" t="s">
        <v>1509</v>
      </c>
      <c r="F104" s="22">
        <v>1</v>
      </c>
      <c r="G104" s="22">
        <v>0</v>
      </c>
      <c r="H104" s="22">
        <f>F104*AE104</f>
        <v>0</v>
      </c>
      <c r="I104" s="22">
        <f>J104-H104</f>
        <v>0</v>
      </c>
      <c r="J104" s="22">
        <f>F104*G104</f>
        <v>0</v>
      </c>
      <c r="K104" s="22">
        <v>0</v>
      </c>
      <c r="L104" s="22">
        <f>F104*K104</f>
        <v>0</v>
      </c>
      <c r="M104" s="35" t="s">
        <v>1531</v>
      </c>
      <c r="N104" s="35" t="s">
        <v>11</v>
      </c>
      <c r="O104" s="22">
        <f>IF(N104="5",I104,0)</f>
        <v>0</v>
      </c>
      <c r="Z104" s="22">
        <f>IF(AD104=0,J104,0)</f>
        <v>0</v>
      </c>
      <c r="AA104" s="22">
        <f>IF(AD104=15,J104,0)</f>
        <v>0</v>
      </c>
      <c r="AB104" s="22">
        <f>IF(AD104=21,J104,0)</f>
        <v>0</v>
      </c>
      <c r="AD104" s="39">
        <v>15</v>
      </c>
      <c r="AE104" s="39">
        <f>G104*0</f>
        <v>0</v>
      </c>
      <c r="AF104" s="39">
        <f>G104*(1-0)</f>
        <v>0</v>
      </c>
      <c r="AM104" s="39">
        <f>F104*AE104</f>
        <v>0</v>
      </c>
      <c r="AN104" s="39">
        <f>F104*AF104</f>
        <v>0</v>
      </c>
      <c r="AO104" s="40" t="s">
        <v>1562</v>
      </c>
      <c r="AP104" s="40" t="s">
        <v>1607</v>
      </c>
      <c r="AQ104" s="31" t="s">
        <v>1611</v>
      </c>
    </row>
    <row r="105" spans="1:37" ht="12.75">
      <c r="A105" s="4"/>
      <c r="B105" s="14" t="s">
        <v>594</v>
      </c>
      <c r="C105" s="14" t="s">
        <v>661</v>
      </c>
      <c r="D105" s="104" t="s">
        <v>1016</v>
      </c>
      <c r="E105" s="105"/>
      <c r="F105" s="105"/>
      <c r="G105" s="105"/>
      <c r="H105" s="42">
        <f>SUM(H106:H106)</f>
        <v>0</v>
      </c>
      <c r="I105" s="42">
        <f>SUM(I106:I106)</f>
        <v>0</v>
      </c>
      <c r="J105" s="42">
        <f>H105+I105</f>
        <v>0</v>
      </c>
      <c r="K105" s="31"/>
      <c r="L105" s="42">
        <f>SUM(L106:L106)</f>
        <v>0</v>
      </c>
      <c r="M105" s="31"/>
      <c r="P105" s="42">
        <f>IF(Q105="PR",J105,SUM(O106:O106))</f>
        <v>0</v>
      </c>
      <c r="Q105" s="31" t="s">
        <v>1536</v>
      </c>
      <c r="R105" s="42">
        <f>IF(Q105="HS",H105,0)</f>
        <v>0</v>
      </c>
      <c r="S105" s="42">
        <f>IF(Q105="HS",I105-P105,0)</f>
        <v>0</v>
      </c>
      <c r="T105" s="42">
        <f>IF(Q105="PS",H105,0)</f>
        <v>0</v>
      </c>
      <c r="U105" s="42">
        <f>IF(Q105="PS",I105-P105,0)</f>
        <v>0</v>
      </c>
      <c r="V105" s="42">
        <f>IF(Q105="MP",H105,0)</f>
        <v>0</v>
      </c>
      <c r="W105" s="42">
        <f>IF(Q105="MP",I105-P105,0)</f>
        <v>0</v>
      </c>
      <c r="X105" s="42">
        <f>IF(Q105="OM",H105,0)</f>
        <v>0</v>
      </c>
      <c r="Y105" s="31" t="s">
        <v>594</v>
      </c>
      <c r="AI105" s="42">
        <f>SUM(Z106:Z106)</f>
        <v>0</v>
      </c>
      <c r="AJ105" s="42">
        <f>SUM(AA106:AA106)</f>
        <v>0</v>
      </c>
      <c r="AK105" s="42">
        <f>SUM(AB106:AB106)</f>
        <v>0</v>
      </c>
    </row>
    <row r="106" spans="1:43" ht="12.75">
      <c r="A106" s="5" t="s">
        <v>55</v>
      </c>
      <c r="B106" s="5" t="s">
        <v>594</v>
      </c>
      <c r="C106" s="5" t="s">
        <v>662</v>
      </c>
      <c r="D106" s="5" t="s">
        <v>1043</v>
      </c>
      <c r="E106" s="5" t="s">
        <v>1509</v>
      </c>
      <c r="F106" s="22">
        <v>1</v>
      </c>
      <c r="G106" s="22">
        <v>0</v>
      </c>
      <c r="H106" s="22">
        <f>F106*AE106</f>
        <v>0</v>
      </c>
      <c r="I106" s="22">
        <f>J106-H106</f>
        <v>0</v>
      </c>
      <c r="J106" s="22">
        <f>F106*G106</f>
        <v>0</v>
      </c>
      <c r="K106" s="22">
        <v>0</v>
      </c>
      <c r="L106" s="22">
        <f>F106*K106</f>
        <v>0</v>
      </c>
      <c r="M106" s="35" t="s">
        <v>1531</v>
      </c>
      <c r="N106" s="35" t="s">
        <v>11</v>
      </c>
      <c r="O106" s="22">
        <f>IF(N106="5",I106,0)</f>
        <v>0</v>
      </c>
      <c r="Z106" s="22">
        <f>IF(AD106=0,J106,0)</f>
        <v>0</v>
      </c>
      <c r="AA106" s="22">
        <f>IF(AD106=15,J106,0)</f>
        <v>0</v>
      </c>
      <c r="AB106" s="22">
        <f>IF(AD106=21,J106,0)</f>
        <v>0</v>
      </c>
      <c r="AD106" s="39">
        <v>15</v>
      </c>
      <c r="AE106" s="39">
        <f>G106*0</f>
        <v>0</v>
      </c>
      <c r="AF106" s="39">
        <f>G106*(1-0)</f>
        <v>0</v>
      </c>
      <c r="AM106" s="39">
        <f>F106*AE106</f>
        <v>0</v>
      </c>
      <c r="AN106" s="39">
        <f>F106*AF106</f>
        <v>0</v>
      </c>
      <c r="AO106" s="40" t="s">
        <v>1563</v>
      </c>
      <c r="AP106" s="40" t="s">
        <v>1607</v>
      </c>
      <c r="AQ106" s="31" t="s">
        <v>1611</v>
      </c>
    </row>
    <row r="107" spans="1:37" ht="12.75">
      <c r="A107" s="4"/>
      <c r="B107" s="14" t="s">
        <v>594</v>
      </c>
      <c r="C107" s="14" t="s">
        <v>663</v>
      </c>
      <c r="D107" s="104" t="s">
        <v>1019</v>
      </c>
      <c r="E107" s="105"/>
      <c r="F107" s="105"/>
      <c r="G107" s="105"/>
      <c r="H107" s="42">
        <f>SUM(H108:H108)</f>
        <v>0</v>
      </c>
      <c r="I107" s="42">
        <f>SUM(I108:I108)</f>
        <v>0</v>
      </c>
      <c r="J107" s="42">
        <f>H107+I107</f>
        <v>0</v>
      </c>
      <c r="K107" s="31"/>
      <c r="L107" s="42">
        <f>SUM(L108:L108)</f>
        <v>0</v>
      </c>
      <c r="M107" s="31"/>
      <c r="P107" s="42">
        <f>IF(Q107="PR",J107,SUM(O108:O108))</f>
        <v>0</v>
      </c>
      <c r="Q107" s="31" t="s">
        <v>1536</v>
      </c>
      <c r="R107" s="42">
        <f>IF(Q107="HS",H107,0)</f>
        <v>0</v>
      </c>
      <c r="S107" s="42">
        <f>IF(Q107="HS",I107-P107,0)</f>
        <v>0</v>
      </c>
      <c r="T107" s="42">
        <f>IF(Q107="PS",H107,0)</f>
        <v>0</v>
      </c>
      <c r="U107" s="42">
        <f>IF(Q107="PS",I107-P107,0)</f>
        <v>0</v>
      </c>
      <c r="V107" s="42">
        <f>IF(Q107="MP",H107,0)</f>
        <v>0</v>
      </c>
      <c r="W107" s="42">
        <f>IF(Q107="MP",I107-P107,0)</f>
        <v>0</v>
      </c>
      <c r="X107" s="42">
        <f>IF(Q107="OM",H107,0)</f>
        <v>0</v>
      </c>
      <c r="Y107" s="31" t="s">
        <v>594</v>
      </c>
      <c r="AI107" s="42">
        <f>SUM(Z108:Z108)</f>
        <v>0</v>
      </c>
      <c r="AJ107" s="42">
        <f>SUM(AA108:AA108)</f>
        <v>0</v>
      </c>
      <c r="AK107" s="42">
        <f>SUM(AB108:AB108)</f>
        <v>0</v>
      </c>
    </row>
    <row r="108" spans="1:43" ht="12.75">
      <c r="A108" s="5" t="s">
        <v>56</v>
      </c>
      <c r="B108" s="5" t="s">
        <v>594</v>
      </c>
      <c r="C108" s="5" t="s">
        <v>664</v>
      </c>
      <c r="D108" s="5" t="s">
        <v>1044</v>
      </c>
      <c r="E108" s="5" t="s">
        <v>1509</v>
      </c>
      <c r="F108" s="22">
        <v>1</v>
      </c>
      <c r="G108" s="22">
        <v>0</v>
      </c>
      <c r="H108" s="22">
        <f>F108*AE108</f>
        <v>0</v>
      </c>
      <c r="I108" s="22">
        <f>J108-H108</f>
        <v>0</v>
      </c>
      <c r="J108" s="22">
        <f>F108*G108</f>
        <v>0</v>
      </c>
      <c r="K108" s="22">
        <v>0</v>
      </c>
      <c r="L108" s="22">
        <f>F108*K108</f>
        <v>0</v>
      </c>
      <c r="M108" s="35" t="s">
        <v>1531</v>
      </c>
      <c r="N108" s="35" t="s">
        <v>11</v>
      </c>
      <c r="O108" s="22">
        <f>IF(N108="5",I108,0)</f>
        <v>0</v>
      </c>
      <c r="Z108" s="22">
        <f>IF(AD108=0,J108,0)</f>
        <v>0</v>
      </c>
      <c r="AA108" s="22">
        <f>IF(AD108=15,J108,0)</f>
        <v>0</v>
      </c>
      <c r="AB108" s="22">
        <f>IF(AD108=21,J108,0)</f>
        <v>0</v>
      </c>
      <c r="AD108" s="39">
        <v>15</v>
      </c>
      <c r="AE108" s="39">
        <f>G108*0</f>
        <v>0</v>
      </c>
      <c r="AF108" s="39">
        <f>G108*(1-0)</f>
        <v>0</v>
      </c>
      <c r="AM108" s="39">
        <f>F108*AE108</f>
        <v>0</v>
      </c>
      <c r="AN108" s="39">
        <f>F108*AF108</f>
        <v>0</v>
      </c>
      <c r="AO108" s="40" t="s">
        <v>1564</v>
      </c>
      <c r="AP108" s="40" t="s">
        <v>1607</v>
      </c>
      <c r="AQ108" s="31" t="s">
        <v>1611</v>
      </c>
    </row>
    <row r="109" spans="1:37" ht="12.75">
      <c r="A109" s="4"/>
      <c r="B109" s="14" t="s">
        <v>594</v>
      </c>
      <c r="C109" s="14" t="s">
        <v>665</v>
      </c>
      <c r="D109" s="104" t="s">
        <v>1045</v>
      </c>
      <c r="E109" s="105"/>
      <c r="F109" s="105"/>
      <c r="G109" s="105"/>
      <c r="H109" s="42">
        <f>SUM(H110:H136)</f>
        <v>0</v>
      </c>
      <c r="I109" s="42">
        <f>SUM(I110:I136)</f>
        <v>0</v>
      </c>
      <c r="J109" s="42">
        <f>H109+I109</f>
        <v>0</v>
      </c>
      <c r="K109" s="31"/>
      <c r="L109" s="42">
        <f>SUM(L110:L136)</f>
        <v>0.15858000000000003</v>
      </c>
      <c r="M109" s="31"/>
      <c r="P109" s="42">
        <f>IF(Q109="PR",J109,SUM(O110:O136))</f>
        <v>0</v>
      </c>
      <c r="Q109" s="31" t="s">
        <v>1538</v>
      </c>
      <c r="R109" s="42">
        <f>IF(Q109="HS",H109,0)</f>
        <v>0</v>
      </c>
      <c r="S109" s="42">
        <f>IF(Q109="HS",I109-P109,0)</f>
        <v>0</v>
      </c>
      <c r="T109" s="42">
        <f>IF(Q109="PS",H109,0)</f>
        <v>0</v>
      </c>
      <c r="U109" s="42">
        <f>IF(Q109="PS",I109-P109,0)</f>
        <v>0</v>
      </c>
      <c r="V109" s="42">
        <f>IF(Q109="MP",H109,0)</f>
        <v>0</v>
      </c>
      <c r="W109" s="42">
        <f>IF(Q109="MP",I109-P109,0)</f>
        <v>0</v>
      </c>
      <c r="X109" s="42">
        <f>IF(Q109="OM",H109,0)</f>
        <v>0</v>
      </c>
      <c r="Y109" s="31" t="s">
        <v>594</v>
      </c>
      <c r="AI109" s="42">
        <f>SUM(Z110:Z136)</f>
        <v>0</v>
      </c>
      <c r="AJ109" s="42">
        <f>SUM(AA110:AA136)</f>
        <v>0</v>
      </c>
      <c r="AK109" s="42">
        <f>SUM(AB110:AB136)</f>
        <v>0</v>
      </c>
    </row>
    <row r="110" spans="1:43" ht="12.75">
      <c r="A110" s="5" t="s">
        <v>57</v>
      </c>
      <c r="B110" s="5" t="s">
        <v>594</v>
      </c>
      <c r="C110" s="5" t="s">
        <v>666</v>
      </c>
      <c r="D110" s="5" t="s">
        <v>1046</v>
      </c>
      <c r="E110" s="5" t="s">
        <v>1505</v>
      </c>
      <c r="F110" s="22">
        <v>20</v>
      </c>
      <c r="G110" s="22">
        <v>0</v>
      </c>
      <c r="H110" s="22">
        <f>F110*AE110</f>
        <v>0</v>
      </c>
      <c r="I110" s="22">
        <f>J110-H110</f>
        <v>0</v>
      </c>
      <c r="J110" s="22">
        <f>F110*G110</f>
        <v>0</v>
      </c>
      <c r="K110" s="22">
        <v>0</v>
      </c>
      <c r="L110" s="22">
        <f>F110*K110</f>
        <v>0</v>
      </c>
      <c r="M110" s="35" t="s">
        <v>1531</v>
      </c>
      <c r="N110" s="35" t="s">
        <v>8</v>
      </c>
      <c r="O110" s="22">
        <f>IF(N110="5",I110,0)</f>
        <v>0</v>
      </c>
      <c r="Z110" s="22">
        <f>IF(AD110=0,J110,0)</f>
        <v>0</v>
      </c>
      <c r="AA110" s="22">
        <f>IF(AD110=15,J110,0)</f>
        <v>0</v>
      </c>
      <c r="AB110" s="22">
        <f>IF(AD110=21,J110,0)</f>
        <v>0</v>
      </c>
      <c r="AD110" s="39">
        <v>15</v>
      </c>
      <c r="AE110" s="39">
        <f>G110*1</f>
        <v>0</v>
      </c>
      <c r="AF110" s="39">
        <f>G110*(1-1)</f>
        <v>0</v>
      </c>
      <c r="AM110" s="39">
        <f>F110*AE110</f>
        <v>0</v>
      </c>
      <c r="AN110" s="39">
        <f>F110*AF110</f>
        <v>0</v>
      </c>
      <c r="AO110" s="40" t="s">
        <v>1565</v>
      </c>
      <c r="AP110" s="40" t="s">
        <v>1607</v>
      </c>
      <c r="AQ110" s="31" t="s">
        <v>1611</v>
      </c>
    </row>
    <row r="111" spans="1:43" ht="12.75">
      <c r="A111" s="5" t="s">
        <v>58</v>
      </c>
      <c r="B111" s="5" t="s">
        <v>594</v>
      </c>
      <c r="C111" s="5" t="s">
        <v>667</v>
      </c>
      <c r="D111" s="5" t="s">
        <v>1047</v>
      </c>
      <c r="E111" s="5" t="s">
        <v>1504</v>
      </c>
      <c r="F111" s="22">
        <v>14</v>
      </c>
      <c r="G111" s="22">
        <v>0</v>
      </c>
      <c r="H111" s="22">
        <f>F111*AE111</f>
        <v>0</v>
      </c>
      <c r="I111" s="22">
        <f>J111-H111</f>
        <v>0</v>
      </c>
      <c r="J111" s="22">
        <f>F111*G111</f>
        <v>0</v>
      </c>
      <c r="K111" s="22">
        <v>0</v>
      </c>
      <c r="L111" s="22">
        <f>F111*K111</f>
        <v>0</v>
      </c>
      <c r="M111" s="35" t="s">
        <v>1531</v>
      </c>
      <c r="N111" s="35" t="s">
        <v>8</v>
      </c>
      <c r="O111" s="22">
        <f>IF(N111="5",I111,0)</f>
        <v>0</v>
      </c>
      <c r="Z111" s="22">
        <f>IF(AD111=0,J111,0)</f>
        <v>0</v>
      </c>
      <c r="AA111" s="22">
        <f>IF(AD111=15,J111,0)</f>
        <v>0</v>
      </c>
      <c r="AB111" s="22">
        <f>IF(AD111=21,J111,0)</f>
        <v>0</v>
      </c>
      <c r="AD111" s="39">
        <v>15</v>
      </c>
      <c r="AE111" s="39">
        <f>G111*1</f>
        <v>0</v>
      </c>
      <c r="AF111" s="39">
        <f>G111*(1-1)</f>
        <v>0</v>
      </c>
      <c r="AM111" s="39">
        <f>F111*AE111</f>
        <v>0</v>
      </c>
      <c r="AN111" s="39">
        <f>F111*AF111</f>
        <v>0</v>
      </c>
      <c r="AO111" s="40" t="s">
        <v>1565</v>
      </c>
      <c r="AP111" s="40" t="s">
        <v>1607</v>
      </c>
      <c r="AQ111" s="31" t="s">
        <v>1611</v>
      </c>
    </row>
    <row r="112" spans="1:43" ht="12.75">
      <c r="A112" s="5" t="s">
        <v>59</v>
      </c>
      <c r="B112" s="5" t="s">
        <v>594</v>
      </c>
      <c r="C112" s="5" t="s">
        <v>668</v>
      </c>
      <c r="D112" s="5" t="s">
        <v>1048</v>
      </c>
      <c r="E112" s="5" t="s">
        <v>1504</v>
      </c>
      <c r="F112" s="22">
        <v>1</v>
      </c>
      <c r="G112" s="22">
        <v>0</v>
      </c>
      <c r="H112" s="22">
        <f>F112*AE112</f>
        <v>0</v>
      </c>
      <c r="I112" s="22">
        <f>J112-H112</f>
        <v>0</v>
      </c>
      <c r="J112" s="22">
        <f>F112*G112</f>
        <v>0</v>
      </c>
      <c r="K112" s="22">
        <v>0</v>
      </c>
      <c r="L112" s="22">
        <f>F112*K112</f>
        <v>0</v>
      </c>
      <c r="M112" s="35" t="s">
        <v>1531</v>
      </c>
      <c r="N112" s="35" t="s">
        <v>8</v>
      </c>
      <c r="O112" s="22">
        <f>IF(N112="5",I112,0)</f>
        <v>0</v>
      </c>
      <c r="Z112" s="22">
        <f>IF(AD112=0,J112,0)</f>
        <v>0</v>
      </c>
      <c r="AA112" s="22">
        <f>IF(AD112=15,J112,0)</f>
        <v>0</v>
      </c>
      <c r="AB112" s="22">
        <f>IF(AD112=21,J112,0)</f>
        <v>0</v>
      </c>
      <c r="AD112" s="39">
        <v>15</v>
      </c>
      <c r="AE112" s="39">
        <f>G112*0</f>
        <v>0</v>
      </c>
      <c r="AF112" s="39">
        <f>G112*(1-0)</f>
        <v>0</v>
      </c>
      <c r="AM112" s="39">
        <f>F112*AE112</f>
        <v>0</v>
      </c>
      <c r="AN112" s="39">
        <f>F112*AF112</f>
        <v>0</v>
      </c>
      <c r="AO112" s="40" t="s">
        <v>1565</v>
      </c>
      <c r="AP112" s="40" t="s">
        <v>1607</v>
      </c>
      <c r="AQ112" s="31" t="s">
        <v>1611</v>
      </c>
    </row>
    <row r="113" ht="12.75">
      <c r="D113" s="18" t="s">
        <v>1049</v>
      </c>
    </row>
    <row r="114" spans="1:43" ht="12.75">
      <c r="A114" s="5" t="s">
        <v>60</v>
      </c>
      <c r="B114" s="5" t="s">
        <v>594</v>
      </c>
      <c r="C114" s="5" t="s">
        <v>669</v>
      </c>
      <c r="D114" s="5" t="s">
        <v>1050</v>
      </c>
      <c r="E114" s="5" t="s">
        <v>1504</v>
      </c>
      <c r="F114" s="22">
        <v>1</v>
      </c>
      <c r="G114" s="22">
        <v>0</v>
      </c>
      <c r="H114" s="22">
        <f>F114*AE114</f>
        <v>0</v>
      </c>
      <c r="I114" s="22">
        <f>J114-H114</f>
        <v>0</v>
      </c>
      <c r="J114" s="22">
        <f>F114*G114</f>
        <v>0</v>
      </c>
      <c r="K114" s="22">
        <v>0</v>
      </c>
      <c r="L114" s="22">
        <f>F114*K114</f>
        <v>0</v>
      </c>
      <c r="M114" s="35" t="s">
        <v>1531</v>
      </c>
      <c r="N114" s="35" t="s">
        <v>8</v>
      </c>
      <c r="O114" s="22">
        <f>IF(N114="5",I114,0)</f>
        <v>0</v>
      </c>
      <c r="Z114" s="22">
        <f>IF(AD114=0,J114,0)</f>
        <v>0</v>
      </c>
      <c r="AA114" s="22">
        <f>IF(AD114=15,J114,0)</f>
        <v>0</v>
      </c>
      <c r="AB114" s="22">
        <f>IF(AD114=21,J114,0)</f>
        <v>0</v>
      </c>
      <c r="AD114" s="39">
        <v>15</v>
      </c>
      <c r="AE114" s="39">
        <f>G114*0</f>
        <v>0</v>
      </c>
      <c r="AF114" s="39">
        <f>G114*(1-0)</f>
        <v>0</v>
      </c>
      <c r="AM114" s="39">
        <f>F114*AE114</f>
        <v>0</v>
      </c>
      <c r="AN114" s="39">
        <f>F114*AF114</f>
        <v>0</v>
      </c>
      <c r="AO114" s="40" t="s">
        <v>1565</v>
      </c>
      <c r="AP114" s="40" t="s">
        <v>1607</v>
      </c>
      <c r="AQ114" s="31" t="s">
        <v>1611</v>
      </c>
    </row>
    <row r="115" ht="12.75">
      <c r="D115" s="18" t="s">
        <v>1051</v>
      </c>
    </row>
    <row r="116" spans="1:43" ht="12.75">
      <c r="A116" s="5" t="s">
        <v>61</v>
      </c>
      <c r="B116" s="5" t="s">
        <v>594</v>
      </c>
      <c r="C116" s="5" t="s">
        <v>670</v>
      </c>
      <c r="D116" s="5" t="s">
        <v>1052</v>
      </c>
      <c r="E116" s="5" t="s">
        <v>1504</v>
      </c>
      <c r="F116" s="22">
        <v>1</v>
      </c>
      <c r="G116" s="22">
        <v>0</v>
      </c>
      <c r="H116" s="22">
        <f>F116*AE116</f>
        <v>0</v>
      </c>
      <c r="I116" s="22">
        <f>J116-H116</f>
        <v>0</v>
      </c>
      <c r="J116" s="22">
        <f>F116*G116</f>
        <v>0</v>
      </c>
      <c r="K116" s="22">
        <v>0</v>
      </c>
      <c r="L116" s="22">
        <f>F116*K116</f>
        <v>0</v>
      </c>
      <c r="M116" s="35" t="s">
        <v>1531</v>
      </c>
      <c r="N116" s="35" t="s">
        <v>8</v>
      </c>
      <c r="O116" s="22">
        <f>IF(N116="5",I116,0)</f>
        <v>0</v>
      </c>
      <c r="Z116" s="22">
        <f>IF(AD116=0,J116,0)</f>
        <v>0</v>
      </c>
      <c r="AA116" s="22">
        <f>IF(AD116=15,J116,0)</f>
        <v>0</v>
      </c>
      <c r="AB116" s="22">
        <f>IF(AD116=21,J116,0)</f>
        <v>0</v>
      </c>
      <c r="AD116" s="39">
        <v>15</v>
      </c>
      <c r="AE116" s="39">
        <f>G116*0</f>
        <v>0</v>
      </c>
      <c r="AF116" s="39">
        <f>G116*(1-0)</f>
        <v>0</v>
      </c>
      <c r="AM116" s="39">
        <f>F116*AE116</f>
        <v>0</v>
      </c>
      <c r="AN116" s="39">
        <f>F116*AF116</f>
        <v>0</v>
      </c>
      <c r="AO116" s="40" t="s">
        <v>1565</v>
      </c>
      <c r="AP116" s="40" t="s">
        <v>1607</v>
      </c>
      <c r="AQ116" s="31" t="s">
        <v>1611</v>
      </c>
    </row>
    <row r="117" ht="12.75">
      <c r="D117" s="18" t="s">
        <v>1053</v>
      </c>
    </row>
    <row r="118" spans="1:43" ht="12.75">
      <c r="A118" s="5" t="s">
        <v>62</v>
      </c>
      <c r="B118" s="5" t="s">
        <v>594</v>
      </c>
      <c r="C118" s="5" t="s">
        <v>650</v>
      </c>
      <c r="D118" s="5" t="s">
        <v>1054</v>
      </c>
      <c r="E118" s="5" t="s">
        <v>1507</v>
      </c>
      <c r="F118" s="22">
        <v>50</v>
      </c>
      <c r="G118" s="22">
        <v>0</v>
      </c>
      <c r="H118" s="22">
        <f>F118*AE118</f>
        <v>0</v>
      </c>
      <c r="I118" s="22">
        <f>J118-H118</f>
        <v>0</v>
      </c>
      <c r="J118" s="22">
        <f>F118*G118</f>
        <v>0</v>
      </c>
      <c r="K118" s="22">
        <v>0</v>
      </c>
      <c r="L118" s="22">
        <f>F118*K118</f>
        <v>0</v>
      </c>
      <c r="M118" s="35" t="s">
        <v>1531</v>
      </c>
      <c r="N118" s="35" t="s">
        <v>7</v>
      </c>
      <c r="O118" s="22">
        <f>IF(N118="5",I118,0)</f>
        <v>0</v>
      </c>
      <c r="Z118" s="22">
        <f>IF(AD118=0,J118,0)</f>
        <v>0</v>
      </c>
      <c r="AA118" s="22">
        <f>IF(AD118=15,J118,0)</f>
        <v>0</v>
      </c>
      <c r="AB118" s="22">
        <f>IF(AD118=21,J118,0)</f>
        <v>0</v>
      </c>
      <c r="AD118" s="39">
        <v>15</v>
      </c>
      <c r="AE118" s="39">
        <f>G118*0</f>
        <v>0</v>
      </c>
      <c r="AF118" s="39">
        <f>G118*(1-0)</f>
        <v>0</v>
      </c>
      <c r="AM118" s="39">
        <f>F118*AE118</f>
        <v>0</v>
      </c>
      <c r="AN118" s="39">
        <f>F118*AF118</f>
        <v>0</v>
      </c>
      <c r="AO118" s="40" t="s">
        <v>1565</v>
      </c>
      <c r="AP118" s="40" t="s">
        <v>1607</v>
      </c>
      <c r="AQ118" s="31" t="s">
        <v>1611</v>
      </c>
    </row>
    <row r="119" ht="12.75">
      <c r="D119" s="18" t="s">
        <v>1055</v>
      </c>
    </row>
    <row r="120" spans="1:43" ht="12.75">
      <c r="A120" s="5" t="s">
        <v>63</v>
      </c>
      <c r="B120" s="5" t="s">
        <v>594</v>
      </c>
      <c r="C120" s="5" t="s">
        <v>671</v>
      </c>
      <c r="D120" s="5" t="s">
        <v>1056</v>
      </c>
      <c r="E120" s="5" t="s">
        <v>1504</v>
      </c>
      <c r="F120" s="22">
        <v>18</v>
      </c>
      <c r="G120" s="22">
        <v>0</v>
      </c>
      <c r="H120" s="22">
        <f aca="true" t="shared" si="30" ref="H120:H136">F120*AE120</f>
        <v>0</v>
      </c>
      <c r="I120" s="22">
        <f aca="true" t="shared" si="31" ref="I120:I136">J120-H120</f>
        <v>0</v>
      </c>
      <c r="J120" s="22">
        <f aca="true" t="shared" si="32" ref="J120:J136">F120*G120</f>
        <v>0</v>
      </c>
      <c r="K120" s="22">
        <v>0</v>
      </c>
      <c r="L120" s="22">
        <f aca="true" t="shared" si="33" ref="L120:L136">F120*K120</f>
        <v>0</v>
      </c>
      <c r="M120" s="35" t="s">
        <v>1531</v>
      </c>
      <c r="N120" s="35" t="s">
        <v>8</v>
      </c>
      <c r="O120" s="22">
        <f aca="true" t="shared" si="34" ref="O120:O136">IF(N120="5",I120,0)</f>
        <v>0</v>
      </c>
      <c r="Z120" s="22">
        <f aca="true" t="shared" si="35" ref="Z120:Z136">IF(AD120=0,J120,0)</f>
        <v>0</v>
      </c>
      <c r="AA120" s="22">
        <f aca="true" t="shared" si="36" ref="AA120:AA136">IF(AD120=15,J120,0)</f>
        <v>0</v>
      </c>
      <c r="AB120" s="22">
        <f aca="true" t="shared" si="37" ref="AB120:AB136">IF(AD120=21,J120,0)</f>
        <v>0</v>
      </c>
      <c r="AD120" s="39">
        <v>15</v>
      </c>
      <c r="AE120" s="39">
        <f aca="true" t="shared" si="38" ref="AE120:AE136">G120*1</f>
        <v>0</v>
      </c>
      <c r="AF120" s="39">
        <f aca="true" t="shared" si="39" ref="AF120:AF136">G120*(1-1)</f>
        <v>0</v>
      </c>
      <c r="AM120" s="39">
        <f aca="true" t="shared" si="40" ref="AM120:AM136">F120*AE120</f>
        <v>0</v>
      </c>
      <c r="AN120" s="39">
        <f aca="true" t="shared" si="41" ref="AN120:AN136">F120*AF120</f>
        <v>0</v>
      </c>
      <c r="AO120" s="40" t="s">
        <v>1565</v>
      </c>
      <c r="AP120" s="40" t="s">
        <v>1607</v>
      </c>
      <c r="AQ120" s="31" t="s">
        <v>1611</v>
      </c>
    </row>
    <row r="121" spans="1:43" ht="12.75">
      <c r="A121" s="6" t="s">
        <v>64</v>
      </c>
      <c r="B121" s="6" t="s">
        <v>594</v>
      </c>
      <c r="C121" s="6" t="s">
        <v>672</v>
      </c>
      <c r="D121" s="6" t="s">
        <v>1057</v>
      </c>
      <c r="E121" s="6" t="s">
        <v>1504</v>
      </c>
      <c r="F121" s="24">
        <v>28</v>
      </c>
      <c r="G121" s="24">
        <v>0</v>
      </c>
      <c r="H121" s="24">
        <f t="shared" si="30"/>
        <v>0</v>
      </c>
      <c r="I121" s="24">
        <f t="shared" si="31"/>
        <v>0</v>
      </c>
      <c r="J121" s="24">
        <f t="shared" si="32"/>
        <v>0</v>
      </c>
      <c r="K121" s="24">
        <v>5E-05</v>
      </c>
      <c r="L121" s="24">
        <f t="shared" si="33"/>
        <v>0.0014</v>
      </c>
      <c r="M121" s="36" t="s">
        <v>1531</v>
      </c>
      <c r="N121" s="36" t="s">
        <v>1533</v>
      </c>
      <c r="O121" s="24">
        <f t="shared" si="34"/>
        <v>0</v>
      </c>
      <c r="Z121" s="24">
        <f t="shared" si="35"/>
        <v>0</v>
      </c>
      <c r="AA121" s="24">
        <f t="shared" si="36"/>
        <v>0</v>
      </c>
      <c r="AB121" s="24">
        <f t="shared" si="37"/>
        <v>0</v>
      </c>
      <c r="AD121" s="39">
        <v>15</v>
      </c>
      <c r="AE121" s="39">
        <f t="shared" si="38"/>
        <v>0</v>
      </c>
      <c r="AF121" s="39">
        <f t="shared" si="39"/>
        <v>0</v>
      </c>
      <c r="AM121" s="39">
        <f t="shared" si="40"/>
        <v>0</v>
      </c>
      <c r="AN121" s="39">
        <f t="shared" si="41"/>
        <v>0</v>
      </c>
      <c r="AO121" s="40" t="s">
        <v>1565</v>
      </c>
      <c r="AP121" s="40" t="s">
        <v>1607</v>
      </c>
      <c r="AQ121" s="31" t="s">
        <v>1611</v>
      </c>
    </row>
    <row r="122" spans="1:43" ht="12.75">
      <c r="A122" s="6" t="s">
        <v>65</v>
      </c>
      <c r="B122" s="6" t="s">
        <v>594</v>
      </c>
      <c r="C122" s="6" t="s">
        <v>673</v>
      </c>
      <c r="D122" s="6" t="s">
        <v>1058</v>
      </c>
      <c r="E122" s="6" t="s">
        <v>1504</v>
      </c>
      <c r="F122" s="24">
        <v>20</v>
      </c>
      <c r="G122" s="24">
        <v>0</v>
      </c>
      <c r="H122" s="24">
        <f t="shared" si="30"/>
        <v>0</v>
      </c>
      <c r="I122" s="24">
        <f t="shared" si="31"/>
        <v>0</v>
      </c>
      <c r="J122" s="24">
        <f t="shared" si="32"/>
        <v>0</v>
      </c>
      <c r="K122" s="24">
        <v>1E-05</v>
      </c>
      <c r="L122" s="24">
        <f t="shared" si="33"/>
        <v>0.0002</v>
      </c>
      <c r="M122" s="36" t="s">
        <v>1531</v>
      </c>
      <c r="N122" s="36" t="s">
        <v>1533</v>
      </c>
      <c r="O122" s="24">
        <f t="shared" si="34"/>
        <v>0</v>
      </c>
      <c r="Z122" s="24">
        <f t="shared" si="35"/>
        <v>0</v>
      </c>
      <c r="AA122" s="24">
        <f t="shared" si="36"/>
        <v>0</v>
      </c>
      <c r="AB122" s="24">
        <f t="shared" si="37"/>
        <v>0</v>
      </c>
      <c r="AD122" s="39">
        <v>15</v>
      </c>
      <c r="AE122" s="39">
        <f t="shared" si="38"/>
        <v>0</v>
      </c>
      <c r="AF122" s="39">
        <f t="shared" si="39"/>
        <v>0</v>
      </c>
      <c r="AM122" s="39">
        <f t="shared" si="40"/>
        <v>0</v>
      </c>
      <c r="AN122" s="39">
        <f t="shared" si="41"/>
        <v>0</v>
      </c>
      <c r="AO122" s="40" t="s">
        <v>1565</v>
      </c>
      <c r="AP122" s="40" t="s">
        <v>1607</v>
      </c>
      <c r="AQ122" s="31" t="s">
        <v>1611</v>
      </c>
    </row>
    <row r="123" spans="1:43" ht="12.75">
      <c r="A123" s="6" t="s">
        <v>66</v>
      </c>
      <c r="B123" s="6" t="s">
        <v>594</v>
      </c>
      <c r="C123" s="6" t="s">
        <v>674</v>
      </c>
      <c r="D123" s="6" t="s">
        <v>1059</v>
      </c>
      <c r="E123" s="6" t="s">
        <v>1504</v>
      </c>
      <c r="F123" s="24">
        <v>48</v>
      </c>
      <c r="G123" s="24">
        <v>0</v>
      </c>
      <c r="H123" s="24">
        <f t="shared" si="30"/>
        <v>0</v>
      </c>
      <c r="I123" s="24">
        <f t="shared" si="31"/>
        <v>0</v>
      </c>
      <c r="J123" s="24">
        <f t="shared" si="32"/>
        <v>0</v>
      </c>
      <c r="K123" s="24">
        <v>0</v>
      </c>
      <c r="L123" s="24">
        <f t="shared" si="33"/>
        <v>0</v>
      </c>
      <c r="M123" s="36" t="s">
        <v>1531</v>
      </c>
      <c r="N123" s="36" t="s">
        <v>1533</v>
      </c>
      <c r="O123" s="24">
        <f t="shared" si="34"/>
        <v>0</v>
      </c>
      <c r="Z123" s="24">
        <f t="shared" si="35"/>
        <v>0</v>
      </c>
      <c r="AA123" s="24">
        <f t="shared" si="36"/>
        <v>0</v>
      </c>
      <c r="AB123" s="24">
        <f t="shared" si="37"/>
        <v>0</v>
      </c>
      <c r="AD123" s="39">
        <v>15</v>
      </c>
      <c r="AE123" s="39">
        <f t="shared" si="38"/>
        <v>0</v>
      </c>
      <c r="AF123" s="39">
        <f t="shared" si="39"/>
        <v>0</v>
      </c>
      <c r="AM123" s="39">
        <f t="shared" si="40"/>
        <v>0</v>
      </c>
      <c r="AN123" s="39">
        <f t="shared" si="41"/>
        <v>0</v>
      </c>
      <c r="AO123" s="40" t="s">
        <v>1565</v>
      </c>
      <c r="AP123" s="40" t="s">
        <v>1607</v>
      </c>
      <c r="AQ123" s="31" t="s">
        <v>1611</v>
      </c>
    </row>
    <row r="124" spans="1:43" ht="12.75">
      <c r="A124" s="6" t="s">
        <v>67</v>
      </c>
      <c r="B124" s="6" t="s">
        <v>594</v>
      </c>
      <c r="C124" s="6" t="s">
        <v>675</v>
      </c>
      <c r="D124" s="6" t="s">
        <v>1060</v>
      </c>
      <c r="E124" s="6" t="s">
        <v>1504</v>
      </c>
      <c r="F124" s="24">
        <v>16</v>
      </c>
      <c r="G124" s="24">
        <v>0</v>
      </c>
      <c r="H124" s="24">
        <f t="shared" si="30"/>
        <v>0</v>
      </c>
      <c r="I124" s="24">
        <f t="shared" si="31"/>
        <v>0</v>
      </c>
      <c r="J124" s="24">
        <f t="shared" si="32"/>
        <v>0</v>
      </c>
      <c r="K124" s="24">
        <v>1E-05</v>
      </c>
      <c r="L124" s="24">
        <f t="shared" si="33"/>
        <v>0.00016</v>
      </c>
      <c r="M124" s="36" t="s">
        <v>1531</v>
      </c>
      <c r="N124" s="36" t="s">
        <v>1533</v>
      </c>
      <c r="O124" s="24">
        <f t="shared" si="34"/>
        <v>0</v>
      </c>
      <c r="Z124" s="24">
        <f t="shared" si="35"/>
        <v>0</v>
      </c>
      <c r="AA124" s="24">
        <f t="shared" si="36"/>
        <v>0</v>
      </c>
      <c r="AB124" s="24">
        <f t="shared" si="37"/>
        <v>0</v>
      </c>
      <c r="AD124" s="39">
        <v>15</v>
      </c>
      <c r="AE124" s="39">
        <f t="shared" si="38"/>
        <v>0</v>
      </c>
      <c r="AF124" s="39">
        <f t="shared" si="39"/>
        <v>0</v>
      </c>
      <c r="AM124" s="39">
        <f t="shared" si="40"/>
        <v>0</v>
      </c>
      <c r="AN124" s="39">
        <f t="shared" si="41"/>
        <v>0</v>
      </c>
      <c r="AO124" s="40" t="s">
        <v>1565</v>
      </c>
      <c r="AP124" s="40" t="s">
        <v>1607</v>
      </c>
      <c r="AQ124" s="31" t="s">
        <v>1611</v>
      </c>
    </row>
    <row r="125" spans="1:43" ht="12.75">
      <c r="A125" s="6" t="s">
        <v>68</v>
      </c>
      <c r="B125" s="6" t="s">
        <v>594</v>
      </c>
      <c r="C125" s="6" t="s">
        <v>676</v>
      </c>
      <c r="D125" s="6" t="s">
        <v>1061</v>
      </c>
      <c r="E125" s="6" t="s">
        <v>1504</v>
      </c>
      <c r="F125" s="24">
        <v>4</v>
      </c>
      <c r="G125" s="24">
        <v>0</v>
      </c>
      <c r="H125" s="24">
        <f t="shared" si="30"/>
        <v>0</v>
      </c>
      <c r="I125" s="24">
        <f t="shared" si="31"/>
        <v>0</v>
      </c>
      <c r="J125" s="24">
        <f t="shared" si="32"/>
        <v>0</v>
      </c>
      <c r="K125" s="24">
        <v>5E-05</v>
      </c>
      <c r="L125" s="24">
        <f t="shared" si="33"/>
        <v>0.0002</v>
      </c>
      <c r="M125" s="36" t="s">
        <v>1531</v>
      </c>
      <c r="N125" s="36" t="s">
        <v>1533</v>
      </c>
      <c r="O125" s="24">
        <f t="shared" si="34"/>
        <v>0</v>
      </c>
      <c r="Z125" s="24">
        <f t="shared" si="35"/>
        <v>0</v>
      </c>
      <c r="AA125" s="24">
        <f t="shared" si="36"/>
        <v>0</v>
      </c>
      <c r="AB125" s="24">
        <f t="shared" si="37"/>
        <v>0</v>
      </c>
      <c r="AD125" s="39">
        <v>15</v>
      </c>
      <c r="AE125" s="39">
        <f t="shared" si="38"/>
        <v>0</v>
      </c>
      <c r="AF125" s="39">
        <f t="shared" si="39"/>
        <v>0</v>
      </c>
      <c r="AM125" s="39">
        <f t="shared" si="40"/>
        <v>0</v>
      </c>
      <c r="AN125" s="39">
        <f t="shared" si="41"/>
        <v>0</v>
      </c>
      <c r="AO125" s="40" t="s">
        <v>1565</v>
      </c>
      <c r="AP125" s="40" t="s">
        <v>1607</v>
      </c>
      <c r="AQ125" s="31" t="s">
        <v>1611</v>
      </c>
    </row>
    <row r="126" spans="1:43" ht="12.75">
      <c r="A126" s="6" t="s">
        <v>69</v>
      </c>
      <c r="B126" s="6" t="s">
        <v>594</v>
      </c>
      <c r="C126" s="6" t="s">
        <v>677</v>
      </c>
      <c r="D126" s="6" t="s">
        <v>1062</v>
      </c>
      <c r="E126" s="6" t="s">
        <v>1504</v>
      </c>
      <c r="F126" s="24">
        <v>48</v>
      </c>
      <c r="G126" s="24">
        <v>0</v>
      </c>
      <c r="H126" s="24">
        <f t="shared" si="30"/>
        <v>0</v>
      </c>
      <c r="I126" s="24">
        <f t="shared" si="31"/>
        <v>0</v>
      </c>
      <c r="J126" s="24">
        <f t="shared" si="32"/>
        <v>0</v>
      </c>
      <c r="K126" s="24">
        <v>2E-05</v>
      </c>
      <c r="L126" s="24">
        <f t="shared" si="33"/>
        <v>0.0009600000000000001</v>
      </c>
      <c r="M126" s="36" t="s">
        <v>1531</v>
      </c>
      <c r="N126" s="36" t="s">
        <v>1533</v>
      </c>
      <c r="O126" s="24">
        <f t="shared" si="34"/>
        <v>0</v>
      </c>
      <c r="Z126" s="24">
        <f t="shared" si="35"/>
        <v>0</v>
      </c>
      <c r="AA126" s="24">
        <f t="shared" si="36"/>
        <v>0</v>
      </c>
      <c r="AB126" s="24">
        <f t="shared" si="37"/>
        <v>0</v>
      </c>
      <c r="AD126" s="39">
        <v>15</v>
      </c>
      <c r="AE126" s="39">
        <f t="shared" si="38"/>
        <v>0</v>
      </c>
      <c r="AF126" s="39">
        <f t="shared" si="39"/>
        <v>0</v>
      </c>
      <c r="AM126" s="39">
        <f t="shared" si="40"/>
        <v>0</v>
      </c>
      <c r="AN126" s="39">
        <f t="shared" si="41"/>
        <v>0</v>
      </c>
      <c r="AO126" s="40" t="s">
        <v>1565</v>
      </c>
      <c r="AP126" s="40" t="s">
        <v>1607</v>
      </c>
      <c r="AQ126" s="31" t="s">
        <v>1611</v>
      </c>
    </row>
    <row r="127" spans="1:43" ht="12.75">
      <c r="A127" s="6" t="s">
        <v>70</v>
      </c>
      <c r="B127" s="6" t="s">
        <v>594</v>
      </c>
      <c r="C127" s="6" t="s">
        <v>678</v>
      </c>
      <c r="D127" s="6" t="s">
        <v>1063</v>
      </c>
      <c r="E127" s="6" t="s">
        <v>1505</v>
      </c>
      <c r="F127" s="24">
        <v>150</v>
      </c>
      <c r="G127" s="24">
        <v>0</v>
      </c>
      <c r="H127" s="24">
        <f t="shared" si="30"/>
        <v>0</v>
      </c>
      <c r="I127" s="24">
        <f t="shared" si="31"/>
        <v>0</v>
      </c>
      <c r="J127" s="24">
        <f t="shared" si="32"/>
        <v>0</v>
      </c>
      <c r="K127" s="24">
        <v>0.00016</v>
      </c>
      <c r="L127" s="24">
        <f t="shared" si="33"/>
        <v>0.024</v>
      </c>
      <c r="M127" s="36" t="s">
        <v>1531</v>
      </c>
      <c r="N127" s="36" t="s">
        <v>1533</v>
      </c>
      <c r="O127" s="24">
        <f t="shared" si="34"/>
        <v>0</v>
      </c>
      <c r="Z127" s="24">
        <f t="shared" si="35"/>
        <v>0</v>
      </c>
      <c r="AA127" s="24">
        <f t="shared" si="36"/>
        <v>0</v>
      </c>
      <c r="AB127" s="24">
        <f t="shared" si="37"/>
        <v>0</v>
      </c>
      <c r="AD127" s="39">
        <v>15</v>
      </c>
      <c r="AE127" s="39">
        <f t="shared" si="38"/>
        <v>0</v>
      </c>
      <c r="AF127" s="39">
        <f t="shared" si="39"/>
        <v>0</v>
      </c>
      <c r="AM127" s="39">
        <f t="shared" si="40"/>
        <v>0</v>
      </c>
      <c r="AN127" s="39">
        <f t="shared" si="41"/>
        <v>0</v>
      </c>
      <c r="AO127" s="40" t="s">
        <v>1565</v>
      </c>
      <c r="AP127" s="40" t="s">
        <v>1607</v>
      </c>
      <c r="AQ127" s="31" t="s">
        <v>1611</v>
      </c>
    </row>
    <row r="128" spans="1:43" ht="12.75">
      <c r="A128" s="6" t="s">
        <v>71</v>
      </c>
      <c r="B128" s="6" t="s">
        <v>594</v>
      </c>
      <c r="C128" s="6" t="s">
        <v>679</v>
      </c>
      <c r="D128" s="6" t="s">
        <v>1064</v>
      </c>
      <c r="E128" s="6" t="s">
        <v>1505</v>
      </c>
      <c r="F128" s="24">
        <v>150</v>
      </c>
      <c r="G128" s="24">
        <v>0</v>
      </c>
      <c r="H128" s="24">
        <f t="shared" si="30"/>
        <v>0</v>
      </c>
      <c r="I128" s="24">
        <f t="shared" si="31"/>
        <v>0</v>
      </c>
      <c r="J128" s="24">
        <f t="shared" si="32"/>
        <v>0</v>
      </c>
      <c r="K128" s="24">
        <v>0.00015</v>
      </c>
      <c r="L128" s="24">
        <f t="shared" si="33"/>
        <v>0.0225</v>
      </c>
      <c r="M128" s="36" t="s">
        <v>1531</v>
      </c>
      <c r="N128" s="36" t="s">
        <v>1533</v>
      </c>
      <c r="O128" s="24">
        <f t="shared" si="34"/>
        <v>0</v>
      </c>
      <c r="Z128" s="24">
        <f t="shared" si="35"/>
        <v>0</v>
      </c>
      <c r="AA128" s="24">
        <f t="shared" si="36"/>
        <v>0</v>
      </c>
      <c r="AB128" s="24">
        <f t="shared" si="37"/>
        <v>0</v>
      </c>
      <c r="AD128" s="39">
        <v>15</v>
      </c>
      <c r="AE128" s="39">
        <f t="shared" si="38"/>
        <v>0</v>
      </c>
      <c r="AF128" s="39">
        <f t="shared" si="39"/>
        <v>0</v>
      </c>
      <c r="AM128" s="39">
        <f t="shared" si="40"/>
        <v>0</v>
      </c>
      <c r="AN128" s="39">
        <f t="shared" si="41"/>
        <v>0</v>
      </c>
      <c r="AO128" s="40" t="s">
        <v>1565</v>
      </c>
      <c r="AP128" s="40" t="s">
        <v>1607</v>
      </c>
      <c r="AQ128" s="31" t="s">
        <v>1611</v>
      </c>
    </row>
    <row r="129" spans="1:43" ht="12.75">
      <c r="A129" s="6" t="s">
        <v>72</v>
      </c>
      <c r="B129" s="6" t="s">
        <v>594</v>
      </c>
      <c r="C129" s="6" t="s">
        <v>680</v>
      </c>
      <c r="D129" s="6" t="s">
        <v>1065</v>
      </c>
      <c r="E129" s="6" t="s">
        <v>1505</v>
      </c>
      <c r="F129" s="24">
        <v>210</v>
      </c>
      <c r="G129" s="24">
        <v>0</v>
      </c>
      <c r="H129" s="24">
        <f t="shared" si="30"/>
        <v>0</v>
      </c>
      <c r="I129" s="24">
        <f t="shared" si="31"/>
        <v>0</v>
      </c>
      <c r="J129" s="24">
        <f t="shared" si="32"/>
        <v>0</v>
      </c>
      <c r="K129" s="24">
        <v>0.00022</v>
      </c>
      <c r="L129" s="24">
        <f t="shared" si="33"/>
        <v>0.046200000000000005</v>
      </c>
      <c r="M129" s="36" t="s">
        <v>1531</v>
      </c>
      <c r="N129" s="36" t="s">
        <v>1533</v>
      </c>
      <c r="O129" s="24">
        <f t="shared" si="34"/>
        <v>0</v>
      </c>
      <c r="Z129" s="24">
        <f t="shared" si="35"/>
        <v>0</v>
      </c>
      <c r="AA129" s="24">
        <f t="shared" si="36"/>
        <v>0</v>
      </c>
      <c r="AB129" s="24">
        <f t="shared" si="37"/>
        <v>0</v>
      </c>
      <c r="AD129" s="39">
        <v>15</v>
      </c>
      <c r="AE129" s="39">
        <f t="shared" si="38"/>
        <v>0</v>
      </c>
      <c r="AF129" s="39">
        <f t="shared" si="39"/>
        <v>0</v>
      </c>
      <c r="AM129" s="39">
        <f t="shared" si="40"/>
        <v>0</v>
      </c>
      <c r="AN129" s="39">
        <f t="shared" si="41"/>
        <v>0</v>
      </c>
      <c r="AO129" s="40" t="s">
        <v>1565</v>
      </c>
      <c r="AP129" s="40" t="s">
        <v>1607</v>
      </c>
      <c r="AQ129" s="31" t="s">
        <v>1611</v>
      </c>
    </row>
    <row r="130" spans="1:43" ht="12.75">
      <c r="A130" s="6" t="s">
        <v>73</v>
      </c>
      <c r="B130" s="6" t="s">
        <v>594</v>
      </c>
      <c r="C130" s="6" t="s">
        <v>681</v>
      </c>
      <c r="D130" s="6" t="s">
        <v>1066</v>
      </c>
      <c r="E130" s="6" t="s">
        <v>1505</v>
      </c>
      <c r="F130" s="24">
        <v>45</v>
      </c>
      <c r="G130" s="24">
        <v>0</v>
      </c>
      <c r="H130" s="24">
        <f t="shared" si="30"/>
        <v>0</v>
      </c>
      <c r="I130" s="24">
        <f t="shared" si="31"/>
        <v>0</v>
      </c>
      <c r="J130" s="24">
        <f t="shared" si="32"/>
        <v>0</v>
      </c>
      <c r="K130" s="24">
        <v>0.0003</v>
      </c>
      <c r="L130" s="24">
        <f t="shared" si="33"/>
        <v>0.013499999999999998</v>
      </c>
      <c r="M130" s="36" t="s">
        <v>1531</v>
      </c>
      <c r="N130" s="36" t="s">
        <v>1533</v>
      </c>
      <c r="O130" s="24">
        <f t="shared" si="34"/>
        <v>0</v>
      </c>
      <c r="Z130" s="24">
        <f t="shared" si="35"/>
        <v>0</v>
      </c>
      <c r="AA130" s="24">
        <f t="shared" si="36"/>
        <v>0</v>
      </c>
      <c r="AB130" s="24">
        <f t="shared" si="37"/>
        <v>0</v>
      </c>
      <c r="AD130" s="39">
        <v>15</v>
      </c>
      <c r="AE130" s="39">
        <f t="shared" si="38"/>
        <v>0</v>
      </c>
      <c r="AF130" s="39">
        <f t="shared" si="39"/>
        <v>0</v>
      </c>
      <c r="AM130" s="39">
        <f t="shared" si="40"/>
        <v>0</v>
      </c>
      <c r="AN130" s="39">
        <f t="shared" si="41"/>
        <v>0</v>
      </c>
      <c r="AO130" s="40" t="s">
        <v>1565</v>
      </c>
      <c r="AP130" s="40" t="s">
        <v>1607</v>
      </c>
      <c r="AQ130" s="31" t="s">
        <v>1611</v>
      </c>
    </row>
    <row r="131" spans="1:43" ht="12.75">
      <c r="A131" s="6" t="s">
        <v>74</v>
      </c>
      <c r="B131" s="6" t="s">
        <v>594</v>
      </c>
      <c r="C131" s="6" t="s">
        <v>682</v>
      </c>
      <c r="D131" s="6" t="s">
        <v>1067</v>
      </c>
      <c r="E131" s="6" t="s">
        <v>1505</v>
      </c>
      <c r="F131" s="24">
        <v>30</v>
      </c>
      <c r="G131" s="24">
        <v>0</v>
      </c>
      <c r="H131" s="24">
        <f t="shared" si="30"/>
        <v>0</v>
      </c>
      <c r="I131" s="24">
        <f t="shared" si="31"/>
        <v>0</v>
      </c>
      <c r="J131" s="24">
        <f t="shared" si="32"/>
        <v>0</v>
      </c>
      <c r="K131" s="24">
        <v>0.00041</v>
      </c>
      <c r="L131" s="24">
        <f t="shared" si="33"/>
        <v>0.0123</v>
      </c>
      <c r="M131" s="36" t="s">
        <v>1531</v>
      </c>
      <c r="N131" s="36" t="s">
        <v>1533</v>
      </c>
      <c r="O131" s="24">
        <f t="shared" si="34"/>
        <v>0</v>
      </c>
      <c r="Z131" s="24">
        <f t="shared" si="35"/>
        <v>0</v>
      </c>
      <c r="AA131" s="24">
        <f t="shared" si="36"/>
        <v>0</v>
      </c>
      <c r="AB131" s="24">
        <f t="shared" si="37"/>
        <v>0</v>
      </c>
      <c r="AD131" s="39">
        <v>15</v>
      </c>
      <c r="AE131" s="39">
        <f t="shared" si="38"/>
        <v>0</v>
      </c>
      <c r="AF131" s="39">
        <f t="shared" si="39"/>
        <v>0</v>
      </c>
      <c r="AM131" s="39">
        <f t="shared" si="40"/>
        <v>0</v>
      </c>
      <c r="AN131" s="39">
        <f t="shared" si="41"/>
        <v>0</v>
      </c>
      <c r="AO131" s="40" t="s">
        <v>1565</v>
      </c>
      <c r="AP131" s="40" t="s">
        <v>1607</v>
      </c>
      <c r="AQ131" s="31" t="s">
        <v>1611</v>
      </c>
    </row>
    <row r="132" spans="1:43" ht="12.75">
      <c r="A132" s="6" t="s">
        <v>75</v>
      </c>
      <c r="B132" s="6" t="s">
        <v>594</v>
      </c>
      <c r="C132" s="6" t="s">
        <v>683</v>
      </c>
      <c r="D132" s="6" t="s">
        <v>1068</v>
      </c>
      <c r="E132" s="6" t="s">
        <v>1505</v>
      </c>
      <c r="F132" s="24">
        <v>20</v>
      </c>
      <c r="G132" s="24">
        <v>0</v>
      </c>
      <c r="H132" s="24">
        <f t="shared" si="30"/>
        <v>0</v>
      </c>
      <c r="I132" s="24">
        <f t="shared" si="31"/>
        <v>0</v>
      </c>
      <c r="J132" s="24">
        <f t="shared" si="32"/>
        <v>0</v>
      </c>
      <c r="K132" s="24">
        <v>0.00018</v>
      </c>
      <c r="L132" s="24">
        <f t="shared" si="33"/>
        <v>0.0036000000000000003</v>
      </c>
      <c r="M132" s="36" t="s">
        <v>1531</v>
      </c>
      <c r="N132" s="36" t="s">
        <v>1533</v>
      </c>
      <c r="O132" s="24">
        <f t="shared" si="34"/>
        <v>0</v>
      </c>
      <c r="Z132" s="24">
        <f t="shared" si="35"/>
        <v>0</v>
      </c>
      <c r="AA132" s="24">
        <f t="shared" si="36"/>
        <v>0</v>
      </c>
      <c r="AB132" s="24">
        <f t="shared" si="37"/>
        <v>0</v>
      </c>
      <c r="AD132" s="39">
        <v>15</v>
      </c>
      <c r="AE132" s="39">
        <f t="shared" si="38"/>
        <v>0</v>
      </c>
      <c r="AF132" s="39">
        <f t="shared" si="39"/>
        <v>0</v>
      </c>
      <c r="AM132" s="39">
        <f t="shared" si="40"/>
        <v>0</v>
      </c>
      <c r="AN132" s="39">
        <f t="shared" si="41"/>
        <v>0</v>
      </c>
      <c r="AO132" s="40" t="s">
        <v>1565</v>
      </c>
      <c r="AP132" s="40" t="s">
        <v>1607</v>
      </c>
      <c r="AQ132" s="31" t="s">
        <v>1611</v>
      </c>
    </row>
    <row r="133" spans="1:43" ht="12.75">
      <c r="A133" s="6" t="s">
        <v>76</v>
      </c>
      <c r="B133" s="6" t="s">
        <v>594</v>
      </c>
      <c r="C133" s="6" t="s">
        <v>684</v>
      </c>
      <c r="D133" s="6" t="s">
        <v>1069</v>
      </c>
      <c r="E133" s="6" t="s">
        <v>1504</v>
      </c>
      <c r="F133" s="24">
        <v>14</v>
      </c>
      <c r="G133" s="24">
        <v>0</v>
      </c>
      <c r="H133" s="24">
        <f t="shared" si="30"/>
        <v>0</v>
      </c>
      <c r="I133" s="24">
        <f t="shared" si="31"/>
        <v>0</v>
      </c>
      <c r="J133" s="24">
        <f t="shared" si="32"/>
        <v>0</v>
      </c>
      <c r="K133" s="24">
        <v>3E-05</v>
      </c>
      <c r="L133" s="24">
        <f t="shared" si="33"/>
        <v>0.00042</v>
      </c>
      <c r="M133" s="36" t="s">
        <v>1531</v>
      </c>
      <c r="N133" s="36" t="s">
        <v>1533</v>
      </c>
      <c r="O133" s="24">
        <f t="shared" si="34"/>
        <v>0</v>
      </c>
      <c r="Z133" s="24">
        <f t="shared" si="35"/>
        <v>0</v>
      </c>
      <c r="AA133" s="24">
        <f t="shared" si="36"/>
        <v>0</v>
      </c>
      <c r="AB133" s="24">
        <f t="shared" si="37"/>
        <v>0</v>
      </c>
      <c r="AD133" s="39">
        <v>15</v>
      </c>
      <c r="AE133" s="39">
        <f t="shared" si="38"/>
        <v>0</v>
      </c>
      <c r="AF133" s="39">
        <f t="shared" si="39"/>
        <v>0</v>
      </c>
      <c r="AM133" s="39">
        <f t="shared" si="40"/>
        <v>0</v>
      </c>
      <c r="AN133" s="39">
        <f t="shared" si="41"/>
        <v>0</v>
      </c>
      <c r="AO133" s="40" t="s">
        <v>1565</v>
      </c>
      <c r="AP133" s="40" t="s">
        <v>1607</v>
      </c>
      <c r="AQ133" s="31" t="s">
        <v>1611</v>
      </c>
    </row>
    <row r="134" spans="1:43" ht="12.75">
      <c r="A134" s="6" t="s">
        <v>77</v>
      </c>
      <c r="B134" s="6" t="s">
        <v>594</v>
      </c>
      <c r="C134" s="6" t="s">
        <v>685</v>
      </c>
      <c r="D134" s="6" t="s">
        <v>1070</v>
      </c>
      <c r="E134" s="6" t="s">
        <v>1504</v>
      </c>
      <c r="F134" s="24">
        <v>14</v>
      </c>
      <c r="G134" s="24">
        <v>0</v>
      </c>
      <c r="H134" s="24">
        <f t="shared" si="30"/>
        <v>0</v>
      </c>
      <c r="I134" s="24">
        <f t="shared" si="31"/>
        <v>0</v>
      </c>
      <c r="J134" s="24">
        <f t="shared" si="32"/>
        <v>0</v>
      </c>
      <c r="K134" s="24">
        <v>1E-05</v>
      </c>
      <c r="L134" s="24">
        <f t="shared" si="33"/>
        <v>0.00014000000000000001</v>
      </c>
      <c r="M134" s="36" t="s">
        <v>1531</v>
      </c>
      <c r="N134" s="36" t="s">
        <v>1533</v>
      </c>
      <c r="O134" s="24">
        <f t="shared" si="34"/>
        <v>0</v>
      </c>
      <c r="Z134" s="24">
        <f t="shared" si="35"/>
        <v>0</v>
      </c>
      <c r="AA134" s="24">
        <f t="shared" si="36"/>
        <v>0</v>
      </c>
      <c r="AB134" s="24">
        <f t="shared" si="37"/>
        <v>0</v>
      </c>
      <c r="AD134" s="39">
        <v>15</v>
      </c>
      <c r="AE134" s="39">
        <f t="shared" si="38"/>
        <v>0</v>
      </c>
      <c r="AF134" s="39">
        <f t="shared" si="39"/>
        <v>0</v>
      </c>
      <c r="AM134" s="39">
        <f t="shared" si="40"/>
        <v>0</v>
      </c>
      <c r="AN134" s="39">
        <f t="shared" si="41"/>
        <v>0</v>
      </c>
      <c r="AO134" s="40" t="s">
        <v>1565</v>
      </c>
      <c r="AP134" s="40" t="s">
        <v>1607</v>
      </c>
      <c r="AQ134" s="31" t="s">
        <v>1611</v>
      </c>
    </row>
    <row r="135" spans="1:43" ht="12.75">
      <c r="A135" s="6" t="s">
        <v>78</v>
      </c>
      <c r="B135" s="6" t="s">
        <v>594</v>
      </c>
      <c r="C135" s="6" t="s">
        <v>686</v>
      </c>
      <c r="D135" s="6" t="s">
        <v>1071</v>
      </c>
      <c r="E135" s="6" t="s">
        <v>1504</v>
      </c>
      <c r="F135" s="24">
        <v>1</v>
      </c>
      <c r="G135" s="24">
        <v>0</v>
      </c>
      <c r="H135" s="24">
        <f t="shared" si="30"/>
        <v>0</v>
      </c>
      <c r="I135" s="24">
        <f t="shared" si="31"/>
        <v>0</v>
      </c>
      <c r="J135" s="24">
        <f t="shared" si="32"/>
        <v>0</v>
      </c>
      <c r="K135" s="24">
        <v>0.033</v>
      </c>
      <c r="L135" s="24">
        <f t="shared" si="33"/>
        <v>0.033</v>
      </c>
      <c r="M135" s="36" t="s">
        <v>1531</v>
      </c>
      <c r="N135" s="36" t="s">
        <v>1533</v>
      </c>
      <c r="O135" s="24">
        <f t="shared" si="34"/>
        <v>0</v>
      </c>
      <c r="Z135" s="24">
        <f t="shared" si="35"/>
        <v>0</v>
      </c>
      <c r="AA135" s="24">
        <f t="shared" si="36"/>
        <v>0</v>
      </c>
      <c r="AB135" s="24">
        <f t="shared" si="37"/>
        <v>0</v>
      </c>
      <c r="AD135" s="39">
        <v>15</v>
      </c>
      <c r="AE135" s="39">
        <f t="shared" si="38"/>
        <v>0</v>
      </c>
      <c r="AF135" s="39">
        <f t="shared" si="39"/>
        <v>0</v>
      </c>
      <c r="AM135" s="39">
        <f t="shared" si="40"/>
        <v>0</v>
      </c>
      <c r="AN135" s="39">
        <f t="shared" si="41"/>
        <v>0</v>
      </c>
      <c r="AO135" s="40" t="s">
        <v>1565</v>
      </c>
      <c r="AP135" s="40" t="s">
        <v>1607</v>
      </c>
      <c r="AQ135" s="31" t="s">
        <v>1611</v>
      </c>
    </row>
    <row r="136" spans="1:43" ht="12.75">
      <c r="A136" s="6" t="s">
        <v>79</v>
      </c>
      <c r="B136" s="6" t="s">
        <v>594</v>
      </c>
      <c r="C136" s="6" t="s">
        <v>687</v>
      </c>
      <c r="D136" s="6" t="s">
        <v>1072</v>
      </c>
      <c r="E136" s="6" t="s">
        <v>1504</v>
      </c>
      <c r="F136" s="24">
        <v>30</v>
      </c>
      <c r="G136" s="24">
        <v>0</v>
      </c>
      <c r="H136" s="24">
        <f t="shared" si="30"/>
        <v>0</v>
      </c>
      <c r="I136" s="24">
        <f t="shared" si="31"/>
        <v>0</v>
      </c>
      <c r="J136" s="24">
        <f t="shared" si="32"/>
        <v>0</v>
      </c>
      <c r="K136" s="24">
        <v>0</v>
      </c>
      <c r="L136" s="24">
        <f t="shared" si="33"/>
        <v>0</v>
      </c>
      <c r="M136" s="36" t="s">
        <v>1531</v>
      </c>
      <c r="N136" s="36" t="s">
        <v>1533</v>
      </c>
      <c r="O136" s="24">
        <f t="shared" si="34"/>
        <v>0</v>
      </c>
      <c r="Z136" s="24">
        <f t="shared" si="35"/>
        <v>0</v>
      </c>
      <c r="AA136" s="24">
        <f t="shared" si="36"/>
        <v>0</v>
      </c>
      <c r="AB136" s="24">
        <f t="shared" si="37"/>
        <v>0</v>
      </c>
      <c r="AD136" s="39">
        <v>15</v>
      </c>
      <c r="AE136" s="39">
        <f t="shared" si="38"/>
        <v>0</v>
      </c>
      <c r="AF136" s="39">
        <f t="shared" si="39"/>
        <v>0</v>
      </c>
      <c r="AM136" s="39">
        <f t="shared" si="40"/>
        <v>0</v>
      </c>
      <c r="AN136" s="39">
        <f t="shared" si="41"/>
        <v>0</v>
      </c>
      <c r="AO136" s="40" t="s">
        <v>1565</v>
      </c>
      <c r="AP136" s="40" t="s">
        <v>1607</v>
      </c>
      <c r="AQ136" s="31" t="s">
        <v>1611</v>
      </c>
    </row>
    <row r="137" spans="1:13" ht="12.75">
      <c r="A137" s="7"/>
      <c r="B137" s="15" t="s">
        <v>595</v>
      </c>
      <c r="C137" s="15"/>
      <c r="D137" s="106" t="s">
        <v>1073</v>
      </c>
      <c r="E137" s="107"/>
      <c r="F137" s="107"/>
      <c r="G137" s="107"/>
      <c r="H137" s="43">
        <f>H138+H157+H169+H174+H177+H185+H191+H204+H229+H264+H274+H278+H281+H286+H291+H311+H315+H331+H341+H345+H360+H364+H369+H373+H375+H377+H395+H397+H399+H401+H403+H405+H407+H409+H411+H413+H415+H417+H419+H421+H423+H425+H427+H429+H431</f>
        <v>0</v>
      </c>
      <c r="I137" s="43">
        <f>I138+I157+I169+I174+I177+I185+I191+I204+I229+I264+I274+I278+I281+I286+I291+I311+I315+I331+I341+I345+I360+I364+I369+I373+I375+I377+I395+I397+I399+I401+I403+I405+I407+I409+I411+I413+I415+I417+I419+I421+I423+I425+I427+I429+I431</f>
        <v>0</v>
      </c>
      <c r="J137" s="43">
        <f>H137+I137</f>
        <v>0</v>
      </c>
      <c r="K137" s="32"/>
      <c r="L137" s="43">
        <f>L138+L157+L169+L174+L177+L185+L191+L204+L229+L264+L274+L278+L281+L286+L291+L311+L315+L331+L341+L345+L360+L364+L369+L373+L375+L377+L395+L397+L399+L401+L403+L405+L407+L409+L411+L413+L415+L417+L419+L421+L423+L425+L427+L429+L431</f>
        <v>48.03892115</v>
      </c>
      <c r="M137" s="32"/>
    </row>
    <row r="138" spans="1:37" ht="12.75">
      <c r="A138" s="4"/>
      <c r="B138" s="14" t="s">
        <v>595</v>
      </c>
      <c r="C138" s="14" t="s">
        <v>40</v>
      </c>
      <c r="D138" s="104" t="s">
        <v>1074</v>
      </c>
      <c r="E138" s="105"/>
      <c r="F138" s="105"/>
      <c r="G138" s="105"/>
      <c r="H138" s="42">
        <f>SUM(H139:H150)</f>
        <v>0</v>
      </c>
      <c r="I138" s="42">
        <f>SUM(I139:I150)</f>
        <v>0</v>
      </c>
      <c r="J138" s="42">
        <f>H138+I138</f>
        <v>0</v>
      </c>
      <c r="K138" s="31"/>
      <c r="L138" s="42">
        <f>SUM(L139:L150)</f>
        <v>7.112126399999999</v>
      </c>
      <c r="M138" s="31"/>
      <c r="P138" s="42">
        <f>IF(Q138="PR",J138,SUM(O139:O150))</f>
        <v>0</v>
      </c>
      <c r="Q138" s="31" t="s">
        <v>1536</v>
      </c>
      <c r="R138" s="42">
        <f>IF(Q138="HS",H138,0)</f>
        <v>0</v>
      </c>
      <c r="S138" s="42">
        <f>IF(Q138="HS",I138-P138,0)</f>
        <v>0</v>
      </c>
      <c r="T138" s="42">
        <f>IF(Q138="PS",H138,0)</f>
        <v>0</v>
      </c>
      <c r="U138" s="42">
        <f>IF(Q138="PS",I138-P138,0)</f>
        <v>0</v>
      </c>
      <c r="V138" s="42">
        <f>IF(Q138="MP",H138,0)</f>
        <v>0</v>
      </c>
      <c r="W138" s="42">
        <f>IF(Q138="MP",I138-P138,0)</f>
        <v>0</v>
      </c>
      <c r="X138" s="42">
        <f>IF(Q138="OM",H138,0)</f>
        <v>0</v>
      </c>
      <c r="Y138" s="31" t="s">
        <v>595</v>
      </c>
      <c r="AI138" s="42">
        <f>SUM(Z139:Z150)</f>
        <v>0</v>
      </c>
      <c r="AJ138" s="42">
        <f>SUM(AA139:AA150)</f>
        <v>0</v>
      </c>
      <c r="AK138" s="42">
        <f>SUM(AB139:AB150)</f>
        <v>0</v>
      </c>
    </row>
    <row r="139" spans="1:43" ht="12.75">
      <c r="A139" s="5" t="s">
        <v>80</v>
      </c>
      <c r="B139" s="5" t="s">
        <v>595</v>
      </c>
      <c r="C139" s="5" t="s">
        <v>688</v>
      </c>
      <c r="D139" s="5" t="s">
        <v>1075</v>
      </c>
      <c r="E139" s="5" t="s">
        <v>1503</v>
      </c>
      <c r="F139" s="22">
        <v>178.24</v>
      </c>
      <c r="G139" s="22">
        <v>0</v>
      </c>
      <c r="H139" s="22">
        <f>F139*AE139</f>
        <v>0</v>
      </c>
      <c r="I139" s="22">
        <f>J139-H139</f>
        <v>0</v>
      </c>
      <c r="J139" s="22">
        <f>F139*G139</f>
        <v>0</v>
      </c>
      <c r="K139" s="22">
        <v>0.0186</v>
      </c>
      <c r="L139" s="22">
        <f>F139*K139</f>
        <v>3.315264</v>
      </c>
      <c r="M139" s="35" t="s">
        <v>1531</v>
      </c>
      <c r="N139" s="35" t="s">
        <v>7</v>
      </c>
      <c r="O139" s="22">
        <f>IF(N139="5",I139,0)</f>
        <v>0</v>
      </c>
      <c r="Z139" s="22">
        <f>IF(AD139=0,J139,0)</f>
        <v>0</v>
      </c>
      <c r="AA139" s="22">
        <f>IF(AD139=15,J139,0)</f>
        <v>0</v>
      </c>
      <c r="AB139" s="22">
        <f>IF(AD139=21,J139,0)</f>
        <v>0</v>
      </c>
      <c r="AD139" s="39">
        <v>15</v>
      </c>
      <c r="AE139" s="39">
        <f>G139*0.375521472392638</f>
        <v>0</v>
      </c>
      <c r="AF139" s="39">
        <f>G139*(1-0.375521472392638)</f>
        <v>0</v>
      </c>
      <c r="AM139" s="39">
        <f>F139*AE139</f>
        <v>0</v>
      </c>
      <c r="AN139" s="39">
        <f>F139*AF139</f>
        <v>0</v>
      </c>
      <c r="AO139" s="40" t="s">
        <v>1566</v>
      </c>
      <c r="AP139" s="40" t="s">
        <v>1608</v>
      </c>
      <c r="AQ139" s="31" t="s">
        <v>1612</v>
      </c>
    </row>
    <row r="140" ht="12.75">
      <c r="D140" s="18" t="s">
        <v>1076</v>
      </c>
    </row>
    <row r="141" spans="4:6" ht="10.8" customHeight="1">
      <c r="D141" s="17" t="s">
        <v>1077</v>
      </c>
      <c r="F141" s="23">
        <v>178.24</v>
      </c>
    </row>
    <row r="142" spans="1:43" ht="12.75">
      <c r="A142" s="5" t="s">
        <v>81</v>
      </c>
      <c r="B142" s="5" t="s">
        <v>595</v>
      </c>
      <c r="C142" s="5" t="s">
        <v>689</v>
      </c>
      <c r="D142" s="5" t="s">
        <v>1075</v>
      </c>
      <c r="E142" s="5" t="s">
        <v>1503</v>
      </c>
      <c r="F142" s="22">
        <v>11.07</v>
      </c>
      <c r="G142" s="22">
        <v>0</v>
      </c>
      <c r="H142" s="22">
        <f>F142*AE142</f>
        <v>0</v>
      </c>
      <c r="I142" s="22">
        <f>J142-H142</f>
        <v>0</v>
      </c>
      <c r="J142" s="22">
        <f>F142*G142</f>
        <v>0</v>
      </c>
      <c r="K142" s="22">
        <v>0.0186</v>
      </c>
      <c r="L142" s="22">
        <f>F142*K142</f>
        <v>0.205902</v>
      </c>
      <c r="M142" s="35" t="s">
        <v>1531</v>
      </c>
      <c r="N142" s="35" t="s">
        <v>7</v>
      </c>
      <c r="O142" s="22">
        <f>IF(N142="5",I142,0)</f>
        <v>0</v>
      </c>
      <c r="Z142" s="22">
        <f>IF(AD142=0,J142,0)</f>
        <v>0</v>
      </c>
      <c r="AA142" s="22">
        <f>IF(AD142=15,J142,0)</f>
        <v>0</v>
      </c>
      <c r="AB142" s="22">
        <f>IF(AD142=21,J142,0)</f>
        <v>0</v>
      </c>
      <c r="AD142" s="39">
        <v>15</v>
      </c>
      <c r="AE142" s="39">
        <f>G142*0.415</f>
        <v>0</v>
      </c>
      <c r="AF142" s="39">
        <f>G142*(1-0.415)</f>
        <v>0</v>
      </c>
      <c r="AM142" s="39">
        <f>F142*AE142</f>
        <v>0</v>
      </c>
      <c r="AN142" s="39">
        <f>F142*AF142</f>
        <v>0</v>
      </c>
      <c r="AO142" s="40" t="s">
        <v>1566</v>
      </c>
      <c r="AP142" s="40" t="s">
        <v>1608</v>
      </c>
      <c r="AQ142" s="31" t="s">
        <v>1612</v>
      </c>
    </row>
    <row r="143" ht="12.75">
      <c r="D143" s="18" t="s">
        <v>1078</v>
      </c>
    </row>
    <row r="144" spans="1:43" ht="12.75">
      <c r="A144" s="5" t="s">
        <v>82</v>
      </c>
      <c r="B144" s="5" t="s">
        <v>595</v>
      </c>
      <c r="C144" s="5" t="s">
        <v>690</v>
      </c>
      <c r="D144" s="5" t="s">
        <v>1079</v>
      </c>
      <c r="E144" s="5" t="s">
        <v>1503</v>
      </c>
      <c r="F144" s="22">
        <v>3.36</v>
      </c>
      <c r="G144" s="22">
        <v>0</v>
      </c>
      <c r="H144" s="22">
        <f>F144*AE144</f>
        <v>0</v>
      </c>
      <c r="I144" s="22">
        <f>J144-H144</f>
        <v>0</v>
      </c>
      <c r="J144" s="22">
        <f>F144*G144</f>
        <v>0</v>
      </c>
      <c r="K144" s="22">
        <v>0.1435</v>
      </c>
      <c r="L144" s="22">
        <f>F144*K144</f>
        <v>0.4821599999999999</v>
      </c>
      <c r="M144" s="35" t="s">
        <v>1531</v>
      </c>
      <c r="N144" s="35" t="s">
        <v>7</v>
      </c>
      <c r="O144" s="22">
        <f>IF(N144="5",I144,0)</f>
        <v>0</v>
      </c>
      <c r="Z144" s="22">
        <f>IF(AD144=0,J144,0)</f>
        <v>0</v>
      </c>
      <c r="AA144" s="22">
        <f>IF(AD144=15,J144,0)</f>
        <v>0</v>
      </c>
      <c r="AB144" s="22">
        <f>IF(AD144=21,J144,0)</f>
        <v>0</v>
      </c>
      <c r="AD144" s="39">
        <v>15</v>
      </c>
      <c r="AE144" s="39">
        <f>G144*0.552259696458685</f>
        <v>0</v>
      </c>
      <c r="AF144" s="39">
        <f>G144*(1-0.552259696458685)</f>
        <v>0</v>
      </c>
      <c r="AM144" s="39">
        <f>F144*AE144</f>
        <v>0</v>
      </c>
      <c r="AN144" s="39">
        <f>F144*AF144</f>
        <v>0</v>
      </c>
      <c r="AO144" s="40" t="s">
        <v>1566</v>
      </c>
      <c r="AP144" s="40" t="s">
        <v>1608</v>
      </c>
      <c r="AQ144" s="31" t="s">
        <v>1612</v>
      </c>
    </row>
    <row r="145" ht="12.75">
      <c r="D145" s="18" t="s">
        <v>1080</v>
      </c>
    </row>
    <row r="146" spans="4:6" ht="10.8" customHeight="1">
      <c r="D146" s="17" t="s">
        <v>1081</v>
      </c>
      <c r="F146" s="23">
        <v>3.36</v>
      </c>
    </row>
    <row r="147" spans="1:43" ht="12.75">
      <c r="A147" s="5" t="s">
        <v>83</v>
      </c>
      <c r="B147" s="5" t="s">
        <v>595</v>
      </c>
      <c r="C147" s="5" t="s">
        <v>691</v>
      </c>
      <c r="D147" s="5" t="s">
        <v>1082</v>
      </c>
      <c r="E147" s="5" t="s">
        <v>1503</v>
      </c>
      <c r="F147" s="22">
        <v>8.28</v>
      </c>
      <c r="G147" s="22">
        <v>0</v>
      </c>
      <c r="H147" s="22">
        <f>F147*AE147</f>
        <v>0</v>
      </c>
      <c r="I147" s="22">
        <f>J147-H147</f>
        <v>0</v>
      </c>
      <c r="J147" s="22">
        <f>F147*G147</f>
        <v>0</v>
      </c>
      <c r="K147" s="22">
        <v>0.0706</v>
      </c>
      <c r="L147" s="22">
        <f>F147*K147</f>
        <v>0.584568</v>
      </c>
      <c r="M147" s="35" t="s">
        <v>1531</v>
      </c>
      <c r="N147" s="35" t="s">
        <v>9</v>
      </c>
      <c r="O147" s="22">
        <f>IF(N147="5",I147,0)</f>
        <v>0</v>
      </c>
      <c r="Z147" s="22">
        <f>IF(AD147=0,J147,0)</f>
        <v>0</v>
      </c>
      <c r="AA147" s="22">
        <f>IF(AD147=15,J147,0)</f>
        <v>0</v>
      </c>
      <c r="AB147" s="22">
        <f>IF(AD147=21,J147,0)</f>
        <v>0</v>
      </c>
      <c r="AD147" s="39">
        <v>15</v>
      </c>
      <c r="AE147" s="39">
        <f>G147*0.636367265469062</f>
        <v>0</v>
      </c>
      <c r="AF147" s="39">
        <f>G147*(1-0.636367265469062)</f>
        <v>0</v>
      </c>
      <c r="AM147" s="39">
        <f>F147*AE147</f>
        <v>0</v>
      </c>
      <c r="AN147" s="39">
        <f>F147*AF147</f>
        <v>0</v>
      </c>
      <c r="AO147" s="40" t="s">
        <v>1566</v>
      </c>
      <c r="AP147" s="40" t="s">
        <v>1608</v>
      </c>
      <c r="AQ147" s="31" t="s">
        <v>1612</v>
      </c>
    </row>
    <row r="148" ht="12.75">
      <c r="D148" s="18" t="s">
        <v>1083</v>
      </c>
    </row>
    <row r="149" spans="4:6" ht="10.8" customHeight="1">
      <c r="D149" s="17" t="s">
        <v>1084</v>
      </c>
      <c r="F149" s="23">
        <v>8.28</v>
      </c>
    </row>
    <row r="150" spans="1:43" ht="12.75">
      <c r="A150" s="5" t="s">
        <v>84</v>
      </c>
      <c r="B150" s="5" t="s">
        <v>595</v>
      </c>
      <c r="C150" s="5" t="s">
        <v>691</v>
      </c>
      <c r="D150" s="5" t="s">
        <v>1082</v>
      </c>
      <c r="E150" s="5" t="s">
        <v>1503</v>
      </c>
      <c r="F150" s="22">
        <v>35.754</v>
      </c>
      <c r="G150" s="22">
        <v>0</v>
      </c>
      <c r="H150" s="22">
        <f>F150*AE150</f>
        <v>0</v>
      </c>
      <c r="I150" s="22">
        <f>J150-H150</f>
        <v>0</v>
      </c>
      <c r="J150" s="22">
        <f>F150*G150</f>
        <v>0</v>
      </c>
      <c r="K150" s="22">
        <v>0.0706</v>
      </c>
      <c r="L150" s="22">
        <f>F150*K150</f>
        <v>2.5242324</v>
      </c>
      <c r="M150" s="35" t="s">
        <v>1531</v>
      </c>
      <c r="N150" s="35" t="s">
        <v>9</v>
      </c>
      <c r="O150" s="22">
        <f>IF(N150="5",I150,0)</f>
        <v>0</v>
      </c>
      <c r="Z150" s="22">
        <f>IF(AD150=0,J150,0)</f>
        <v>0</v>
      </c>
      <c r="AA150" s="22">
        <f>IF(AD150=15,J150,0)</f>
        <v>0</v>
      </c>
      <c r="AB150" s="22">
        <f>IF(AD150=21,J150,0)</f>
        <v>0</v>
      </c>
      <c r="AD150" s="39">
        <v>15</v>
      </c>
      <c r="AE150" s="39">
        <f>G150*0.636367265469062</f>
        <v>0</v>
      </c>
      <c r="AF150" s="39">
        <f>G150*(1-0.636367265469062)</f>
        <v>0</v>
      </c>
      <c r="AM150" s="39">
        <f>F150*AE150</f>
        <v>0</v>
      </c>
      <c r="AN150" s="39">
        <f>F150*AF150</f>
        <v>0</v>
      </c>
      <c r="AO150" s="40" t="s">
        <v>1566</v>
      </c>
      <c r="AP150" s="40" t="s">
        <v>1608</v>
      </c>
      <c r="AQ150" s="31" t="s">
        <v>1612</v>
      </c>
    </row>
    <row r="151" ht="12.75">
      <c r="D151" s="18" t="s">
        <v>1085</v>
      </c>
    </row>
    <row r="152" spans="4:6" ht="10.8" customHeight="1">
      <c r="D152" s="17" t="s">
        <v>1086</v>
      </c>
      <c r="F152" s="23">
        <v>12.96</v>
      </c>
    </row>
    <row r="153" spans="4:6" ht="10.8" customHeight="1">
      <c r="D153" s="17" t="s">
        <v>1087</v>
      </c>
      <c r="F153" s="23">
        <v>25.11</v>
      </c>
    </row>
    <row r="154" spans="4:6" ht="10.8" customHeight="1">
      <c r="D154" s="17" t="s">
        <v>1088</v>
      </c>
      <c r="F154" s="23">
        <v>13.284</v>
      </c>
    </row>
    <row r="155" spans="4:6" ht="10.8" customHeight="1">
      <c r="D155" s="17" t="s">
        <v>1089</v>
      </c>
      <c r="F155" s="23">
        <v>-10.8</v>
      </c>
    </row>
    <row r="156" spans="4:6" ht="10.8" customHeight="1">
      <c r="D156" s="17" t="s">
        <v>1090</v>
      </c>
      <c r="F156" s="23">
        <v>-4.8</v>
      </c>
    </row>
    <row r="157" spans="1:37" ht="12.75">
      <c r="A157" s="4"/>
      <c r="B157" s="14" t="s">
        <v>595</v>
      </c>
      <c r="C157" s="14" t="s">
        <v>67</v>
      </c>
      <c r="D157" s="104" t="s">
        <v>967</v>
      </c>
      <c r="E157" s="105"/>
      <c r="F157" s="105"/>
      <c r="G157" s="105"/>
      <c r="H157" s="42">
        <f>SUM(H158:H166)</f>
        <v>0</v>
      </c>
      <c r="I157" s="42">
        <f>SUM(I158:I166)</f>
        <v>0</v>
      </c>
      <c r="J157" s="42">
        <f>H157+I157</f>
        <v>0</v>
      </c>
      <c r="K157" s="31"/>
      <c r="L157" s="42">
        <f>SUM(L158:L166)</f>
        <v>7.704231</v>
      </c>
      <c r="M157" s="31"/>
      <c r="P157" s="42">
        <f>IF(Q157="PR",J157,SUM(O158:O166))</f>
        <v>0</v>
      </c>
      <c r="Q157" s="31" t="s">
        <v>1536</v>
      </c>
      <c r="R157" s="42">
        <f>IF(Q157="HS",H157,0)</f>
        <v>0</v>
      </c>
      <c r="S157" s="42">
        <f>IF(Q157="HS",I157-P157,0)</f>
        <v>0</v>
      </c>
      <c r="T157" s="42">
        <f>IF(Q157="PS",H157,0)</f>
        <v>0</v>
      </c>
      <c r="U157" s="42">
        <f>IF(Q157="PS",I157-P157,0)</f>
        <v>0</v>
      </c>
      <c r="V157" s="42">
        <f>IF(Q157="MP",H157,0)</f>
        <v>0</v>
      </c>
      <c r="W157" s="42">
        <f>IF(Q157="MP",I157-P157,0)</f>
        <v>0</v>
      </c>
      <c r="X157" s="42">
        <f>IF(Q157="OM",H157,0)</f>
        <v>0</v>
      </c>
      <c r="Y157" s="31" t="s">
        <v>595</v>
      </c>
      <c r="AI157" s="42">
        <f>SUM(Z158:Z166)</f>
        <v>0</v>
      </c>
      <c r="AJ157" s="42">
        <f>SUM(AA158:AA166)</f>
        <v>0</v>
      </c>
      <c r="AK157" s="42">
        <f>SUM(AB158:AB166)</f>
        <v>0</v>
      </c>
    </row>
    <row r="158" spans="1:43" ht="12.75">
      <c r="A158" s="5" t="s">
        <v>85</v>
      </c>
      <c r="B158" s="5" t="s">
        <v>595</v>
      </c>
      <c r="C158" s="5" t="s">
        <v>692</v>
      </c>
      <c r="D158" s="5" t="s">
        <v>1091</v>
      </c>
      <c r="E158" s="5" t="s">
        <v>1503</v>
      </c>
      <c r="F158" s="22">
        <v>11.64</v>
      </c>
      <c r="G158" s="22">
        <v>0</v>
      </c>
      <c r="H158" s="22">
        <f>F158*AE158</f>
        <v>0</v>
      </c>
      <c r="I158" s="22">
        <f>J158-H158</f>
        <v>0</v>
      </c>
      <c r="J158" s="22">
        <f>F158*G158</f>
        <v>0</v>
      </c>
      <c r="K158" s="22">
        <v>0.00367</v>
      </c>
      <c r="L158" s="22">
        <f>F158*K158</f>
        <v>0.0427188</v>
      </c>
      <c r="M158" s="35" t="s">
        <v>1531</v>
      </c>
      <c r="N158" s="35" t="s">
        <v>7</v>
      </c>
      <c r="O158" s="22">
        <f>IF(N158="5",I158,0)</f>
        <v>0</v>
      </c>
      <c r="Z158" s="22">
        <f>IF(AD158=0,J158,0)</f>
        <v>0</v>
      </c>
      <c r="AA158" s="22">
        <f>IF(AD158=15,J158,0)</f>
        <v>0</v>
      </c>
      <c r="AB158" s="22">
        <f>IF(AD158=21,J158,0)</f>
        <v>0</v>
      </c>
      <c r="AD158" s="39">
        <v>15</v>
      </c>
      <c r="AE158" s="39">
        <f>G158*0.298520693667239</f>
        <v>0</v>
      </c>
      <c r="AF158" s="39">
        <f>G158*(1-0.298520693667239)</f>
        <v>0</v>
      </c>
      <c r="AM158" s="39">
        <f>F158*AE158</f>
        <v>0</v>
      </c>
      <c r="AN158" s="39">
        <f>F158*AF158</f>
        <v>0</v>
      </c>
      <c r="AO158" s="40" t="s">
        <v>1546</v>
      </c>
      <c r="AP158" s="40" t="s">
        <v>1601</v>
      </c>
      <c r="AQ158" s="31" t="s">
        <v>1612</v>
      </c>
    </row>
    <row r="159" ht="12.75">
      <c r="D159" s="18" t="s">
        <v>978</v>
      </c>
    </row>
    <row r="160" spans="4:6" ht="10.8" customHeight="1">
      <c r="D160" s="17" t="s">
        <v>1092</v>
      </c>
      <c r="F160" s="23">
        <v>11.64</v>
      </c>
    </row>
    <row r="161" spans="1:43" ht="12.75">
      <c r="A161" s="5" t="s">
        <v>86</v>
      </c>
      <c r="B161" s="5" t="s">
        <v>595</v>
      </c>
      <c r="C161" s="5" t="s">
        <v>601</v>
      </c>
      <c r="D161" s="5" t="s">
        <v>968</v>
      </c>
      <c r="E161" s="5" t="s">
        <v>1503</v>
      </c>
      <c r="F161" s="22">
        <v>376.618</v>
      </c>
      <c r="G161" s="22">
        <v>0</v>
      </c>
      <c r="H161" s="22">
        <f>F161*AE161</f>
        <v>0</v>
      </c>
      <c r="I161" s="22">
        <f>J161-H161</f>
        <v>0</v>
      </c>
      <c r="J161" s="22">
        <f>F161*G161</f>
        <v>0</v>
      </c>
      <c r="K161" s="22">
        <v>0.0021</v>
      </c>
      <c r="L161" s="22">
        <f>F161*K161</f>
        <v>0.7908978</v>
      </c>
      <c r="M161" s="35" t="s">
        <v>1531</v>
      </c>
      <c r="N161" s="35" t="s">
        <v>7</v>
      </c>
      <c r="O161" s="22">
        <f>IF(N161="5",I161,0)</f>
        <v>0</v>
      </c>
      <c r="Z161" s="22">
        <f>IF(AD161=0,J161,0)</f>
        <v>0</v>
      </c>
      <c r="AA161" s="22">
        <f>IF(AD161=15,J161,0)</f>
        <v>0</v>
      </c>
      <c r="AB161" s="22">
        <f>IF(AD161=21,J161,0)</f>
        <v>0</v>
      </c>
      <c r="AD161" s="39">
        <v>15</v>
      </c>
      <c r="AE161" s="39">
        <f>G161*0.815916955017301</f>
        <v>0</v>
      </c>
      <c r="AF161" s="39">
        <f>G161*(1-0.815916955017301)</f>
        <v>0</v>
      </c>
      <c r="AM161" s="39">
        <f>F161*AE161</f>
        <v>0</v>
      </c>
      <c r="AN161" s="39">
        <f>F161*AF161</f>
        <v>0</v>
      </c>
      <c r="AO161" s="40" t="s">
        <v>1546</v>
      </c>
      <c r="AP161" s="40" t="s">
        <v>1601</v>
      </c>
      <c r="AQ161" s="31" t="s">
        <v>1612</v>
      </c>
    </row>
    <row r="162" spans="4:6" ht="10.8" customHeight="1">
      <c r="D162" s="17" t="s">
        <v>1093</v>
      </c>
      <c r="F162" s="23">
        <v>376.618</v>
      </c>
    </row>
    <row r="163" spans="1:43" ht="12.75">
      <c r="A163" s="5" t="s">
        <v>87</v>
      </c>
      <c r="B163" s="5" t="s">
        <v>595</v>
      </c>
      <c r="C163" s="5" t="s">
        <v>602</v>
      </c>
      <c r="D163" s="5" t="s">
        <v>973</v>
      </c>
      <c r="E163" s="5" t="s">
        <v>1503</v>
      </c>
      <c r="F163" s="22">
        <v>384.9</v>
      </c>
      <c r="G163" s="22">
        <v>0</v>
      </c>
      <c r="H163" s="22">
        <f>F163*AE163</f>
        <v>0</v>
      </c>
      <c r="I163" s="22">
        <f>J163-H163</f>
        <v>0</v>
      </c>
      <c r="J163" s="22">
        <f>F163*G163</f>
        <v>0</v>
      </c>
      <c r="K163" s="22">
        <v>0.00635</v>
      </c>
      <c r="L163" s="22">
        <f>F163*K163</f>
        <v>2.4441149999999996</v>
      </c>
      <c r="M163" s="35" t="s">
        <v>1531</v>
      </c>
      <c r="N163" s="35" t="s">
        <v>7</v>
      </c>
      <c r="O163" s="22">
        <f>IF(N163="5",I163,0)</f>
        <v>0</v>
      </c>
      <c r="Z163" s="22">
        <f>IF(AD163=0,J163,0)</f>
        <v>0</v>
      </c>
      <c r="AA163" s="22">
        <f>IF(AD163=15,J163,0)</f>
        <v>0</v>
      </c>
      <c r="AB163" s="22">
        <f>IF(AD163=21,J163,0)</f>
        <v>0</v>
      </c>
      <c r="AD163" s="39">
        <v>15</v>
      </c>
      <c r="AE163" s="39">
        <f>G163*0.0665993945509586</f>
        <v>0</v>
      </c>
      <c r="AF163" s="39">
        <f>G163*(1-0.0665993945509586)</f>
        <v>0</v>
      </c>
      <c r="AM163" s="39">
        <f>F163*AE163</f>
        <v>0</v>
      </c>
      <c r="AN163" s="39">
        <f>F163*AF163</f>
        <v>0</v>
      </c>
      <c r="AO163" s="40" t="s">
        <v>1546</v>
      </c>
      <c r="AP163" s="40" t="s">
        <v>1601</v>
      </c>
      <c r="AQ163" s="31" t="s">
        <v>1612</v>
      </c>
    </row>
    <row r="164" spans="4:6" ht="10.8" customHeight="1">
      <c r="D164" s="17" t="s">
        <v>1094</v>
      </c>
      <c r="F164" s="23">
        <v>384.9</v>
      </c>
    </row>
    <row r="165" spans="1:43" ht="12.75">
      <c r="A165" s="5" t="s">
        <v>88</v>
      </c>
      <c r="B165" s="5" t="s">
        <v>595</v>
      </c>
      <c r="C165" s="5" t="s">
        <v>693</v>
      </c>
      <c r="D165" s="5" t="s">
        <v>1095</v>
      </c>
      <c r="E165" s="5" t="s">
        <v>1505</v>
      </c>
      <c r="F165" s="22">
        <v>150</v>
      </c>
      <c r="G165" s="22">
        <v>0</v>
      </c>
      <c r="H165" s="22">
        <f>F165*AE165</f>
        <v>0</v>
      </c>
      <c r="I165" s="22">
        <f>J165-H165</f>
        <v>0</v>
      </c>
      <c r="J165" s="22">
        <f>F165*G165</f>
        <v>0</v>
      </c>
      <c r="K165" s="22">
        <v>0.01733</v>
      </c>
      <c r="L165" s="22">
        <f>F165*K165</f>
        <v>2.5995000000000004</v>
      </c>
      <c r="M165" s="35" t="s">
        <v>1531</v>
      </c>
      <c r="N165" s="35" t="s">
        <v>7</v>
      </c>
      <c r="O165" s="22">
        <f>IF(N165="5",I165,0)</f>
        <v>0</v>
      </c>
      <c r="Z165" s="22">
        <f>IF(AD165=0,J165,0)</f>
        <v>0</v>
      </c>
      <c r="AA165" s="22">
        <f>IF(AD165=15,J165,0)</f>
        <v>0</v>
      </c>
      <c r="AB165" s="22">
        <f>IF(AD165=21,J165,0)</f>
        <v>0</v>
      </c>
      <c r="AD165" s="39">
        <v>15</v>
      </c>
      <c r="AE165" s="39">
        <f>G165*0.395538461538462</f>
        <v>0</v>
      </c>
      <c r="AF165" s="39">
        <f>G165*(1-0.395538461538462)</f>
        <v>0</v>
      </c>
      <c r="AM165" s="39">
        <f>F165*AE165</f>
        <v>0</v>
      </c>
      <c r="AN165" s="39">
        <f>F165*AF165</f>
        <v>0</v>
      </c>
      <c r="AO165" s="40" t="s">
        <v>1546</v>
      </c>
      <c r="AP165" s="40" t="s">
        <v>1601</v>
      </c>
      <c r="AQ165" s="31" t="s">
        <v>1612</v>
      </c>
    </row>
    <row r="166" spans="1:43" ht="12.75">
      <c r="A166" s="5" t="s">
        <v>89</v>
      </c>
      <c r="B166" s="5" t="s">
        <v>595</v>
      </c>
      <c r="C166" s="5" t="s">
        <v>692</v>
      </c>
      <c r="D166" s="5" t="s">
        <v>1091</v>
      </c>
      <c r="E166" s="5" t="s">
        <v>1503</v>
      </c>
      <c r="F166" s="22">
        <v>497.82</v>
      </c>
      <c r="G166" s="22">
        <v>0</v>
      </c>
      <c r="H166" s="22">
        <f>F166*AE166</f>
        <v>0</v>
      </c>
      <c r="I166" s="22">
        <f>J166-H166</f>
        <v>0</v>
      </c>
      <c r="J166" s="22">
        <f>F166*G166</f>
        <v>0</v>
      </c>
      <c r="K166" s="22">
        <v>0.00367</v>
      </c>
      <c r="L166" s="22">
        <f>F166*K166</f>
        <v>1.8269994</v>
      </c>
      <c r="M166" s="35" t="s">
        <v>1531</v>
      </c>
      <c r="N166" s="35" t="s">
        <v>7</v>
      </c>
      <c r="O166" s="22">
        <f>IF(N166="5",I166,0)</f>
        <v>0</v>
      </c>
      <c r="Z166" s="22">
        <f>IF(AD166=0,J166,0)</f>
        <v>0</v>
      </c>
      <c r="AA166" s="22">
        <f>IF(AD166=15,J166,0)</f>
        <v>0</v>
      </c>
      <c r="AB166" s="22">
        <f>IF(AD166=21,J166,0)</f>
        <v>0</v>
      </c>
      <c r="AD166" s="39">
        <v>15</v>
      </c>
      <c r="AE166" s="39">
        <f>G166*0.298520693667239</f>
        <v>0</v>
      </c>
      <c r="AF166" s="39">
        <f>G166*(1-0.298520693667239)</f>
        <v>0</v>
      </c>
      <c r="AM166" s="39">
        <f>F166*AE166</f>
        <v>0</v>
      </c>
      <c r="AN166" s="39">
        <f>F166*AF166</f>
        <v>0</v>
      </c>
      <c r="AO166" s="40" t="s">
        <v>1546</v>
      </c>
      <c r="AP166" s="40" t="s">
        <v>1601</v>
      </c>
      <c r="AQ166" s="31" t="s">
        <v>1612</v>
      </c>
    </row>
    <row r="167" ht="12.75">
      <c r="D167" s="18" t="s">
        <v>978</v>
      </c>
    </row>
    <row r="168" spans="4:6" ht="10.8" customHeight="1">
      <c r="D168" s="17" t="s">
        <v>1096</v>
      </c>
      <c r="F168" s="23">
        <v>497.82</v>
      </c>
    </row>
    <row r="169" spans="1:37" ht="12.75">
      <c r="A169" s="4"/>
      <c r="B169" s="14" t="s">
        <v>595</v>
      </c>
      <c r="C169" s="14" t="s">
        <v>69</v>
      </c>
      <c r="D169" s="104" t="s">
        <v>1097</v>
      </c>
      <c r="E169" s="105"/>
      <c r="F169" s="105"/>
      <c r="G169" s="105"/>
      <c r="H169" s="42">
        <f>SUM(H170:H170)</f>
        <v>0</v>
      </c>
      <c r="I169" s="42">
        <f>SUM(I170:I170)</f>
        <v>0</v>
      </c>
      <c r="J169" s="42">
        <f>H169+I169</f>
        <v>0</v>
      </c>
      <c r="K169" s="31"/>
      <c r="L169" s="42">
        <f>SUM(L170:L170)</f>
        <v>13.241897900000001</v>
      </c>
      <c r="M169" s="31"/>
      <c r="P169" s="42">
        <f>IF(Q169="PR",J169,SUM(O170:O170))</f>
        <v>0</v>
      </c>
      <c r="Q169" s="31" t="s">
        <v>1536</v>
      </c>
      <c r="R169" s="42">
        <f>IF(Q169="HS",H169,0)</f>
        <v>0</v>
      </c>
      <c r="S169" s="42">
        <f>IF(Q169="HS",I169-P169,0)</f>
        <v>0</v>
      </c>
      <c r="T169" s="42">
        <f>IF(Q169="PS",H169,0)</f>
        <v>0</v>
      </c>
      <c r="U169" s="42">
        <f>IF(Q169="PS",I169-P169,0)</f>
        <v>0</v>
      </c>
      <c r="V169" s="42">
        <f>IF(Q169="MP",H169,0)</f>
        <v>0</v>
      </c>
      <c r="W169" s="42">
        <f>IF(Q169="MP",I169-P169,0)</f>
        <v>0</v>
      </c>
      <c r="X169" s="42">
        <f>IF(Q169="OM",H169,0)</f>
        <v>0</v>
      </c>
      <c r="Y169" s="31" t="s">
        <v>595</v>
      </c>
      <c r="AI169" s="42">
        <f>SUM(Z170:Z170)</f>
        <v>0</v>
      </c>
      <c r="AJ169" s="42">
        <f>SUM(AA170:AA170)</f>
        <v>0</v>
      </c>
      <c r="AK169" s="42">
        <f>SUM(AB170:AB170)</f>
        <v>0</v>
      </c>
    </row>
    <row r="170" spans="1:43" ht="12.75">
      <c r="A170" s="5" t="s">
        <v>90</v>
      </c>
      <c r="B170" s="5" t="s">
        <v>595</v>
      </c>
      <c r="C170" s="5" t="s">
        <v>694</v>
      </c>
      <c r="D170" s="5" t="s">
        <v>1098</v>
      </c>
      <c r="E170" s="5" t="s">
        <v>1503</v>
      </c>
      <c r="F170" s="22">
        <v>170.27</v>
      </c>
      <c r="G170" s="22">
        <v>0</v>
      </c>
      <c r="H170" s="22">
        <f>F170*AE170</f>
        <v>0</v>
      </c>
      <c r="I170" s="22">
        <f>J170-H170</f>
        <v>0</v>
      </c>
      <c r="J170" s="22">
        <f>F170*G170</f>
        <v>0</v>
      </c>
      <c r="K170" s="22">
        <v>0.07777</v>
      </c>
      <c r="L170" s="22">
        <f>F170*K170</f>
        <v>13.241897900000001</v>
      </c>
      <c r="M170" s="35" t="s">
        <v>1531</v>
      </c>
      <c r="N170" s="35" t="s">
        <v>7</v>
      </c>
      <c r="O170" s="22">
        <f>IF(N170="5",I170,0)</f>
        <v>0</v>
      </c>
      <c r="Z170" s="22">
        <f>IF(AD170=0,J170,0)</f>
        <v>0</v>
      </c>
      <c r="AA170" s="22">
        <f>IF(AD170=15,J170,0)</f>
        <v>0</v>
      </c>
      <c r="AB170" s="22">
        <f>IF(AD170=21,J170,0)</f>
        <v>0</v>
      </c>
      <c r="AD170" s="39">
        <v>15</v>
      </c>
      <c r="AE170" s="39">
        <f>G170*0.61025</f>
        <v>0</v>
      </c>
      <c r="AF170" s="39">
        <f>G170*(1-0.61025)</f>
        <v>0</v>
      </c>
      <c r="AM170" s="39">
        <f>F170*AE170</f>
        <v>0</v>
      </c>
      <c r="AN170" s="39">
        <f>F170*AF170</f>
        <v>0</v>
      </c>
      <c r="AO170" s="40" t="s">
        <v>1567</v>
      </c>
      <c r="AP170" s="40" t="s">
        <v>1601</v>
      </c>
      <c r="AQ170" s="31" t="s">
        <v>1612</v>
      </c>
    </row>
    <row r="171" spans="4:6" ht="10.8" customHeight="1">
      <c r="D171" s="17" t="s">
        <v>1099</v>
      </c>
      <c r="F171" s="23">
        <v>72.1</v>
      </c>
    </row>
    <row r="172" spans="4:6" ht="10.8" customHeight="1">
      <c r="D172" s="17" t="s">
        <v>1100</v>
      </c>
      <c r="F172" s="23">
        <v>35.33</v>
      </c>
    </row>
    <row r="173" spans="4:6" ht="10.8" customHeight="1">
      <c r="D173" s="17" t="s">
        <v>1101</v>
      </c>
      <c r="F173" s="23">
        <v>62.84</v>
      </c>
    </row>
    <row r="174" spans="1:37" ht="12.75">
      <c r="A174" s="4"/>
      <c r="B174" s="14" t="s">
        <v>595</v>
      </c>
      <c r="C174" s="14" t="s">
        <v>70</v>
      </c>
      <c r="D174" s="104" t="s">
        <v>980</v>
      </c>
      <c r="E174" s="105"/>
      <c r="F174" s="105"/>
      <c r="G174" s="105"/>
      <c r="H174" s="42">
        <f>SUM(H175:H176)</f>
        <v>0</v>
      </c>
      <c r="I174" s="42">
        <f>SUM(I175:I176)</f>
        <v>0</v>
      </c>
      <c r="J174" s="42">
        <f>H174+I174</f>
        <v>0</v>
      </c>
      <c r="K174" s="31"/>
      <c r="L174" s="42">
        <f>SUM(L175:L176)</f>
        <v>0.20343</v>
      </c>
      <c r="M174" s="31"/>
      <c r="P174" s="42">
        <f>IF(Q174="PR",J174,SUM(O175:O176))</f>
        <v>0</v>
      </c>
      <c r="Q174" s="31" t="s">
        <v>1536</v>
      </c>
      <c r="R174" s="42">
        <f>IF(Q174="HS",H174,0)</f>
        <v>0</v>
      </c>
      <c r="S174" s="42">
        <f>IF(Q174="HS",I174-P174,0)</f>
        <v>0</v>
      </c>
      <c r="T174" s="42">
        <f>IF(Q174="PS",H174,0)</f>
        <v>0</v>
      </c>
      <c r="U174" s="42">
        <f>IF(Q174="PS",I174-P174,0)</f>
        <v>0</v>
      </c>
      <c r="V174" s="42">
        <f>IF(Q174="MP",H174,0)</f>
        <v>0</v>
      </c>
      <c r="W174" s="42">
        <f>IF(Q174="MP",I174-P174,0)</f>
        <v>0</v>
      </c>
      <c r="X174" s="42">
        <f>IF(Q174="OM",H174,0)</f>
        <v>0</v>
      </c>
      <c r="Y174" s="31" t="s">
        <v>595</v>
      </c>
      <c r="AI174" s="42">
        <f>SUM(Z175:Z176)</f>
        <v>0</v>
      </c>
      <c r="AJ174" s="42">
        <f>SUM(AA175:AA176)</f>
        <v>0</v>
      </c>
      <c r="AK174" s="42">
        <f>SUM(AB175:AB176)</f>
        <v>0</v>
      </c>
    </row>
    <row r="175" spans="1:43" ht="12.75">
      <c r="A175" s="5" t="s">
        <v>91</v>
      </c>
      <c r="B175" s="5" t="s">
        <v>595</v>
      </c>
      <c r="C175" s="5" t="s">
        <v>606</v>
      </c>
      <c r="D175" s="5" t="s">
        <v>981</v>
      </c>
      <c r="E175" s="5" t="s">
        <v>1504</v>
      </c>
      <c r="F175" s="22">
        <v>3</v>
      </c>
      <c r="G175" s="22">
        <v>0</v>
      </c>
      <c r="H175" s="22">
        <f>F175*AE175</f>
        <v>0</v>
      </c>
      <c r="I175" s="22">
        <f>J175-H175</f>
        <v>0</v>
      </c>
      <c r="J175" s="22">
        <f>F175*G175</f>
        <v>0</v>
      </c>
      <c r="K175" s="22">
        <v>0.05401</v>
      </c>
      <c r="L175" s="22">
        <f>F175*K175</f>
        <v>0.16203</v>
      </c>
      <c r="M175" s="35" t="s">
        <v>1531</v>
      </c>
      <c r="N175" s="35" t="s">
        <v>7</v>
      </c>
      <c r="O175" s="22">
        <f>IF(N175="5",I175,0)</f>
        <v>0</v>
      </c>
      <c r="Z175" s="22">
        <f>IF(AD175=0,J175,0)</f>
        <v>0</v>
      </c>
      <c r="AA175" s="22">
        <f>IF(AD175=15,J175,0)</f>
        <v>0</v>
      </c>
      <c r="AB175" s="22">
        <f>IF(AD175=21,J175,0)</f>
        <v>0</v>
      </c>
      <c r="AD175" s="39">
        <v>15</v>
      </c>
      <c r="AE175" s="39">
        <f>G175*0.130146064908988</f>
        <v>0</v>
      </c>
      <c r="AF175" s="39">
        <f>G175*(1-0.130146064908988)</f>
        <v>0</v>
      </c>
      <c r="AM175" s="39">
        <f>F175*AE175</f>
        <v>0</v>
      </c>
      <c r="AN175" s="39">
        <f>F175*AF175</f>
        <v>0</v>
      </c>
      <c r="AO175" s="40" t="s">
        <v>1547</v>
      </c>
      <c r="AP175" s="40" t="s">
        <v>1601</v>
      </c>
      <c r="AQ175" s="31" t="s">
        <v>1612</v>
      </c>
    </row>
    <row r="176" spans="1:43" ht="12.75">
      <c r="A176" s="6" t="s">
        <v>92</v>
      </c>
      <c r="B176" s="6" t="s">
        <v>595</v>
      </c>
      <c r="C176" s="6" t="s">
        <v>695</v>
      </c>
      <c r="D176" s="6" t="s">
        <v>1102</v>
      </c>
      <c r="E176" s="6" t="s">
        <v>1504</v>
      </c>
      <c r="F176" s="24">
        <v>3</v>
      </c>
      <c r="G176" s="24">
        <v>0</v>
      </c>
      <c r="H176" s="24">
        <f>F176*AE176</f>
        <v>0</v>
      </c>
      <c r="I176" s="24">
        <f>J176-H176</f>
        <v>0</v>
      </c>
      <c r="J176" s="24">
        <f>F176*G176</f>
        <v>0</v>
      </c>
      <c r="K176" s="24">
        <v>0.0138</v>
      </c>
      <c r="L176" s="24">
        <f>F176*K176</f>
        <v>0.0414</v>
      </c>
      <c r="M176" s="36" t="s">
        <v>1531</v>
      </c>
      <c r="N176" s="36" t="s">
        <v>1533</v>
      </c>
      <c r="O176" s="24">
        <f>IF(N176="5",I176,0)</f>
        <v>0</v>
      </c>
      <c r="Z176" s="24">
        <f>IF(AD176=0,J176,0)</f>
        <v>0</v>
      </c>
      <c r="AA176" s="24">
        <f>IF(AD176=15,J176,0)</f>
        <v>0</v>
      </c>
      <c r="AB176" s="24">
        <f>IF(AD176=21,J176,0)</f>
        <v>0</v>
      </c>
      <c r="AD176" s="39">
        <v>15</v>
      </c>
      <c r="AE176" s="39">
        <f>G176*1</f>
        <v>0</v>
      </c>
      <c r="AF176" s="39">
        <f>G176*(1-1)</f>
        <v>0</v>
      </c>
      <c r="AM176" s="39">
        <f>F176*AE176</f>
        <v>0</v>
      </c>
      <c r="AN176" s="39">
        <f>F176*AF176</f>
        <v>0</v>
      </c>
      <c r="AO176" s="40" t="s">
        <v>1547</v>
      </c>
      <c r="AP176" s="40" t="s">
        <v>1601</v>
      </c>
      <c r="AQ176" s="31" t="s">
        <v>1612</v>
      </c>
    </row>
    <row r="177" spans="1:37" ht="12.75">
      <c r="A177" s="4"/>
      <c r="B177" s="14" t="s">
        <v>595</v>
      </c>
      <c r="C177" s="14" t="s">
        <v>696</v>
      </c>
      <c r="D177" s="104" t="s">
        <v>1103</v>
      </c>
      <c r="E177" s="105"/>
      <c r="F177" s="105"/>
      <c r="G177" s="105"/>
      <c r="H177" s="42">
        <f>SUM(H178:H183)</f>
        <v>0</v>
      </c>
      <c r="I177" s="42">
        <f>SUM(I178:I183)</f>
        <v>0</v>
      </c>
      <c r="J177" s="42">
        <f>H177+I177</f>
        <v>0</v>
      </c>
      <c r="K177" s="31"/>
      <c r="L177" s="42">
        <f>SUM(L178:L183)</f>
        <v>0.0820968</v>
      </c>
      <c r="M177" s="31"/>
      <c r="P177" s="42">
        <f>IF(Q177="PR",J177,SUM(O178:O183))</f>
        <v>0</v>
      </c>
      <c r="Q177" s="31" t="s">
        <v>1537</v>
      </c>
      <c r="R177" s="42">
        <f>IF(Q177="HS",H177,0)</f>
        <v>0</v>
      </c>
      <c r="S177" s="42">
        <f>IF(Q177="HS",I177-P177,0)</f>
        <v>0</v>
      </c>
      <c r="T177" s="42">
        <f>IF(Q177="PS",H177,0)</f>
        <v>0</v>
      </c>
      <c r="U177" s="42">
        <f>IF(Q177="PS",I177-P177,0)</f>
        <v>0</v>
      </c>
      <c r="V177" s="42">
        <f>IF(Q177="MP",H177,0)</f>
        <v>0</v>
      </c>
      <c r="W177" s="42">
        <f>IF(Q177="MP",I177-P177,0)</f>
        <v>0</v>
      </c>
      <c r="X177" s="42">
        <f>IF(Q177="OM",H177,0)</f>
        <v>0</v>
      </c>
      <c r="Y177" s="31" t="s">
        <v>595</v>
      </c>
      <c r="AI177" s="42">
        <f>SUM(Z178:Z183)</f>
        <v>0</v>
      </c>
      <c r="AJ177" s="42">
        <f>SUM(AA178:AA183)</f>
        <v>0</v>
      </c>
      <c r="AK177" s="42">
        <f>SUM(AB178:AB183)</f>
        <v>0</v>
      </c>
    </row>
    <row r="178" spans="1:43" ht="12.75">
      <c r="A178" s="5" t="s">
        <v>93</v>
      </c>
      <c r="B178" s="5" t="s">
        <v>595</v>
      </c>
      <c r="C178" s="5" t="s">
        <v>697</v>
      </c>
      <c r="D178" s="5" t="s">
        <v>1104</v>
      </c>
      <c r="E178" s="5" t="s">
        <v>1503</v>
      </c>
      <c r="F178" s="22">
        <v>10.935</v>
      </c>
      <c r="G178" s="22">
        <v>0</v>
      </c>
      <c r="H178" s="22">
        <f>F178*AE178</f>
        <v>0</v>
      </c>
      <c r="I178" s="22">
        <f>J178-H178</f>
        <v>0</v>
      </c>
      <c r="J178" s="22">
        <f>F178*G178</f>
        <v>0</v>
      </c>
      <c r="K178" s="22">
        <v>0.00368</v>
      </c>
      <c r="L178" s="22">
        <f>F178*K178</f>
        <v>0.0402408</v>
      </c>
      <c r="M178" s="35" t="s">
        <v>1531</v>
      </c>
      <c r="N178" s="35" t="s">
        <v>7</v>
      </c>
      <c r="O178" s="22">
        <f>IF(N178="5",I178,0)</f>
        <v>0</v>
      </c>
      <c r="Z178" s="22">
        <f>IF(AD178=0,J178,0)</f>
        <v>0</v>
      </c>
      <c r="AA178" s="22">
        <f>IF(AD178=15,J178,0)</f>
        <v>0</v>
      </c>
      <c r="AB178" s="22">
        <f>IF(AD178=21,J178,0)</f>
        <v>0</v>
      </c>
      <c r="AD178" s="39">
        <v>15</v>
      </c>
      <c r="AE178" s="39">
        <f>G178*0.681042026050651</f>
        <v>0</v>
      </c>
      <c r="AF178" s="39">
        <f>G178*(1-0.681042026050651)</f>
        <v>0</v>
      </c>
      <c r="AM178" s="39">
        <f>F178*AE178</f>
        <v>0</v>
      </c>
      <c r="AN178" s="39">
        <f>F178*AF178</f>
        <v>0</v>
      </c>
      <c r="AO178" s="40" t="s">
        <v>1568</v>
      </c>
      <c r="AP178" s="40" t="s">
        <v>1602</v>
      </c>
      <c r="AQ178" s="31" t="s">
        <v>1612</v>
      </c>
    </row>
    <row r="179" ht="12.75">
      <c r="D179" s="18" t="s">
        <v>1105</v>
      </c>
    </row>
    <row r="180" spans="4:6" ht="10.8" customHeight="1">
      <c r="D180" s="17" t="s">
        <v>1106</v>
      </c>
      <c r="F180" s="23">
        <v>10.935</v>
      </c>
    </row>
    <row r="181" spans="1:43" ht="12.75">
      <c r="A181" s="5" t="s">
        <v>94</v>
      </c>
      <c r="B181" s="5" t="s">
        <v>595</v>
      </c>
      <c r="C181" s="5" t="s">
        <v>698</v>
      </c>
      <c r="D181" s="5" t="s">
        <v>1107</v>
      </c>
      <c r="E181" s="5" t="s">
        <v>1503</v>
      </c>
      <c r="F181" s="22">
        <v>6.54</v>
      </c>
      <c r="G181" s="22">
        <v>0</v>
      </c>
      <c r="H181" s="22">
        <f>F181*AE181</f>
        <v>0</v>
      </c>
      <c r="I181" s="22">
        <f>J181-H181</f>
        <v>0</v>
      </c>
      <c r="J181" s="22">
        <f>F181*G181</f>
        <v>0</v>
      </c>
      <c r="K181" s="22">
        <v>0.00272</v>
      </c>
      <c r="L181" s="22">
        <f>F181*K181</f>
        <v>0.0177888</v>
      </c>
      <c r="M181" s="35" t="s">
        <v>1531</v>
      </c>
      <c r="N181" s="35" t="s">
        <v>7</v>
      </c>
      <c r="O181" s="22">
        <f>IF(N181="5",I181,0)</f>
        <v>0</v>
      </c>
      <c r="Z181" s="22">
        <f>IF(AD181=0,J181,0)</f>
        <v>0</v>
      </c>
      <c r="AA181" s="22">
        <f>IF(AD181=15,J181,0)</f>
        <v>0</v>
      </c>
      <c r="AB181" s="22">
        <f>IF(AD181=21,J181,0)</f>
        <v>0</v>
      </c>
      <c r="AD181" s="39">
        <v>15</v>
      </c>
      <c r="AE181" s="39">
        <f>G181*0.85271012006861</f>
        <v>0</v>
      </c>
      <c r="AF181" s="39">
        <f>G181*(1-0.85271012006861)</f>
        <v>0</v>
      </c>
      <c r="AM181" s="39">
        <f>F181*AE181</f>
        <v>0</v>
      </c>
      <c r="AN181" s="39">
        <f>F181*AF181</f>
        <v>0</v>
      </c>
      <c r="AO181" s="40" t="s">
        <v>1568</v>
      </c>
      <c r="AP181" s="40" t="s">
        <v>1602</v>
      </c>
      <c r="AQ181" s="31" t="s">
        <v>1612</v>
      </c>
    </row>
    <row r="182" ht="12.75">
      <c r="D182" s="18" t="s">
        <v>1108</v>
      </c>
    </row>
    <row r="183" spans="1:43" ht="12.75">
      <c r="A183" s="5" t="s">
        <v>95</v>
      </c>
      <c r="B183" s="5" t="s">
        <v>595</v>
      </c>
      <c r="C183" s="5" t="s">
        <v>697</v>
      </c>
      <c r="D183" s="5" t="s">
        <v>1104</v>
      </c>
      <c r="E183" s="5" t="s">
        <v>1503</v>
      </c>
      <c r="F183" s="22">
        <v>6.54</v>
      </c>
      <c r="G183" s="22">
        <v>0</v>
      </c>
      <c r="H183" s="22">
        <f>F183*AE183</f>
        <v>0</v>
      </c>
      <c r="I183" s="22">
        <f>J183-H183</f>
        <v>0</v>
      </c>
      <c r="J183" s="22">
        <f>F183*G183</f>
        <v>0</v>
      </c>
      <c r="K183" s="22">
        <v>0.00368</v>
      </c>
      <c r="L183" s="22">
        <f>F183*K183</f>
        <v>0.0240672</v>
      </c>
      <c r="M183" s="35" t="s">
        <v>1531</v>
      </c>
      <c r="N183" s="35" t="s">
        <v>7</v>
      </c>
      <c r="O183" s="22">
        <f>IF(N183="5",I183,0)</f>
        <v>0</v>
      </c>
      <c r="Z183" s="22">
        <f>IF(AD183=0,J183,0)</f>
        <v>0</v>
      </c>
      <c r="AA183" s="22">
        <f>IF(AD183=15,J183,0)</f>
        <v>0</v>
      </c>
      <c r="AB183" s="22">
        <f>IF(AD183=21,J183,0)</f>
        <v>0</v>
      </c>
      <c r="AD183" s="39">
        <v>15</v>
      </c>
      <c r="AE183" s="39">
        <f>G183*0.681042026050651</f>
        <v>0</v>
      </c>
      <c r="AF183" s="39">
        <f>G183*(1-0.681042026050651)</f>
        <v>0</v>
      </c>
      <c r="AM183" s="39">
        <f>F183*AE183</f>
        <v>0</v>
      </c>
      <c r="AN183" s="39">
        <f>F183*AF183</f>
        <v>0</v>
      </c>
      <c r="AO183" s="40" t="s">
        <v>1568</v>
      </c>
      <c r="AP183" s="40" t="s">
        <v>1602</v>
      </c>
      <c r="AQ183" s="31" t="s">
        <v>1612</v>
      </c>
    </row>
    <row r="184" ht="12.75">
      <c r="D184" s="18" t="s">
        <v>1109</v>
      </c>
    </row>
    <row r="185" spans="1:37" ht="12.75">
      <c r="A185" s="4"/>
      <c r="B185" s="14" t="s">
        <v>595</v>
      </c>
      <c r="C185" s="14" t="s">
        <v>612</v>
      </c>
      <c r="D185" s="104" t="s">
        <v>987</v>
      </c>
      <c r="E185" s="105"/>
      <c r="F185" s="105"/>
      <c r="G185" s="105"/>
      <c r="H185" s="42">
        <f>SUM(H186:H189)</f>
        <v>0</v>
      </c>
      <c r="I185" s="42">
        <f>SUM(I186:I189)</f>
        <v>0</v>
      </c>
      <c r="J185" s="42">
        <f>H185+I185</f>
        <v>0</v>
      </c>
      <c r="K185" s="31"/>
      <c r="L185" s="42">
        <f>SUM(L186:L189)</f>
        <v>0.86987945</v>
      </c>
      <c r="M185" s="31"/>
      <c r="P185" s="42">
        <f>IF(Q185="PR",J185,SUM(O186:O189))</f>
        <v>0</v>
      </c>
      <c r="Q185" s="31" t="s">
        <v>1537</v>
      </c>
      <c r="R185" s="42">
        <f>IF(Q185="HS",H185,0)</f>
        <v>0</v>
      </c>
      <c r="S185" s="42">
        <f>IF(Q185="HS",I185-P185,0)</f>
        <v>0</v>
      </c>
      <c r="T185" s="42">
        <f>IF(Q185="PS",H185,0)</f>
        <v>0</v>
      </c>
      <c r="U185" s="42">
        <f>IF(Q185="PS",I185-P185,0)</f>
        <v>0</v>
      </c>
      <c r="V185" s="42">
        <f>IF(Q185="MP",H185,0)</f>
        <v>0</v>
      </c>
      <c r="W185" s="42">
        <f>IF(Q185="MP",I185-P185,0)</f>
        <v>0</v>
      </c>
      <c r="X185" s="42">
        <f>IF(Q185="OM",H185,0)</f>
        <v>0</v>
      </c>
      <c r="Y185" s="31" t="s">
        <v>595</v>
      </c>
      <c r="AI185" s="42">
        <f>SUM(Z186:Z189)</f>
        <v>0</v>
      </c>
      <c r="AJ185" s="42">
        <f>SUM(AA186:AA189)</f>
        <v>0</v>
      </c>
      <c r="AK185" s="42">
        <f>SUM(AB186:AB189)</f>
        <v>0</v>
      </c>
    </row>
    <row r="186" spans="1:43" ht="12.75">
      <c r="A186" s="5" t="s">
        <v>96</v>
      </c>
      <c r="B186" s="5" t="s">
        <v>595</v>
      </c>
      <c r="C186" s="5" t="s">
        <v>699</v>
      </c>
      <c r="D186" s="5" t="s">
        <v>1110</v>
      </c>
      <c r="E186" s="5" t="s">
        <v>1503</v>
      </c>
      <c r="F186" s="22">
        <v>189.31</v>
      </c>
      <c r="G186" s="22">
        <v>0</v>
      </c>
      <c r="H186" s="22">
        <f>F186*AE186</f>
        <v>0</v>
      </c>
      <c r="I186" s="22">
        <f>J186-H186</f>
        <v>0</v>
      </c>
      <c r="J186" s="22">
        <f>F186*G186</f>
        <v>0</v>
      </c>
      <c r="K186" s="22">
        <v>0.00443</v>
      </c>
      <c r="L186" s="22">
        <f>F186*K186</f>
        <v>0.8386433</v>
      </c>
      <c r="M186" s="35" t="s">
        <v>1531</v>
      </c>
      <c r="N186" s="35" t="s">
        <v>9</v>
      </c>
      <c r="O186" s="22">
        <f>IF(N186="5",I186,0)</f>
        <v>0</v>
      </c>
      <c r="Z186" s="22">
        <f>IF(AD186=0,J186,0)</f>
        <v>0</v>
      </c>
      <c r="AA186" s="22">
        <f>IF(AD186=15,J186,0)</f>
        <v>0</v>
      </c>
      <c r="AB186" s="22">
        <f>IF(AD186=21,J186,0)</f>
        <v>0</v>
      </c>
      <c r="AD186" s="39">
        <v>15</v>
      </c>
      <c r="AE186" s="39">
        <f>G186*0.734044007106738</f>
        <v>0</v>
      </c>
      <c r="AF186" s="39">
        <f>G186*(1-0.734044007106738)</f>
        <v>0</v>
      </c>
      <c r="AM186" s="39">
        <f>F186*AE186</f>
        <v>0</v>
      </c>
      <c r="AN186" s="39">
        <f>F186*AF186</f>
        <v>0</v>
      </c>
      <c r="AO186" s="40" t="s">
        <v>1548</v>
      </c>
      <c r="AP186" s="40" t="s">
        <v>1602</v>
      </c>
      <c r="AQ186" s="31" t="s">
        <v>1612</v>
      </c>
    </row>
    <row r="187" ht="12.75">
      <c r="D187" s="18" t="s">
        <v>1111</v>
      </c>
    </row>
    <row r="188" spans="4:6" ht="10.8" customHeight="1">
      <c r="D188" s="17" t="s">
        <v>1112</v>
      </c>
      <c r="F188" s="23">
        <v>189.31</v>
      </c>
    </row>
    <row r="189" spans="1:43" ht="12.75">
      <c r="A189" s="5" t="s">
        <v>97</v>
      </c>
      <c r="B189" s="5" t="s">
        <v>595</v>
      </c>
      <c r="C189" s="5" t="s">
        <v>700</v>
      </c>
      <c r="D189" s="5" t="s">
        <v>1113</v>
      </c>
      <c r="E189" s="5" t="s">
        <v>1503</v>
      </c>
      <c r="F189" s="22">
        <v>208.241</v>
      </c>
      <c r="G189" s="22">
        <v>0</v>
      </c>
      <c r="H189" s="22">
        <f>F189*AE189</f>
        <v>0</v>
      </c>
      <c r="I189" s="22">
        <f>J189-H189</f>
        <v>0</v>
      </c>
      <c r="J189" s="22">
        <f>F189*G189</f>
        <v>0</v>
      </c>
      <c r="K189" s="22">
        <v>0.00015</v>
      </c>
      <c r="L189" s="22">
        <f>F189*K189</f>
        <v>0.03123615</v>
      </c>
      <c r="M189" s="35" t="s">
        <v>1531</v>
      </c>
      <c r="N189" s="35" t="s">
        <v>7</v>
      </c>
      <c r="O189" s="22">
        <f>IF(N189="5",I189,0)</f>
        <v>0</v>
      </c>
      <c r="Z189" s="22">
        <f>IF(AD189=0,J189,0)</f>
        <v>0</v>
      </c>
      <c r="AA189" s="22">
        <f>IF(AD189=15,J189,0)</f>
        <v>0</v>
      </c>
      <c r="AB189" s="22">
        <f>IF(AD189=21,J189,0)</f>
        <v>0</v>
      </c>
      <c r="AD189" s="39">
        <v>15</v>
      </c>
      <c r="AE189" s="39">
        <f>G189*0.318322093953595</f>
        <v>0</v>
      </c>
      <c r="AF189" s="39">
        <f>G189*(1-0.318322093953595)</f>
        <v>0</v>
      </c>
      <c r="AM189" s="39">
        <f>F189*AE189</f>
        <v>0</v>
      </c>
      <c r="AN189" s="39">
        <f>F189*AF189</f>
        <v>0</v>
      </c>
      <c r="AO189" s="40" t="s">
        <v>1548</v>
      </c>
      <c r="AP189" s="40" t="s">
        <v>1602</v>
      </c>
      <c r="AQ189" s="31" t="s">
        <v>1612</v>
      </c>
    </row>
    <row r="190" spans="4:6" ht="10.8" customHeight="1">
      <c r="D190" s="17" t="s">
        <v>1114</v>
      </c>
      <c r="F190" s="23">
        <v>208.241</v>
      </c>
    </row>
    <row r="191" spans="1:37" ht="12.75">
      <c r="A191" s="4"/>
      <c r="B191" s="14" t="s">
        <v>595</v>
      </c>
      <c r="C191" s="14" t="s">
        <v>701</v>
      </c>
      <c r="D191" s="104" t="s">
        <v>1115</v>
      </c>
      <c r="E191" s="105"/>
      <c r="F191" s="105"/>
      <c r="G191" s="105"/>
      <c r="H191" s="42">
        <f>SUM(H192:H203)</f>
        <v>0</v>
      </c>
      <c r="I191" s="42">
        <f>SUM(I192:I203)</f>
        <v>0</v>
      </c>
      <c r="J191" s="42">
        <f>H191+I191</f>
        <v>0</v>
      </c>
      <c r="K191" s="31"/>
      <c r="L191" s="42">
        <f>SUM(L192:L203)</f>
        <v>0.03921000000000001</v>
      </c>
      <c r="M191" s="31"/>
      <c r="P191" s="42">
        <f>IF(Q191="PR",J191,SUM(O192:O203))</f>
        <v>0</v>
      </c>
      <c r="Q191" s="31" t="s">
        <v>1537</v>
      </c>
      <c r="R191" s="42">
        <f>IF(Q191="HS",H191,0)</f>
        <v>0</v>
      </c>
      <c r="S191" s="42">
        <f>IF(Q191="HS",I191-P191,0)</f>
        <v>0</v>
      </c>
      <c r="T191" s="42">
        <f>IF(Q191="PS",H191,0)</f>
        <v>0</v>
      </c>
      <c r="U191" s="42">
        <f>IF(Q191="PS",I191-P191,0)</f>
        <v>0</v>
      </c>
      <c r="V191" s="42">
        <f>IF(Q191="MP",H191,0)</f>
        <v>0</v>
      </c>
      <c r="W191" s="42">
        <f>IF(Q191="MP",I191-P191,0)</f>
        <v>0</v>
      </c>
      <c r="X191" s="42">
        <f>IF(Q191="OM",H191,0)</f>
        <v>0</v>
      </c>
      <c r="Y191" s="31" t="s">
        <v>595</v>
      </c>
      <c r="AI191" s="42">
        <f>SUM(Z192:Z203)</f>
        <v>0</v>
      </c>
      <c r="AJ191" s="42">
        <f>SUM(AA192:AA203)</f>
        <v>0</v>
      </c>
      <c r="AK191" s="42">
        <f>SUM(AB192:AB203)</f>
        <v>0</v>
      </c>
    </row>
    <row r="192" spans="1:43" ht="12.75">
      <c r="A192" s="5" t="s">
        <v>98</v>
      </c>
      <c r="B192" s="5" t="s">
        <v>595</v>
      </c>
      <c r="C192" s="5" t="s">
        <v>702</v>
      </c>
      <c r="D192" s="5" t="s">
        <v>1116</v>
      </c>
      <c r="E192" s="5" t="s">
        <v>1504</v>
      </c>
      <c r="F192" s="22">
        <v>3</v>
      </c>
      <c r="G192" s="22">
        <v>0</v>
      </c>
      <c r="H192" s="22">
        <f>F192*AE192</f>
        <v>0</v>
      </c>
      <c r="I192" s="22">
        <f>J192-H192</f>
        <v>0</v>
      </c>
      <c r="J192" s="22">
        <f>F192*G192</f>
        <v>0</v>
      </c>
      <c r="K192" s="22">
        <v>4E-05</v>
      </c>
      <c r="L192" s="22">
        <f>F192*K192</f>
        <v>0.00012000000000000002</v>
      </c>
      <c r="M192" s="35" t="s">
        <v>1531</v>
      </c>
      <c r="N192" s="35" t="s">
        <v>7</v>
      </c>
      <c r="O192" s="22">
        <f>IF(N192="5",I192,0)</f>
        <v>0</v>
      </c>
      <c r="Z192" s="22">
        <f>IF(AD192=0,J192,0)</f>
        <v>0</v>
      </c>
      <c r="AA192" s="22">
        <f>IF(AD192=15,J192,0)</f>
        <v>0</v>
      </c>
      <c r="AB192" s="22">
        <f>IF(AD192=21,J192,0)</f>
        <v>0</v>
      </c>
      <c r="AD192" s="39">
        <v>15</v>
      </c>
      <c r="AE192" s="39">
        <f>G192*0</f>
        <v>0</v>
      </c>
      <c r="AF192" s="39">
        <f>G192*(1-0)</f>
        <v>0</v>
      </c>
      <c r="AM192" s="39">
        <f>F192*AE192</f>
        <v>0</v>
      </c>
      <c r="AN192" s="39">
        <f>F192*AF192</f>
        <v>0</v>
      </c>
      <c r="AO192" s="40" t="s">
        <v>1569</v>
      </c>
      <c r="AP192" s="40" t="s">
        <v>1609</v>
      </c>
      <c r="AQ192" s="31" t="s">
        <v>1612</v>
      </c>
    </row>
    <row r="193" ht="12.75">
      <c r="D193" s="18" t="s">
        <v>1117</v>
      </c>
    </row>
    <row r="194" spans="1:43" ht="12.75">
      <c r="A194" s="5" t="s">
        <v>99</v>
      </c>
      <c r="B194" s="5" t="s">
        <v>595</v>
      </c>
      <c r="C194" s="5" t="s">
        <v>703</v>
      </c>
      <c r="D194" s="5" t="s">
        <v>1118</v>
      </c>
      <c r="E194" s="5" t="s">
        <v>1505</v>
      </c>
      <c r="F194" s="22">
        <v>12</v>
      </c>
      <c r="G194" s="22">
        <v>0</v>
      </c>
      <c r="H194" s="22">
        <f>F194*AE194</f>
        <v>0</v>
      </c>
      <c r="I194" s="22">
        <f>J194-H194</f>
        <v>0</v>
      </c>
      <c r="J194" s="22">
        <f>F194*G194</f>
        <v>0</v>
      </c>
      <c r="K194" s="22">
        <v>0</v>
      </c>
      <c r="L194" s="22">
        <f>F194*K194</f>
        <v>0</v>
      </c>
      <c r="M194" s="35" t="s">
        <v>1531</v>
      </c>
      <c r="N194" s="35" t="s">
        <v>7</v>
      </c>
      <c r="O194" s="22">
        <f>IF(N194="5",I194,0)</f>
        <v>0</v>
      </c>
      <c r="Z194" s="22">
        <f>IF(AD194=0,J194,0)</f>
        <v>0</v>
      </c>
      <c r="AA194" s="22">
        <f>IF(AD194=15,J194,0)</f>
        <v>0</v>
      </c>
      <c r="AB194" s="22">
        <f>IF(AD194=21,J194,0)</f>
        <v>0</v>
      </c>
      <c r="AD194" s="39">
        <v>15</v>
      </c>
      <c r="AE194" s="39">
        <f>G194*0.0247086247086247</f>
        <v>0</v>
      </c>
      <c r="AF194" s="39">
        <f>G194*(1-0.0247086247086247)</f>
        <v>0</v>
      </c>
      <c r="AM194" s="39">
        <f>F194*AE194</f>
        <v>0</v>
      </c>
      <c r="AN194" s="39">
        <f>F194*AF194</f>
        <v>0</v>
      </c>
      <c r="AO194" s="40" t="s">
        <v>1569</v>
      </c>
      <c r="AP194" s="40" t="s">
        <v>1609</v>
      </c>
      <c r="AQ194" s="31" t="s">
        <v>1612</v>
      </c>
    </row>
    <row r="195" spans="1:43" ht="12.75">
      <c r="A195" s="5" t="s">
        <v>100</v>
      </c>
      <c r="B195" s="5" t="s">
        <v>595</v>
      </c>
      <c r="C195" s="5" t="s">
        <v>704</v>
      </c>
      <c r="D195" s="5" t="s">
        <v>1119</v>
      </c>
      <c r="E195" s="5" t="s">
        <v>1504</v>
      </c>
      <c r="F195" s="22">
        <v>3</v>
      </c>
      <c r="G195" s="22">
        <v>0</v>
      </c>
      <c r="H195" s="22">
        <f>F195*AE195</f>
        <v>0</v>
      </c>
      <c r="I195" s="22">
        <f>J195-H195</f>
        <v>0</v>
      </c>
      <c r="J195" s="22">
        <f>F195*G195</f>
        <v>0</v>
      </c>
      <c r="K195" s="22">
        <v>2E-05</v>
      </c>
      <c r="L195" s="22">
        <f>F195*K195</f>
        <v>6.000000000000001E-05</v>
      </c>
      <c r="M195" s="35" t="s">
        <v>1531</v>
      </c>
      <c r="N195" s="35" t="s">
        <v>7</v>
      </c>
      <c r="O195" s="22">
        <f>IF(N195="5",I195,0)</f>
        <v>0</v>
      </c>
      <c r="Z195" s="22">
        <f>IF(AD195=0,J195,0)</f>
        <v>0</v>
      </c>
      <c r="AA195" s="22">
        <f>IF(AD195=15,J195,0)</f>
        <v>0</v>
      </c>
      <c r="AB195" s="22">
        <f>IF(AD195=21,J195,0)</f>
        <v>0</v>
      </c>
      <c r="AD195" s="39">
        <v>15</v>
      </c>
      <c r="AE195" s="39">
        <f>G195*0</f>
        <v>0</v>
      </c>
      <c r="AF195" s="39">
        <f>G195*(1-0)</f>
        <v>0</v>
      </c>
      <c r="AM195" s="39">
        <f>F195*AE195</f>
        <v>0</v>
      </c>
      <c r="AN195" s="39">
        <f>F195*AF195</f>
        <v>0</v>
      </c>
      <c r="AO195" s="40" t="s">
        <v>1569</v>
      </c>
      <c r="AP195" s="40" t="s">
        <v>1609</v>
      </c>
      <c r="AQ195" s="31" t="s">
        <v>1612</v>
      </c>
    </row>
    <row r="196" ht="12.75">
      <c r="D196" s="18" t="s">
        <v>1120</v>
      </c>
    </row>
    <row r="197" spans="1:43" ht="12.75">
      <c r="A197" s="6" t="s">
        <v>101</v>
      </c>
      <c r="B197" s="6" t="s">
        <v>595</v>
      </c>
      <c r="C197" s="6" t="s">
        <v>705</v>
      </c>
      <c r="D197" s="6" t="s">
        <v>1121</v>
      </c>
      <c r="E197" s="6" t="s">
        <v>1504</v>
      </c>
      <c r="F197" s="24">
        <v>6</v>
      </c>
      <c r="G197" s="24">
        <v>0</v>
      </c>
      <c r="H197" s="24">
        <f aca="true" t="shared" si="42" ref="H197:H203">F197*AE197</f>
        <v>0</v>
      </c>
      <c r="I197" s="24">
        <f aca="true" t="shared" si="43" ref="I197:I203">J197-H197</f>
        <v>0</v>
      </c>
      <c r="J197" s="24">
        <f aca="true" t="shared" si="44" ref="J197:J203">F197*G197</f>
        <v>0</v>
      </c>
      <c r="K197" s="24">
        <v>0.0003</v>
      </c>
      <c r="L197" s="24">
        <f aca="true" t="shared" si="45" ref="L197:L203">F197*K197</f>
        <v>0.0018</v>
      </c>
      <c r="M197" s="36" t="s">
        <v>1531</v>
      </c>
      <c r="N197" s="36" t="s">
        <v>1533</v>
      </c>
      <c r="O197" s="24">
        <f aca="true" t="shared" si="46" ref="O197:O203">IF(N197="5",I197,0)</f>
        <v>0</v>
      </c>
      <c r="Z197" s="24">
        <f aca="true" t="shared" si="47" ref="Z197:Z203">IF(AD197=0,J197,0)</f>
        <v>0</v>
      </c>
      <c r="AA197" s="24">
        <f aca="true" t="shared" si="48" ref="AA197:AA203">IF(AD197=15,J197,0)</f>
        <v>0</v>
      </c>
      <c r="AB197" s="24">
        <f aca="true" t="shared" si="49" ref="AB197:AB203">IF(AD197=21,J197,0)</f>
        <v>0</v>
      </c>
      <c r="AD197" s="39">
        <v>15</v>
      </c>
      <c r="AE197" s="39">
        <f aca="true" t="shared" si="50" ref="AE197:AE203">G197*1</f>
        <v>0</v>
      </c>
      <c r="AF197" s="39">
        <f aca="true" t="shared" si="51" ref="AF197:AF203">G197*(1-1)</f>
        <v>0</v>
      </c>
      <c r="AM197" s="39">
        <f aca="true" t="shared" si="52" ref="AM197:AM203">F197*AE197</f>
        <v>0</v>
      </c>
      <c r="AN197" s="39">
        <f aca="true" t="shared" si="53" ref="AN197:AN203">F197*AF197</f>
        <v>0</v>
      </c>
      <c r="AO197" s="40" t="s">
        <v>1569</v>
      </c>
      <c r="AP197" s="40" t="s">
        <v>1609</v>
      </c>
      <c r="AQ197" s="31" t="s">
        <v>1612</v>
      </c>
    </row>
    <row r="198" spans="1:43" ht="12.75">
      <c r="A198" s="6" t="s">
        <v>102</v>
      </c>
      <c r="B198" s="6" t="s">
        <v>595</v>
      </c>
      <c r="C198" s="6" t="s">
        <v>706</v>
      </c>
      <c r="D198" s="6" t="s">
        <v>1122</v>
      </c>
      <c r="E198" s="6" t="s">
        <v>1504</v>
      </c>
      <c r="F198" s="24">
        <v>30</v>
      </c>
      <c r="G198" s="24">
        <v>0</v>
      </c>
      <c r="H198" s="24">
        <f t="shared" si="42"/>
        <v>0</v>
      </c>
      <c r="I198" s="24">
        <f t="shared" si="43"/>
        <v>0</v>
      </c>
      <c r="J198" s="24">
        <f t="shared" si="44"/>
        <v>0</v>
      </c>
      <c r="K198" s="24">
        <v>0.00108</v>
      </c>
      <c r="L198" s="24">
        <f t="shared" si="45"/>
        <v>0.0324</v>
      </c>
      <c r="M198" s="36" t="s">
        <v>1531</v>
      </c>
      <c r="N198" s="36" t="s">
        <v>1533</v>
      </c>
      <c r="O198" s="24">
        <f t="shared" si="46"/>
        <v>0</v>
      </c>
      <c r="Z198" s="24">
        <f t="shared" si="47"/>
        <v>0</v>
      </c>
      <c r="AA198" s="24">
        <f t="shared" si="48"/>
        <v>0</v>
      </c>
      <c r="AB198" s="24">
        <f t="shared" si="49"/>
        <v>0</v>
      </c>
      <c r="AD198" s="39">
        <v>15</v>
      </c>
      <c r="AE198" s="39">
        <f t="shared" si="50"/>
        <v>0</v>
      </c>
      <c r="AF198" s="39">
        <f t="shared" si="51"/>
        <v>0</v>
      </c>
      <c r="AM198" s="39">
        <f t="shared" si="52"/>
        <v>0</v>
      </c>
      <c r="AN198" s="39">
        <f t="shared" si="53"/>
        <v>0</v>
      </c>
      <c r="AO198" s="40" t="s">
        <v>1569</v>
      </c>
      <c r="AP198" s="40" t="s">
        <v>1609</v>
      </c>
      <c r="AQ198" s="31" t="s">
        <v>1612</v>
      </c>
    </row>
    <row r="199" spans="1:43" ht="12.75">
      <c r="A199" s="6" t="s">
        <v>103</v>
      </c>
      <c r="B199" s="6" t="s">
        <v>595</v>
      </c>
      <c r="C199" s="6" t="s">
        <v>707</v>
      </c>
      <c r="D199" s="6" t="s">
        <v>1123</v>
      </c>
      <c r="E199" s="6" t="s">
        <v>1504</v>
      </c>
      <c r="F199" s="24">
        <v>12</v>
      </c>
      <c r="G199" s="24">
        <v>0</v>
      </c>
      <c r="H199" s="24">
        <f t="shared" si="42"/>
        <v>0</v>
      </c>
      <c r="I199" s="24">
        <f t="shared" si="43"/>
        <v>0</v>
      </c>
      <c r="J199" s="24">
        <f t="shared" si="44"/>
        <v>0</v>
      </c>
      <c r="K199" s="24">
        <v>8E-05</v>
      </c>
      <c r="L199" s="24">
        <f t="shared" si="45"/>
        <v>0.0009600000000000001</v>
      </c>
      <c r="M199" s="36" t="s">
        <v>1531</v>
      </c>
      <c r="N199" s="36" t="s">
        <v>1533</v>
      </c>
      <c r="O199" s="24">
        <f t="shared" si="46"/>
        <v>0</v>
      </c>
      <c r="Z199" s="24">
        <f t="shared" si="47"/>
        <v>0</v>
      </c>
      <c r="AA199" s="24">
        <f t="shared" si="48"/>
        <v>0</v>
      </c>
      <c r="AB199" s="24">
        <f t="shared" si="49"/>
        <v>0</v>
      </c>
      <c r="AD199" s="39">
        <v>15</v>
      </c>
      <c r="AE199" s="39">
        <f t="shared" si="50"/>
        <v>0</v>
      </c>
      <c r="AF199" s="39">
        <f t="shared" si="51"/>
        <v>0</v>
      </c>
      <c r="AM199" s="39">
        <f t="shared" si="52"/>
        <v>0</v>
      </c>
      <c r="AN199" s="39">
        <f t="shared" si="53"/>
        <v>0</v>
      </c>
      <c r="AO199" s="40" t="s">
        <v>1569</v>
      </c>
      <c r="AP199" s="40" t="s">
        <v>1609</v>
      </c>
      <c r="AQ199" s="31" t="s">
        <v>1612</v>
      </c>
    </row>
    <row r="200" spans="1:43" ht="12.75">
      <c r="A200" s="6" t="s">
        <v>104</v>
      </c>
      <c r="B200" s="6" t="s">
        <v>595</v>
      </c>
      <c r="C200" s="6" t="s">
        <v>708</v>
      </c>
      <c r="D200" s="6" t="s">
        <v>1124</v>
      </c>
      <c r="E200" s="6" t="s">
        <v>1504</v>
      </c>
      <c r="F200" s="24">
        <v>3</v>
      </c>
      <c r="G200" s="24">
        <v>0</v>
      </c>
      <c r="H200" s="24">
        <f t="shared" si="42"/>
        <v>0</v>
      </c>
      <c r="I200" s="24">
        <f t="shared" si="43"/>
        <v>0</v>
      </c>
      <c r="J200" s="24">
        <f t="shared" si="44"/>
        <v>0</v>
      </c>
      <c r="K200" s="24">
        <v>0.00025</v>
      </c>
      <c r="L200" s="24">
        <f t="shared" si="45"/>
        <v>0.00075</v>
      </c>
      <c r="M200" s="36" t="s">
        <v>1531</v>
      </c>
      <c r="N200" s="36" t="s">
        <v>1533</v>
      </c>
      <c r="O200" s="24">
        <f t="shared" si="46"/>
        <v>0</v>
      </c>
      <c r="Z200" s="24">
        <f t="shared" si="47"/>
        <v>0</v>
      </c>
      <c r="AA200" s="24">
        <f t="shared" si="48"/>
        <v>0</v>
      </c>
      <c r="AB200" s="24">
        <f t="shared" si="49"/>
        <v>0</v>
      </c>
      <c r="AD200" s="39">
        <v>15</v>
      </c>
      <c r="AE200" s="39">
        <f t="shared" si="50"/>
        <v>0</v>
      </c>
      <c r="AF200" s="39">
        <f t="shared" si="51"/>
        <v>0</v>
      </c>
      <c r="AM200" s="39">
        <f t="shared" si="52"/>
        <v>0</v>
      </c>
      <c r="AN200" s="39">
        <f t="shared" si="53"/>
        <v>0</v>
      </c>
      <c r="AO200" s="40" t="s">
        <v>1569</v>
      </c>
      <c r="AP200" s="40" t="s">
        <v>1609</v>
      </c>
      <c r="AQ200" s="31" t="s">
        <v>1612</v>
      </c>
    </row>
    <row r="201" spans="1:43" ht="12.75">
      <c r="A201" s="6" t="s">
        <v>105</v>
      </c>
      <c r="B201" s="6" t="s">
        <v>595</v>
      </c>
      <c r="C201" s="6" t="s">
        <v>709</v>
      </c>
      <c r="D201" s="6" t="s">
        <v>1125</v>
      </c>
      <c r="E201" s="6" t="s">
        <v>1504</v>
      </c>
      <c r="F201" s="24">
        <v>18</v>
      </c>
      <c r="G201" s="24">
        <v>0</v>
      </c>
      <c r="H201" s="24">
        <f t="shared" si="42"/>
        <v>0</v>
      </c>
      <c r="I201" s="24">
        <f t="shared" si="43"/>
        <v>0</v>
      </c>
      <c r="J201" s="24">
        <f t="shared" si="44"/>
        <v>0</v>
      </c>
      <c r="K201" s="24">
        <v>5E-05</v>
      </c>
      <c r="L201" s="24">
        <f t="shared" si="45"/>
        <v>0.0009000000000000001</v>
      </c>
      <c r="M201" s="36" t="s">
        <v>1531</v>
      </c>
      <c r="N201" s="36" t="s">
        <v>1533</v>
      </c>
      <c r="O201" s="24">
        <f t="shared" si="46"/>
        <v>0</v>
      </c>
      <c r="Z201" s="24">
        <f t="shared" si="47"/>
        <v>0</v>
      </c>
      <c r="AA201" s="24">
        <f t="shared" si="48"/>
        <v>0</v>
      </c>
      <c r="AB201" s="24">
        <f t="shared" si="49"/>
        <v>0</v>
      </c>
      <c r="AD201" s="39">
        <v>15</v>
      </c>
      <c r="AE201" s="39">
        <f t="shared" si="50"/>
        <v>0</v>
      </c>
      <c r="AF201" s="39">
        <f t="shared" si="51"/>
        <v>0</v>
      </c>
      <c r="AM201" s="39">
        <f t="shared" si="52"/>
        <v>0</v>
      </c>
      <c r="AN201" s="39">
        <f t="shared" si="53"/>
        <v>0</v>
      </c>
      <c r="AO201" s="40" t="s">
        <v>1569</v>
      </c>
      <c r="AP201" s="40" t="s">
        <v>1609</v>
      </c>
      <c r="AQ201" s="31" t="s">
        <v>1612</v>
      </c>
    </row>
    <row r="202" spans="1:43" ht="12.75">
      <c r="A202" s="6" t="s">
        <v>106</v>
      </c>
      <c r="B202" s="6" t="s">
        <v>595</v>
      </c>
      <c r="C202" s="6" t="s">
        <v>710</v>
      </c>
      <c r="D202" s="6" t="s">
        <v>1126</v>
      </c>
      <c r="E202" s="6" t="s">
        <v>1504</v>
      </c>
      <c r="F202" s="24">
        <v>12</v>
      </c>
      <c r="G202" s="24">
        <v>0</v>
      </c>
      <c r="H202" s="24">
        <f t="shared" si="42"/>
        <v>0</v>
      </c>
      <c r="I202" s="24">
        <f t="shared" si="43"/>
        <v>0</v>
      </c>
      <c r="J202" s="24">
        <f t="shared" si="44"/>
        <v>0</v>
      </c>
      <c r="K202" s="24">
        <v>5E-05</v>
      </c>
      <c r="L202" s="24">
        <f t="shared" si="45"/>
        <v>0.0006000000000000001</v>
      </c>
      <c r="M202" s="36" t="s">
        <v>1531</v>
      </c>
      <c r="N202" s="36" t="s">
        <v>1533</v>
      </c>
      <c r="O202" s="24">
        <f t="shared" si="46"/>
        <v>0</v>
      </c>
      <c r="Z202" s="24">
        <f t="shared" si="47"/>
        <v>0</v>
      </c>
      <c r="AA202" s="24">
        <f t="shared" si="48"/>
        <v>0</v>
      </c>
      <c r="AB202" s="24">
        <f t="shared" si="49"/>
        <v>0</v>
      </c>
      <c r="AD202" s="39">
        <v>15</v>
      </c>
      <c r="AE202" s="39">
        <f t="shared" si="50"/>
        <v>0</v>
      </c>
      <c r="AF202" s="39">
        <f t="shared" si="51"/>
        <v>0</v>
      </c>
      <c r="AM202" s="39">
        <f t="shared" si="52"/>
        <v>0</v>
      </c>
      <c r="AN202" s="39">
        <f t="shared" si="53"/>
        <v>0</v>
      </c>
      <c r="AO202" s="40" t="s">
        <v>1569</v>
      </c>
      <c r="AP202" s="40" t="s">
        <v>1609</v>
      </c>
      <c r="AQ202" s="31" t="s">
        <v>1612</v>
      </c>
    </row>
    <row r="203" spans="1:43" ht="12.75">
      <c r="A203" s="6" t="s">
        <v>107</v>
      </c>
      <c r="B203" s="6" t="s">
        <v>595</v>
      </c>
      <c r="C203" s="6" t="s">
        <v>711</v>
      </c>
      <c r="D203" s="6" t="s">
        <v>1127</v>
      </c>
      <c r="E203" s="6" t="s">
        <v>1504</v>
      </c>
      <c r="F203" s="24">
        <v>9</v>
      </c>
      <c r="G203" s="24">
        <v>0</v>
      </c>
      <c r="H203" s="24">
        <f t="shared" si="42"/>
        <v>0</v>
      </c>
      <c r="I203" s="24">
        <f t="shared" si="43"/>
        <v>0</v>
      </c>
      <c r="J203" s="24">
        <f t="shared" si="44"/>
        <v>0</v>
      </c>
      <c r="K203" s="24">
        <v>0.00018</v>
      </c>
      <c r="L203" s="24">
        <f t="shared" si="45"/>
        <v>0.0016200000000000001</v>
      </c>
      <c r="M203" s="36" t="s">
        <v>1531</v>
      </c>
      <c r="N203" s="36" t="s">
        <v>1533</v>
      </c>
      <c r="O203" s="24">
        <f t="shared" si="46"/>
        <v>0</v>
      </c>
      <c r="Z203" s="24">
        <f t="shared" si="47"/>
        <v>0</v>
      </c>
      <c r="AA203" s="24">
        <f t="shared" si="48"/>
        <v>0</v>
      </c>
      <c r="AB203" s="24">
        <f t="shared" si="49"/>
        <v>0</v>
      </c>
      <c r="AD203" s="39">
        <v>15</v>
      </c>
      <c r="AE203" s="39">
        <f t="shared" si="50"/>
        <v>0</v>
      </c>
      <c r="AF203" s="39">
        <f t="shared" si="51"/>
        <v>0</v>
      </c>
      <c r="AM203" s="39">
        <f t="shared" si="52"/>
        <v>0</v>
      </c>
      <c r="AN203" s="39">
        <f t="shared" si="53"/>
        <v>0</v>
      </c>
      <c r="AO203" s="40" t="s">
        <v>1569</v>
      </c>
      <c r="AP203" s="40" t="s">
        <v>1609</v>
      </c>
      <c r="AQ203" s="31" t="s">
        <v>1612</v>
      </c>
    </row>
    <row r="204" spans="1:37" ht="12.75">
      <c r="A204" s="4"/>
      <c r="B204" s="14" t="s">
        <v>595</v>
      </c>
      <c r="C204" s="14" t="s">
        <v>712</v>
      </c>
      <c r="D204" s="104" t="s">
        <v>1128</v>
      </c>
      <c r="E204" s="105"/>
      <c r="F204" s="105"/>
      <c r="G204" s="105"/>
      <c r="H204" s="42">
        <f>SUM(H205:H228)</f>
        <v>0</v>
      </c>
      <c r="I204" s="42">
        <f>SUM(I205:I228)</f>
        <v>0</v>
      </c>
      <c r="J204" s="42">
        <f>H204+I204</f>
        <v>0</v>
      </c>
      <c r="K204" s="31"/>
      <c r="L204" s="42">
        <f>SUM(L205:L228)</f>
        <v>0.11601</v>
      </c>
      <c r="M204" s="31"/>
      <c r="P204" s="42">
        <f>IF(Q204="PR",J204,SUM(O205:O228))</f>
        <v>0</v>
      </c>
      <c r="Q204" s="31" t="s">
        <v>1537</v>
      </c>
      <c r="R204" s="42">
        <f>IF(Q204="HS",H204,0)</f>
        <v>0</v>
      </c>
      <c r="S204" s="42">
        <f>IF(Q204="HS",I204-P204,0)</f>
        <v>0</v>
      </c>
      <c r="T204" s="42">
        <f>IF(Q204="PS",H204,0)</f>
        <v>0</v>
      </c>
      <c r="U204" s="42">
        <f>IF(Q204="PS",I204-P204,0)</f>
        <v>0</v>
      </c>
      <c r="V204" s="42">
        <f>IF(Q204="MP",H204,0)</f>
        <v>0</v>
      </c>
      <c r="W204" s="42">
        <f>IF(Q204="MP",I204-P204,0)</f>
        <v>0</v>
      </c>
      <c r="X204" s="42">
        <f>IF(Q204="OM",H204,0)</f>
        <v>0</v>
      </c>
      <c r="Y204" s="31" t="s">
        <v>595</v>
      </c>
      <c r="AI204" s="42">
        <f>SUM(Z205:Z228)</f>
        <v>0</v>
      </c>
      <c r="AJ204" s="42">
        <f>SUM(AA205:AA228)</f>
        <v>0</v>
      </c>
      <c r="AK204" s="42">
        <f>SUM(AB205:AB228)</f>
        <v>0</v>
      </c>
    </row>
    <row r="205" spans="1:43" ht="12.75">
      <c r="A205" s="6" t="s">
        <v>108</v>
      </c>
      <c r="B205" s="6" t="s">
        <v>595</v>
      </c>
      <c r="C205" s="6" t="s">
        <v>713</v>
      </c>
      <c r="D205" s="6" t="s">
        <v>1129</v>
      </c>
      <c r="E205" s="6" t="s">
        <v>1504</v>
      </c>
      <c r="F205" s="24">
        <v>6</v>
      </c>
      <c r="G205" s="24">
        <v>0</v>
      </c>
      <c r="H205" s="24">
        <f aca="true" t="shared" si="54" ref="H205:H222">F205*AE205</f>
        <v>0</v>
      </c>
      <c r="I205" s="24">
        <f aca="true" t="shared" si="55" ref="I205:I222">J205-H205</f>
        <v>0</v>
      </c>
      <c r="J205" s="24">
        <f aca="true" t="shared" si="56" ref="J205:J222">F205*G205</f>
        <v>0</v>
      </c>
      <c r="K205" s="24">
        <v>0.00023</v>
      </c>
      <c r="L205" s="24">
        <f aca="true" t="shared" si="57" ref="L205:L222">F205*K205</f>
        <v>0.0013800000000000002</v>
      </c>
      <c r="M205" s="36" t="s">
        <v>1531</v>
      </c>
      <c r="N205" s="36" t="s">
        <v>1533</v>
      </c>
      <c r="O205" s="24">
        <f aca="true" t="shared" si="58" ref="O205:O222">IF(N205="5",I205,0)</f>
        <v>0</v>
      </c>
      <c r="Z205" s="24">
        <f aca="true" t="shared" si="59" ref="Z205:Z222">IF(AD205=0,J205,0)</f>
        <v>0</v>
      </c>
      <c r="AA205" s="24">
        <f aca="true" t="shared" si="60" ref="AA205:AA222">IF(AD205=15,J205,0)</f>
        <v>0</v>
      </c>
      <c r="AB205" s="24">
        <f aca="true" t="shared" si="61" ref="AB205:AB222">IF(AD205=21,J205,0)</f>
        <v>0</v>
      </c>
      <c r="AD205" s="39">
        <v>15</v>
      </c>
      <c r="AE205" s="39">
        <f aca="true" t="shared" si="62" ref="AE205:AE214">G205*1</f>
        <v>0</v>
      </c>
      <c r="AF205" s="39">
        <f aca="true" t="shared" si="63" ref="AF205:AF214">G205*(1-1)</f>
        <v>0</v>
      </c>
      <c r="AM205" s="39">
        <f aca="true" t="shared" si="64" ref="AM205:AM222">F205*AE205</f>
        <v>0</v>
      </c>
      <c r="AN205" s="39">
        <f aca="true" t="shared" si="65" ref="AN205:AN222">F205*AF205</f>
        <v>0</v>
      </c>
      <c r="AO205" s="40" t="s">
        <v>1570</v>
      </c>
      <c r="AP205" s="40" t="s">
        <v>1609</v>
      </c>
      <c r="AQ205" s="31" t="s">
        <v>1612</v>
      </c>
    </row>
    <row r="206" spans="1:43" ht="12.75">
      <c r="A206" s="6" t="s">
        <v>109</v>
      </c>
      <c r="B206" s="6" t="s">
        <v>595</v>
      </c>
      <c r="C206" s="6" t="s">
        <v>714</v>
      </c>
      <c r="D206" s="6" t="s">
        <v>1130</v>
      </c>
      <c r="E206" s="6" t="s">
        <v>1504</v>
      </c>
      <c r="F206" s="24">
        <v>3</v>
      </c>
      <c r="G206" s="24">
        <v>0</v>
      </c>
      <c r="H206" s="24">
        <f t="shared" si="54"/>
        <v>0</v>
      </c>
      <c r="I206" s="24">
        <f t="shared" si="55"/>
        <v>0</v>
      </c>
      <c r="J206" s="24">
        <f t="shared" si="56"/>
        <v>0</v>
      </c>
      <c r="K206" s="24">
        <v>0.00013</v>
      </c>
      <c r="L206" s="24">
        <f t="shared" si="57"/>
        <v>0.00038999999999999994</v>
      </c>
      <c r="M206" s="36" t="s">
        <v>1531</v>
      </c>
      <c r="N206" s="36" t="s">
        <v>1533</v>
      </c>
      <c r="O206" s="24">
        <f t="shared" si="58"/>
        <v>0</v>
      </c>
      <c r="Z206" s="24">
        <f t="shared" si="59"/>
        <v>0</v>
      </c>
      <c r="AA206" s="24">
        <f t="shared" si="60"/>
        <v>0</v>
      </c>
      <c r="AB206" s="24">
        <f t="shared" si="61"/>
        <v>0</v>
      </c>
      <c r="AD206" s="39">
        <v>15</v>
      </c>
      <c r="AE206" s="39">
        <f t="shared" si="62"/>
        <v>0</v>
      </c>
      <c r="AF206" s="39">
        <f t="shared" si="63"/>
        <v>0</v>
      </c>
      <c r="AM206" s="39">
        <f t="shared" si="64"/>
        <v>0</v>
      </c>
      <c r="AN206" s="39">
        <f t="shared" si="65"/>
        <v>0</v>
      </c>
      <c r="AO206" s="40" t="s">
        <v>1570</v>
      </c>
      <c r="AP206" s="40" t="s">
        <v>1609</v>
      </c>
      <c r="AQ206" s="31" t="s">
        <v>1612</v>
      </c>
    </row>
    <row r="207" spans="1:43" ht="12.75">
      <c r="A207" s="6" t="s">
        <v>110</v>
      </c>
      <c r="B207" s="6" t="s">
        <v>595</v>
      </c>
      <c r="C207" s="6" t="s">
        <v>715</v>
      </c>
      <c r="D207" s="6" t="s">
        <v>1131</v>
      </c>
      <c r="E207" s="6" t="s">
        <v>1505</v>
      </c>
      <c r="F207" s="24">
        <v>42</v>
      </c>
      <c r="G207" s="24">
        <v>0</v>
      </c>
      <c r="H207" s="24">
        <f t="shared" si="54"/>
        <v>0</v>
      </c>
      <c r="I207" s="24">
        <f t="shared" si="55"/>
        <v>0</v>
      </c>
      <c r="J207" s="24">
        <f t="shared" si="56"/>
        <v>0</v>
      </c>
      <c r="K207" s="24">
        <v>0.00015</v>
      </c>
      <c r="L207" s="24">
        <f t="shared" si="57"/>
        <v>0.006299999999999999</v>
      </c>
      <c r="M207" s="36" t="s">
        <v>1531</v>
      </c>
      <c r="N207" s="36" t="s">
        <v>1533</v>
      </c>
      <c r="O207" s="24">
        <f t="shared" si="58"/>
        <v>0</v>
      </c>
      <c r="Z207" s="24">
        <f t="shared" si="59"/>
        <v>0</v>
      </c>
      <c r="AA207" s="24">
        <f t="shared" si="60"/>
        <v>0</v>
      </c>
      <c r="AB207" s="24">
        <f t="shared" si="61"/>
        <v>0</v>
      </c>
      <c r="AD207" s="39">
        <v>15</v>
      </c>
      <c r="AE207" s="39">
        <f t="shared" si="62"/>
        <v>0</v>
      </c>
      <c r="AF207" s="39">
        <f t="shared" si="63"/>
        <v>0</v>
      </c>
      <c r="AM207" s="39">
        <f t="shared" si="64"/>
        <v>0</v>
      </c>
      <c r="AN207" s="39">
        <f t="shared" si="65"/>
        <v>0</v>
      </c>
      <c r="AO207" s="40" t="s">
        <v>1570</v>
      </c>
      <c r="AP207" s="40" t="s">
        <v>1609</v>
      </c>
      <c r="AQ207" s="31" t="s">
        <v>1612</v>
      </c>
    </row>
    <row r="208" spans="1:43" ht="12.75">
      <c r="A208" s="6" t="s">
        <v>111</v>
      </c>
      <c r="B208" s="6" t="s">
        <v>595</v>
      </c>
      <c r="C208" s="6" t="s">
        <v>715</v>
      </c>
      <c r="D208" s="6" t="s">
        <v>1131</v>
      </c>
      <c r="E208" s="6" t="s">
        <v>1505</v>
      </c>
      <c r="F208" s="24">
        <v>36</v>
      </c>
      <c r="G208" s="24">
        <v>0</v>
      </c>
      <c r="H208" s="24">
        <f t="shared" si="54"/>
        <v>0</v>
      </c>
      <c r="I208" s="24">
        <f t="shared" si="55"/>
        <v>0</v>
      </c>
      <c r="J208" s="24">
        <f t="shared" si="56"/>
        <v>0</v>
      </c>
      <c r="K208" s="24">
        <v>0.00015</v>
      </c>
      <c r="L208" s="24">
        <f t="shared" si="57"/>
        <v>0.005399999999999999</v>
      </c>
      <c r="M208" s="36" t="s">
        <v>1531</v>
      </c>
      <c r="N208" s="36" t="s">
        <v>1533</v>
      </c>
      <c r="O208" s="24">
        <f t="shared" si="58"/>
        <v>0</v>
      </c>
      <c r="Z208" s="24">
        <f t="shared" si="59"/>
        <v>0</v>
      </c>
      <c r="AA208" s="24">
        <f t="shared" si="60"/>
        <v>0</v>
      </c>
      <c r="AB208" s="24">
        <f t="shared" si="61"/>
        <v>0</v>
      </c>
      <c r="AD208" s="39">
        <v>15</v>
      </c>
      <c r="AE208" s="39">
        <f t="shared" si="62"/>
        <v>0</v>
      </c>
      <c r="AF208" s="39">
        <f t="shared" si="63"/>
        <v>0</v>
      </c>
      <c r="AM208" s="39">
        <f t="shared" si="64"/>
        <v>0</v>
      </c>
      <c r="AN208" s="39">
        <f t="shared" si="65"/>
        <v>0</v>
      </c>
      <c r="AO208" s="40" t="s">
        <v>1570</v>
      </c>
      <c r="AP208" s="40" t="s">
        <v>1609</v>
      </c>
      <c r="AQ208" s="31" t="s">
        <v>1612</v>
      </c>
    </row>
    <row r="209" spans="1:43" ht="12.75">
      <c r="A209" s="6" t="s">
        <v>112</v>
      </c>
      <c r="B209" s="6" t="s">
        <v>595</v>
      </c>
      <c r="C209" s="6" t="s">
        <v>716</v>
      </c>
      <c r="D209" s="6" t="s">
        <v>1132</v>
      </c>
      <c r="E209" s="6" t="s">
        <v>1505</v>
      </c>
      <c r="F209" s="24">
        <v>52</v>
      </c>
      <c r="G209" s="24">
        <v>0</v>
      </c>
      <c r="H209" s="24">
        <f t="shared" si="54"/>
        <v>0</v>
      </c>
      <c r="I209" s="24">
        <f t="shared" si="55"/>
        <v>0</v>
      </c>
      <c r="J209" s="24">
        <f t="shared" si="56"/>
        <v>0</v>
      </c>
      <c r="K209" s="24">
        <v>0.00029</v>
      </c>
      <c r="L209" s="24">
        <f t="shared" si="57"/>
        <v>0.01508</v>
      </c>
      <c r="M209" s="36" t="s">
        <v>1531</v>
      </c>
      <c r="N209" s="36" t="s">
        <v>1533</v>
      </c>
      <c r="O209" s="24">
        <f t="shared" si="58"/>
        <v>0</v>
      </c>
      <c r="Z209" s="24">
        <f t="shared" si="59"/>
        <v>0</v>
      </c>
      <c r="AA209" s="24">
        <f t="shared" si="60"/>
        <v>0</v>
      </c>
      <c r="AB209" s="24">
        <f t="shared" si="61"/>
        <v>0</v>
      </c>
      <c r="AD209" s="39">
        <v>15</v>
      </c>
      <c r="AE209" s="39">
        <f t="shared" si="62"/>
        <v>0</v>
      </c>
      <c r="AF209" s="39">
        <f t="shared" si="63"/>
        <v>0</v>
      </c>
      <c r="AM209" s="39">
        <f t="shared" si="64"/>
        <v>0</v>
      </c>
      <c r="AN209" s="39">
        <f t="shared" si="65"/>
        <v>0</v>
      </c>
      <c r="AO209" s="40" t="s">
        <v>1570</v>
      </c>
      <c r="AP209" s="40" t="s">
        <v>1609</v>
      </c>
      <c r="AQ209" s="31" t="s">
        <v>1612</v>
      </c>
    </row>
    <row r="210" spans="1:43" ht="12.75">
      <c r="A210" s="6" t="s">
        <v>113</v>
      </c>
      <c r="B210" s="6" t="s">
        <v>595</v>
      </c>
      <c r="C210" s="6" t="s">
        <v>717</v>
      </c>
      <c r="D210" s="6" t="s">
        <v>1133</v>
      </c>
      <c r="E210" s="6" t="s">
        <v>1505</v>
      </c>
      <c r="F210" s="24">
        <v>78</v>
      </c>
      <c r="G210" s="24">
        <v>0</v>
      </c>
      <c r="H210" s="24">
        <f t="shared" si="54"/>
        <v>0</v>
      </c>
      <c r="I210" s="24">
        <f t="shared" si="55"/>
        <v>0</v>
      </c>
      <c r="J210" s="24">
        <f t="shared" si="56"/>
        <v>0</v>
      </c>
      <c r="K210" s="24">
        <v>3E-05</v>
      </c>
      <c r="L210" s="24">
        <f t="shared" si="57"/>
        <v>0.00234</v>
      </c>
      <c r="M210" s="36" t="s">
        <v>1531</v>
      </c>
      <c r="N210" s="36" t="s">
        <v>1533</v>
      </c>
      <c r="O210" s="24">
        <f t="shared" si="58"/>
        <v>0</v>
      </c>
      <c r="Z210" s="24">
        <f t="shared" si="59"/>
        <v>0</v>
      </c>
      <c r="AA210" s="24">
        <f t="shared" si="60"/>
        <v>0</v>
      </c>
      <c r="AB210" s="24">
        <f t="shared" si="61"/>
        <v>0</v>
      </c>
      <c r="AD210" s="39">
        <v>15</v>
      </c>
      <c r="AE210" s="39">
        <f t="shared" si="62"/>
        <v>0</v>
      </c>
      <c r="AF210" s="39">
        <f t="shared" si="63"/>
        <v>0</v>
      </c>
      <c r="AM210" s="39">
        <f t="shared" si="64"/>
        <v>0</v>
      </c>
      <c r="AN210" s="39">
        <f t="shared" si="65"/>
        <v>0</v>
      </c>
      <c r="AO210" s="40" t="s">
        <v>1570</v>
      </c>
      <c r="AP210" s="40" t="s">
        <v>1609</v>
      </c>
      <c r="AQ210" s="31" t="s">
        <v>1612</v>
      </c>
    </row>
    <row r="211" spans="1:43" ht="12.75">
      <c r="A211" s="6" t="s">
        <v>114</v>
      </c>
      <c r="B211" s="6" t="s">
        <v>595</v>
      </c>
      <c r="C211" s="6" t="s">
        <v>718</v>
      </c>
      <c r="D211" s="6" t="s">
        <v>1134</v>
      </c>
      <c r="E211" s="6" t="s">
        <v>1505</v>
      </c>
      <c r="F211" s="24">
        <v>52</v>
      </c>
      <c r="G211" s="24">
        <v>0</v>
      </c>
      <c r="H211" s="24">
        <f t="shared" si="54"/>
        <v>0</v>
      </c>
      <c r="I211" s="24">
        <f t="shared" si="55"/>
        <v>0</v>
      </c>
      <c r="J211" s="24">
        <f t="shared" si="56"/>
        <v>0</v>
      </c>
      <c r="K211" s="24">
        <v>4E-05</v>
      </c>
      <c r="L211" s="24">
        <f t="shared" si="57"/>
        <v>0.0020800000000000003</v>
      </c>
      <c r="M211" s="36" t="s">
        <v>1531</v>
      </c>
      <c r="N211" s="36" t="s">
        <v>1533</v>
      </c>
      <c r="O211" s="24">
        <f t="shared" si="58"/>
        <v>0</v>
      </c>
      <c r="Z211" s="24">
        <f t="shared" si="59"/>
        <v>0</v>
      </c>
      <c r="AA211" s="24">
        <f t="shared" si="60"/>
        <v>0</v>
      </c>
      <c r="AB211" s="24">
        <f t="shared" si="61"/>
        <v>0</v>
      </c>
      <c r="AD211" s="39">
        <v>15</v>
      </c>
      <c r="AE211" s="39">
        <f t="shared" si="62"/>
        <v>0</v>
      </c>
      <c r="AF211" s="39">
        <f t="shared" si="63"/>
        <v>0</v>
      </c>
      <c r="AM211" s="39">
        <f t="shared" si="64"/>
        <v>0</v>
      </c>
      <c r="AN211" s="39">
        <f t="shared" si="65"/>
        <v>0</v>
      </c>
      <c r="AO211" s="40" t="s">
        <v>1570</v>
      </c>
      <c r="AP211" s="40" t="s">
        <v>1609</v>
      </c>
      <c r="AQ211" s="31" t="s">
        <v>1612</v>
      </c>
    </row>
    <row r="212" spans="1:43" ht="12.75">
      <c r="A212" s="6" t="s">
        <v>115</v>
      </c>
      <c r="B212" s="6" t="s">
        <v>595</v>
      </c>
      <c r="C212" s="6" t="s">
        <v>719</v>
      </c>
      <c r="D212" s="6" t="s">
        <v>1135</v>
      </c>
      <c r="E212" s="6" t="s">
        <v>1504</v>
      </c>
      <c r="F212" s="24">
        <v>3</v>
      </c>
      <c r="G212" s="24">
        <v>0</v>
      </c>
      <c r="H212" s="24">
        <f t="shared" si="54"/>
        <v>0</v>
      </c>
      <c r="I212" s="24">
        <f t="shared" si="55"/>
        <v>0</v>
      </c>
      <c r="J212" s="24">
        <f t="shared" si="56"/>
        <v>0</v>
      </c>
      <c r="K212" s="24">
        <v>1E-05</v>
      </c>
      <c r="L212" s="24">
        <f t="shared" si="57"/>
        <v>3.0000000000000004E-05</v>
      </c>
      <c r="M212" s="36" t="s">
        <v>1531</v>
      </c>
      <c r="N212" s="36" t="s">
        <v>1533</v>
      </c>
      <c r="O212" s="24">
        <f t="shared" si="58"/>
        <v>0</v>
      </c>
      <c r="Z212" s="24">
        <f t="shared" si="59"/>
        <v>0</v>
      </c>
      <c r="AA212" s="24">
        <f t="shared" si="60"/>
        <v>0</v>
      </c>
      <c r="AB212" s="24">
        <f t="shared" si="61"/>
        <v>0</v>
      </c>
      <c r="AD212" s="39">
        <v>15</v>
      </c>
      <c r="AE212" s="39">
        <f t="shared" si="62"/>
        <v>0</v>
      </c>
      <c r="AF212" s="39">
        <f t="shared" si="63"/>
        <v>0</v>
      </c>
      <c r="AM212" s="39">
        <f t="shared" si="64"/>
        <v>0</v>
      </c>
      <c r="AN212" s="39">
        <f t="shared" si="65"/>
        <v>0</v>
      </c>
      <c r="AO212" s="40" t="s">
        <v>1570</v>
      </c>
      <c r="AP212" s="40" t="s">
        <v>1609</v>
      </c>
      <c r="AQ212" s="31" t="s">
        <v>1612</v>
      </c>
    </row>
    <row r="213" spans="1:43" ht="12.75">
      <c r="A213" s="6" t="s">
        <v>116</v>
      </c>
      <c r="B213" s="6" t="s">
        <v>595</v>
      </c>
      <c r="C213" s="6" t="s">
        <v>720</v>
      </c>
      <c r="D213" s="6" t="s">
        <v>1136</v>
      </c>
      <c r="E213" s="6" t="s">
        <v>1504</v>
      </c>
      <c r="F213" s="24">
        <v>3</v>
      </c>
      <c r="G213" s="24">
        <v>0</v>
      </c>
      <c r="H213" s="24">
        <f t="shared" si="54"/>
        <v>0</v>
      </c>
      <c r="I213" s="24">
        <f t="shared" si="55"/>
        <v>0</v>
      </c>
      <c r="J213" s="24">
        <f t="shared" si="56"/>
        <v>0</v>
      </c>
      <c r="K213" s="24">
        <v>0.0004</v>
      </c>
      <c r="L213" s="24">
        <f t="shared" si="57"/>
        <v>0.0012000000000000001</v>
      </c>
      <c r="M213" s="36" t="s">
        <v>1531</v>
      </c>
      <c r="N213" s="36" t="s">
        <v>1533</v>
      </c>
      <c r="O213" s="24">
        <f t="shared" si="58"/>
        <v>0</v>
      </c>
      <c r="Z213" s="24">
        <f t="shared" si="59"/>
        <v>0</v>
      </c>
      <c r="AA213" s="24">
        <f t="shared" si="60"/>
        <v>0</v>
      </c>
      <c r="AB213" s="24">
        <f t="shared" si="61"/>
        <v>0</v>
      </c>
      <c r="AD213" s="39">
        <v>15</v>
      </c>
      <c r="AE213" s="39">
        <f t="shared" si="62"/>
        <v>0</v>
      </c>
      <c r="AF213" s="39">
        <f t="shared" si="63"/>
        <v>0</v>
      </c>
      <c r="AM213" s="39">
        <f t="shared" si="64"/>
        <v>0</v>
      </c>
      <c r="AN213" s="39">
        <f t="shared" si="65"/>
        <v>0</v>
      </c>
      <c r="AO213" s="40" t="s">
        <v>1570</v>
      </c>
      <c r="AP213" s="40" t="s">
        <v>1609</v>
      </c>
      <c r="AQ213" s="31" t="s">
        <v>1612</v>
      </c>
    </row>
    <row r="214" spans="1:43" ht="12.75">
      <c r="A214" s="6" t="s">
        <v>117</v>
      </c>
      <c r="B214" s="6" t="s">
        <v>595</v>
      </c>
      <c r="C214" s="6" t="s">
        <v>713</v>
      </c>
      <c r="D214" s="6" t="s">
        <v>1129</v>
      </c>
      <c r="E214" s="6" t="s">
        <v>1504</v>
      </c>
      <c r="F214" s="24">
        <v>3</v>
      </c>
      <c r="G214" s="24">
        <v>0</v>
      </c>
      <c r="H214" s="24">
        <f t="shared" si="54"/>
        <v>0</v>
      </c>
      <c r="I214" s="24">
        <f t="shared" si="55"/>
        <v>0</v>
      </c>
      <c r="J214" s="24">
        <f t="shared" si="56"/>
        <v>0</v>
      </c>
      <c r="K214" s="24">
        <v>0.00023</v>
      </c>
      <c r="L214" s="24">
        <f t="shared" si="57"/>
        <v>0.0006900000000000001</v>
      </c>
      <c r="M214" s="36" t="s">
        <v>1531</v>
      </c>
      <c r="N214" s="36" t="s">
        <v>1533</v>
      </c>
      <c r="O214" s="24">
        <f t="shared" si="58"/>
        <v>0</v>
      </c>
      <c r="Z214" s="24">
        <f t="shared" si="59"/>
        <v>0</v>
      </c>
      <c r="AA214" s="24">
        <f t="shared" si="60"/>
        <v>0</v>
      </c>
      <c r="AB214" s="24">
        <f t="shared" si="61"/>
        <v>0</v>
      </c>
      <c r="AD214" s="39">
        <v>15</v>
      </c>
      <c r="AE214" s="39">
        <f t="shared" si="62"/>
        <v>0</v>
      </c>
      <c r="AF214" s="39">
        <f t="shared" si="63"/>
        <v>0</v>
      </c>
      <c r="AM214" s="39">
        <f t="shared" si="64"/>
        <v>0</v>
      </c>
      <c r="AN214" s="39">
        <f t="shared" si="65"/>
        <v>0</v>
      </c>
      <c r="AO214" s="40" t="s">
        <v>1570</v>
      </c>
      <c r="AP214" s="40" t="s">
        <v>1609</v>
      </c>
      <c r="AQ214" s="31" t="s">
        <v>1612</v>
      </c>
    </row>
    <row r="215" spans="1:43" ht="12.75">
      <c r="A215" s="5" t="s">
        <v>118</v>
      </c>
      <c r="B215" s="5" t="s">
        <v>595</v>
      </c>
      <c r="C215" s="5" t="s">
        <v>721</v>
      </c>
      <c r="D215" s="5" t="s">
        <v>1137</v>
      </c>
      <c r="E215" s="5" t="s">
        <v>1504</v>
      </c>
      <c r="F215" s="22">
        <v>6</v>
      </c>
      <c r="G215" s="22">
        <v>0</v>
      </c>
      <c r="H215" s="22">
        <f t="shared" si="54"/>
        <v>0</v>
      </c>
      <c r="I215" s="22">
        <f t="shared" si="55"/>
        <v>0</v>
      </c>
      <c r="J215" s="22">
        <f t="shared" si="56"/>
        <v>0</v>
      </c>
      <c r="K215" s="22">
        <v>0.00028</v>
      </c>
      <c r="L215" s="22">
        <f t="shared" si="57"/>
        <v>0.0016799999999999999</v>
      </c>
      <c r="M215" s="35" t="s">
        <v>1531</v>
      </c>
      <c r="N215" s="35" t="s">
        <v>7</v>
      </c>
      <c r="O215" s="22">
        <f t="shared" si="58"/>
        <v>0</v>
      </c>
      <c r="Z215" s="22">
        <f t="shared" si="59"/>
        <v>0</v>
      </c>
      <c r="AA215" s="22">
        <f t="shared" si="60"/>
        <v>0</v>
      </c>
      <c r="AB215" s="22">
        <f t="shared" si="61"/>
        <v>0</v>
      </c>
      <c r="AD215" s="39">
        <v>15</v>
      </c>
      <c r="AE215" s="39">
        <f>G215*0.809814814814815</f>
        <v>0</v>
      </c>
      <c r="AF215" s="39">
        <f>G215*(1-0.809814814814815)</f>
        <v>0</v>
      </c>
      <c r="AM215" s="39">
        <f t="shared" si="64"/>
        <v>0</v>
      </c>
      <c r="AN215" s="39">
        <f t="shared" si="65"/>
        <v>0</v>
      </c>
      <c r="AO215" s="40" t="s">
        <v>1570</v>
      </c>
      <c r="AP215" s="40" t="s">
        <v>1609</v>
      </c>
      <c r="AQ215" s="31" t="s">
        <v>1612</v>
      </c>
    </row>
    <row r="216" spans="1:43" ht="12.75">
      <c r="A216" s="6" t="s">
        <v>119</v>
      </c>
      <c r="B216" s="6" t="s">
        <v>595</v>
      </c>
      <c r="C216" s="6" t="s">
        <v>713</v>
      </c>
      <c r="D216" s="6" t="s">
        <v>1129</v>
      </c>
      <c r="E216" s="6" t="s">
        <v>1504</v>
      </c>
      <c r="F216" s="24">
        <v>3</v>
      </c>
      <c r="G216" s="24">
        <v>0</v>
      </c>
      <c r="H216" s="24">
        <f t="shared" si="54"/>
        <v>0</v>
      </c>
      <c r="I216" s="24">
        <f t="shared" si="55"/>
        <v>0</v>
      </c>
      <c r="J216" s="24">
        <f t="shared" si="56"/>
        <v>0</v>
      </c>
      <c r="K216" s="24">
        <v>0.00023</v>
      </c>
      <c r="L216" s="24">
        <f t="shared" si="57"/>
        <v>0.0006900000000000001</v>
      </c>
      <c r="M216" s="36" t="s">
        <v>1531</v>
      </c>
      <c r="N216" s="36" t="s">
        <v>1533</v>
      </c>
      <c r="O216" s="24">
        <f t="shared" si="58"/>
        <v>0</v>
      </c>
      <c r="Z216" s="24">
        <f t="shared" si="59"/>
        <v>0</v>
      </c>
      <c r="AA216" s="24">
        <f t="shared" si="60"/>
        <v>0</v>
      </c>
      <c r="AB216" s="24">
        <f t="shared" si="61"/>
        <v>0</v>
      </c>
      <c r="AD216" s="39">
        <v>15</v>
      </c>
      <c r="AE216" s="39">
        <f aca="true" t="shared" si="66" ref="AE216:AE221">G216*1</f>
        <v>0</v>
      </c>
      <c r="AF216" s="39">
        <f aca="true" t="shared" si="67" ref="AF216:AF221">G216*(1-1)</f>
        <v>0</v>
      </c>
      <c r="AM216" s="39">
        <f t="shared" si="64"/>
        <v>0</v>
      </c>
      <c r="AN216" s="39">
        <f t="shared" si="65"/>
        <v>0</v>
      </c>
      <c r="AO216" s="40" t="s">
        <v>1570</v>
      </c>
      <c r="AP216" s="40" t="s">
        <v>1609</v>
      </c>
      <c r="AQ216" s="31" t="s">
        <v>1612</v>
      </c>
    </row>
    <row r="217" spans="1:43" ht="12.75">
      <c r="A217" s="5" t="s">
        <v>120</v>
      </c>
      <c r="B217" s="5" t="s">
        <v>595</v>
      </c>
      <c r="C217" s="5" t="s">
        <v>722</v>
      </c>
      <c r="D217" s="5" t="s">
        <v>1138</v>
      </c>
      <c r="E217" s="5" t="s">
        <v>1504</v>
      </c>
      <c r="F217" s="22">
        <v>3</v>
      </c>
      <c r="G217" s="22">
        <v>0</v>
      </c>
      <c r="H217" s="22">
        <f t="shared" si="54"/>
        <v>0</v>
      </c>
      <c r="I217" s="22">
        <f t="shared" si="55"/>
        <v>0</v>
      </c>
      <c r="J217" s="22">
        <f t="shared" si="56"/>
        <v>0</v>
      </c>
      <c r="K217" s="22">
        <v>0.00017</v>
      </c>
      <c r="L217" s="22">
        <f t="shared" si="57"/>
        <v>0.00051</v>
      </c>
      <c r="M217" s="35" t="s">
        <v>1531</v>
      </c>
      <c r="N217" s="35" t="s">
        <v>7</v>
      </c>
      <c r="O217" s="22">
        <f t="shared" si="58"/>
        <v>0</v>
      </c>
      <c r="Z217" s="22">
        <f t="shared" si="59"/>
        <v>0</v>
      </c>
      <c r="AA217" s="22">
        <f t="shared" si="60"/>
        <v>0</v>
      </c>
      <c r="AB217" s="22">
        <f t="shared" si="61"/>
        <v>0</v>
      </c>
      <c r="AD217" s="39">
        <v>15</v>
      </c>
      <c r="AE217" s="39">
        <f t="shared" si="66"/>
        <v>0</v>
      </c>
      <c r="AF217" s="39">
        <f t="shared" si="67"/>
        <v>0</v>
      </c>
      <c r="AM217" s="39">
        <f t="shared" si="64"/>
        <v>0</v>
      </c>
      <c r="AN217" s="39">
        <f t="shared" si="65"/>
        <v>0</v>
      </c>
      <c r="AO217" s="40" t="s">
        <v>1570</v>
      </c>
      <c r="AP217" s="40" t="s">
        <v>1609</v>
      </c>
      <c r="AQ217" s="31" t="s">
        <v>1612</v>
      </c>
    </row>
    <row r="218" spans="1:43" ht="12.75">
      <c r="A218" s="6" t="s">
        <v>121</v>
      </c>
      <c r="B218" s="6" t="s">
        <v>595</v>
      </c>
      <c r="C218" s="6" t="s">
        <v>723</v>
      </c>
      <c r="D218" s="6" t="s">
        <v>1139</v>
      </c>
      <c r="E218" s="6" t="s">
        <v>1504</v>
      </c>
      <c r="F218" s="24">
        <v>3</v>
      </c>
      <c r="G218" s="24">
        <v>0</v>
      </c>
      <c r="H218" s="24">
        <f t="shared" si="54"/>
        <v>0</v>
      </c>
      <c r="I218" s="24">
        <f t="shared" si="55"/>
        <v>0</v>
      </c>
      <c r="J218" s="24">
        <f t="shared" si="56"/>
        <v>0</v>
      </c>
      <c r="K218" s="24">
        <v>0.00017</v>
      </c>
      <c r="L218" s="24">
        <f t="shared" si="57"/>
        <v>0.00051</v>
      </c>
      <c r="M218" s="36" t="s">
        <v>1531</v>
      </c>
      <c r="N218" s="36" t="s">
        <v>1533</v>
      </c>
      <c r="O218" s="24">
        <f t="shared" si="58"/>
        <v>0</v>
      </c>
      <c r="Z218" s="24">
        <f t="shared" si="59"/>
        <v>0</v>
      </c>
      <c r="AA218" s="24">
        <f t="shared" si="60"/>
        <v>0</v>
      </c>
      <c r="AB218" s="24">
        <f t="shared" si="61"/>
        <v>0</v>
      </c>
      <c r="AD218" s="39">
        <v>15</v>
      </c>
      <c r="AE218" s="39">
        <f t="shared" si="66"/>
        <v>0</v>
      </c>
      <c r="AF218" s="39">
        <f t="shared" si="67"/>
        <v>0</v>
      </c>
      <c r="AM218" s="39">
        <f t="shared" si="64"/>
        <v>0</v>
      </c>
      <c r="AN218" s="39">
        <f t="shared" si="65"/>
        <v>0</v>
      </c>
      <c r="AO218" s="40" t="s">
        <v>1570</v>
      </c>
      <c r="AP218" s="40" t="s">
        <v>1609</v>
      </c>
      <c r="AQ218" s="31" t="s">
        <v>1612</v>
      </c>
    </row>
    <row r="219" spans="1:43" ht="12.75">
      <c r="A219" s="6" t="s">
        <v>122</v>
      </c>
      <c r="B219" s="6" t="s">
        <v>595</v>
      </c>
      <c r="C219" s="6" t="s">
        <v>724</v>
      </c>
      <c r="D219" s="6" t="s">
        <v>1140</v>
      </c>
      <c r="E219" s="6" t="s">
        <v>1504</v>
      </c>
      <c r="F219" s="24">
        <v>3</v>
      </c>
      <c r="G219" s="24">
        <v>0</v>
      </c>
      <c r="H219" s="24">
        <f t="shared" si="54"/>
        <v>0</v>
      </c>
      <c r="I219" s="24">
        <f t="shared" si="55"/>
        <v>0</v>
      </c>
      <c r="J219" s="24">
        <f t="shared" si="56"/>
        <v>0</v>
      </c>
      <c r="K219" s="24">
        <v>0.00039</v>
      </c>
      <c r="L219" s="24">
        <f t="shared" si="57"/>
        <v>0.00117</v>
      </c>
      <c r="M219" s="36" t="s">
        <v>1531</v>
      </c>
      <c r="N219" s="36" t="s">
        <v>1533</v>
      </c>
      <c r="O219" s="24">
        <f t="shared" si="58"/>
        <v>0</v>
      </c>
      <c r="Z219" s="24">
        <f t="shared" si="59"/>
        <v>0</v>
      </c>
      <c r="AA219" s="24">
        <f t="shared" si="60"/>
        <v>0</v>
      </c>
      <c r="AB219" s="24">
        <f t="shared" si="61"/>
        <v>0</v>
      </c>
      <c r="AD219" s="39">
        <v>15</v>
      </c>
      <c r="AE219" s="39">
        <f t="shared" si="66"/>
        <v>0</v>
      </c>
      <c r="AF219" s="39">
        <f t="shared" si="67"/>
        <v>0</v>
      </c>
      <c r="AM219" s="39">
        <f t="shared" si="64"/>
        <v>0</v>
      </c>
      <c r="AN219" s="39">
        <f t="shared" si="65"/>
        <v>0</v>
      </c>
      <c r="AO219" s="40" t="s">
        <v>1570</v>
      </c>
      <c r="AP219" s="40" t="s">
        <v>1609</v>
      </c>
      <c r="AQ219" s="31" t="s">
        <v>1612</v>
      </c>
    </row>
    <row r="220" spans="1:43" ht="12.75">
      <c r="A220" s="6" t="s">
        <v>123</v>
      </c>
      <c r="B220" s="6" t="s">
        <v>595</v>
      </c>
      <c r="C220" s="6" t="s">
        <v>725</v>
      </c>
      <c r="D220" s="6" t="s">
        <v>1141</v>
      </c>
      <c r="E220" s="6" t="s">
        <v>1504</v>
      </c>
      <c r="F220" s="24">
        <v>3</v>
      </c>
      <c r="G220" s="24">
        <v>0</v>
      </c>
      <c r="H220" s="24">
        <f t="shared" si="54"/>
        <v>0</v>
      </c>
      <c r="I220" s="24">
        <f t="shared" si="55"/>
        <v>0</v>
      </c>
      <c r="J220" s="24">
        <f t="shared" si="56"/>
        <v>0</v>
      </c>
      <c r="K220" s="24">
        <v>0.00022</v>
      </c>
      <c r="L220" s="24">
        <f t="shared" si="57"/>
        <v>0.00066</v>
      </c>
      <c r="M220" s="36" t="s">
        <v>1531</v>
      </c>
      <c r="N220" s="36" t="s">
        <v>1533</v>
      </c>
      <c r="O220" s="24">
        <f t="shared" si="58"/>
        <v>0</v>
      </c>
      <c r="Z220" s="24">
        <f t="shared" si="59"/>
        <v>0</v>
      </c>
      <c r="AA220" s="24">
        <f t="shared" si="60"/>
        <v>0</v>
      </c>
      <c r="AB220" s="24">
        <f t="shared" si="61"/>
        <v>0</v>
      </c>
      <c r="AD220" s="39">
        <v>15</v>
      </c>
      <c r="AE220" s="39">
        <f t="shared" si="66"/>
        <v>0</v>
      </c>
      <c r="AF220" s="39">
        <f t="shared" si="67"/>
        <v>0</v>
      </c>
      <c r="AM220" s="39">
        <f t="shared" si="64"/>
        <v>0</v>
      </c>
      <c r="AN220" s="39">
        <f t="shared" si="65"/>
        <v>0</v>
      </c>
      <c r="AO220" s="40" t="s">
        <v>1570</v>
      </c>
      <c r="AP220" s="40" t="s">
        <v>1609</v>
      </c>
      <c r="AQ220" s="31" t="s">
        <v>1612</v>
      </c>
    </row>
    <row r="221" spans="1:43" ht="12.75">
      <c r="A221" s="5" t="s">
        <v>124</v>
      </c>
      <c r="B221" s="5" t="s">
        <v>595</v>
      </c>
      <c r="C221" s="5" t="s">
        <v>726</v>
      </c>
      <c r="D221" s="5" t="s">
        <v>1142</v>
      </c>
      <c r="E221" s="5" t="s">
        <v>1504</v>
      </c>
      <c r="F221" s="22">
        <v>3</v>
      </c>
      <c r="G221" s="22">
        <v>0</v>
      </c>
      <c r="H221" s="22">
        <f t="shared" si="54"/>
        <v>0</v>
      </c>
      <c r="I221" s="22">
        <f t="shared" si="55"/>
        <v>0</v>
      </c>
      <c r="J221" s="22">
        <f t="shared" si="56"/>
        <v>0</v>
      </c>
      <c r="K221" s="22">
        <v>0.0035</v>
      </c>
      <c r="L221" s="22">
        <f t="shared" si="57"/>
        <v>0.0105</v>
      </c>
      <c r="M221" s="35" t="s">
        <v>1531</v>
      </c>
      <c r="N221" s="35" t="s">
        <v>7</v>
      </c>
      <c r="O221" s="22">
        <f t="shared" si="58"/>
        <v>0</v>
      </c>
      <c r="Z221" s="22">
        <f t="shared" si="59"/>
        <v>0</v>
      </c>
      <c r="AA221" s="22">
        <f t="shared" si="60"/>
        <v>0</v>
      </c>
      <c r="AB221" s="22">
        <f t="shared" si="61"/>
        <v>0</v>
      </c>
      <c r="AD221" s="39">
        <v>15</v>
      </c>
      <c r="AE221" s="39">
        <f t="shared" si="66"/>
        <v>0</v>
      </c>
      <c r="AF221" s="39">
        <f t="shared" si="67"/>
        <v>0</v>
      </c>
      <c r="AM221" s="39">
        <f t="shared" si="64"/>
        <v>0</v>
      </c>
      <c r="AN221" s="39">
        <f t="shared" si="65"/>
        <v>0</v>
      </c>
      <c r="AO221" s="40" t="s">
        <v>1570</v>
      </c>
      <c r="AP221" s="40" t="s">
        <v>1609</v>
      </c>
      <c r="AQ221" s="31" t="s">
        <v>1612</v>
      </c>
    </row>
    <row r="222" spans="1:43" ht="12.75">
      <c r="A222" s="5" t="s">
        <v>125</v>
      </c>
      <c r="B222" s="5" t="s">
        <v>595</v>
      </c>
      <c r="C222" s="5" t="s">
        <v>727</v>
      </c>
      <c r="D222" s="5" t="s">
        <v>1143</v>
      </c>
      <c r="E222" s="5" t="s">
        <v>1505</v>
      </c>
      <c r="F222" s="22">
        <v>3</v>
      </c>
      <c r="G222" s="22">
        <v>0</v>
      </c>
      <c r="H222" s="22">
        <f t="shared" si="54"/>
        <v>0</v>
      </c>
      <c r="I222" s="22">
        <f t="shared" si="55"/>
        <v>0</v>
      </c>
      <c r="J222" s="22">
        <f t="shared" si="56"/>
        <v>0</v>
      </c>
      <c r="K222" s="22">
        <v>0</v>
      </c>
      <c r="L222" s="22">
        <f t="shared" si="57"/>
        <v>0</v>
      </c>
      <c r="M222" s="35" t="s">
        <v>1531</v>
      </c>
      <c r="N222" s="35" t="s">
        <v>8</v>
      </c>
      <c r="O222" s="22">
        <f t="shared" si="58"/>
        <v>0</v>
      </c>
      <c r="Z222" s="22">
        <f t="shared" si="59"/>
        <v>0</v>
      </c>
      <c r="AA222" s="22">
        <f t="shared" si="60"/>
        <v>0</v>
      </c>
      <c r="AB222" s="22">
        <f t="shared" si="61"/>
        <v>0</v>
      </c>
      <c r="AD222" s="39">
        <v>15</v>
      </c>
      <c r="AE222" s="39">
        <f>G222*0</f>
        <v>0</v>
      </c>
      <c r="AF222" s="39">
        <f>G222*(1-0)</f>
        <v>0</v>
      </c>
      <c r="AM222" s="39">
        <f t="shared" si="64"/>
        <v>0</v>
      </c>
      <c r="AN222" s="39">
        <f t="shared" si="65"/>
        <v>0</v>
      </c>
      <c r="AO222" s="40" t="s">
        <v>1570</v>
      </c>
      <c r="AP222" s="40" t="s">
        <v>1609</v>
      </c>
      <c r="AQ222" s="31" t="s">
        <v>1612</v>
      </c>
    </row>
    <row r="223" ht="12.75">
      <c r="D223" s="18" t="s">
        <v>1144</v>
      </c>
    </row>
    <row r="224" spans="1:43" ht="12.75">
      <c r="A224" s="5" t="s">
        <v>126</v>
      </c>
      <c r="B224" s="5" t="s">
        <v>595</v>
      </c>
      <c r="C224" s="5" t="s">
        <v>728</v>
      </c>
      <c r="D224" s="5" t="s">
        <v>1145</v>
      </c>
      <c r="E224" s="5" t="s">
        <v>1504</v>
      </c>
      <c r="F224" s="22">
        <v>3</v>
      </c>
      <c r="G224" s="22">
        <v>0</v>
      </c>
      <c r="H224" s="22">
        <f>F224*AE224</f>
        <v>0</v>
      </c>
      <c r="I224" s="22">
        <f>J224-H224</f>
        <v>0</v>
      </c>
      <c r="J224" s="22">
        <f>F224*G224</f>
        <v>0</v>
      </c>
      <c r="K224" s="22">
        <v>0</v>
      </c>
      <c r="L224" s="22">
        <f>F224*K224</f>
        <v>0</v>
      </c>
      <c r="M224" s="35" t="s">
        <v>1531</v>
      </c>
      <c r="N224" s="35" t="s">
        <v>8</v>
      </c>
      <c r="O224" s="22">
        <f>IF(N224="5",I224,0)</f>
        <v>0</v>
      </c>
      <c r="Z224" s="22">
        <f>IF(AD224=0,J224,0)</f>
        <v>0</v>
      </c>
      <c r="AA224" s="22">
        <f>IF(AD224=15,J224,0)</f>
        <v>0</v>
      </c>
      <c r="AB224" s="22">
        <f>IF(AD224=21,J224,0)</f>
        <v>0</v>
      </c>
      <c r="AD224" s="39">
        <v>15</v>
      </c>
      <c r="AE224" s="39">
        <f>G224*0</f>
        <v>0</v>
      </c>
      <c r="AF224" s="39">
        <f>G224*(1-0)</f>
        <v>0</v>
      </c>
      <c r="AM224" s="39">
        <f>F224*AE224</f>
        <v>0</v>
      </c>
      <c r="AN224" s="39">
        <f>F224*AF224</f>
        <v>0</v>
      </c>
      <c r="AO224" s="40" t="s">
        <v>1570</v>
      </c>
      <c r="AP224" s="40" t="s">
        <v>1609</v>
      </c>
      <c r="AQ224" s="31" t="s">
        <v>1612</v>
      </c>
    </row>
    <row r="225" spans="1:43" ht="12.75">
      <c r="A225" s="5" t="s">
        <v>127</v>
      </c>
      <c r="B225" s="5" t="s">
        <v>595</v>
      </c>
      <c r="C225" s="5" t="s">
        <v>729</v>
      </c>
      <c r="D225" s="5" t="s">
        <v>1146</v>
      </c>
      <c r="E225" s="5" t="s">
        <v>1504</v>
      </c>
      <c r="F225" s="22">
        <v>3</v>
      </c>
      <c r="G225" s="22">
        <v>0</v>
      </c>
      <c r="H225" s="22">
        <f>F225*AE225</f>
        <v>0</v>
      </c>
      <c r="I225" s="22">
        <f>J225-H225</f>
        <v>0</v>
      </c>
      <c r="J225" s="22">
        <f>F225*G225</f>
        <v>0</v>
      </c>
      <c r="K225" s="22">
        <v>0.01933</v>
      </c>
      <c r="L225" s="22">
        <f>F225*K225</f>
        <v>0.05799</v>
      </c>
      <c r="M225" s="35" t="s">
        <v>1531</v>
      </c>
      <c r="N225" s="35" t="s">
        <v>9</v>
      </c>
      <c r="O225" s="22">
        <f>IF(N225="5",I225,0)</f>
        <v>0</v>
      </c>
      <c r="Z225" s="22">
        <f>IF(AD225=0,J225,0)</f>
        <v>0</v>
      </c>
      <c r="AA225" s="22">
        <f>IF(AD225=15,J225,0)</f>
        <v>0</v>
      </c>
      <c r="AB225" s="22">
        <f>IF(AD225=21,J225,0)</f>
        <v>0</v>
      </c>
      <c r="AD225" s="39">
        <v>15</v>
      </c>
      <c r="AE225" s="39">
        <f>G225*0</f>
        <v>0</v>
      </c>
      <c r="AF225" s="39">
        <f>G225*(1-0)</f>
        <v>0</v>
      </c>
      <c r="AM225" s="39">
        <f>F225*AE225</f>
        <v>0</v>
      </c>
      <c r="AN225" s="39">
        <f>F225*AF225</f>
        <v>0</v>
      </c>
      <c r="AO225" s="40" t="s">
        <v>1570</v>
      </c>
      <c r="AP225" s="40" t="s">
        <v>1609</v>
      </c>
      <c r="AQ225" s="31" t="s">
        <v>1612</v>
      </c>
    </row>
    <row r="226" ht="12.75">
      <c r="D226" s="18" t="s">
        <v>1147</v>
      </c>
    </row>
    <row r="227" spans="1:43" ht="12.75">
      <c r="A227" s="5" t="s">
        <v>128</v>
      </c>
      <c r="B227" s="5" t="s">
        <v>595</v>
      </c>
      <c r="C227" s="5" t="s">
        <v>730</v>
      </c>
      <c r="D227" s="5" t="s">
        <v>1148</v>
      </c>
      <c r="E227" s="5" t="s">
        <v>1504</v>
      </c>
      <c r="F227" s="22">
        <v>3</v>
      </c>
      <c r="G227" s="22">
        <v>0</v>
      </c>
      <c r="H227" s="22">
        <f>F227*AE227</f>
        <v>0</v>
      </c>
      <c r="I227" s="22">
        <f>J227-H227</f>
        <v>0</v>
      </c>
      <c r="J227" s="22">
        <f>F227*G227</f>
        <v>0</v>
      </c>
      <c r="K227" s="22">
        <v>0.00194</v>
      </c>
      <c r="L227" s="22">
        <f>F227*K227</f>
        <v>0.0058200000000000005</v>
      </c>
      <c r="M227" s="35" t="s">
        <v>1531</v>
      </c>
      <c r="N227" s="35" t="s">
        <v>7</v>
      </c>
      <c r="O227" s="22">
        <f>IF(N227="5",I227,0)</f>
        <v>0</v>
      </c>
      <c r="Z227" s="22">
        <f>IF(AD227=0,J227,0)</f>
        <v>0</v>
      </c>
      <c r="AA227" s="22">
        <f>IF(AD227=15,J227,0)</f>
        <v>0</v>
      </c>
      <c r="AB227" s="22">
        <f>IF(AD227=21,J227,0)</f>
        <v>0</v>
      </c>
      <c r="AD227" s="39">
        <v>15</v>
      </c>
      <c r="AE227" s="39">
        <f>G227*0.490293542074364</f>
        <v>0</v>
      </c>
      <c r="AF227" s="39">
        <f>G227*(1-0.490293542074364)</f>
        <v>0</v>
      </c>
      <c r="AM227" s="39">
        <f>F227*AE227</f>
        <v>0</v>
      </c>
      <c r="AN227" s="39">
        <f>F227*AF227</f>
        <v>0</v>
      </c>
      <c r="AO227" s="40" t="s">
        <v>1570</v>
      </c>
      <c r="AP227" s="40" t="s">
        <v>1609</v>
      </c>
      <c r="AQ227" s="31" t="s">
        <v>1612</v>
      </c>
    </row>
    <row r="228" spans="1:43" ht="12.75">
      <c r="A228" s="6" t="s">
        <v>129</v>
      </c>
      <c r="B228" s="6" t="s">
        <v>595</v>
      </c>
      <c r="C228" s="6" t="s">
        <v>731</v>
      </c>
      <c r="D228" s="6" t="s">
        <v>1149</v>
      </c>
      <c r="E228" s="6" t="s">
        <v>1504</v>
      </c>
      <c r="F228" s="24">
        <v>3</v>
      </c>
      <c r="G228" s="24">
        <v>0</v>
      </c>
      <c r="H228" s="24">
        <f>F228*AE228</f>
        <v>0</v>
      </c>
      <c r="I228" s="24">
        <f>J228-H228</f>
        <v>0</v>
      </c>
      <c r="J228" s="24">
        <f>F228*G228</f>
        <v>0</v>
      </c>
      <c r="K228" s="24">
        <v>0.00053</v>
      </c>
      <c r="L228" s="24">
        <f>F228*K228</f>
        <v>0.0015899999999999998</v>
      </c>
      <c r="M228" s="36" t="s">
        <v>1531</v>
      </c>
      <c r="N228" s="36" t="s">
        <v>1533</v>
      </c>
      <c r="O228" s="24">
        <f>IF(N228="5",I228,0)</f>
        <v>0</v>
      </c>
      <c r="Z228" s="24">
        <f>IF(AD228=0,J228,0)</f>
        <v>0</v>
      </c>
      <c r="AA228" s="24">
        <f>IF(AD228=15,J228,0)</f>
        <v>0</v>
      </c>
      <c r="AB228" s="24">
        <f>IF(AD228=21,J228,0)</f>
        <v>0</v>
      </c>
      <c r="AD228" s="39">
        <v>15</v>
      </c>
      <c r="AE228" s="39">
        <f>G228*1</f>
        <v>0</v>
      </c>
      <c r="AF228" s="39">
        <f>G228*(1-1)</f>
        <v>0</v>
      </c>
      <c r="AM228" s="39">
        <f>F228*AE228</f>
        <v>0</v>
      </c>
      <c r="AN228" s="39">
        <f>F228*AF228</f>
        <v>0</v>
      </c>
      <c r="AO228" s="40" t="s">
        <v>1570</v>
      </c>
      <c r="AP228" s="40" t="s">
        <v>1609</v>
      </c>
      <c r="AQ228" s="31" t="s">
        <v>1612</v>
      </c>
    </row>
    <row r="229" spans="1:37" ht="12.75">
      <c r="A229" s="4"/>
      <c r="B229" s="14" t="s">
        <v>595</v>
      </c>
      <c r="C229" s="14" t="s">
        <v>732</v>
      </c>
      <c r="D229" s="104" t="s">
        <v>1150</v>
      </c>
      <c r="E229" s="105"/>
      <c r="F229" s="105"/>
      <c r="G229" s="105"/>
      <c r="H229" s="42">
        <f>SUM(H230:H263)</f>
        <v>0</v>
      </c>
      <c r="I229" s="42">
        <f>SUM(I230:I263)</f>
        <v>0</v>
      </c>
      <c r="J229" s="42">
        <f>H229+I229</f>
        <v>0</v>
      </c>
      <c r="K229" s="31"/>
      <c r="L229" s="42">
        <f>SUM(L230:L263)</f>
        <v>0.48974999999999996</v>
      </c>
      <c r="M229" s="31"/>
      <c r="P229" s="42">
        <f>IF(Q229="PR",J229,SUM(O230:O263))</f>
        <v>0</v>
      </c>
      <c r="Q229" s="31" t="s">
        <v>1537</v>
      </c>
      <c r="R229" s="42">
        <f>IF(Q229="HS",H229,0)</f>
        <v>0</v>
      </c>
      <c r="S229" s="42">
        <f>IF(Q229="HS",I229-P229,0)</f>
        <v>0</v>
      </c>
      <c r="T229" s="42">
        <f>IF(Q229="PS",H229,0)</f>
        <v>0</v>
      </c>
      <c r="U229" s="42">
        <f>IF(Q229="PS",I229-P229,0)</f>
        <v>0</v>
      </c>
      <c r="V229" s="42">
        <f>IF(Q229="MP",H229,0)</f>
        <v>0</v>
      </c>
      <c r="W229" s="42">
        <f>IF(Q229="MP",I229-P229,0)</f>
        <v>0</v>
      </c>
      <c r="X229" s="42">
        <f>IF(Q229="OM",H229,0)</f>
        <v>0</v>
      </c>
      <c r="Y229" s="31" t="s">
        <v>595</v>
      </c>
      <c r="AI229" s="42">
        <f>SUM(Z230:Z263)</f>
        <v>0</v>
      </c>
      <c r="AJ229" s="42">
        <f>SUM(AA230:AA263)</f>
        <v>0</v>
      </c>
      <c r="AK229" s="42">
        <f>SUM(AB230:AB263)</f>
        <v>0</v>
      </c>
    </row>
    <row r="230" spans="1:43" ht="12.75">
      <c r="A230" s="5" t="s">
        <v>130</v>
      </c>
      <c r="B230" s="5" t="s">
        <v>595</v>
      </c>
      <c r="C230" s="5" t="s">
        <v>733</v>
      </c>
      <c r="D230" s="5" t="s">
        <v>1151</v>
      </c>
      <c r="E230" s="5" t="s">
        <v>1510</v>
      </c>
      <c r="F230" s="22">
        <v>3</v>
      </c>
      <c r="G230" s="22">
        <v>0</v>
      </c>
      <c r="H230" s="22">
        <f>F230*AE230</f>
        <v>0</v>
      </c>
      <c r="I230" s="22">
        <f>J230-H230</f>
        <v>0</v>
      </c>
      <c r="J230" s="22">
        <f>F230*G230</f>
        <v>0</v>
      </c>
      <c r="K230" s="22">
        <v>0.01651</v>
      </c>
      <c r="L230" s="22">
        <f>F230*K230</f>
        <v>0.049530000000000005</v>
      </c>
      <c r="M230" s="35" t="s">
        <v>1531</v>
      </c>
      <c r="N230" s="35" t="s">
        <v>7</v>
      </c>
      <c r="O230" s="22">
        <f>IF(N230="5",I230,0)</f>
        <v>0</v>
      </c>
      <c r="Z230" s="22">
        <f>IF(AD230=0,J230,0)</f>
        <v>0</v>
      </c>
      <c r="AA230" s="22">
        <f>IF(AD230=15,J230,0)</f>
        <v>0</v>
      </c>
      <c r="AB230" s="22">
        <f>IF(AD230=21,J230,0)</f>
        <v>0</v>
      </c>
      <c r="AD230" s="39">
        <v>15</v>
      </c>
      <c r="AE230" s="39">
        <f>G230*1</f>
        <v>0</v>
      </c>
      <c r="AF230" s="39">
        <f>G230*(1-1)</f>
        <v>0</v>
      </c>
      <c r="AM230" s="39">
        <f>F230*AE230</f>
        <v>0</v>
      </c>
      <c r="AN230" s="39">
        <f>F230*AF230</f>
        <v>0</v>
      </c>
      <c r="AO230" s="40" t="s">
        <v>1571</v>
      </c>
      <c r="AP230" s="40" t="s">
        <v>1609</v>
      </c>
      <c r="AQ230" s="31" t="s">
        <v>1612</v>
      </c>
    </row>
    <row r="231" spans="1:43" ht="12.75">
      <c r="A231" s="5" t="s">
        <v>131</v>
      </c>
      <c r="B231" s="5" t="s">
        <v>595</v>
      </c>
      <c r="C231" s="5" t="s">
        <v>734</v>
      </c>
      <c r="D231" s="5" t="s">
        <v>1152</v>
      </c>
      <c r="E231" s="5" t="s">
        <v>1504</v>
      </c>
      <c r="F231" s="22">
        <v>6</v>
      </c>
      <c r="G231" s="22">
        <v>0</v>
      </c>
      <c r="H231" s="22">
        <f>F231*AE231</f>
        <v>0</v>
      </c>
      <c r="I231" s="22">
        <f>J231-H231</f>
        <v>0</v>
      </c>
      <c r="J231" s="22">
        <f>F231*G231</f>
        <v>0</v>
      </c>
      <c r="K231" s="22">
        <v>0.00031</v>
      </c>
      <c r="L231" s="22">
        <f>F231*K231</f>
        <v>0.00186</v>
      </c>
      <c r="M231" s="35" t="s">
        <v>1531</v>
      </c>
      <c r="N231" s="35" t="s">
        <v>7</v>
      </c>
      <c r="O231" s="22">
        <f>IF(N231="5",I231,0)</f>
        <v>0</v>
      </c>
      <c r="Z231" s="22">
        <f>IF(AD231=0,J231,0)</f>
        <v>0</v>
      </c>
      <c r="AA231" s="22">
        <f>IF(AD231=15,J231,0)</f>
        <v>0</v>
      </c>
      <c r="AB231" s="22">
        <f>IF(AD231=21,J231,0)</f>
        <v>0</v>
      </c>
      <c r="AD231" s="39">
        <v>15</v>
      </c>
      <c r="AE231" s="39">
        <f>G231*1</f>
        <v>0</v>
      </c>
      <c r="AF231" s="39">
        <f>G231*(1-1)</f>
        <v>0</v>
      </c>
      <c r="AM231" s="39">
        <f>F231*AE231</f>
        <v>0</v>
      </c>
      <c r="AN231" s="39">
        <f>F231*AF231</f>
        <v>0</v>
      </c>
      <c r="AO231" s="40" t="s">
        <v>1571</v>
      </c>
      <c r="AP231" s="40" t="s">
        <v>1609</v>
      </c>
      <c r="AQ231" s="31" t="s">
        <v>1612</v>
      </c>
    </row>
    <row r="232" spans="1:43" ht="12.75">
      <c r="A232" s="5" t="s">
        <v>132</v>
      </c>
      <c r="B232" s="5" t="s">
        <v>595</v>
      </c>
      <c r="C232" s="5" t="s">
        <v>735</v>
      </c>
      <c r="D232" s="5" t="s">
        <v>1153</v>
      </c>
      <c r="E232" s="5" t="s">
        <v>1504</v>
      </c>
      <c r="F232" s="22">
        <v>3</v>
      </c>
      <c r="G232" s="22">
        <v>0</v>
      </c>
      <c r="H232" s="22">
        <f>F232*AE232</f>
        <v>0</v>
      </c>
      <c r="I232" s="22">
        <f>J232-H232</f>
        <v>0</v>
      </c>
      <c r="J232" s="22">
        <f>F232*G232</f>
        <v>0</v>
      </c>
      <c r="K232" s="22">
        <v>0.0013</v>
      </c>
      <c r="L232" s="22">
        <f>F232*K232</f>
        <v>0.0039</v>
      </c>
      <c r="M232" s="35" t="s">
        <v>1531</v>
      </c>
      <c r="N232" s="35" t="s">
        <v>7</v>
      </c>
      <c r="O232" s="22">
        <f>IF(N232="5",I232,0)</f>
        <v>0</v>
      </c>
      <c r="Z232" s="22">
        <f>IF(AD232=0,J232,0)</f>
        <v>0</v>
      </c>
      <c r="AA232" s="22">
        <f>IF(AD232=15,J232,0)</f>
        <v>0</v>
      </c>
      <c r="AB232" s="22">
        <f>IF(AD232=21,J232,0)</f>
        <v>0</v>
      </c>
      <c r="AD232" s="39">
        <v>15</v>
      </c>
      <c r="AE232" s="39">
        <f>G232*1</f>
        <v>0</v>
      </c>
      <c r="AF232" s="39">
        <f>G232*(1-1)</f>
        <v>0</v>
      </c>
      <c r="AM232" s="39">
        <f>F232*AE232</f>
        <v>0</v>
      </c>
      <c r="AN232" s="39">
        <f>F232*AF232</f>
        <v>0</v>
      </c>
      <c r="AO232" s="40" t="s">
        <v>1571</v>
      </c>
      <c r="AP232" s="40" t="s">
        <v>1609</v>
      </c>
      <c r="AQ232" s="31" t="s">
        <v>1612</v>
      </c>
    </row>
    <row r="233" ht="12.75">
      <c r="D233" s="18" t="s">
        <v>1154</v>
      </c>
    </row>
    <row r="234" spans="1:43" ht="12.75">
      <c r="A234" s="5" t="s">
        <v>133</v>
      </c>
      <c r="B234" s="5" t="s">
        <v>595</v>
      </c>
      <c r="C234" s="5" t="s">
        <v>736</v>
      </c>
      <c r="D234" s="5" t="s">
        <v>1155</v>
      </c>
      <c r="E234" s="5" t="s">
        <v>1504</v>
      </c>
      <c r="F234" s="22">
        <v>3</v>
      </c>
      <c r="G234" s="22">
        <v>0</v>
      </c>
      <c r="H234" s="22">
        <f>F234*AE234</f>
        <v>0</v>
      </c>
      <c r="I234" s="22">
        <f>J234-H234</f>
        <v>0</v>
      </c>
      <c r="J234" s="22">
        <f>F234*G234</f>
        <v>0</v>
      </c>
      <c r="K234" s="22">
        <v>0.001</v>
      </c>
      <c r="L234" s="22">
        <f>F234*K234</f>
        <v>0.003</v>
      </c>
      <c r="M234" s="35" t="s">
        <v>1531</v>
      </c>
      <c r="N234" s="35" t="s">
        <v>7</v>
      </c>
      <c r="O234" s="22">
        <f>IF(N234="5",I234,0)</f>
        <v>0</v>
      </c>
      <c r="Z234" s="22">
        <f>IF(AD234=0,J234,0)</f>
        <v>0</v>
      </c>
      <c r="AA234" s="22">
        <f>IF(AD234=15,J234,0)</f>
        <v>0</v>
      </c>
      <c r="AB234" s="22">
        <f>IF(AD234=21,J234,0)</f>
        <v>0</v>
      </c>
      <c r="AD234" s="39">
        <v>15</v>
      </c>
      <c r="AE234" s="39">
        <f>G234*1</f>
        <v>0</v>
      </c>
      <c r="AF234" s="39">
        <f>G234*(1-1)</f>
        <v>0</v>
      </c>
      <c r="AM234" s="39">
        <f>F234*AE234</f>
        <v>0</v>
      </c>
      <c r="AN234" s="39">
        <f>F234*AF234</f>
        <v>0</v>
      </c>
      <c r="AO234" s="40" t="s">
        <v>1571</v>
      </c>
      <c r="AP234" s="40" t="s">
        <v>1609</v>
      </c>
      <c r="AQ234" s="31" t="s">
        <v>1612</v>
      </c>
    </row>
    <row r="235" ht="12.75">
      <c r="D235" s="18" t="s">
        <v>1154</v>
      </c>
    </row>
    <row r="236" spans="1:43" ht="12.75">
      <c r="A236" s="5" t="s">
        <v>134</v>
      </c>
      <c r="B236" s="5" t="s">
        <v>595</v>
      </c>
      <c r="C236" s="5" t="s">
        <v>737</v>
      </c>
      <c r="D236" s="5" t="s">
        <v>1156</v>
      </c>
      <c r="E236" s="5" t="s">
        <v>1510</v>
      </c>
      <c r="F236" s="22">
        <v>18</v>
      </c>
      <c r="G236" s="22">
        <v>0</v>
      </c>
      <c r="H236" s="22">
        <f aca="true" t="shared" si="68" ref="H236:H241">F236*AE236</f>
        <v>0</v>
      </c>
      <c r="I236" s="22">
        <f aca="true" t="shared" si="69" ref="I236:I241">J236-H236</f>
        <v>0</v>
      </c>
      <c r="J236" s="22">
        <f aca="true" t="shared" si="70" ref="J236:J241">F236*G236</f>
        <v>0</v>
      </c>
      <c r="K236" s="22">
        <v>8E-05</v>
      </c>
      <c r="L236" s="22">
        <f aca="true" t="shared" si="71" ref="L236:L241">F236*K236</f>
        <v>0.00144</v>
      </c>
      <c r="M236" s="35" t="s">
        <v>1531</v>
      </c>
      <c r="N236" s="35" t="s">
        <v>7</v>
      </c>
      <c r="O236" s="22">
        <f aca="true" t="shared" si="72" ref="O236:O241">IF(N236="5",I236,0)</f>
        <v>0</v>
      </c>
      <c r="Z236" s="22">
        <f aca="true" t="shared" si="73" ref="Z236:Z241">IF(AD236=0,J236,0)</f>
        <v>0</v>
      </c>
      <c r="AA236" s="22">
        <f aca="true" t="shared" si="74" ref="AA236:AA241">IF(AD236=15,J236,0)</f>
        <v>0</v>
      </c>
      <c r="AB236" s="22">
        <f aca="true" t="shared" si="75" ref="AB236:AB241">IF(AD236=21,J236,0)</f>
        <v>0</v>
      </c>
      <c r="AD236" s="39">
        <v>15</v>
      </c>
      <c r="AE236" s="39">
        <f>G236*1</f>
        <v>0</v>
      </c>
      <c r="AF236" s="39">
        <f>G236*(1-1)</f>
        <v>0</v>
      </c>
      <c r="AM236" s="39">
        <f aca="true" t="shared" si="76" ref="AM236:AM241">F236*AE236</f>
        <v>0</v>
      </c>
      <c r="AN236" s="39">
        <f aca="true" t="shared" si="77" ref="AN236:AN241">F236*AF236</f>
        <v>0</v>
      </c>
      <c r="AO236" s="40" t="s">
        <v>1571</v>
      </c>
      <c r="AP236" s="40" t="s">
        <v>1609</v>
      </c>
      <c r="AQ236" s="31" t="s">
        <v>1612</v>
      </c>
    </row>
    <row r="237" spans="1:43" ht="12.75">
      <c r="A237" s="6" t="s">
        <v>135</v>
      </c>
      <c r="B237" s="6" t="s">
        <v>595</v>
      </c>
      <c r="C237" s="6" t="s">
        <v>738</v>
      </c>
      <c r="D237" s="6" t="s">
        <v>1157</v>
      </c>
      <c r="E237" s="6" t="s">
        <v>1504</v>
      </c>
      <c r="F237" s="24">
        <v>3</v>
      </c>
      <c r="G237" s="24">
        <v>0</v>
      </c>
      <c r="H237" s="24">
        <f t="shared" si="68"/>
        <v>0</v>
      </c>
      <c r="I237" s="24">
        <f t="shared" si="69"/>
        <v>0</v>
      </c>
      <c r="J237" s="24">
        <f t="shared" si="70"/>
        <v>0</v>
      </c>
      <c r="K237" s="24">
        <v>0</v>
      </c>
      <c r="L237" s="24">
        <f t="shared" si="71"/>
        <v>0</v>
      </c>
      <c r="M237" s="36" t="s">
        <v>1531</v>
      </c>
      <c r="N237" s="36" t="s">
        <v>1533</v>
      </c>
      <c r="O237" s="24">
        <f t="shared" si="72"/>
        <v>0</v>
      </c>
      <c r="Z237" s="24">
        <f t="shared" si="73"/>
        <v>0</v>
      </c>
      <c r="AA237" s="24">
        <f t="shared" si="74"/>
        <v>0</v>
      </c>
      <c r="AB237" s="24">
        <f t="shared" si="75"/>
        <v>0</v>
      </c>
      <c r="AD237" s="39">
        <v>15</v>
      </c>
      <c r="AE237" s="39">
        <f>G237*1</f>
        <v>0</v>
      </c>
      <c r="AF237" s="39">
        <f>G237*(1-1)</f>
        <v>0</v>
      </c>
      <c r="AM237" s="39">
        <f t="shared" si="76"/>
        <v>0</v>
      </c>
      <c r="AN237" s="39">
        <f t="shared" si="77"/>
        <v>0</v>
      </c>
      <c r="AO237" s="40" t="s">
        <v>1571</v>
      </c>
      <c r="AP237" s="40" t="s">
        <v>1609</v>
      </c>
      <c r="AQ237" s="31" t="s">
        <v>1612</v>
      </c>
    </row>
    <row r="238" spans="1:43" ht="12.75">
      <c r="A238" s="6" t="s">
        <v>136</v>
      </c>
      <c r="B238" s="6" t="s">
        <v>595</v>
      </c>
      <c r="C238" s="6" t="s">
        <v>739</v>
      </c>
      <c r="D238" s="6" t="s">
        <v>1158</v>
      </c>
      <c r="E238" s="6" t="s">
        <v>1504</v>
      </c>
      <c r="F238" s="24">
        <v>3</v>
      </c>
      <c r="G238" s="24">
        <v>0</v>
      </c>
      <c r="H238" s="24">
        <f t="shared" si="68"/>
        <v>0</v>
      </c>
      <c r="I238" s="24">
        <f t="shared" si="69"/>
        <v>0</v>
      </c>
      <c r="J238" s="24">
        <f t="shared" si="70"/>
        <v>0</v>
      </c>
      <c r="K238" s="24">
        <v>0.006</v>
      </c>
      <c r="L238" s="24">
        <f t="shared" si="71"/>
        <v>0.018000000000000002</v>
      </c>
      <c r="M238" s="36" t="s">
        <v>1531</v>
      </c>
      <c r="N238" s="36" t="s">
        <v>1533</v>
      </c>
      <c r="O238" s="24">
        <f t="shared" si="72"/>
        <v>0</v>
      </c>
      <c r="Z238" s="24">
        <f t="shared" si="73"/>
        <v>0</v>
      </c>
      <c r="AA238" s="24">
        <f t="shared" si="74"/>
        <v>0</v>
      </c>
      <c r="AB238" s="24">
        <f t="shared" si="75"/>
        <v>0</v>
      </c>
      <c r="AD238" s="39">
        <v>15</v>
      </c>
      <c r="AE238" s="39">
        <f>G238*1</f>
        <v>0</v>
      </c>
      <c r="AF238" s="39">
        <f>G238*(1-1)</f>
        <v>0</v>
      </c>
      <c r="AM238" s="39">
        <f t="shared" si="76"/>
        <v>0</v>
      </c>
      <c r="AN238" s="39">
        <f t="shared" si="77"/>
        <v>0</v>
      </c>
      <c r="AO238" s="40" t="s">
        <v>1571</v>
      </c>
      <c r="AP238" s="40" t="s">
        <v>1609</v>
      </c>
      <c r="AQ238" s="31" t="s">
        <v>1612</v>
      </c>
    </row>
    <row r="239" spans="1:43" ht="12.75">
      <c r="A239" s="6" t="s">
        <v>137</v>
      </c>
      <c r="B239" s="6" t="s">
        <v>595</v>
      </c>
      <c r="C239" s="6" t="s">
        <v>740</v>
      </c>
      <c r="D239" s="6" t="s">
        <v>1159</v>
      </c>
      <c r="E239" s="6" t="s">
        <v>1504</v>
      </c>
      <c r="F239" s="24">
        <v>3</v>
      </c>
      <c r="G239" s="24">
        <v>0</v>
      </c>
      <c r="H239" s="24">
        <f t="shared" si="68"/>
        <v>0</v>
      </c>
      <c r="I239" s="24">
        <f t="shared" si="69"/>
        <v>0</v>
      </c>
      <c r="J239" s="24">
        <f t="shared" si="70"/>
        <v>0</v>
      </c>
      <c r="K239" s="24">
        <v>0.00032</v>
      </c>
      <c r="L239" s="24">
        <f t="shared" si="71"/>
        <v>0.0009600000000000001</v>
      </c>
      <c r="M239" s="36" t="s">
        <v>1531</v>
      </c>
      <c r="N239" s="36" t="s">
        <v>1533</v>
      </c>
      <c r="O239" s="24">
        <f t="shared" si="72"/>
        <v>0</v>
      </c>
      <c r="Z239" s="24">
        <f t="shared" si="73"/>
        <v>0</v>
      </c>
      <c r="AA239" s="24">
        <f t="shared" si="74"/>
        <v>0</v>
      </c>
      <c r="AB239" s="24">
        <f t="shared" si="75"/>
        <v>0</v>
      </c>
      <c r="AD239" s="39">
        <v>15</v>
      </c>
      <c r="AE239" s="39">
        <f>G239*1</f>
        <v>0</v>
      </c>
      <c r="AF239" s="39">
        <f>G239*(1-1)</f>
        <v>0</v>
      </c>
      <c r="AM239" s="39">
        <f t="shared" si="76"/>
        <v>0</v>
      </c>
      <c r="AN239" s="39">
        <f t="shared" si="77"/>
        <v>0</v>
      </c>
      <c r="AO239" s="40" t="s">
        <v>1571</v>
      </c>
      <c r="AP239" s="40" t="s">
        <v>1609</v>
      </c>
      <c r="AQ239" s="31" t="s">
        <v>1612</v>
      </c>
    </row>
    <row r="240" spans="1:43" ht="12.75">
      <c r="A240" s="5" t="s">
        <v>138</v>
      </c>
      <c r="B240" s="5" t="s">
        <v>595</v>
      </c>
      <c r="C240" s="5" t="s">
        <v>741</v>
      </c>
      <c r="D240" s="5" t="s">
        <v>1160</v>
      </c>
      <c r="E240" s="5" t="s">
        <v>1504</v>
      </c>
      <c r="F240" s="22">
        <v>6</v>
      </c>
      <c r="G240" s="22">
        <v>0</v>
      </c>
      <c r="H240" s="22">
        <f t="shared" si="68"/>
        <v>0</v>
      </c>
      <c r="I240" s="22">
        <f t="shared" si="69"/>
        <v>0</v>
      </c>
      <c r="J240" s="22">
        <f t="shared" si="70"/>
        <v>0</v>
      </c>
      <c r="K240" s="22">
        <v>4E-05</v>
      </c>
      <c r="L240" s="22">
        <f t="shared" si="71"/>
        <v>0.00024000000000000003</v>
      </c>
      <c r="M240" s="35" t="s">
        <v>1531</v>
      </c>
      <c r="N240" s="35" t="s">
        <v>7</v>
      </c>
      <c r="O240" s="22">
        <f t="shared" si="72"/>
        <v>0</v>
      </c>
      <c r="Z240" s="22">
        <f t="shared" si="73"/>
        <v>0</v>
      </c>
      <c r="AA240" s="22">
        <f t="shared" si="74"/>
        <v>0</v>
      </c>
      <c r="AB240" s="22">
        <f t="shared" si="75"/>
        <v>0</v>
      </c>
      <c r="AD240" s="39">
        <v>15</v>
      </c>
      <c r="AE240" s="39">
        <f>G240*0.0407139600026057</f>
        <v>0</v>
      </c>
      <c r="AF240" s="39">
        <f>G240*(1-0.0407139600026057)</f>
        <v>0</v>
      </c>
      <c r="AM240" s="39">
        <f t="shared" si="76"/>
        <v>0</v>
      </c>
      <c r="AN240" s="39">
        <f t="shared" si="77"/>
        <v>0</v>
      </c>
      <c r="AO240" s="40" t="s">
        <v>1571</v>
      </c>
      <c r="AP240" s="40" t="s">
        <v>1609</v>
      </c>
      <c r="AQ240" s="31" t="s">
        <v>1612</v>
      </c>
    </row>
    <row r="241" spans="1:43" ht="12.75">
      <c r="A241" s="5" t="s">
        <v>139</v>
      </c>
      <c r="B241" s="5" t="s">
        <v>595</v>
      </c>
      <c r="C241" s="5" t="s">
        <v>742</v>
      </c>
      <c r="D241" s="5" t="s">
        <v>1161</v>
      </c>
      <c r="E241" s="5" t="s">
        <v>1510</v>
      </c>
      <c r="F241" s="22">
        <v>3</v>
      </c>
      <c r="G241" s="22">
        <v>0</v>
      </c>
      <c r="H241" s="22">
        <f t="shared" si="68"/>
        <v>0</v>
      </c>
      <c r="I241" s="22">
        <f t="shared" si="69"/>
        <v>0</v>
      </c>
      <c r="J241" s="22">
        <f t="shared" si="70"/>
        <v>0</v>
      </c>
      <c r="K241" s="22">
        <v>3E-05</v>
      </c>
      <c r="L241" s="22">
        <f t="shared" si="71"/>
        <v>9E-05</v>
      </c>
      <c r="M241" s="35" t="s">
        <v>1531</v>
      </c>
      <c r="N241" s="35" t="s">
        <v>7</v>
      </c>
      <c r="O241" s="22">
        <f t="shared" si="72"/>
        <v>0</v>
      </c>
      <c r="Z241" s="22">
        <f t="shared" si="73"/>
        <v>0</v>
      </c>
      <c r="AA241" s="22">
        <f t="shared" si="74"/>
        <v>0</v>
      </c>
      <c r="AB241" s="22">
        <f t="shared" si="75"/>
        <v>0</v>
      </c>
      <c r="AD241" s="39">
        <v>15</v>
      </c>
      <c r="AE241" s="39">
        <f>G241*0.901428764591878</f>
        <v>0</v>
      </c>
      <c r="AF241" s="39">
        <f>G241*(1-0.901428764591878)</f>
        <v>0</v>
      </c>
      <c r="AM241" s="39">
        <f t="shared" si="76"/>
        <v>0</v>
      </c>
      <c r="AN241" s="39">
        <f t="shared" si="77"/>
        <v>0</v>
      </c>
      <c r="AO241" s="40" t="s">
        <v>1571</v>
      </c>
      <c r="AP241" s="40" t="s">
        <v>1609</v>
      </c>
      <c r="AQ241" s="31" t="s">
        <v>1612</v>
      </c>
    </row>
    <row r="242" ht="12.75">
      <c r="D242" s="18" t="s">
        <v>1162</v>
      </c>
    </row>
    <row r="243" spans="1:43" ht="12.75">
      <c r="A243" s="5" t="s">
        <v>140</v>
      </c>
      <c r="B243" s="5" t="s">
        <v>595</v>
      </c>
      <c r="C243" s="5" t="s">
        <v>743</v>
      </c>
      <c r="D243" s="5" t="s">
        <v>1163</v>
      </c>
      <c r="E243" s="5" t="s">
        <v>1504</v>
      </c>
      <c r="F243" s="22">
        <v>3</v>
      </c>
      <c r="G243" s="22">
        <v>0</v>
      </c>
      <c r="H243" s="22">
        <f aca="true" t="shared" si="78" ref="H243:H253">F243*AE243</f>
        <v>0</v>
      </c>
      <c r="I243" s="22">
        <f aca="true" t="shared" si="79" ref="I243:I253">J243-H243</f>
        <v>0</v>
      </c>
      <c r="J243" s="22">
        <f aca="true" t="shared" si="80" ref="J243:J253">F243*G243</f>
        <v>0</v>
      </c>
      <c r="K243" s="22">
        <v>4E-05</v>
      </c>
      <c r="L243" s="22">
        <f aca="true" t="shared" si="81" ref="L243:L253">F243*K243</f>
        <v>0.00012000000000000002</v>
      </c>
      <c r="M243" s="35" t="s">
        <v>1531</v>
      </c>
      <c r="N243" s="35" t="s">
        <v>7</v>
      </c>
      <c r="O243" s="22">
        <f aca="true" t="shared" si="82" ref="O243:O253">IF(N243="5",I243,0)</f>
        <v>0</v>
      </c>
      <c r="Z243" s="22">
        <f aca="true" t="shared" si="83" ref="Z243:Z253">IF(AD243=0,J243,0)</f>
        <v>0</v>
      </c>
      <c r="AA243" s="22">
        <f aca="true" t="shared" si="84" ref="AA243:AA253">IF(AD243=15,J243,0)</f>
        <v>0</v>
      </c>
      <c r="AB243" s="22">
        <f aca="true" t="shared" si="85" ref="AB243:AB253">IF(AD243=21,J243,0)</f>
        <v>0</v>
      </c>
      <c r="AD243" s="39">
        <v>15</v>
      </c>
      <c r="AE243" s="39">
        <f>G243*0.0255212355212355</f>
        <v>0</v>
      </c>
      <c r="AF243" s="39">
        <f>G243*(1-0.0255212355212355)</f>
        <v>0</v>
      </c>
      <c r="AM243" s="39">
        <f aca="true" t="shared" si="86" ref="AM243:AM253">F243*AE243</f>
        <v>0</v>
      </c>
      <c r="AN243" s="39">
        <f aca="true" t="shared" si="87" ref="AN243:AN253">F243*AF243</f>
        <v>0</v>
      </c>
      <c r="AO243" s="40" t="s">
        <v>1571</v>
      </c>
      <c r="AP243" s="40" t="s">
        <v>1609</v>
      </c>
      <c r="AQ243" s="31" t="s">
        <v>1612</v>
      </c>
    </row>
    <row r="244" spans="1:43" ht="12.75">
      <c r="A244" s="5" t="s">
        <v>141</v>
      </c>
      <c r="B244" s="5" t="s">
        <v>595</v>
      </c>
      <c r="C244" s="5" t="s">
        <v>744</v>
      </c>
      <c r="D244" s="5" t="s">
        <v>1164</v>
      </c>
      <c r="E244" s="5" t="s">
        <v>1504</v>
      </c>
      <c r="F244" s="22">
        <v>3</v>
      </c>
      <c r="G244" s="22">
        <v>0</v>
      </c>
      <c r="H244" s="22">
        <f t="shared" si="78"/>
        <v>0</v>
      </c>
      <c r="I244" s="22">
        <f t="shared" si="79"/>
        <v>0</v>
      </c>
      <c r="J244" s="22">
        <f t="shared" si="80"/>
        <v>0</v>
      </c>
      <c r="K244" s="22">
        <v>0.00017</v>
      </c>
      <c r="L244" s="22">
        <f t="shared" si="81"/>
        <v>0.00051</v>
      </c>
      <c r="M244" s="35" t="s">
        <v>1531</v>
      </c>
      <c r="N244" s="35" t="s">
        <v>7</v>
      </c>
      <c r="O244" s="22">
        <f t="shared" si="82"/>
        <v>0</v>
      </c>
      <c r="Z244" s="22">
        <f t="shared" si="83"/>
        <v>0</v>
      </c>
      <c r="AA244" s="22">
        <f t="shared" si="84"/>
        <v>0</v>
      </c>
      <c r="AB244" s="22">
        <f t="shared" si="85"/>
        <v>0</v>
      </c>
      <c r="AD244" s="39">
        <v>15</v>
      </c>
      <c r="AE244" s="39">
        <f>G244*0.0781457153187899</f>
        <v>0</v>
      </c>
      <c r="AF244" s="39">
        <f>G244*(1-0.0781457153187899)</f>
        <v>0</v>
      </c>
      <c r="AM244" s="39">
        <f t="shared" si="86"/>
        <v>0</v>
      </c>
      <c r="AN244" s="39">
        <f t="shared" si="87"/>
        <v>0</v>
      </c>
      <c r="AO244" s="40" t="s">
        <v>1571</v>
      </c>
      <c r="AP244" s="40" t="s">
        <v>1609</v>
      </c>
      <c r="AQ244" s="31" t="s">
        <v>1612</v>
      </c>
    </row>
    <row r="245" spans="1:43" ht="12.75">
      <c r="A245" s="5" t="s">
        <v>142</v>
      </c>
      <c r="B245" s="5" t="s">
        <v>595</v>
      </c>
      <c r="C245" s="5" t="s">
        <v>745</v>
      </c>
      <c r="D245" s="5" t="s">
        <v>1165</v>
      </c>
      <c r="E245" s="5" t="s">
        <v>1510</v>
      </c>
      <c r="F245" s="22">
        <v>3</v>
      </c>
      <c r="G245" s="22">
        <v>0</v>
      </c>
      <c r="H245" s="22">
        <f t="shared" si="78"/>
        <v>0</v>
      </c>
      <c r="I245" s="22">
        <f t="shared" si="79"/>
        <v>0</v>
      </c>
      <c r="J245" s="22">
        <f t="shared" si="80"/>
        <v>0</v>
      </c>
      <c r="K245" s="22">
        <v>0.01772</v>
      </c>
      <c r="L245" s="22">
        <f t="shared" si="81"/>
        <v>0.05316</v>
      </c>
      <c r="M245" s="35" t="s">
        <v>1531</v>
      </c>
      <c r="N245" s="35" t="s">
        <v>7</v>
      </c>
      <c r="O245" s="22">
        <f t="shared" si="82"/>
        <v>0</v>
      </c>
      <c r="Z245" s="22">
        <f t="shared" si="83"/>
        <v>0</v>
      </c>
      <c r="AA245" s="22">
        <f t="shared" si="84"/>
        <v>0</v>
      </c>
      <c r="AB245" s="22">
        <f t="shared" si="85"/>
        <v>0</v>
      </c>
      <c r="AD245" s="39">
        <v>15</v>
      </c>
      <c r="AE245" s="39">
        <f>G245*0.892547864506627</f>
        <v>0</v>
      </c>
      <c r="AF245" s="39">
        <f>G245*(1-0.892547864506627)</f>
        <v>0</v>
      </c>
      <c r="AM245" s="39">
        <f t="shared" si="86"/>
        <v>0</v>
      </c>
      <c r="AN245" s="39">
        <f t="shared" si="87"/>
        <v>0</v>
      </c>
      <c r="AO245" s="40" t="s">
        <v>1571</v>
      </c>
      <c r="AP245" s="40" t="s">
        <v>1609</v>
      </c>
      <c r="AQ245" s="31" t="s">
        <v>1612</v>
      </c>
    </row>
    <row r="246" spans="1:43" ht="12.75">
      <c r="A246" s="5" t="s">
        <v>143</v>
      </c>
      <c r="B246" s="5" t="s">
        <v>595</v>
      </c>
      <c r="C246" s="5" t="s">
        <v>746</v>
      </c>
      <c r="D246" s="5" t="s">
        <v>1166</v>
      </c>
      <c r="E246" s="5" t="s">
        <v>1510</v>
      </c>
      <c r="F246" s="22">
        <v>3</v>
      </c>
      <c r="G246" s="22">
        <v>0</v>
      </c>
      <c r="H246" s="22">
        <f t="shared" si="78"/>
        <v>0</v>
      </c>
      <c r="I246" s="22">
        <f t="shared" si="79"/>
        <v>0</v>
      </c>
      <c r="J246" s="22">
        <f t="shared" si="80"/>
        <v>0</v>
      </c>
      <c r="K246" s="22">
        <v>0.01946</v>
      </c>
      <c r="L246" s="22">
        <f t="shared" si="81"/>
        <v>0.05838</v>
      </c>
      <c r="M246" s="35" t="s">
        <v>1531</v>
      </c>
      <c r="N246" s="35" t="s">
        <v>7</v>
      </c>
      <c r="O246" s="22">
        <f t="shared" si="82"/>
        <v>0</v>
      </c>
      <c r="Z246" s="22">
        <f t="shared" si="83"/>
        <v>0</v>
      </c>
      <c r="AA246" s="22">
        <f t="shared" si="84"/>
        <v>0</v>
      </c>
      <c r="AB246" s="22">
        <f t="shared" si="85"/>
        <v>0</v>
      </c>
      <c r="AD246" s="39">
        <v>15</v>
      </c>
      <c r="AE246" s="39">
        <f>G246*0</f>
        <v>0</v>
      </c>
      <c r="AF246" s="39">
        <f>G246*(1-0)</f>
        <v>0</v>
      </c>
      <c r="AM246" s="39">
        <f t="shared" si="86"/>
        <v>0</v>
      </c>
      <c r="AN246" s="39">
        <f t="shared" si="87"/>
        <v>0</v>
      </c>
      <c r="AO246" s="40" t="s">
        <v>1571</v>
      </c>
      <c r="AP246" s="40" t="s">
        <v>1609</v>
      </c>
      <c r="AQ246" s="31" t="s">
        <v>1612</v>
      </c>
    </row>
    <row r="247" spans="1:43" ht="12.75">
      <c r="A247" s="5" t="s">
        <v>144</v>
      </c>
      <c r="B247" s="5" t="s">
        <v>595</v>
      </c>
      <c r="C247" s="5" t="s">
        <v>747</v>
      </c>
      <c r="D247" s="5" t="s">
        <v>1167</v>
      </c>
      <c r="E247" s="5" t="s">
        <v>1510</v>
      </c>
      <c r="F247" s="22">
        <v>3</v>
      </c>
      <c r="G247" s="22">
        <v>0</v>
      </c>
      <c r="H247" s="22">
        <f t="shared" si="78"/>
        <v>0</v>
      </c>
      <c r="I247" s="22">
        <f t="shared" si="79"/>
        <v>0</v>
      </c>
      <c r="J247" s="22">
        <f t="shared" si="80"/>
        <v>0</v>
      </c>
      <c r="K247" s="22">
        <v>0.0329</v>
      </c>
      <c r="L247" s="22">
        <f t="shared" si="81"/>
        <v>0.0987</v>
      </c>
      <c r="M247" s="35" t="s">
        <v>1531</v>
      </c>
      <c r="N247" s="35" t="s">
        <v>7</v>
      </c>
      <c r="O247" s="22">
        <f t="shared" si="82"/>
        <v>0</v>
      </c>
      <c r="Z247" s="22">
        <f t="shared" si="83"/>
        <v>0</v>
      </c>
      <c r="AA247" s="22">
        <f t="shared" si="84"/>
        <v>0</v>
      </c>
      <c r="AB247" s="22">
        <f t="shared" si="85"/>
        <v>0</v>
      </c>
      <c r="AD247" s="39">
        <v>15</v>
      </c>
      <c r="AE247" s="39">
        <f>G247*0</f>
        <v>0</v>
      </c>
      <c r="AF247" s="39">
        <f>G247*(1-0)</f>
        <v>0</v>
      </c>
      <c r="AM247" s="39">
        <f t="shared" si="86"/>
        <v>0</v>
      </c>
      <c r="AN247" s="39">
        <f t="shared" si="87"/>
        <v>0</v>
      </c>
      <c r="AO247" s="40" t="s">
        <v>1571</v>
      </c>
      <c r="AP247" s="40" t="s">
        <v>1609</v>
      </c>
      <c r="AQ247" s="31" t="s">
        <v>1612</v>
      </c>
    </row>
    <row r="248" spans="1:43" ht="12.75">
      <c r="A248" s="5" t="s">
        <v>145</v>
      </c>
      <c r="B248" s="5" t="s">
        <v>595</v>
      </c>
      <c r="C248" s="5" t="s">
        <v>748</v>
      </c>
      <c r="D248" s="5" t="s">
        <v>1168</v>
      </c>
      <c r="E248" s="5" t="s">
        <v>1510</v>
      </c>
      <c r="F248" s="22">
        <v>3</v>
      </c>
      <c r="G248" s="22">
        <v>0</v>
      </c>
      <c r="H248" s="22">
        <f t="shared" si="78"/>
        <v>0</v>
      </c>
      <c r="I248" s="22">
        <f t="shared" si="79"/>
        <v>0</v>
      </c>
      <c r="J248" s="22">
        <f t="shared" si="80"/>
        <v>0</v>
      </c>
      <c r="K248" s="22">
        <v>0.01933</v>
      </c>
      <c r="L248" s="22">
        <f t="shared" si="81"/>
        <v>0.05799</v>
      </c>
      <c r="M248" s="35" t="s">
        <v>1531</v>
      </c>
      <c r="N248" s="35" t="s">
        <v>7</v>
      </c>
      <c r="O248" s="22">
        <f t="shared" si="82"/>
        <v>0</v>
      </c>
      <c r="Z248" s="22">
        <f t="shared" si="83"/>
        <v>0</v>
      </c>
      <c r="AA248" s="22">
        <f t="shared" si="84"/>
        <v>0</v>
      </c>
      <c r="AB248" s="22">
        <f t="shared" si="85"/>
        <v>0</v>
      </c>
      <c r="AD248" s="39">
        <v>15</v>
      </c>
      <c r="AE248" s="39">
        <f>G248*0</f>
        <v>0</v>
      </c>
      <c r="AF248" s="39">
        <f>G248*(1-0)</f>
        <v>0</v>
      </c>
      <c r="AM248" s="39">
        <f t="shared" si="86"/>
        <v>0</v>
      </c>
      <c r="AN248" s="39">
        <f t="shared" si="87"/>
        <v>0</v>
      </c>
      <c r="AO248" s="40" t="s">
        <v>1571</v>
      </c>
      <c r="AP248" s="40" t="s">
        <v>1609</v>
      </c>
      <c r="AQ248" s="31" t="s">
        <v>1612</v>
      </c>
    </row>
    <row r="249" spans="1:43" ht="12.75">
      <c r="A249" s="5" t="s">
        <v>146</v>
      </c>
      <c r="B249" s="5" t="s">
        <v>595</v>
      </c>
      <c r="C249" s="5" t="s">
        <v>749</v>
      </c>
      <c r="D249" s="5" t="s">
        <v>1169</v>
      </c>
      <c r="E249" s="5" t="s">
        <v>1510</v>
      </c>
      <c r="F249" s="22">
        <v>9</v>
      </c>
      <c r="G249" s="22">
        <v>0</v>
      </c>
      <c r="H249" s="22">
        <f t="shared" si="78"/>
        <v>0</v>
      </c>
      <c r="I249" s="22">
        <f t="shared" si="79"/>
        <v>0</v>
      </c>
      <c r="J249" s="22">
        <f t="shared" si="80"/>
        <v>0</v>
      </c>
      <c r="K249" s="22">
        <v>0.00156</v>
      </c>
      <c r="L249" s="22">
        <f t="shared" si="81"/>
        <v>0.01404</v>
      </c>
      <c r="M249" s="35" t="s">
        <v>1531</v>
      </c>
      <c r="N249" s="35" t="s">
        <v>7</v>
      </c>
      <c r="O249" s="22">
        <f t="shared" si="82"/>
        <v>0</v>
      </c>
      <c r="Z249" s="22">
        <f t="shared" si="83"/>
        <v>0</v>
      </c>
      <c r="AA249" s="22">
        <f t="shared" si="84"/>
        <v>0</v>
      </c>
      <c r="AB249" s="22">
        <f t="shared" si="85"/>
        <v>0</v>
      </c>
      <c r="AD249" s="39">
        <v>15</v>
      </c>
      <c r="AE249" s="39">
        <f>G249*0</f>
        <v>0</v>
      </c>
      <c r="AF249" s="39">
        <f>G249*(1-0)</f>
        <v>0</v>
      </c>
      <c r="AM249" s="39">
        <f t="shared" si="86"/>
        <v>0</v>
      </c>
      <c r="AN249" s="39">
        <f t="shared" si="87"/>
        <v>0</v>
      </c>
      <c r="AO249" s="40" t="s">
        <v>1571</v>
      </c>
      <c r="AP249" s="40" t="s">
        <v>1609</v>
      </c>
      <c r="AQ249" s="31" t="s">
        <v>1612</v>
      </c>
    </row>
    <row r="250" spans="1:43" ht="12.75">
      <c r="A250" s="5" t="s">
        <v>147</v>
      </c>
      <c r="B250" s="5" t="s">
        <v>595</v>
      </c>
      <c r="C250" s="5" t="s">
        <v>750</v>
      </c>
      <c r="D250" s="5" t="s">
        <v>1170</v>
      </c>
      <c r="E250" s="5" t="s">
        <v>1510</v>
      </c>
      <c r="F250" s="22">
        <v>6</v>
      </c>
      <c r="G250" s="22">
        <v>0</v>
      </c>
      <c r="H250" s="22">
        <f t="shared" si="78"/>
        <v>0</v>
      </c>
      <c r="I250" s="22">
        <f t="shared" si="79"/>
        <v>0</v>
      </c>
      <c r="J250" s="22">
        <f t="shared" si="80"/>
        <v>0</v>
      </c>
      <c r="K250" s="22">
        <v>0.00086</v>
      </c>
      <c r="L250" s="22">
        <f t="shared" si="81"/>
        <v>0.00516</v>
      </c>
      <c r="M250" s="35" t="s">
        <v>1531</v>
      </c>
      <c r="N250" s="35" t="s">
        <v>7</v>
      </c>
      <c r="O250" s="22">
        <f t="shared" si="82"/>
        <v>0</v>
      </c>
      <c r="Z250" s="22">
        <f t="shared" si="83"/>
        <v>0</v>
      </c>
      <c r="AA250" s="22">
        <f t="shared" si="84"/>
        <v>0</v>
      </c>
      <c r="AB250" s="22">
        <f t="shared" si="85"/>
        <v>0</v>
      </c>
      <c r="AD250" s="39">
        <v>15</v>
      </c>
      <c r="AE250" s="39">
        <f>G250*0</f>
        <v>0</v>
      </c>
      <c r="AF250" s="39">
        <f>G250*(1-0)</f>
        <v>0</v>
      </c>
      <c r="AM250" s="39">
        <f t="shared" si="86"/>
        <v>0</v>
      </c>
      <c r="AN250" s="39">
        <f t="shared" si="87"/>
        <v>0</v>
      </c>
      <c r="AO250" s="40" t="s">
        <v>1571</v>
      </c>
      <c r="AP250" s="40" t="s">
        <v>1609</v>
      </c>
      <c r="AQ250" s="31" t="s">
        <v>1612</v>
      </c>
    </row>
    <row r="251" spans="1:43" ht="12.75">
      <c r="A251" s="5" t="s">
        <v>148</v>
      </c>
      <c r="B251" s="5" t="s">
        <v>595</v>
      </c>
      <c r="C251" s="5" t="s">
        <v>751</v>
      </c>
      <c r="D251" s="5" t="s">
        <v>1171</v>
      </c>
      <c r="E251" s="5" t="s">
        <v>1510</v>
      </c>
      <c r="F251" s="22">
        <v>3</v>
      </c>
      <c r="G251" s="22">
        <v>0</v>
      </c>
      <c r="H251" s="22">
        <f t="shared" si="78"/>
        <v>0</v>
      </c>
      <c r="I251" s="22">
        <f t="shared" si="79"/>
        <v>0</v>
      </c>
      <c r="J251" s="22">
        <f t="shared" si="80"/>
        <v>0</v>
      </c>
      <c r="K251" s="22">
        <v>0.00089</v>
      </c>
      <c r="L251" s="22">
        <f t="shared" si="81"/>
        <v>0.0026699999999999996</v>
      </c>
      <c r="M251" s="35" t="s">
        <v>1531</v>
      </c>
      <c r="N251" s="35" t="s">
        <v>7</v>
      </c>
      <c r="O251" s="22">
        <f t="shared" si="82"/>
        <v>0</v>
      </c>
      <c r="Z251" s="22">
        <f t="shared" si="83"/>
        <v>0</v>
      </c>
      <c r="AA251" s="22">
        <f t="shared" si="84"/>
        <v>0</v>
      </c>
      <c r="AB251" s="22">
        <f t="shared" si="85"/>
        <v>0</v>
      </c>
      <c r="AD251" s="39">
        <v>15</v>
      </c>
      <c r="AE251" s="39">
        <f>G251*0.25624567811486</f>
        <v>0</v>
      </c>
      <c r="AF251" s="39">
        <f>G251*(1-0.25624567811486)</f>
        <v>0</v>
      </c>
      <c r="AM251" s="39">
        <f t="shared" si="86"/>
        <v>0</v>
      </c>
      <c r="AN251" s="39">
        <f t="shared" si="87"/>
        <v>0</v>
      </c>
      <c r="AO251" s="40" t="s">
        <v>1571</v>
      </c>
      <c r="AP251" s="40" t="s">
        <v>1609</v>
      </c>
      <c r="AQ251" s="31" t="s">
        <v>1612</v>
      </c>
    </row>
    <row r="252" spans="1:43" ht="12.75">
      <c r="A252" s="5" t="s">
        <v>149</v>
      </c>
      <c r="B252" s="5" t="s">
        <v>595</v>
      </c>
      <c r="C252" s="5" t="s">
        <v>752</v>
      </c>
      <c r="D252" s="5" t="s">
        <v>1172</v>
      </c>
      <c r="E252" s="5" t="s">
        <v>1510</v>
      </c>
      <c r="F252" s="22">
        <v>3</v>
      </c>
      <c r="G252" s="22">
        <v>0</v>
      </c>
      <c r="H252" s="22">
        <f t="shared" si="78"/>
        <v>0</v>
      </c>
      <c r="I252" s="22">
        <f t="shared" si="79"/>
        <v>0</v>
      </c>
      <c r="J252" s="22">
        <f t="shared" si="80"/>
        <v>0</v>
      </c>
      <c r="K252" s="22">
        <v>0</v>
      </c>
      <c r="L252" s="22">
        <f t="shared" si="81"/>
        <v>0</v>
      </c>
      <c r="M252" s="35" t="s">
        <v>1531</v>
      </c>
      <c r="N252" s="35" t="s">
        <v>7</v>
      </c>
      <c r="O252" s="22">
        <f t="shared" si="82"/>
        <v>0</v>
      </c>
      <c r="Z252" s="22">
        <f t="shared" si="83"/>
        <v>0</v>
      </c>
      <c r="AA252" s="22">
        <f t="shared" si="84"/>
        <v>0</v>
      </c>
      <c r="AB252" s="22">
        <f t="shared" si="85"/>
        <v>0</v>
      </c>
      <c r="AD252" s="39">
        <v>15</v>
      </c>
      <c r="AE252" s="39">
        <f>G252*0</f>
        <v>0</v>
      </c>
      <c r="AF252" s="39">
        <f>G252*(1-0)</f>
        <v>0</v>
      </c>
      <c r="AM252" s="39">
        <f t="shared" si="86"/>
        <v>0</v>
      </c>
      <c r="AN252" s="39">
        <f t="shared" si="87"/>
        <v>0</v>
      </c>
      <c r="AO252" s="40" t="s">
        <v>1571</v>
      </c>
      <c r="AP252" s="40" t="s">
        <v>1609</v>
      </c>
      <c r="AQ252" s="31" t="s">
        <v>1612</v>
      </c>
    </row>
    <row r="253" spans="1:43" ht="12.75">
      <c r="A253" s="5" t="s">
        <v>150</v>
      </c>
      <c r="B253" s="5" t="s">
        <v>595</v>
      </c>
      <c r="C253" s="5" t="s">
        <v>753</v>
      </c>
      <c r="D253" s="5" t="s">
        <v>1173</v>
      </c>
      <c r="E253" s="5" t="s">
        <v>1510</v>
      </c>
      <c r="F253" s="22">
        <v>3</v>
      </c>
      <c r="G253" s="22">
        <v>0</v>
      </c>
      <c r="H253" s="22">
        <f t="shared" si="78"/>
        <v>0</v>
      </c>
      <c r="I253" s="22">
        <f t="shared" si="79"/>
        <v>0</v>
      </c>
      <c r="J253" s="22">
        <f t="shared" si="80"/>
        <v>0</v>
      </c>
      <c r="K253" s="22">
        <v>0.00142</v>
      </c>
      <c r="L253" s="22">
        <f t="shared" si="81"/>
        <v>0.00426</v>
      </c>
      <c r="M253" s="35" t="s">
        <v>1531</v>
      </c>
      <c r="N253" s="35" t="s">
        <v>7</v>
      </c>
      <c r="O253" s="22">
        <f t="shared" si="82"/>
        <v>0</v>
      </c>
      <c r="Z253" s="22">
        <f t="shared" si="83"/>
        <v>0</v>
      </c>
      <c r="AA253" s="22">
        <f t="shared" si="84"/>
        <v>0</v>
      </c>
      <c r="AB253" s="22">
        <f t="shared" si="85"/>
        <v>0</v>
      </c>
      <c r="AD253" s="39">
        <v>15</v>
      </c>
      <c r="AE253" s="39">
        <f>G253*0.868306488195587</f>
        <v>0</v>
      </c>
      <c r="AF253" s="39">
        <f>G253*(1-0.868306488195587)</f>
        <v>0</v>
      </c>
      <c r="AM253" s="39">
        <f t="shared" si="86"/>
        <v>0</v>
      </c>
      <c r="AN253" s="39">
        <f t="shared" si="87"/>
        <v>0</v>
      </c>
      <c r="AO253" s="40" t="s">
        <v>1571</v>
      </c>
      <c r="AP253" s="40" t="s">
        <v>1609</v>
      </c>
      <c r="AQ253" s="31" t="s">
        <v>1612</v>
      </c>
    </row>
    <row r="254" ht="12.75">
      <c r="D254" s="18" t="s">
        <v>1154</v>
      </c>
    </row>
    <row r="255" spans="1:43" ht="12.75">
      <c r="A255" s="6" t="s">
        <v>151</v>
      </c>
      <c r="B255" s="6" t="s">
        <v>595</v>
      </c>
      <c r="C255" s="6" t="s">
        <v>754</v>
      </c>
      <c r="D255" s="6" t="s">
        <v>1174</v>
      </c>
      <c r="E255" s="6" t="s">
        <v>1504</v>
      </c>
      <c r="F255" s="24">
        <v>3</v>
      </c>
      <c r="G255" s="24">
        <v>0</v>
      </c>
      <c r="H255" s="24">
        <f aca="true" t="shared" si="88" ref="H255:H260">F255*AE255</f>
        <v>0</v>
      </c>
      <c r="I255" s="24">
        <f aca="true" t="shared" si="89" ref="I255:I260">J255-H255</f>
        <v>0</v>
      </c>
      <c r="J255" s="24">
        <f aca="true" t="shared" si="90" ref="J255:J260">F255*G255</f>
        <v>0</v>
      </c>
      <c r="K255" s="24">
        <v>0.0014</v>
      </c>
      <c r="L255" s="24">
        <f aca="true" t="shared" si="91" ref="L255:L260">F255*K255</f>
        <v>0.0042</v>
      </c>
      <c r="M255" s="36" t="s">
        <v>1531</v>
      </c>
      <c r="N255" s="36" t="s">
        <v>1533</v>
      </c>
      <c r="O255" s="24">
        <f aca="true" t="shared" si="92" ref="O255:O260">IF(N255="5",I255,0)</f>
        <v>0</v>
      </c>
      <c r="Z255" s="24">
        <f aca="true" t="shared" si="93" ref="Z255:Z260">IF(AD255=0,J255,0)</f>
        <v>0</v>
      </c>
      <c r="AA255" s="24">
        <f aca="true" t="shared" si="94" ref="AA255:AA260">IF(AD255=15,J255,0)</f>
        <v>0</v>
      </c>
      <c r="AB255" s="24">
        <f aca="true" t="shared" si="95" ref="AB255:AB260">IF(AD255=21,J255,0)</f>
        <v>0</v>
      </c>
      <c r="AD255" s="39">
        <v>15</v>
      </c>
      <c r="AE255" s="39">
        <f>G255*1</f>
        <v>0</v>
      </c>
      <c r="AF255" s="39">
        <f>G255*(1-1)</f>
        <v>0</v>
      </c>
      <c r="AM255" s="39">
        <f aca="true" t="shared" si="96" ref="AM255:AM260">F255*AE255</f>
        <v>0</v>
      </c>
      <c r="AN255" s="39">
        <f aca="true" t="shared" si="97" ref="AN255:AN260">F255*AF255</f>
        <v>0</v>
      </c>
      <c r="AO255" s="40" t="s">
        <v>1571</v>
      </c>
      <c r="AP255" s="40" t="s">
        <v>1609</v>
      </c>
      <c r="AQ255" s="31" t="s">
        <v>1612</v>
      </c>
    </row>
    <row r="256" spans="1:43" ht="12.75">
      <c r="A256" s="6" t="s">
        <v>152</v>
      </c>
      <c r="B256" s="6" t="s">
        <v>595</v>
      </c>
      <c r="C256" s="6" t="s">
        <v>755</v>
      </c>
      <c r="D256" s="6" t="s">
        <v>1175</v>
      </c>
      <c r="E256" s="6" t="s">
        <v>1504</v>
      </c>
      <c r="F256" s="24">
        <v>3</v>
      </c>
      <c r="G256" s="24">
        <v>0</v>
      </c>
      <c r="H256" s="24">
        <f t="shared" si="88"/>
        <v>0</v>
      </c>
      <c r="I256" s="24">
        <f t="shared" si="89"/>
        <v>0</v>
      </c>
      <c r="J256" s="24">
        <f t="shared" si="90"/>
        <v>0</v>
      </c>
      <c r="K256" s="24">
        <v>0.0008</v>
      </c>
      <c r="L256" s="24">
        <f t="shared" si="91"/>
        <v>0.0024000000000000002</v>
      </c>
      <c r="M256" s="36" t="s">
        <v>1531</v>
      </c>
      <c r="N256" s="36" t="s">
        <v>1533</v>
      </c>
      <c r="O256" s="24">
        <f t="shared" si="92"/>
        <v>0</v>
      </c>
      <c r="Z256" s="24">
        <f t="shared" si="93"/>
        <v>0</v>
      </c>
      <c r="AA256" s="24">
        <f t="shared" si="94"/>
        <v>0</v>
      </c>
      <c r="AB256" s="24">
        <f t="shared" si="95"/>
        <v>0</v>
      </c>
      <c r="AD256" s="39">
        <v>15</v>
      </c>
      <c r="AE256" s="39">
        <f>G256*1</f>
        <v>0</v>
      </c>
      <c r="AF256" s="39">
        <f>G256*(1-1)</f>
        <v>0</v>
      </c>
      <c r="AM256" s="39">
        <f t="shared" si="96"/>
        <v>0</v>
      </c>
      <c r="AN256" s="39">
        <f t="shared" si="97"/>
        <v>0</v>
      </c>
      <c r="AO256" s="40" t="s">
        <v>1571</v>
      </c>
      <c r="AP256" s="40" t="s">
        <v>1609</v>
      </c>
      <c r="AQ256" s="31" t="s">
        <v>1612</v>
      </c>
    </row>
    <row r="257" spans="1:43" ht="12.75">
      <c r="A257" s="6" t="s">
        <v>153</v>
      </c>
      <c r="B257" s="6" t="s">
        <v>595</v>
      </c>
      <c r="C257" s="6" t="s">
        <v>756</v>
      </c>
      <c r="D257" s="6" t="s">
        <v>1176</v>
      </c>
      <c r="E257" s="6" t="s">
        <v>1504</v>
      </c>
      <c r="F257" s="24">
        <v>3</v>
      </c>
      <c r="G257" s="24">
        <v>0</v>
      </c>
      <c r="H257" s="24">
        <f t="shared" si="88"/>
        <v>0</v>
      </c>
      <c r="I257" s="24">
        <f t="shared" si="89"/>
        <v>0</v>
      </c>
      <c r="J257" s="24">
        <f t="shared" si="90"/>
        <v>0</v>
      </c>
      <c r="K257" s="24">
        <v>0.0009</v>
      </c>
      <c r="L257" s="24">
        <f t="shared" si="91"/>
        <v>0.0027</v>
      </c>
      <c r="M257" s="36" t="s">
        <v>1531</v>
      </c>
      <c r="N257" s="36" t="s">
        <v>1533</v>
      </c>
      <c r="O257" s="24">
        <f t="shared" si="92"/>
        <v>0</v>
      </c>
      <c r="Z257" s="24">
        <f t="shared" si="93"/>
        <v>0</v>
      </c>
      <c r="AA257" s="24">
        <f t="shared" si="94"/>
        <v>0</v>
      </c>
      <c r="AB257" s="24">
        <f t="shared" si="95"/>
        <v>0</v>
      </c>
      <c r="AD257" s="39">
        <v>15</v>
      </c>
      <c r="AE257" s="39">
        <f>G257*1</f>
        <v>0</v>
      </c>
      <c r="AF257" s="39">
        <f>G257*(1-1)</f>
        <v>0</v>
      </c>
      <c r="AM257" s="39">
        <f t="shared" si="96"/>
        <v>0</v>
      </c>
      <c r="AN257" s="39">
        <f t="shared" si="97"/>
        <v>0</v>
      </c>
      <c r="AO257" s="40" t="s">
        <v>1571</v>
      </c>
      <c r="AP257" s="40" t="s">
        <v>1609</v>
      </c>
      <c r="AQ257" s="31" t="s">
        <v>1612</v>
      </c>
    </row>
    <row r="258" spans="1:43" ht="12.75">
      <c r="A258" s="6" t="s">
        <v>154</v>
      </c>
      <c r="B258" s="6" t="s">
        <v>595</v>
      </c>
      <c r="C258" s="6" t="s">
        <v>757</v>
      </c>
      <c r="D258" s="6" t="s">
        <v>1177</v>
      </c>
      <c r="E258" s="6" t="s">
        <v>1504</v>
      </c>
      <c r="F258" s="24">
        <v>3</v>
      </c>
      <c r="G258" s="24">
        <v>0</v>
      </c>
      <c r="H258" s="24">
        <f t="shared" si="88"/>
        <v>0</v>
      </c>
      <c r="I258" s="24">
        <f t="shared" si="89"/>
        <v>0</v>
      </c>
      <c r="J258" s="24">
        <f t="shared" si="90"/>
        <v>0</v>
      </c>
      <c r="K258" s="24">
        <v>0.016</v>
      </c>
      <c r="L258" s="24">
        <f t="shared" si="91"/>
        <v>0.048</v>
      </c>
      <c r="M258" s="36" t="s">
        <v>1531</v>
      </c>
      <c r="N258" s="36" t="s">
        <v>1533</v>
      </c>
      <c r="O258" s="24">
        <f t="shared" si="92"/>
        <v>0</v>
      </c>
      <c r="Z258" s="24">
        <f t="shared" si="93"/>
        <v>0</v>
      </c>
      <c r="AA258" s="24">
        <f t="shared" si="94"/>
        <v>0</v>
      </c>
      <c r="AB258" s="24">
        <f t="shared" si="95"/>
        <v>0</v>
      </c>
      <c r="AD258" s="39">
        <v>15</v>
      </c>
      <c r="AE258" s="39">
        <f>G258*1</f>
        <v>0</v>
      </c>
      <c r="AF258" s="39">
        <f>G258*(1-1)</f>
        <v>0</v>
      </c>
      <c r="AM258" s="39">
        <f t="shared" si="96"/>
        <v>0</v>
      </c>
      <c r="AN258" s="39">
        <f t="shared" si="97"/>
        <v>0</v>
      </c>
      <c r="AO258" s="40" t="s">
        <v>1571</v>
      </c>
      <c r="AP258" s="40" t="s">
        <v>1609</v>
      </c>
      <c r="AQ258" s="31" t="s">
        <v>1612</v>
      </c>
    </row>
    <row r="259" spans="1:43" ht="12.75">
      <c r="A259" s="6" t="s">
        <v>155</v>
      </c>
      <c r="B259" s="6" t="s">
        <v>595</v>
      </c>
      <c r="C259" s="6" t="s">
        <v>758</v>
      </c>
      <c r="D259" s="6" t="s">
        <v>1178</v>
      </c>
      <c r="E259" s="6" t="s">
        <v>1504</v>
      </c>
      <c r="F259" s="24">
        <v>3</v>
      </c>
      <c r="G259" s="24">
        <v>0</v>
      </c>
      <c r="H259" s="24">
        <f t="shared" si="88"/>
        <v>0</v>
      </c>
      <c r="I259" s="24">
        <f t="shared" si="89"/>
        <v>0</v>
      </c>
      <c r="J259" s="24">
        <f t="shared" si="90"/>
        <v>0</v>
      </c>
      <c r="K259" s="24">
        <v>0.018</v>
      </c>
      <c r="L259" s="24">
        <f t="shared" si="91"/>
        <v>0.05399999999999999</v>
      </c>
      <c r="M259" s="36" t="s">
        <v>1531</v>
      </c>
      <c r="N259" s="36" t="s">
        <v>1533</v>
      </c>
      <c r="O259" s="24">
        <f t="shared" si="92"/>
        <v>0</v>
      </c>
      <c r="Z259" s="24">
        <f t="shared" si="93"/>
        <v>0</v>
      </c>
      <c r="AA259" s="24">
        <f t="shared" si="94"/>
        <v>0</v>
      </c>
      <c r="AB259" s="24">
        <f t="shared" si="95"/>
        <v>0</v>
      </c>
      <c r="AD259" s="39">
        <v>15</v>
      </c>
      <c r="AE259" s="39">
        <f>G259*1</f>
        <v>0</v>
      </c>
      <c r="AF259" s="39">
        <f>G259*(1-1)</f>
        <v>0</v>
      </c>
      <c r="AM259" s="39">
        <f t="shared" si="96"/>
        <v>0</v>
      </c>
      <c r="AN259" s="39">
        <f t="shared" si="97"/>
        <v>0</v>
      </c>
      <c r="AO259" s="40" t="s">
        <v>1571</v>
      </c>
      <c r="AP259" s="40" t="s">
        <v>1609</v>
      </c>
      <c r="AQ259" s="31" t="s">
        <v>1612</v>
      </c>
    </row>
    <row r="260" spans="1:43" ht="12.75">
      <c r="A260" s="5" t="s">
        <v>156</v>
      </c>
      <c r="B260" s="5" t="s">
        <v>595</v>
      </c>
      <c r="C260" s="5" t="s">
        <v>759</v>
      </c>
      <c r="D260" s="5" t="s">
        <v>1179</v>
      </c>
      <c r="E260" s="5" t="s">
        <v>1504</v>
      </c>
      <c r="F260" s="22">
        <v>6</v>
      </c>
      <c r="G260" s="22">
        <v>0</v>
      </c>
      <c r="H260" s="22">
        <f t="shared" si="88"/>
        <v>0</v>
      </c>
      <c r="I260" s="22">
        <f t="shared" si="89"/>
        <v>0</v>
      </c>
      <c r="J260" s="22">
        <f t="shared" si="90"/>
        <v>0</v>
      </c>
      <c r="K260" s="22">
        <v>0.0002</v>
      </c>
      <c r="L260" s="22">
        <f t="shared" si="91"/>
        <v>0.0012000000000000001</v>
      </c>
      <c r="M260" s="35" t="s">
        <v>1531</v>
      </c>
      <c r="N260" s="35" t="s">
        <v>7</v>
      </c>
      <c r="O260" s="22">
        <f t="shared" si="92"/>
        <v>0</v>
      </c>
      <c r="Z260" s="22">
        <f t="shared" si="93"/>
        <v>0</v>
      </c>
      <c r="AA260" s="22">
        <f t="shared" si="94"/>
        <v>0</v>
      </c>
      <c r="AB260" s="22">
        <f t="shared" si="95"/>
        <v>0</v>
      </c>
      <c r="AD260" s="39">
        <v>15</v>
      </c>
      <c r="AE260" s="39">
        <f>G260*0.767446504992867</f>
        <v>0</v>
      </c>
      <c r="AF260" s="39">
        <f>G260*(1-0.767446504992867)</f>
        <v>0</v>
      </c>
      <c r="AM260" s="39">
        <f t="shared" si="96"/>
        <v>0</v>
      </c>
      <c r="AN260" s="39">
        <f t="shared" si="97"/>
        <v>0</v>
      </c>
      <c r="AO260" s="40" t="s">
        <v>1571</v>
      </c>
      <c r="AP260" s="40" t="s">
        <v>1609</v>
      </c>
      <c r="AQ260" s="31" t="s">
        <v>1612</v>
      </c>
    </row>
    <row r="261" ht="12.75">
      <c r="D261" s="18" t="s">
        <v>1180</v>
      </c>
    </row>
    <row r="262" spans="1:43" ht="12.75">
      <c r="A262" s="5" t="s">
        <v>157</v>
      </c>
      <c r="B262" s="5" t="s">
        <v>595</v>
      </c>
      <c r="C262" s="5" t="s">
        <v>760</v>
      </c>
      <c r="D262" s="5" t="s">
        <v>1181</v>
      </c>
      <c r="E262" s="5" t="s">
        <v>1510</v>
      </c>
      <c r="F262" s="22">
        <v>6</v>
      </c>
      <c r="G262" s="22">
        <v>0</v>
      </c>
      <c r="H262" s="22">
        <f>F262*AE262</f>
        <v>0</v>
      </c>
      <c r="I262" s="22">
        <f>J262-H262</f>
        <v>0</v>
      </c>
      <c r="J262" s="22">
        <f>F262*G262</f>
        <v>0</v>
      </c>
      <c r="K262" s="22">
        <v>0.00024</v>
      </c>
      <c r="L262" s="22">
        <f>F262*K262</f>
        <v>0.00144</v>
      </c>
      <c r="M262" s="35" t="s">
        <v>1531</v>
      </c>
      <c r="N262" s="35" t="s">
        <v>7</v>
      </c>
      <c r="O262" s="22">
        <f>IF(N262="5",I262,0)</f>
        <v>0</v>
      </c>
      <c r="Z262" s="22">
        <f>IF(AD262=0,J262,0)</f>
        <v>0</v>
      </c>
      <c r="AA262" s="22">
        <f>IF(AD262=15,J262,0)</f>
        <v>0</v>
      </c>
      <c r="AB262" s="22">
        <f>IF(AD262=21,J262,0)</f>
        <v>0</v>
      </c>
      <c r="AD262" s="39">
        <v>15</v>
      </c>
      <c r="AE262" s="39">
        <f>G262*0.900987951807229</f>
        <v>0</v>
      </c>
      <c r="AF262" s="39">
        <f>G262*(1-0.900987951807229)</f>
        <v>0</v>
      </c>
      <c r="AM262" s="39">
        <f>F262*AE262</f>
        <v>0</v>
      </c>
      <c r="AN262" s="39">
        <f>F262*AF262</f>
        <v>0</v>
      </c>
      <c r="AO262" s="40" t="s">
        <v>1571</v>
      </c>
      <c r="AP262" s="40" t="s">
        <v>1609</v>
      </c>
      <c r="AQ262" s="31" t="s">
        <v>1612</v>
      </c>
    </row>
    <row r="263" spans="1:43" ht="12.75">
      <c r="A263" s="6" t="s">
        <v>158</v>
      </c>
      <c r="B263" s="6" t="s">
        <v>595</v>
      </c>
      <c r="C263" s="6" t="s">
        <v>761</v>
      </c>
      <c r="D263" s="6" t="s">
        <v>1182</v>
      </c>
      <c r="E263" s="6" t="s">
        <v>1504</v>
      </c>
      <c r="F263" s="24">
        <v>3</v>
      </c>
      <c r="G263" s="24">
        <v>0</v>
      </c>
      <c r="H263" s="24">
        <f>F263*AE263</f>
        <v>0</v>
      </c>
      <c r="I263" s="24">
        <f>J263-H263</f>
        <v>0</v>
      </c>
      <c r="J263" s="24">
        <f>F263*G263</f>
        <v>0</v>
      </c>
      <c r="K263" s="24">
        <v>0.0006</v>
      </c>
      <c r="L263" s="24">
        <f>F263*K263</f>
        <v>0.0018</v>
      </c>
      <c r="M263" s="36" t="s">
        <v>1531</v>
      </c>
      <c r="N263" s="36" t="s">
        <v>1533</v>
      </c>
      <c r="O263" s="24">
        <f>IF(N263="5",I263,0)</f>
        <v>0</v>
      </c>
      <c r="Z263" s="24">
        <f>IF(AD263=0,J263,0)</f>
        <v>0</v>
      </c>
      <c r="AA263" s="24">
        <f>IF(AD263=15,J263,0)</f>
        <v>0</v>
      </c>
      <c r="AB263" s="24">
        <f>IF(AD263=21,J263,0)</f>
        <v>0</v>
      </c>
      <c r="AD263" s="39">
        <v>15</v>
      </c>
      <c r="AE263" s="39">
        <f>G263*1</f>
        <v>0</v>
      </c>
      <c r="AF263" s="39">
        <f>G263*(1-1)</f>
        <v>0</v>
      </c>
      <c r="AM263" s="39">
        <f>F263*AE263</f>
        <v>0</v>
      </c>
      <c r="AN263" s="39">
        <f>F263*AF263</f>
        <v>0</v>
      </c>
      <c r="AO263" s="40" t="s">
        <v>1571</v>
      </c>
      <c r="AP263" s="40" t="s">
        <v>1609</v>
      </c>
      <c r="AQ263" s="31" t="s">
        <v>1612</v>
      </c>
    </row>
    <row r="264" spans="1:37" ht="12.75">
      <c r="A264" s="4"/>
      <c r="B264" s="14" t="s">
        <v>595</v>
      </c>
      <c r="C264" s="14" t="s">
        <v>762</v>
      </c>
      <c r="D264" s="104" t="s">
        <v>1183</v>
      </c>
      <c r="E264" s="105"/>
      <c r="F264" s="105"/>
      <c r="G264" s="105"/>
      <c r="H264" s="42">
        <f>SUM(H265:H272)</f>
        <v>0</v>
      </c>
      <c r="I264" s="42">
        <f>SUM(I265:I272)</f>
        <v>0</v>
      </c>
      <c r="J264" s="42">
        <f>H264+I264</f>
        <v>0</v>
      </c>
      <c r="K264" s="31"/>
      <c r="L264" s="42">
        <f>SUM(L265:L272)</f>
        <v>0.08504</v>
      </c>
      <c r="M264" s="31"/>
      <c r="P264" s="42">
        <f>IF(Q264="PR",J264,SUM(O265:O272))</f>
        <v>0</v>
      </c>
      <c r="Q264" s="31" t="s">
        <v>1537</v>
      </c>
      <c r="R264" s="42">
        <f>IF(Q264="HS",H264,0)</f>
        <v>0</v>
      </c>
      <c r="S264" s="42">
        <f>IF(Q264="HS",I264-P264,0)</f>
        <v>0</v>
      </c>
      <c r="T264" s="42">
        <f>IF(Q264="PS",H264,0)</f>
        <v>0</v>
      </c>
      <c r="U264" s="42">
        <f>IF(Q264="PS",I264-P264,0)</f>
        <v>0</v>
      </c>
      <c r="V264" s="42">
        <f>IF(Q264="MP",H264,0)</f>
        <v>0</v>
      </c>
      <c r="W264" s="42">
        <f>IF(Q264="MP",I264-P264,0)</f>
        <v>0</v>
      </c>
      <c r="X264" s="42">
        <f>IF(Q264="OM",H264,0)</f>
        <v>0</v>
      </c>
      <c r="Y264" s="31" t="s">
        <v>595</v>
      </c>
      <c r="AI264" s="42">
        <f>SUM(Z265:Z272)</f>
        <v>0</v>
      </c>
      <c r="AJ264" s="42">
        <f>SUM(AA265:AA272)</f>
        <v>0</v>
      </c>
      <c r="AK264" s="42">
        <f>SUM(AB265:AB272)</f>
        <v>0</v>
      </c>
    </row>
    <row r="265" spans="1:43" ht="12.75">
      <c r="A265" s="5" t="s">
        <v>159</v>
      </c>
      <c r="B265" s="5" t="s">
        <v>595</v>
      </c>
      <c r="C265" s="5" t="s">
        <v>763</v>
      </c>
      <c r="D265" s="5" t="s">
        <v>1184</v>
      </c>
      <c r="E265" s="5" t="s">
        <v>1505</v>
      </c>
      <c r="F265" s="22">
        <v>30</v>
      </c>
      <c r="G265" s="22">
        <v>0</v>
      </c>
      <c r="H265" s="22">
        <f>F265*AE265</f>
        <v>0</v>
      </c>
      <c r="I265" s="22">
        <f>J265-H265</f>
        <v>0</v>
      </c>
      <c r="J265" s="22">
        <f>F265*G265</f>
        <v>0</v>
      </c>
      <c r="K265" s="22">
        <v>0</v>
      </c>
      <c r="L265" s="22">
        <f>F265*K265</f>
        <v>0</v>
      </c>
      <c r="M265" s="35" t="s">
        <v>1531</v>
      </c>
      <c r="N265" s="35" t="s">
        <v>7</v>
      </c>
      <c r="O265" s="22">
        <f>IF(N265="5",I265,0)</f>
        <v>0</v>
      </c>
      <c r="Z265" s="22">
        <f>IF(AD265=0,J265,0)</f>
        <v>0</v>
      </c>
      <c r="AA265" s="22">
        <f>IF(AD265=15,J265,0)</f>
        <v>0</v>
      </c>
      <c r="AB265" s="22">
        <f>IF(AD265=21,J265,0)</f>
        <v>0</v>
      </c>
      <c r="AD265" s="39">
        <v>15</v>
      </c>
      <c r="AE265" s="39">
        <f>G265*0</f>
        <v>0</v>
      </c>
      <c r="AF265" s="39">
        <f>G265*(1-0)</f>
        <v>0</v>
      </c>
      <c r="AM265" s="39">
        <f>F265*AE265</f>
        <v>0</v>
      </c>
      <c r="AN265" s="39">
        <f>F265*AF265</f>
        <v>0</v>
      </c>
      <c r="AO265" s="40" t="s">
        <v>1572</v>
      </c>
      <c r="AP265" s="40" t="s">
        <v>1609</v>
      </c>
      <c r="AQ265" s="31" t="s">
        <v>1612</v>
      </c>
    </row>
    <row r="266" spans="1:43" ht="12.75">
      <c r="A266" s="6" t="s">
        <v>160</v>
      </c>
      <c r="B266" s="6" t="s">
        <v>595</v>
      </c>
      <c r="C266" s="6" t="s">
        <v>764</v>
      </c>
      <c r="D266" s="6" t="s">
        <v>1185</v>
      </c>
      <c r="E266" s="6" t="s">
        <v>1504</v>
      </c>
      <c r="F266" s="24">
        <v>10</v>
      </c>
      <c r="G266" s="24">
        <v>0</v>
      </c>
      <c r="H266" s="24">
        <f>F266*AE266</f>
        <v>0</v>
      </c>
      <c r="I266" s="24">
        <f>J266-H266</f>
        <v>0</v>
      </c>
      <c r="J266" s="24">
        <f>F266*G266</f>
        <v>0</v>
      </c>
      <c r="K266" s="24">
        <v>0.00381</v>
      </c>
      <c r="L266" s="24">
        <f>F266*K266</f>
        <v>0.0381</v>
      </c>
      <c r="M266" s="36" t="s">
        <v>1531</v>
      </c>
      <c r="N266" s="36" t="s">
        <v>1533</v>
      </c>
      <c r="O266" s="24">
        <f>IF(N266="5",I266,0)</f>
        <v>0</v>
      </c>
      <c r="Z266" s="24">
        <f>IF(AD266=0,J266,0)</f>
        <v>0</v>
      </c>
      <c r="AA266" s="24">
        <f>IF(AD266=15,J266,0)</f>
        <v>0</v>
      </c>
      <c r="AB266" s="24">
        <f>IF(AD266=21,J266,0)</f>
        <v>0</v>
      </c>
      <c r="AD266" s="39">
        <v>15</v>
      </c>
      <c r="AE266" s="39">
        <f>G266*1</f>
        <v>0</v>
      </c>
      <c r="AF266" s="39">
        <f>G266*(1-1)</f>
        <v>0</v>
      </c>
      <c r="AM266" s="39">
        <f>F266*AE266</f>
        <v>0</v>
      </c>
      <c r="AN266" s="39">
        <f>F266*AF266</f>
        <v>0</v>
      </c>
      <c r="AO266" s="40" t="s">
        <v>1572</v>
      </c>
      <c r="AP266" s="40" t="s">
        <v>1609</v>
      </c>
      <c r="AQ266" s="31" t="s">
        <v>1612</v>
      </c>
    </row>
    <row r="267" spans="1:43" ht="12.75">
      <c r="A267" s="6" t="s">
        <v>161</v>
      </c>
      <c r="B267" s="6" t="s">
        <v>595</v>
      </c>
      <c r="C267" s="6" t="s">
        <v>765</v>
      </c>
      <c r="D267" s="6" t="s">
        <v>1186</v>
      </c>
      <c r="E267" s="6" t="s">
        <v>1504</v>
      </c>
      <c r="F267" s="24">
        <v>3</v>
      </c>
      <c r="G267" s="24">
        <v>0</v>
      </c>
      <c r="H267" s="24">
        <f>F267*AE267</f>
        <v>0</v>
      </c>
      <c r="I267" s="24">
        <f>J267-H267</f>
        <v>0</v>
      </c>
      <c r="J267" s="24">
        <f>F267*G267</f>
        <v>0</v>
      </c>
      <c r="K267" s="24">
        <v>0.0005</v>
      </c>
      <c r="L267" s="24">
        <f>F267*K267</f>
        <v>0.0015</v>
      </c>
      <c r="M267" s="36" t="s">
        <v>1531</v>
      </c>
      <c r="N267" s="36" t="s">
        <v>1533</v>
      </c>
      <c r="O267" s="24">
        <f>IF(N267="5",I267,0)</f>
        <v>0</v>
      </c>
      <c r="Z267" s="24">
        <f>IF(AD267=0,J267,0)</f>
        <v>0</v>
      </c>
      <c r="AA267" s="24">
        <f>IF(AD267=15,J267,0)</f>
        <v>0</v>
      </c>
      <c r="AB267" s="24">
        <f>IF(AD267=21,J267,0)</f>
        <v>0</v>
      </c>
      <c r="AD267" s="39">
        <v>15</v>
      </c>
      <c r="AE267" s="39">
        <f>G267*1</f>
        <v>0</v>
      </c>
      <c r="AF267" s="39">
        <f>G267*(1-1)</f>
        <v>0</v>
      </c>
      <c r="AM267" s="39">
        <f>F267*AE267</f>
        <v>0</v>
      </c>
      <c r="AN267" s="39">
        <f>F267*AF267</f>
        <v>0</v>
      </c>
      <c r="AO267" s="40" t="s">
        <v>1572</v>
      </c>
      <c r="AP267" s="40" t="s">
        <v>1609</v>
      </c>
      <c r="AQ267" s="31" t="s">
        <v>1612</v>
      </c>
    </row>
    <row r="268" spans="1:43" ht="12.75">
      <c r="A268" s="5" t="s">
        <v>162</v>
      </c>
      <c r="B268" s="5" t="s">
        <v>595</v>
      </c>
      <c r="C268" s="5" t="s">
        <v>650</v>
      </c>
      <c r="D268" s="5" t="s">
        <v>1054</v>
      </c>
      <c r="E268" s="5" t="s">
        <v>1507</v>
      </c>
      <c r="F268" s="22">
        <v>5</v>
      </c>
      <c r="G268" s="22">
        <v>0</v>
      </c>
      <c r="H268" s="22">
        <f>F268*AE268</f>
        <v>0</v>
      </c>
      <c r="I268" s="22">
        <f>J268-H268</f>
        <v>0</v>
      </c>
      <c r="J268" s="22">
        <f>F268*G268</f>
        <v>0</v>
      </c>
      <c r="K268" s="22">
        <v>0</v>
      </c>
      <c r="L268" s="22">
        <f>F268*K268</f>
        <v>0</v>
      </c>
      <c r="M268" s="35" t="s">
        <v>1531</v>
      </c>
      <c r="N268" s="35" t="s">
        <v>7</v>
      </c>
      <c r="O268" s="22">
        <f>IF(N268="5",I268,0)</f>
        <v>0</v>
      </c>
      <c r="Z268" s="22">
        <f>IF(AD268=0,J268,0)</f>
        <v>0</v>
      </c>
      <c r="AA268" s="22">
        <f>IF(AD268=15,J268,0)</f>
        <v>0</v>
      </c>
      <c r="AB268" s="22">
        <f>IF(AD268=21,J268,0)</f>
        <v>0</v>
      </c>
      <c r="AD268" s="39">
        <v>15</v>
      </c>
      <c r="AE268" s="39">
        <f>G268*0</f>
        <v>0</v>
      </c>
      <c r="AF268" s="39">
        <f>G268*(1-0)</f>
        <v>0</v>
      </c>
      <c r="AM268" s="39">
        <f>F268*AE268</f>
        <v>0</v>
      </c>
      <c r="AN268" s="39">
        <f>F268*AF268</f>
        <v>0</v>
      </c>
      <c r="AO268" s="40" t="s">
        <v>1572</v>
      </c>
      <c r="AP268" s="40" t="s">
        <v>1609</v>
      </c>
      <c r="AQ268" s="31" t="s">
        <v>1612</v>
      </c>
    </row>
    <row r="269" ht="12.75">
      <c r="D269" s="18" t="s">
        <v>1187</v>
      </c>
    </row>
    <row r="270" spans="1:43" ht="12.75">
      <c r="A270" s="6" t="s">
        <v>163</v>
      </c>
      <c r="B270" s="6" t="s">
        <v>595</v>
      </c>
      <c r="C270" s="6" t="s">
        <v>766</v>
      </c>
      <c r="D270" s="6" t="s">
        <v>1188</v>
      </c>
      <c r="E270" s="6" t="s">
        <v>1504</v>
      </c>
      <c r="F270" s="24">
        <v>1</v>
      </c>
      <c r="G270" s="24">
        <v>0</v>
      </c>
      <c r="H270" s="24">
        <f>F270*AE270</f>
        <v>0</v>
      </c>
      <c r="I270" s="24">
        <f>J270-H270</f>
        <v>0</v>
      </c>
      <c r="J270" s="24">
        <f>F270*G270</f>
        <v>0</v>
      </c>
      <c r="K270" s="24">
        <v>0.00044</v>
      </c>
      <c r="L270" s="24">
        <f>F270*K270</f>
        <v>0.00044</v>
      </c>
      <c r="M270" s="36" t="s">
        <v>1531</v>
      </c>
      <c r="N270" s="36" t="s">
        <v>1533</v>
      </c>
      <c r="O270" s="24">
        <f>IF(N270="5",I270,0)</f>
        <v>0</v>
      </c>
      <c r="Z270" s="24">
        <f>IF(AD270=0,J270,0)</f>
        <v>0</v>
      </c>
      <c r="AA270" s="24">
        <f>IF(AD270=15,J270,0)</f>
        <v>0</v>
      </c>
      <c r="AB270" s="24">
        <f>IF(AD270=21,J270,0)</f>
        <v>0</v>
      </c>
      <c r="AD270" s="39">
        <v>15</v>
      </c>
      <c r="AE270" s="39">
        <f>G270*1</f>
        <v>0</v>
      </c>
      <c r="AF270" s="39">
        <f>G270*(1-1)</f>
        <v>0</v>
      </c>
      <c r="AM270" s="39">
        <f>F270*AE270</f>
        <v>0</v>
      </c>
      <c r="AN270" s="39">
        <f>F270*AF270</f>
        <v>0</v>
      </c>
      <c r="AO270" s="40" t="s">
        <v>1572</v>
      </c>
      <c r="AP270" s="40" t="s">
        <v>1609</v>
      </c>
      <c r="AQ270" s="31" t="s">
        <v>1612</v>
      </c>
    </row>
    <row r="271" spans="1:43" ht="12.75">
      <c r="A271" s="6" t="s">
        <v>164</v>
      </c>
      <c r="B271" s="6" t="s">
        <v>595</v>
      </c>
      <c r="C271" s="6" t="s">
        <v>767</v>
      </c>
      <c r="D271" s="6" t="s">
        <v>1189</v>
      </c>
      <c r="E271" s="6" t="s">
        <v>1504</v>
      </c>
      <c r="F271" s="24">
        <v>3</v>
      </c>
      <c r="G271" s="24">
        <v>0</v>
      </c>
      <c r="H271" s="24">
        <f>F271*AE271</f>
        <v>0</v>
      </c>
      <c r="I271" s="24">
        <f>J271-H271</f>
        <v>0</v>
      </c>
      <c r="J271" s="24">
        <f>F271*G271</f>
        <v>0</v>
      </c>
      <c r="K271" s="24">
        <v>0.015</v>
      </c>
      <c r="L271" s="24">
        <f>F271*K271</f>
        <v>0.045</v>
      </c>
      <c r="M271" s="36" t="s">
        <v>1531</v>
      </c>
      <c r="N271" s="36" t="s">
        <v>1533</v>
      </c>
      <c r="O271" s="24">
        <f>IF(N271="5",I271,0)</f>
        <v>0</v>
      </c>
      <c r="Z271" s="24">
        <f>IF(AD271=0,J271,0)</f>
        <v>0</v>
      </c>
      <c r="AA271" s="24">
        <f>IF(AD271=15,J271,0)</f>
        <v>0</v>
      </c>
      <c r="AB271" s="24">
        <f>IF(AD271=21,J271,0)</f>
        <v>0</v>
      </c>
      <c r="AD271" s="39">
        <v>15</v>
      </c>
      <c r="AE271" s="39">
        <f>G271*1</f>
        <v>0</v>
      </c>
      <c r="AF271" s="39">
        <f>G271*(1-1)</f>
        <v>0</v>
      </c>
      <c r="AM271" s="39">
        <f>F271*AE271</f>
        <v>0</v>
      </c>
      <c r="AN271" s="39">
        <f>F271*AF271</f>
        <v>0</v>
      </c>
      <c r="AO271" s="40" t="s">
        <v>1572</v>
      </c>
      <c r="AP271" s="40" t="s">
        <v>1609</v>
      </c>
      <c r="AQ271" s="31" t="s">
        <v>1612</v>
      </c>
    </row>
    <row r="272" spans="1:43" ht="12.75">
      <c r="A272" s="5" t="s">
        <v>165</v>
      </c>
      <c r="B272" s="5" t="s">
        <v>595</v>
      </c>
      <c r="C272" s="5" t="s">
        <v>768</v>
      </c>
      <c r="D272" s="5" t="s">
        <v>1190</v>
      </c>
      <c r="E272" s="5" t="s">
        <v>1504</v>
      </c>
      <c r="F272" s="22">
        <v>3</v>
      </c>
      <c r="G272" s="22">
        <v>0</v>
      </c>
      <c r="H272" s="22">
        <f>F272*AE272</f>
        <v>0</v>
      </c>
      <c r="I272" s="22">
        <f>J272-H272</f>
        <v>0</v>
      </c>
      <c r="J272" s="22">
        <f>F272*G272</f>
        <v>0</v>
      </c>
      <c r="K272" s="22">
        <v>0</v>
      </c>
      <c r="L272" s="22">
        <f>F272*K272</f>
        <v>0</v>
      </c>
      <c r="M272" s="35" t="s">
        <v>1531</v>
      </c>
      <c r="N272" s="35" t="s">
        <v>7</v>
      </c>
      <c r="O272" s="22">
        <f>IF(N272="5",I272,0)</f>
        <v>0</v>
      </c>
      <c r="Z272" s="22">
        <f>IF(AD272=0,J272,0)</f>
        <v>0</v>
      </c>
      <c r="AA272" s="22">
        <f>IF(AD272=15,J272,0)</f>
        <v>0</v>
      </c>
      <c r="AB272" s="22">
        <f>IF(AD272=21,J272,0)</f>
        <v>0</v>
      </c>
      <c r="AD272" s="39">
        <v>15</v>
      </c>
      <c r="AE272" s="39">
        <f>G272*0</f>
        <v>0</v>
      </c>
      <c r="AF272" s="39">
        <f>G272*(1-0)</f>
        <v>0</v>
      </c>
      <c r="AM272" s="39">
        <f>F272*AE272</f>
        <v>0</v>
      </c>
      <c r="AN272" s="39">
        <f>F272*AF272</f>
        <v>0</v>
      </c>
      <c r="AO272" s="40" t="s">
        <v>1572</v>
      </c>
      <c r="AP272" s="40" t="s">
        <v>1609</v>
      </c>
      <c r="AQ272" s="31" t="s">
        <v>1612</v>
      </c>
    </row>
    <row r="273" ht="39.6">
      <c r="D273" s="18" t="s">
        <v>1191</v>
      </c>
    </row>
    <row r="274" spans="1:37" ht="12.75">
      <c r="A274" s="4"/>
      <c r="B274" s="14" t="s">
        <v>595</v>
      </c>
      <c r="C274" s="14" t="s">
        <v>615</v>
      </c>
      <c r="D274" s="104" t="s">
        <v>991</v>
      </c>
      <c r="E274" s="105"/>
      <c r="F274" s="105"/>
      <c r="G274" s="105"/>
      <c r="H274" s="42">
        <f>SUM(H275:H277)</f>
        <v>0</v>
      </c>
      <c r="I274" s="42">
        <f>SUM(I275:I277)</f>
        <v>0</v>
      </c>
      <c r="J274" s="42">
        <f>H274+I274</f>
        <v>0</v>
      </c>
      <c r="K274" s="31"/>
      <c r="L274" s="42">
        <f>SUM(L275:L277)</f>
        <v>0.11105999999999998</v>
      </c>
      <c r="M274" s="31"/>
      <c r="P274" s="42">
        <f>IF(Q274="PR",J274,SUM(O275:O277))</f>
        <v>0</v>
      </c>
      <c r="Q274" s="31" t="s">
        <v>1537</v>
      </c>
      <c r="R274" s="42">
        <f>IF(Q274="HS",H274,0)</f>
        <v>0</v>
      </c>
      <c r="S274" s="42">
        <f>IF(Q274="HS",I274-P274,0)</f>
        <v>0</v>
      </c>
      <c r="T274" s="42">
        <f>IF(Q274="PS",H274,0)</f>
        <v>0</v>
      </c>
      <c r="U274" s="42">
        <f>IF(Q274="PS",I274-P274,0)</f>
        <v>0</v>
      </c>
      <c r="V274" s="42">
        <f>IF(Q274="MP",H274,0)</f>
        <v>0</v>
      </c>
      <c r="W274" s="42">
        <f>IF(Q274="MP",I274-P274,0)</f>
        <v>0</v>
      </c>
      <c r="X274" s="42">
        <f>IF(Q274="OM",H274,0)</f>
        <v>0</v>
      </c>
      <c r="Y274" s="31" t="s">
        <v>595</v>
      </c>
      <c r="AI274" s="42">
        <f>SUM(Z275:Z277)</f>
        <v>0</v>
      </c>
      <c r="AJ274" s="42">
        <f>SUM(AA275:AA277)</f>
        <v>0</v>
      </c>
      <c r="AK274" s="42">
        <f>SUM(AB275:AB277)</f>
        <v>0</v>
      </c>
    </row>
    <row r="275" spans="1:43" ht="12.75">
      <c r="A275" s="6" t="s">
        <v>166</v>
      </c>
      <c r="B275" s="6" t="s">
        <v>595</v>
      </c>
      <c r="C275" s="6" t="s">
        <v>769</v>
      </c>
      <c r="D275" s="6" t="s">
        <v>1192</v>
      </c>
      <c r="E275" s="6" t="s">
        <v>1504</v>
      </c>
      <c r="F275" s="24">
        <v>18</v>
      </c>
      <c r="G275" s="24">
        <v>0</v>
      </c>
      <c r="H275" s="24">
        <f>F275*AE275</f>
        <v>0</v>
      </c>
      <c r="I275" s="24">
        <f>J275-H275</f>
        <v>0</v>
      </c>
      <c r="J275" s="24">
        <f>F275*G275</f>
        <v>0</v>
      </c>
      <c r="K275" s="24">
        <v>0.00015</v>
      </c>
      <c r="L275" s="24">
        <f>F275*K275</f>
        <v>0.0026999999999999997</v>
      </c>
      <c r="M275" s="36" t="s">
        <v>1531</v>
      </c>
      <c r="N275" s="36" t="s">
        <v>1533</v>
      </c>
      <c r="O275" s="24">
        <f>IF(N275="5",I275,0)</f>
        <v>0</v>
      </c>
      <c r="Z275" s="24">
        <f>IF(AD275=0,J275,0)</f>
        <v>0</v>
      </c>
      <c r="AA275" s="24">
        <f>IF(AD275=15,J275,0)</f>
        <v>0</v>
      </c>
      <c r="AB275" s="24">
        <f>IF(AD275=21,J275,0)</f>
        <v>0</v>
      </c>
      <c r="AD275" s="39">
        <v>15</v>
      </c>
      <c r="AE275" s="39">
        <f>G275*1</f>
        <v>0</v>
      </c>
      <c r="AF275" s="39">
        <f>G275*(1-1)</f>
        <v>0</v>
      </c>
      <c r="AM275" s="39">
        <f>F275*AE275</f>
        <v>0</v>
      </c>
      <c r="AN275" s="39">
        <f>F275*AF275</f>
        <v>0</v>
      </c>
      <c r="AO275" s="40" t="s">
        <v>1549</v>
      </c>
      <c r="AP275" s="40" t="s">
        <v>1603</v>
      </c>
      <c r="AQ275" s="31" t="s">
        <v>1612</v>
      </c>
    </row>
    <row r="276" spans="1:43" ht="12.75">
      <c r="A276" s="5" t="s">
        <v>167</v>
      </c>
      <c r="B276" s="5" t="s">
        <v>595</v>
      </c>
      <c r="C276" s="5" t="s">
        <v>770</v>
      </c>
      <c r="D276" s="5" t="s">
        <v>1193</v>
      </c>
      <c r="E276" s="5" t="s">
        <v>1504</v>
      </c>
      <c r="F276" s="22">
        <v>3</v>
      </c>
      <c r="G276" s="22">
        <v>0</v>
      </c>
      <c r="H276" s="22">
        <f>F276*AE276</f>
        <v>0</v>
      </c>
      <c r="I276" s="22">
        <f>J276-H276</f>
        <v>0</v>
      </c>
      <c r="J276" s="22">
        <f>F276*G276</f>
        <v>0</v>
      </c>
      <c r="K276" s="22">
        <v>0.00012</v>
      </c>
      <c r="L276" s="22">
        <f>F276*K276</f>
        <v>0.00036</v>
      </c>
      <c r="M276" s="35" t="s">
        <v>1531</v>
      </c>
      <c r="N276" s="35" t="s">
        <v>7</v>
      </c>
      <c r="O276" s="22">
        <f>IF(N276="5",I276,0)</f>
        <v>0</v>
      </c>
      <c r="Z276" s="22">
        <f>IF(AD276=0,J276,0)</f>
        <v>0</v>
      </c>
      <c r="AA276" s="22">
        <f>IF(AD276=15,J276,0)</f>
        <v>0</v>
      </c>
      <c r="AB276" s="22">
        <f>IF(AD276=21,J276,0)</f>
        <v>0</v>
      </c>
      <c r="AD276" s="39">
        <v>15</v>
      </c>
      <c r="AE276" s="39">
        <f>G276*0.0104718875502008</f>
        <v>0</v>
      </c>
      <c r="AF276" s="39">
        <f>G276*(1-0.0104718875502008)</f>
        <v>0</v>
      </c>
      <c r="AM276" s="39">
        <f>F276*AE276</f>
        <v>0</v>
      </c>
      <c r="AN276" s="39">
        <f>F276*AF276</f>
        <v>0</v>
      </c>
      <c r="AO276" s="40" t="s">
        <v>1549</v>
      </c>
      <c r="AP276" s="40" t="s">
        <v>1603</v>
      </c>
      <c r="AQ276" s="31" t="s">
        <v>1612</v>
      </c>
    </row>
    <row r="277" spans="1:43" ht="12.75">
      <c r="A277" s="6" t="s">
        <v>168</v>
      </c>
      <c r="B277" s="6" t="s">
        <v>595</v>
      </c>
      <c r="C277" s="6" t="s">
        <v>771</v>
      </c>
      <c r="D277" s="6" t="s">
        <v>1194</v>
      </c>
      <c r="E277" s="6" t="s">
        <v>1504</v>
      </c>
      <c r="F277" s="24">
        <v>3</v>
      </c>
      <c r="G277" s="24">
        <v>0</v>
      </c>
      <c r="H277" s="24">
        <f>F277*AE277</f>
        <v>0</v>
      </c>
      <c r="I277" s="24">
        <f>J277-H277</f>
        <v>0</v>
      </c>
      <c r="J277" s="24">
        <f>F277*G277</f>
        <v>0</v>
      </c>
      <c r="K277" s="24">
        <v>0.036</v>
      </c>
      <c r="L277" s="24">
        <f>F277*K277</f>
        <v>0.10799999999999998</v>
      </c>
      <c r="M277" s="36" t="s">
        <v>1531</v>
      </c>
      <c r="N277" s="36" t="s">
        <v>1533</v>
      </c>
      <c r="O277" s="24">
        <f>IF(N277="5",I277,0)</f>
        <v>0</v>
      </c>
      <c r="Z277" s="24">
        <f>IF(AD277=0,J277,0)</f>
        <v>0</v>
      </c>
      <c r="AA277" s="24">
        <f>IF(AD277=15,J277,0)</f>
        <v>0</v>
      </c>
      <c r="AB277" s="24">
        <f>IF(AD277=21,J277,0)</f>
        <v>0</v>
      </c>
      <c r="AD277" s="39">
        <v>15</v>
      </c>
      <c r="AE277" s="39">
        <f>G277*1</f>
        <v>0</v>
      </c>
      <c r="AF277" s="39">
        <f>G277*(1-1)</f>
        <v>0</v>
      </c>
      <c r="AM277" s="39">
        <f>F277*AE277</f>
        <v>0</v>
      </c>
      <c r="AN277" s="39">
        <f>F277*AF277</f>
        <v>0</v>
      </c>
      <c r="AO277" s="40" t="s">
        <v>1549</v>
      </c>
      <c r="AP277" s="40" t="s">
        <v>1603</v>
      </c>
      <c r="AQ277" s="31" t="s">
        <v>1612</v>
      </c>
    </row>
    <row r="278" spans="1:37" ht="12.75">
      <c r="A278" s="4"/>
      <c r="B278" s="14" t="s">
        <v>595</v>
      </c>
      <c r="C278" s="14" t="s">
        <v>772</v>
      </c>
      <c r="D278" s="104" t="s">
        <v>1195</v>
      </c>
      <c r="E278" s="105"/>
      <c r="F278" s="105"/>
      <c r="G278" s="105"/>
      <c r="H278" s="42">
        <f>SUM(H279:H279)</f>
        <v>0</v>
      </c>
      <c r="I278" s="42">
        <f>SUM(I279:I279)</f>
        <v>0</v>
      </c>
      <c r="J278" s="42">
        <f>H278+I278</f>
        <v>0</v>
      </c>
      <c r="K278" s="31"/>
      <c r="L278" s="42">
        <f>SUM(L279:L279)</f>
        <v>0.02118</v>
      </c>
      <c r="M278" s="31"/>
      <c r="P278" s="42">
        <f>IF(Q278="PR",J278,SUM(O279:O279))</f>
        <v>0</v>
      </c>
      <c r="Q278" s="31" t="s">
        <v>1537</v>
      </c>
      <c r="R278" s="42">
        <f>IF(Q278="HS",H278,0)</f>
        <v>0</v>
      </c>
      <c r="S278" s="42">
        <f>IF(Q278="HS",I278-P278,0)</f>
        <v>0</v>
      </c>
      <c r="T278" s="42">
        <f>IF(Q278="PS",H278,0)</f>
        <v>0</v>
      </c>
      <c r="U278" s="42">
        <f>IF(Q278="PS",I278-P278,0)</f>
        <v>0</v>
      </c>
      <c r="V278" s="42">
        <f>IF(Q278="MP",H278,0)</f>
        <v>0</v>
      </c>
      <c r="W278" s="42">
        <f>IF(Q278="MP",I278-P278,0)</f>
        <v>0</v>
      </c>
      <c r="X278" s="42">
        <f>IF(Q278="OM",H278,0)</f>
        <v>0</v>
      </c>
      <c r="Y278" s="31" t="s">
        <v>595</v>
      </c>
      <c r="AI278" s="42">
        <f>SUM(Z279:Z279)</f>
        <v>0</v>
      </c>
      <c r="AJ278" s="42">
        <f>SUM(AA279:AA279)</f>
        <v>0</v>
      </c>
      <c r="AK278" s="42">
        <f>SUM(AB279:AB279)</f>
        <v>0</v>
      </c>
    </row>
    <row r="279" spans="1:43" ht="12.75">
      <c r="A279" s="5" t="s">
        <v>169</v>
      </c>
      <c r="B279" s="5" t="s">
        <v>595</v>
      </c>
      <c r="C279" s="5" t="s">
        <v>773</v>
      </c>
      <c r="D279" s="5" t="s">
        <v>1196</v>
      </c>
      <c r="E279" s="5" t="s">
        <v>1504</v>
      </c>
      <c r="F279" s="22">
        <v>3</v>
      </c>
      <c r="G279" s="22">
        <v>0</v>
      </c>
      <c r="H279" s="22">
        <f>F279*AE279</f>
        <v>0</v>
      </c>
      <c r="I279" s="22">
        <f>J279-H279</f>
        <v>0</v>
      </c>
      <c r="J279" s="22">
        <f>F279*G279</f>
        <v>0</v>
      </c>
      <c r="K279" s="22">
        <v>0.00706</v>
      </c>
      <c r="L279" s="22">
        <f>F279*K279</f>
        <v>0.02118</v>
      </c>
      <c r="M279" s="35" t="s">
        <v>1531</v>
      </c>
      <c r="N279" s="35" t="s">
        <v>7</v>
      </c>
      <c r="O279" s="22">
        <f>IF(N279="5",I279,0)</f>
        <v>0</v>
      </c>
      <c r="Z279" s="22">
        <f>IF(AD279=0,J279,0)</f>
        <v>0</v>
      </c>
      <c r="AA279" s="22">
        <f>IF(AD279=15,J279,0)</f>
        <v>0</v>
      </c>
      <c r="AB279" s="22">
        <f>IF(AD279=21,J279,0)</f>
        <v>0</v>
      </c>
      <c r="AD279" s="39">
        <v>15</v>
      </c>
      <c r="AE279" s="39">
        <f>G279*0</f>
        <v>0</v>
      </c>
      <c r="AF279" s="39">
        <f>G279*(1-0)</f>
        <v>0</v>
      </c>
      <c r="AM279" s="39">
        <f>F279*AE279</f>
        <v>0</v>
      </c>
      <c r="AN279" s="39">
        <f>F279*AF279</f>
        <v>0</v>
      </c>
      <c r="AO279" s="40" t="s">
        <v>1573</v>
      </c>
      <c r="AP279" s="40" t="s">
        <v>1603</v>
      </c>
      <c r="AQ279" s="31" t="s">
        <v>1612</v>
      </c>
    </row>
    <row r="280" ht="12.75">
      <c r="D280" s="18" t="s">
        <v>1197</v>
      </c>
    </row>
    <row r="281" spans="1:37" ht="12.75">
      <c r="A281" s="4"/>
      <c r="B281" s="14" t="s">
        <v>595</v>
      </c>
      <c r="C281" s="14" t="s">
        <v>774</v>
      </c>
      <c r="D281" s="104" t="s">
        <v>1198</v>
      </c>
      <c r="E281" s="105"/>
      <c r="F281" s="105"/>
      <c r="G281" s="105"/>
      <c r="H281" s="42">
        <f>SUM(H282:H285)</f>
        <v>0</v>
      </c>
      <c r="I281" s="42">
        <f>SUM(I282:I285)</f>
        <v>0</v>
      </c>
      <c r="J281" s="42">
        <f>H281+I281</f>
        <v>0</v>
      </c>
      <c r="K281" s="31"/>
      <c r="L281" s="42">
        <f>SUM(L282:L285)</f>
        <v>0.46298999999999996</v>
      </c>
      <c r="M281" s="31"/>
      <c r="P281" s="42">
        <f>IF(Q281="PR",J281,SUM(O282:O285))</f>
        <v>0</v>
      </c>
      <c r="Q281" s="31" t="s">
        <v>1537</v>
      </c>
      <c r="R281" s="42">
        <f>IF(Q281="HS",H281,0)</f>
        <v>0</v>
      </c>
      <c r="S281" s="42">
        <f>IF(Q281="HS",I281-P281,0)</f>
        <v>0</v>
      </c>
      <c r="T281" s="42">
        <f>IF(Q281="PS",H281,0)</f>
        <v>0</v>
      </c>
      <c r="U281" s="42">
        <f>IF(Q281="PS",I281-P281,0)</f>
        <v>0</v>
      </c>
      <c r="V281" s="42">
        <f>IF(Q281="MP",H281,0)</f>
        <v>0</v>
      </c>
      <c r="W281" s="42">
        <f>IF(Q281="MP",I281-P281,0)</f>
        <v>0</v>
      </c>
      <c r="X281" s="42">
        <f>IF(Q281="OM",H281,0)</f>
        <v>0</v>
      </c>
      <c r="Y281" s="31" t="s">
        <v>595</v>
      </c>
      <c r="AI281" s="42">
        <f>SUM(Z282:Z285)</f>
        <v>0</v>
      </c>
      <c r="AJ281" s="42">
        <f>SUM(AA282:AA285)</f>
        <v>0</v>
      </c>
      <c r="AK281" s="42">
        <f>SUM(AB282:AB285)</f>
        <v>0</v>
      </c>
    </row>
    <row r="282" spans="1:43" ht="12.75">
      <c r="A282" s="5" t="s">
        <v>170</v>
      </c>
      <c r="B282" s="5" t="s">
        <v>595</v>
      </c>
      <c r="C282" s="5" t="s">
        <v>775</v>
      </c>
      <c r="D282" s="5" t="s">
        <v>1199</v>
      </c>
      <c r="E282" s="5" t="s">
        <v>1503</v>
      </c>
      <c r="F282" s="22">
        <v>18</v>
      </c>
      <c r="G282" s="22">
        <v>0</v>
      </c>
      <c r="H282" s="22">
        <f>F282*AE282</f>
        <v>0</v>
      </c>
      <c r="I282" s="22">
        <f>J282-H282</f>
        <v>0</v>
      </c>
      <c r="J282" s="22">
        <f>F282*G282</f>
        <v>0</v>
      </c>
      <c r="K282" s="22">
        <v>0.02395</v>
      </c>
      <c r="L282" s="22">
        <f>F282*K282</f>
        <v>0.4311</v>
      </c>
      <c r="M282" s="35" t="s">
        <v>1531</v>
      </c>
      <c r="N282" s="35" t="s">
        <v>9</v>
      </c>
      <c r="O282" s="22">
        <f>IF(N282="5",I282,0)</f>
        <v>0</v>
      </c>
      <c r="Z282" s="22">
        <f>IF(AD282=0,J282,0)</f>
        <v>0</v>
      </c>
      <c r="AA282" s="22">
        <f>IF(AD282=15,J282,0)</f>
        <v>0</v>
      </c>
      <c r="AB282" s="22">
        <f>IF(AD282=21,J282,0)</f>
        <v>0</v>
      </c>
      <c r="AD282" s="39">
        <v>15</v>
      </c>
      <c r="AE282" s="39">
        <f>G282*0.0013986013986014</f>
        <v>0</v>
      </c>
      <c r="AF282" s="39">
        <f>G282*(1-0.0013986013986014)</f>
        <v>0</v>
      </c>
      <c r="AM282" s="39">
        <f>F282*AE282</f>
        <v>0</v>
      </c>
      <c r="AN282" s="39">
        <f>F282*AF282</f>
        <v>0</v>
      </c>
      <c r="AO282" s="40" t="s">
        <v>1574</v>
      </c>
      <c r="AP282" s="40" t="s">
        <v>1603</v>
      </c>
      <c r="AQ282" s="31" t="s">
        <v>1612</v>
      </c>
    </row>
    <row r="283" spans="4:6" ht="10.8" customHeight="1">
      <c r="D283" s="17" t="s">
        <v>1200</v>
      </c>
      <c r="F283" s="23">
        <v>18</v>
      </c>
    </row>
    <row r="284" spans="1:43" ht="12.75">
      <c r="A284" s="5" t="s">
        <v>171</v>
      </c>
      <c r="B284" s="5" t="s">
        <v>595</v>
      </c>
      <c r="C284" s="5" t="s">
        <v>776</v>
      </c>
      <c r="D284" s="5" t="s">
        <v>1201</v>
      </c>
      <c r="E284" s="5" t="s">
        <v>1504</v>
      </c>
      <c r="F284" s="22">
        <v>3</v>
      </c>
      <c r="G284" s="22">
        <v>0</v>
      </c>
      <c r="H284" s="22">
        <f>F284*AE284</f>
        <v>0</v>
      </c>
      <c r="I284" s="22">
        <f>J284-H284</f>
        <v>0</v>
      </c>
      <c r="J284" s="22">
        <f>F284*G284</f>
        <v>0</v>
      </c>
      <c r="K284" s="22">
        <v>0.0086</v>
      </c>
      <c r="L284" s="22">
        <f>F284*K284</f>
        <v>0.0258</v>
      </c>
      <c r="M284" s="35" t="s">
        <v>1531</v>
      </c>
      <c r="N284" s="35" t="s">
        <v>7</v>
      </c>
      <c r="O284" s="22">
        <f>IF(N284="5",I284,0)</f>
        <v>0</v>
      </c>
      <c r="Z284" s="22">
        <f>IF(AD284=0,J284,0)</f>
        <v>0</v>
      </c>
      <c r="AA284" s="22">
        <f>IF(AD284=15,J284,0)</f>
        <v>0</v>
      </c>
      <c r="AB284" s="22">
        <f>IF(AD284=21,J284,0)</f>
        <v>0</v>
      </c>
      <c r="AD284" s="39">
        <v>15</v>
      </c>
      <c r="AE284" s="39">
        <f>G284*0.866242952332137</f>
        <v>0</v>
      </c>
      <c r="AF284" s="39">
        <f>G284*(1-0.866242952332137)</f>
        <v>0</v>
      </c>
      <c r="AM284" s="39">
        <f>F284*AE284</f>
        <v>0</v>
      </c>
      <c r="AN284" s="39">
        <f>F284*AF284</f>
        <v>0</v>
      </c>
      <c r="AO284" s="40" t="s">
        <v>1574</v>
      </c>
      <c r="AP284" s="40" t="s">
        <v>1603</v>
      </c>
      <c r="AQ284" s="31" t="s">
        <v>1612</v>
      </c>
    </row>
    <row r="285" spans="1:43" ht="12.75">
      <c r="A285" s="5" t="s">
        <v>172</v>
      </c>
      <c r="B285" s="5" t="s">
        <v>595</v>
      </c>
      <c r="C285" s="5" t="s">
        <v>777</v>
      </c>
      <c r="D285" s="5" t="s">
        <v>1202</v>
      </c>
      <c r="E285" s="5" t="s">
        <v>1504</v>
      </c>
      <c r="F285" s="22">
        <v>3</v>
      </c>
      <c r="G285" s="22">
        <v>0</v>
      </c>
      <c r="H285" s="22">
        <f>F285*AE285</f>
        <v>0</v>
      </c>
      <c r="I285" s="22">
        <f>J285-H285</f>
        <v>0</v>
      </c>
      <c r="J285" s="22">
        <f>F285*G285</f>
        <v>0</v>
      </c>
      <c r="K285" s="22">
        <v>0.00203</v>
      </c>
      <c r="L285" s="22">
        <f>F285*K285</f>
        <v>0.00609</v>
      </c>
      <c r="M285" s="35" t="s">
        <v>1531</v>
      </c>
      <c r="N285" s="35" t="s">
        <v>7</v>
      </c>
      <c r="O285" s="22">
        <f>IF(N285="5",I285,0)</f>
        <v>0</v>
      </c>
      <c r="Z285" s="22">
        <f>IF(AD285=0,J285,0)</f>
        <v>0</v>
      </c>
      <c r="AA285" s="22">
        <f>IF(AD285=15,J285,0)</f>
        <v>0</v>
      </c>
      <c r="AB285" s="22">
        <f>IF(AD285=21,J285,0)</f>
        <v>0</v>
      </c>
      <c r="AD285" s="39">
        <v>15</v>
      </c>
      <c r="AE285" s="39">
        <f>G285*1</f>
        <v>0</v>
      </c>
      <c r="AF285" s="39">
        <f>G285*(1-1)</f>
        <v>0</v>
      </c>
      <c r="AM285" s="39">
        <f>F285*AE285</f>
        <v>0</v>
      </c>
      <c r="AN285" s="39">
        <f>F285*AF285</f>
        <v>0</v>
      </c>
      <c r="AO285" s="40" t="s">
        <v>1574</v>
      </c>
      <c r="AP285" s="40" t="s">
        <v>1603</v>
      </c>
      <c r="AQ285" s="31" t="s">
        <v>1612</v>
      </c>
    </row>
    <row r="286" spans="1:37" ht="12.75">
      <c r="A286" s="4"/>
      <c r="B286" s="14" t="s">
        <v>595</v>
      </c>
      <c r="C286" s="14" t="s">
        <v>778</v>
      </c>
      <c r="D286" s="104" t="s">
        <v>1203</v>
      </c>
      <c r="E286" s="105"/>
      <c r="F286" s="105"/>
      <c r="G286" s="105"/>
      <c r="H286" s="42">
        <f>SUM(H287:H288)</f>
        <v>0</v>
      </c>
      <c r="I286" s="42">
        <f>SUM(I287:I288)</f>
        <v>0</v>
      </c>
      <c r="J286" s="42">
        <f>H286+I286</f>
        <v>0</v>
      </c>
      <c r="K286" s="31"/>
      <c r="L286" s="42">
        <f>SUM(L287:L288)</f>
        <v>0.942464</v>
      </c>
      <c r="M286" s="31"/>
      <c r="P286" s="42">
        <f>IF(Q286="PR",J286,SUM(O287:O288))</f>
        <v>0</v>
      </c>
      <c r="Q286" s="31" t="s">
        <v>1537</v>
      </c>
      <c r="R286" s="42">
        <f>IF(Q286="HS",H286,0)</f>
        <v>0</v>
      </c>
      <c r="S286" s="42">
        <f>IF(Q286="HS",I286-P286,0)</f>
        <v>0</v>
      </c>
      <c r="T286" s="42">
        <f>IF(Q286="PS",H286,0)</f>
        <v>0</v>
      </c>
      <c r="U286" s="42">
        <f>IF(Q286="PS",I286-P286,0)</f>
        <v>0</v>
      </c>
      <c r="V286" s="42">
        <f>IF(Q286="MP",H286,0)</f>
        <v>0</v>
      </c>
      <c r="W286" s="42">
        <f>IF(Q286="MP",I286-P286,0)</f>
        <v>0</v>
      </c>
      <c r="X286" s="42">
        <f>IF(Q286="OM",H286,0)</f>
        <v>0</v>
      </c>
      <c r="Y286" s="31" t="s">
        <v>595</v>
      </c>
      <c r="AI286" s="42">
        <f>SUM(Z287:Z288)</f>
        <v>0</v>
      </c>
      <c r="AJ286" s="42">
        <f>SUM(AA287:AA288)</f>
        <v>0</v>
      </c>
      <c r="AK286" s="42">
        <f>SUM(AB287:AB288)</f>
        <v>0</v>
      </c>
    </row>
    <row r="287" spans="1:43" ht="12.75">
      <c r="A287" s="5" t="s">
        <v>173</v>
      </c>
      <c r="B287" s="5" t="s">
        <v>595</v>
      </c>
      <c r="C287" s="5" t="s">
        <v>779</v>
      </c>
      <c r="D287" s="5" t="s">
        <v>1204</v>
      </c>
      <c r="E287" s="5" t="s">
        <v>1503</v>
      </c>
      <c r="F287" s="22">
        <v>159.2</v>
      </c>
      <c r="G287" s="22">
        <v>0</v>
      </c>
      <c r="H287" s="22">
        <f>F287*AE287</f>
        <v>0</v>
      </c>
      <c r="I287" s="22">
        <f>J287-H287</f>
        <v>0</v>
      </c>
      <c r="J287" s="22">
        <f>F287*G287</f>
        <v>0</v>
      </c>
      <c r="K287" s="22">
        <v>0.00449</v>
      </c>
      <c r="L287" s="22">
        <f>F287*K287</f>
        <v>0.714808</v>
      </c>
      <c r="M287" s="35" t="s">
        <v>1531</v>
      </c>
      <c r="N287" s="35" t="s">
        <v>7</v>
      </c>
      <c r="O287" s="22">
        <f>IF(N287="5",I287,0)</f>
        <v>0</v>
      </c>
      <c r="Z287" s="22">
        <f>IF(AD287=0,J287,0)</f>
        <v>0</v>
      </c>
      <c r="AA287" s="22">
        <f>IF(AD287=15,J287,0)</f>
        <v>0</v>
      </c>
      <c r="AB287" s="22">
        <f>IF(AD287=21,J287,0)</f>
        <v>0</v>
      </c>
      <c r="AD287" s="39">
        <v>15</v>
      </c>
      <c r="AE287" s="39">
        <f>G287*0.568561690524881</f>
        <v>0</v>
      </c>
      <c r="AF287" s="39">
        <f>G287*(1-0.568561690524881)</f>
        <v>0</v>
      </c>
      <c r="AM287" s="39">
        <f>F287*AE287</f>
        <v>0</v>
      </c>
      <c r="AN287" s="39">
        <f>F287*AF287</f>
        <v>0</v>
      </c>
      <c r="AO287" s="40" t="s">
        <v>1575</v>
      </c>
      <c r="AP287" s="40" t="s">
        <v>1603</v>
      </c>
      <c r="AQ287" s="31" t="s">
        <v>1612</v>
      </c>
    </row>
    <row r="288" spans="1:43" ht="12.75">
      <c r="A288" s="6" t="s">
        <v>174</v>
      </c>
      <c r="B288" s="6" t="s">
        <v>595</v>
      </c>
      <c r="C288" s="6" t="s">
        <v>780</v>
      </c>
      <c r="D288" s="6" t="s">
        <v>1205</v>
      </c>
      <c r="E288" s="6" t="s">
        <v>1503</v>
      </c>
      <c r="F288" s="24">
        <v>175.12</v>
      </c>
      <c r="G288" s="24">
        <v>0</v>
      </c>
      <c r="H288" s="24">
        <f>F288*AE288</f>
        <v>0</v>
      </c>
      <c r="I288" s="24">
        <f>J288-H288</f>
        <v>0</v>
      </c>
      <c r="J288" s="24">
        <f>F288*G288</f>
        <v>0</v>
      </c>
      <c r="K288" s="24">
        <v>0.0013</v>
      </c>
      <c r="L288" s="24">
        <f>F288*K288</f>
        <v>0.227656</v>
      </c>
      <c r="M288" s="36" t="s">
        <v>1531</v>
      </c>
      <c r="N288" s="36" t="s">
        <v>1533</v>
      </c>
      <c r="O288" s="24">
        <f>IF(N288="5",I288,0)</f>
        <v>0</v>
      </c>
      <c r="Z288" s="24">
        <f>IF(AD288=0,J288,0)</f>
        <v>0</v>
      </c>
      <c r="AA288" s="24">
        <f>IF(AD288=15,J288,0)</f>
        <v>0</v>
      </c>
      <c r="AB288" s="24">
        <f>IF(AD288=21,J288,0)</f>
        <v>0</v>
      </c>
      <c r="AD288" s="39">
        <v>15</v>
      </c>
      <c r="AE288" s="39">
        <f>G288*1</f>
        <v>0</v>
      </c>
      <c r="AF288" s="39">
        <f>G288*(1-1)</f>
        <v>0</v>
      </c>
      <c r="AM288" s="39">
        <f>F288*AE288</f>
        <v>0</v>
      </c>
      <c r="AN288" s="39">
        <f>F288*AF288</f>
        <v>0</v>
      </c>
      <c r="AO288" s="40" t="s">
        <v>1575</v>
      </c>
      <c r="AP288" s="40" t="s">
        <v>1603</v>
      </c>
      <c r="AQ288" s="31" t="s">
        <v>1612</v>
      </c>
    </row>
    <row r="289" spans="4:6" ht="10.8" customHeight="1">
      <c r="D289" s="17" t="s">
        <v>1206</v>
      </c>
      <c r="F289" s="23">
        <v>159.2</v>
      </c>
    </row>
    <row r="290" spans="4:6" ht="10.8" customHeight="1">
      <c r="D290" s="17" t="s">
        <v>1207</v>
      </c>
      <c r="F290" s="23">
        <v>15.92</v>
      </c>
    </row>
    <row r="291" spans="1:37" ht="12.75">
      <c r="A291" s="4"/>
      <c r="B291" s="14" t="s">
        <v>595</v>
      </c>
      <c r="C291" s="14" t="s">
        <v>628</v>
      </c>
      <c r="D291" s="104" t="s">
        <v>1004</v>
      </c>
      <c r="E291" s="105"/>
      <c r="F291" s="105"/>
      <c r="G291" s="105"/>
      <c r="H291" s="42">
        <f>SUM(H292:H308)</f>
        <v>0</v>
      </c>
      <c r="I291" s="42">
        <f>SUM(I292:I308)</f>
        <v>0</v>
      </c>
      <c r="J291" s="42">
        <f>H291+I291</f>
        <v>0</v>
      </c>
      <c r="K291" s="31"/>
      <c r="L291" s="42">
        <f>SUM(L292:L308)</f>
        <v>1.3689719999999999</v>
      </c>
      <c r="M291" s="31"/>
      <c r="P291" s="42">
        <f>IF(Q291="PR",J291,SUM(O292:O308))</f>
        <v>0</v>
      </c>
      <c r="Q291" s="31" t="s">
        <v>1537</v>
      </c>
      <c r="R291" s="42">
        <f>IF(Q291="HS",H291,0)</f>
        <v>0</v>
      </c>
      <c r="S291" s="42">
        <f>IF(Q291="HS",I291-P291,0)</f>
        <v>0</v>
      </c>
      <c r="T291" s="42">
        <f>IF(Q291="PS",H291,0)</f>
        <v>0</v>
      </c>
      <c r="U291" s="42">
        <f>IF(Q291="PS",I291-P291,0)</f>
        <v>0</v>
      </c>
      <c r="V291" s="42">
        <f>IF(Q291="MP",H291,0)</f>
        <v>0</v>
      </c>
      <c r="W291" s="42">
        <f>IF(Q291="MP",I291-P291,0)</f>
        <v>0</v>
      </c>
      <c r="X291" s="42">
        <f>IF(Q291="OM",H291,0)</f>
        <v>0</v>
      </c>
      <c r="Y291" s="31" t="s">
        <v>595</v>
      </c>
      <c r="AI291" s="42">
        <f>SUM(Z292:Z308)</f>
        <v>0</v>
      </c>
      <c r="AJ291" s="42">
        <f>SUM(AA292:AA308)</f>
        <v>0</v>
      </c>
      <c r="AK291" s="42">
        <f>SUM(AB292:AB308)</f>
        <v>0</v>
      </c>
    </row>
    <row r="292" spans="1:43" ht="12.75">
      <c r="A292" s="5" t="s">
        <v>175</v>
      </c>
      <c r="B292" s="5" t="s">
        <v>595</v>
      </c>
      <c r="C292" s="5" t="s">
        <v>631</v>
      </c>
      <c r="D292" s="5" t="s">
        <v>1007</v>
      </c>
      <c r="E292" s="5" t="s">
        <v>1504</v>
      </c>
      <c r="F292" s="22">
        <v>3</v>
      </c>
      <c r="G292" s="22">
        <v>0</v>
      </c>
      <c r="H292" s="22">
        <f aca="true" t="shared" si="98" ref="H292:H304">F292*AE292</f>
        <v>0</v>
      </c>
      <c r="I292" s="22">
        <f aca="true" t="shared" si="99" ref="I292:I304">J292-H292</f>
        <v>0</v>
      </c>
      <c r="J292" s="22">
        <f aca="true" t="shared" si="100" ref="J292:J304">F292*G292</f>
        <v>0</v>
      </c>
      <c r="K292" s="22">
        <v>0</v>
      </c>
      <c r="L292" s="22">
        <f aca="true" t="shared" si="101" ref="L292:L304">F292*K292</f>
        <v>0</v>
      </c>
      <c r="M292" s="35" t="s">
        <v>1531</v>
      </c>
      <c r="N292" s="35" t="s">
        <v>7</v>
      </c>
      <c r="O292" s="22">
        <f aca="true" t="shared" si="102" ref="O292:O304">IF(N292="5",I292,0)</f>
        <v>0</v>
      </c>
      <c r="Z292" s="22">
        <f aca="true" t="shared" si="103" ref="Z292:Z304">IF(AD292=0,J292,0)</f>
        <v>0</v>
      </c>
      <c r="AA292" s="22">
        <f aca="true" t="shared" si="104" ref="AA292:AA304">IF(AD292=15,J292,0)</f>
        <v>0</v>
      </c>
      <c r="AB292" s="22">
        <f aca="true" t="shared" si="105" ref="AB292:AB304">IF(AD292=21,J292,0)</f>
        <v>0</v>
      </c>
      <c r="AD292" s="39">
        <v>15</v>
      </c>
      <c r="AE292" s="39">
        <f>G292*0</f>
        <v>0</v>
      </c>
      <c r="AF292" s="39">
        <f>G292*(1-0)</f>
        <v>0</v>
      </c>
      <c r="AM292" s="39">
        <f aca="true" t="shared" si="106" ref="AM292:AM304">F292*AE292</f>
        <v>0</v>
      </c>
      <c r="AN292" s="39">
        <f aca="true" t="shared" si="107" ref="AN292:AN304">F292*AF292</f>
        <v>0</v>
      </c>
      <c r="AO292" s="40" t="s">
        <v>1550</v>
      </c>
      <c r="AP292" s="40" t="s">
        <v>1604</v>
      </c>
      <c r="AQ292" s="31" t="s">
        <v>1612</v>
      </c>
    </row>
    <row r="293" spans="1:43" ht="12.75">
      <c r="A293" s="5" t="s">
        <v>176</v>
      </c>
      <c r="B293" s="5" t="s">
        <v>595</v>
      </c>
      <c r="C293" s="5" t="s">
        <v>632</v>
      </c>
      <c r="D293" s="5" t="s">
        <v>1008</v>
      </c>
      <c r="E293" s="5" t="s">
        <v>1504</v>
      </c>
      <c r="F293" s="22">
        <v>3</v>
      </c>
      <c r="G293" s="22">
        <v>0</v>
      </c>
      <c r="H293" s="22">
        <f t="shared" si="98"/>
        <v>0</v>
      </c>
      <c r="I293" s="22">
        <f t="shared" si="99"/>
        <v>0</v>
      </c>
      <c r="J293" s="22">
        <f t="shared" si="100"/>
        <v>0</v>
      </c>
      <c r="K293" s="22">
        <v>1E-05</v>
      </c>
      <c r="L293" s="22">
        <f t="shared" si="101"/>
        <v>3.0000000000000004E-05</v>
      </c>
      <c r="M293" s="35" t="s">
        <v>1531</v>
      </c>
      <c r="N293" s="35" t="s">
        <v>7</v>
      </c>
      <c r="O293" s="22">
        <f t="shared" si="102"/>
        <v>0</v>
      </c>
      <c r="Z293" s="22">
        <f t="shared" si="103"/>
        <v>0</v>
      </c>
      <c r="AA293" s="22">
        <f t="shared" si="104"/>
        <v>0</v>
      </c>
      <c r="AB293" s="22">
        <f t="shared" si="105"/>
        <v>0</v>
      </c>
      <c r="AD293" s="39">
        <v>15</v>
      </c>
      <c r="AE293" s="39">
        <f>G293*0.0277644230769231</f>
        <v>0</v>
      </c>
      <c r="AF293" s="39">
        <f>G293*(1-0.0277644230769231)</f>
        <v>0</v>
      </c>
      <c r="AM293" s="39">
        <f t="shared" si="106"/>
        <v>0</v>
      </c>
      <c r="AN293" s="39">
        <f t="shared" si="107"/>
        <v>0</v>
      </c>
      <c r="AO293" s="40" t="s">
        <v>1550</v>
      </c>
      <c r="AP293" s="40" t="s">
        <v>1604</v>
      </c>
      <c r="AQ293" s="31" t="s">
        <v>1612</v>
      </c>
    </row>
    <row r="294" spans="1:43" ht="12.75">
      <c r="A294" s="6" t="s">
        <v>177</v>
      </c>
      <c r="B294" s="6" t="s">
        <v>595</v>
      </c>
      <c r="C294" s="6" t="s">
        <v>781</v>
      </c>
      <c r="D294" s="6" t="s">
        <v>1208</v>
      </c>
      <c r="E294" s="6" t="s">
        <v>1504</v>
      </c>
      <c r="F294" s="24">
        <v>10</v>
      </c>
      <c r="G294" s="24">
        <v>0</v>
      </c>
      <c r="H294" s="24">
        <f t="shared" si="98"/>
        <v>0</v>
      </c>
      <c r="I294" s="24">
        <f t="shared" si="99"/>
        <v>0</v>
      </c>
      <c r="J294" s="24">
        <f t="shared" si="100"/>
        <v>0</v>
      </c>
      <c r="K294" s="24">
        <v>0.0138</v>
      </c>
      <c r="L294" s="24">
        <f t="shared" si="101"/>
        <v>0.138</v>
      </c>
      <c r="M294" s="36" t="s">
        <v>1531</v>
      </c>
      <c r="N294" s="36" t="s">
        <v>1533</v>
      </c>
      <c r="O294" s="24">
        <f t="shared" si="102"/>
        <v>0</v>
      </c>
      <c r="Z294" s="24">
        <f t="shared" si="103"/>
        <v>0</v>
      </c>
      <c r="AA294" s="24">
        <f t="shared" si="104"/>
        <v>0</v>
      </c>
      <c r="AB294" s="24">
        <f t="shared" si="105"/>
        <v>0</v>
      </c>
      <c r="AD294" s="39">
        <v>15</v>
      </c>
      <c r="AE294" s="39">
        <f>G294*1</f>
        <v>0</v>
      </c>
      <c r="AF294" s="39">
        <f>G294*(1-1)</f>
        <v>0</v>
      </c>
      <c r="AM294" s="39">
        <f t="shared" si="106"/>
        <v>0</v>
      </c>
      <c r="AN294" s="39">
        <f t="shared" si="107"/>
        <v>0</v>
      </c>
      <c r="AO294" s="40" t="s">
        <v>1550</v>
      </c>
      <c r="AP294" s="40" t="s">
        <v>1604</v>
      </c>
      <c r="AQ294" s="31" t="s">
        <v>1612</v>
      </c>
    </row>
    <row r="295" spans="1:43" ht="12.75">
      <c r="A295" s="6" t="s">
        <v>178</v>
      </c>
      <c r="B295" s="6" t="s">
        <v>595</v>
      </c>
      <c r="C295" s="6" t="s">
        <v>782</v>
      </c>
      <c r="D295" s="6" t="s">
        <v>1209</v>
      </c>
      <c r="E295" s="6" t="s">
        <v>1504</v>
      </c>
      <c r="F295" s="24">
        <v>11</v>
      </c>
      <c r="G295" s="24">
        <v>0</v>
      </c>
      <c r="H295" s="24">
        <f t="shared" si="98"/>
        <v>0</v>
      </c>
      <c r="I295" s="24">
        <f t="shared" si="99"/>
        <v>0</v>
      </c>
      <c r="J295" s="24">
        <f t="shared" si="100"/>
        <v>0</v>
      </c>
      <c r="K295" s="24">
        <v>0.0205</v>
      </c>
      <c r="L295" s="24">
        <f t="shared" si="101"/>
        <v>0.2255</v>
      </c>
      <c r="M295" s="36" t="s">
        <v>1531</v>
      </c>
      <c r="N295" s="36" t="s">
        <v>1533</v>
      </c>
      <c r="O295" s="24">
        <f t="shared" si="102"/>
        <v>0</v>
      </c>
      <c r="Z295" s="24">
        <f t="shared" si="103"/>
        <v>0</v>
      </c>
      <c r="AA295" s="24">
        <f t="shared" si="104"/>
        <v>0</v>
      </c>
      <c r="AB295" s="24">
        <f t="shared" si="105"/>
        <v>0</v>
      </c>
      <c r="AD295" s="39">
        <v>15</v>
      </c>
      <c r="AE295" s="39">
        <f>G295*1</f>
        <v>0</v>
      </c>
      <c r="AF295" s="39">
        <f>G295*(1-1)</f>
        <v>0</v>
      </c>
      <c r="AM295" s="39">
        <f t="shared" si="106"/>
        <v>0</v>
      </c>
      <c r="AN295" s="39">
        <f t="shared" si="107"/>
        <v>0</v>
      </c>
      <c r="AO295" s="40" t="s">
        <v>1550</v>
      </c>
      <c r="AP295" s="40" t="s">
        <v>1604</v>
      </c>
      <c r="AQ295" s="31" t="s">
        <v>1612</v>
      </c>
    </row>
    <row r="296" spans="1:43" ht="12.75">
      <c r="A296" s="6" t="s">
        <v>179</v>
      </c>
      <c r="B296" s="6" t="s">
        <v>595</v>
      </c>
      <c r="C296" s="6" t="s">
        <v>783</v>
      </c>
      <c r="D296" s="6" t="s">
        <v>1210</v>
      </c>
      <c r="E296" s="6" t="s">
        <v>1504</v>
      </c>
      <c r="F296" s="24">
        <v>10</v>
      </c>
      <c r="G296" s="24">
        <v>0</v>
      </c>
      <c r="H296" s="24">
        <f t="shared" si="98"/>
        <v>0</v>
      </c>
      <c r="I296" s="24">
        <f t="shared" si="99"/>
        <v>0</v>
      </c>
      <c r="J296" s="24">
        <f t="shared" si="100"/>
        <v>0</v>
      </c>
      <c r="K296" s="24">
        <v>0.0008</v>
      </c>
      <c r="L296" s="24">
        <f t="shared" si="101"/>
        <v>0.008</v>
      </c>
      <c r="M296" s="36" t="s">
        <v>1531</v>
      </c>
      <c r="N296" s="36" t="s">
        <v>1533</v>
      </c>
      <c r="O296" s="24">
        <f t="shared" si="102"/>
        <v>0</v>
      </c>
      <c r="Z296" s="24">
        <f t="shared" si="103"/>
        <v>0</v>
      </c>
      <c r="AA296" s="24">
        <f t="shared" si="104"/>
        <v>0</v>
      </c>
      <c r="AB296" s="24">
        <f t="shared" si="105"/>
        <v>0</v>
      </c>
      <c r="AD296" s="39">
        <v>15</v>
      </c>
      <c r="AE296" s="39">
        <f>G296*1</f>
        <v>0</v>
      </c>
      <c r="AF296" s="39">
        <f>G296*(1-1)</f>
        <v>0</v>
      </c>
      <c r="AM296" s="39">
        <f t="shared" si="106"/>
        <v>0</v>
      </c>
      <c r="AN296" s="39">
        <f t="shared" si="107"/>
        <v>0</v>
      </c>
      <c r="AO296" s="40" t="s">
        <v>1550</v>
      </c>
      <c r="AP296" s="40" t="s">
        <v>1604</v>
      </c>
      <c r="AQ296" s="31" t="s">
        <v>1612</v>
      </c>
    </row>
    <row r="297" spans="1:43" ht="12.75">
      <c r="A297" s="6" t="s">
        <v>180</v>
      </c>
      <c r="B297" s="6" t="s">
        <v>595</v>
      </c>
      <c r="C297" s="6" t="s">
        <v>784</v>
      </c>
      <c r="D297" s="6" t="s">
        <v>1211</v>
      </c>
      <c r="E297" s="6" t="s">
        <v>1504</v>
      </c>
      <c r="F297" s="24">
        <v>11</v>
      </c>
      <c r="G297" s="24">
        <v>0</v>
      </c>
      <c r="H297" s="24">
        <f t="shared" si="98"/>
        <v>0</v>
      </c>
      <c r="I297" s="24">
        <f t="shared" si="99"/>
        <v>0</v>
      </c>
      <c r="J297" s="24">
        <f t="shared" si="100"/>
        <v>0</v>
      </c>
      <c r="K297" s="24">
        <v>0.0008</v>
      </c>
      <c r="L297" s="24">
        <f t="shared" si="101"/>
        <v>0.0088</v>
      </c>
      <c r="M297" s="36" t="s">
        <v>1531</v>
      </c>
      <c r="N297" s="36" t="s">
        <v>1533</v>
      </c>
      <c r="O297" s="24">
        <f t="shared" si="102"/>
        <v>0</v>
      </c>
      <c r="Z297" s="24">
        <f t="shared" si="103"/>
        <v>0</v>
      </c>
      <c r="AA297" s="24">
        <f t="shared" si="104"/>
        <v>0</v>
      </c>
      <c r="AB297" s="24">
        <f t="shared" si="105"/>
        <v>0</v>
      </c>
      <c r="AD297" s="39">
        <v>15</v>
      </c>
      <c r="AE297" s="39">
        <f>G297*1</f>
        <v>0</v>
      </c>
      <c r="AF297" s="39">
        <f>G297*(1-1)</f>
        <v>0</v>
      </c>
      <c r="AM297" s="39">
        <f t="shared" si="106"/>
        <v>0</v>
      </c>
      <c r="AN297" s="39">
        <f t="shared" si="107"/>
        <v>0</v>
      </c>
      <c r="AO297" s="40" t="s">
        <v>1550</v>
      </c>
      <c r="AP297" s="40" t="s">
        <v>1604</v>
      </c>
      <c r="AQ297" s="31" t="s">
        <v>1612</v>
      </c>
    </row>
    <row r="298" spans="1:43" ht="12.75">
      <c r="A298" s="6" t="s">
        <v>181</v>
      </c>
      <c r="B298" s="6" t="s">
        <v>595</v>
      </c>
      <c r="C298" s="6" t="s">
        <v>785</v>
      </c>
      <c r="D298" s="6" t="s">
        <v>1212</v>
      </c>
      <c r="E298" s="6" t="s">
        <v>1504</v>
      </c>
      <c r="F298" s="24">
        <v>3</v>
      </c>
      <c r="G298" s="24">
        <v>0</v>
      </c>
      <c r="H298" s="24">
        <f t="shared" si="98"/>
        <v>0</v>
      </c>
      <c r="I298" s="24">
        <f t="shared" si="99"/>
        <v>0</v>
      </c>
      <c r="J298" s="24">
        <f t="shared" si="100"/>
        <v>0</v>
      </c>
      <c r="K298" s="24">
        <v>0.00203</v>
      </c>
      <c r="L298" s="24">
        <f t="shared" si="101"/>
        <v>0.00609</v>
      </c>
      <c r="M298" s="36" t="s">
        <v>1531</v>
      </c>
      <c r="N298" s="36" t="s">
        <v>1533</v>
      </c>
      <c r="O298" s="24">
        <f t="shared" si="102"/>
        <v>0</v>
      </c>
      <c r="Z298" s="24">
        <f t="shared" si="103"/>
        <v>0</v>
      </c>
      <c r="AA298" s="24">
        <f t="shared" si="104"/>
        <v>0</v>
      </c>
      <c r="AB298" s="24">
        <f t="shared" si="105"/>
        <v>0</v>
      </c>
      <c r="AD298" s="39">
        <v>15</v>
      </c>
      <c r="AE298" s="39">
        <f>G298*1</f>
        <v>0</v>
      </c>
      <c r="AF298" s="39">
        <f>G298*(1-1)</f>
        <v>0</v>
      </c>
      <c r="AM298" s="39">
        <f t="shared" si="106"/>
        <v>0</v>
      </c>
      <c r="AN298" s="39">
        <f t="shared" si="107"/>
        <v>0</v>
      </c>
      <c r="AO298" s="40" t="s">
        <v>1550</v>
      </c>
      <c r="AP298" s="40" t="s">
        <v>1604</v>
      </c>
      <c r="AQ298" s="31" t="s">
        <v>1612</v>
      </c>
    </row>
    <row r="299" spans="1:43" ht="12.75">
      <c r="A299" s="5" t="s">
        <v>182</v>
      </c>
      <c r="B299" s="5" t="s">
        <v>595</v>
      </c>
      <c r="C299" s="5" t="s">
        <v>786</v>
      </c>
      <c r="D299" s="5" t="s">
        <v>1213</v>
      </c>
      <c r="E299" s="5" t="s">
        <v>1504</v>
      </c>
      <c r="F299" s="22">
        <v>10</v>
      </c>
      <c r="G299" s="22">
        <v>0</v>
      </c>
      <c r="H299" s="22">
        <f t="shared" si="98"/>
        <v>0</v>
      </c>
      <c r="I299" s="22">
        <f t="shared" si="99"/>
        <v>0</v>
      </c>
      <c r="J299" s="22">
        <f t="shared" si="100"/>
        <v>0</v>
      </c>
      <c r="K299" s="22">
        <v>0.00162</v>
      </c>
      <c r="L299" s="22">
        <f t="shared" si="101"/>
        <v>0.0162</v>
      </c>
      <c r="M299" s="35" t="s">
        <v>1531</v>
      </c>
      <c r="N299" s="35" t="s">
        <v>9</v>
      </c>
      <c r="O299" s="22">
        <f t="shared" si="102"/>
        <v>0</v>
      </c>
      <c r="Z299" s="22">
        <f t="shared" si="103"/>
        <v>0</v>
      </c>
      <c r="AA299" s="22">
        <f t="shared" si="104"/>
        <v>0</v>
      </c>
      <c r="AB299" s="22">
        <f t="shared" si="105"/>
        <v>0</v>
      </c>
      <c r="AD299" s="39">
        <v>15</v>
      </c>
      <c r="AE299" s="39">
        <f>G299*0.0866294925912415</f>
        <v>0</v>
      </c>
      <c r="AF299" s="39">
        <f>G299*(1-0.0866294925912415)</f>
        <v>0</v>
      </c>
      <c r="AM299" s="39">
        <f t="shared" si="106"/>
        <v>0</v>
      </c>
      <c r="AN299" s="39">
        <f t="shared" si="107"/>
        <v>0</v>
      </c>
      <c r="AO299" s="40" t="s">
        <v>1550</v>
      </c>
      <c r="AP299" s="40" t="s">
        <v>1604</v>
      </c>
      <c r="AQ299" s="31" t="s">
        <v>1612</v>
      </c>
    </row>
    <row r="300" spans="1:43" ht="12.75">
      <c r="A300" s="5" t="s">
        <v>183</v>
      </c>
      <c r="B300" s="5" t="s">
        <v>595</v>
      </c>
      <c r="C300" s="5" t="s">
        <v>787</v>
      </c>
      <c r="D300" s="5" t="s">
        <v>1214</v>
      </c>
      <c r="E300" s="5" t="s">
        <v>1504</v>
      </c>
      <c r="F300" s="22">
        <v>11</v>
      </c>
      <c r="G300" s="22">
        <v>0</v>
      </c>
      <c r="H300" s="22">
        <f t="shared" si="98"/>
        <v>0</v>
      </c>
      <c r="I300" s="22">
        <f t="shared" si="99"/>
        <v>0</v>
      </c>
      <c r="J300" s="22">
        <f t="shared" si="100"/>
        <v>0</v>
      </c>
      <c r="K300" s="22">
        <v>0.00202</v>
      </c>
      <c r="L300" s="22">
        <f t="shared" si="101"/>
        <v>0.02222</v>
      </c>
      <c r="M300" s="35" t="s">
        <v>1531</v>
      </c>
      <c r="N300" s="35" t="s">
        <v>9</v>
      </c>
      <c r="O300" s="22">
        <f t="shared" si="102"/>
        <v>0</v>
      </c>
      <c r="Z300" s="22">
        <f t="shared" si="103"/>
        <v>0</v>
      </c>
      <c r="AA300" s="22">
        <f t="shared" si="104"/>
        <v>0</v>
      </c>
      <c r="AB300" s="22">
        <f t="shared" si="105"/>
        <v>0</v>
      </c>
      <c r="AD300" s="39">
        <v>15</v>
      </c>
      <c r="AE300" s="39">
        <f>G300*0.0979411209770099</f>
        <v>0</v>
      </c>
      <c r="AF300" s="39">
        <f>G300*(1-0.0979411209770099)</f>
        <v>0</v>
      </c>
      <c r="AM300" s="39">
        <f t="shared" si="106"/>
        <v>0</v>
      </c>
      <c r="AN300" s="39">
        <f t="shared" si="107"/>
        <v>0</v>
      </c>
      <c r="AO300" s="40" t="s">
        <v>1550</v>
      </c>
      <c r="AP300" s="40" t="s">
        <v>1604</v>
      </c>
      <c r="AQ300" s="31" t="s">
        <v>1612</v>
      </c>
    </row>
    <row r="301" spans="1:43" ht="12.75">
      <c r="A301" s="6" t="s">
        <v>184</v>
      </c>
      <c r="B301" s="6" t="s">
        <v>595</v>
      </c>
      <c r="C301" s="6" t="s">
        <v>788</v>
      </c>
      <c r="D301" s="6" t="s">
        <v>1215</v>
      </c>
      <c r="E301" s="6" t="s">
        <v>1504</v>
      </c>
      <c r="F301" s="24">
        <v>10</v>
      </c>
      <c r="G301" s="24">
        <v>0</v>
      </c>
      <c r="H301" s="24">
        <f t="shared" si="98"/>
        <v>0</v>
      </c>
      <c r="I301" s="24">
        <f t="shared" si="99"/>
        <v>0</v>
      </c>
      <c r="J301" s="24">
        <f t="shared" si="100"/>
        <v>0</v>
      </c>
      <c r="K301" s="24">
        <v>0.016</v>
      </c>
      <c r="L301" s="24">
        <f t="shared" si="101"/>
        <v>0.16</v>
      </c>
      <c r="M301" s="36" t="s">
        <v>1531</v>
      </c>
      <c r="N301" s="36" t="s">
        <v>1533</v>
      </c>
      <c r="O301" s="24">
        <f t="shared" si="102"/>
        <v>0</v>
      </c>
      <c r="Z301" s="24">
        <f t="shared" si="103"/>
        <v>0</v>
      </c>
      <c r="AA301" s="24">
        <f t="shared" si="104"/>
        <v>0</v>
      </c>
      <c r="AB301" s="24">
        <f t="shared" si="105"/>
        <v>0</v>
      </c>
      <c r="AD301" s="39">
        <v>15</v>
      </c>
      <c r="AE301" s="39">
        <f>G301*1</f>
        <v>0</v>
      </c>
      <c r="AF301" s="39">
        <f>G301*(1-1)</f>
        <v>0</v>
      </c>
      <c r="AM301" s="39">
        <f t="shared" si="106"/>
        <v>0</v>
      </c>
      <c r="AN301" s="39">
        <f t="shared" si="107"/>
        <v>0</v>
      </c>
      <c r="AO301" s="40" t="s">
        <v>1550</v>
      </c>
      <c r="AP301" s="40" t="s">
        <v>1604</v>
      </c>
      <c r="AQ301" s="31" t="s">
        <v>1612</v>
      </c>
    </row>
    <row r="302" spans="1:43" ht="12.75">
      <c r="A302" s="6" t="s">
        <v>185</v>
      </c>
      <c r="B302" s="6" t="s">
        <v>595</v>
      </c>
      <c r="C302" s="6" t="s">
        <v>789</v>
      </c>
      <c r="D302" s="6" t="s">
        <v>1216</v>
      </c>
      <c r="E302" s="6" t="s">
        <v>1504</v>
      </c>
      <c r="F302" s="24">
        <v>11</v>
      </c>
      <c r="G302" s="24">
        <v>0</v>
      </c>
      <c r="H302" s="24">
        <f t="shared" si="98"/>
        <v>0</v>
      </c>
      <c r="I302" s="24">
        <f t="shared" si="99"/>
        <v>0</v>
      </c>
      <c r="J302" s="24">
        <f t="shared" si="100"/>
        <v>0</v>
      </c>
      <c r="K302" s="24">
        <v>0.016</v>
      </c>
      <c r="L302" s="24">
        <f t="shared" si="101"/>
        <v>0.176</v>
      </c>
      <c r="M302" s="36" t="s">
        <v>1531</v>
      </c>
      <c r="N302" s="36" t="s">
        <v>1533</v>
      </c>
      <c r="O302" s="24">
        <f t="shared" si="102"/>
        <v>0</v>
      </c>
      <c r="Z302" s="24">
        <f t="shared" si="103"/>
        <v>0</v>
      </c>
      <c r="AA302" s="24">
        <f t="shared" si="104"/>
        <v>0</v>
      </c>
      <c r="AB302" s="24">
        <f t="shared" si="105"/>
        <v>0</v>
      </c>
      <c r="AD302" s="39">
        <v>15</v>
      </c>
      <c r="AE302" s="39">
        <f>G302*1</f>
        <v>0</v>
      </c>
      <c r="AF302" s="39">
        <f>G302*(1-1)</f>
        <v>0</v>
      </c>
      <c r="AM302" s="39">
        <f t="shared" si="106"/>
        <v>0</v>
      </c>
      <c r="AN302" s="39">
        <f t="shared" si="107"/>
        <v>0</v>
      </c>
      <c r="AO302" s="40" t="s">
        <v>1550</v>
      </c>
      <c r="AP302" s="40" t="s">
        <v>1604</v>
      </c>
      <c r="AQ302" s="31" t="s">
        <v>1612</v>
      </c>
    </row>
    <row r="303" spans="1:43" ht="12.75">
      <c r="A303" s="5" t="s">
        <v>186</v>
      </c>
      <c r="B303" s="5" t="s">
        <v>595</v>
      </c>
      <c r="C303" s="5" t="s">
        <v>633</v>
      </c>
      <c r="D303" s="5" t="s">
        <v>1009</v>
      </c>
      <c r="E303" s="5" t="s">
        <v>1504</v>
      </c>
      <c r="F303" s="22">
        <v>21</v>
      </c>
      <c r="G303" s="22">
        <v>0</v>
      </c>
      <c r="H303" s="22">
        <f t="shared" si="98"/>
        <v>0</v>
      </c>
      <c r="I303" s="22">
        <f t="shared" si="99"/>
        <v>0</v>
      </c>
      <c r="J303" s="22">
        <f t="shared" si="100"/>
        <v>0</v>
      </c>
      <c r="K303" s="22">
        <v>0</v>
      </c>
      <c r="L303" s="22">
        <f t="shared" si="101"/>
        <v>0</v>
      </c>
      <c r="M303" s="35" t="s">
        <v>1531</v>
      </c>
      <c r="N303" s="35" t="s">
        <v>7</v>
      </c>
      <c r="O303" s="22">
        <f t="shared" si="102"/>
        <v>0</v>
      </c>
      <c r="Z303" s="22">
        <f t="shared" si="103"/>
        <v>0</v>
      </c>
      <c r="AA303" s="22">
        <f t="shared" si="104"/>
        <v>0</v>
      </c>
      <c r="AB303" s="22">
        <f t="shared" si="105"/>
        <v>0</v>
      </c>
      <c r="AD303" s="39">
        <v>15</v>
      </c>
      <c r="AE303" s="39">
        <f>G303*0</f>
        <v>0</v>
      </c>
      <c r="AF303" s="39">
        <f>G303*(1-0)</f>
        <v>0</v>
      </c>
      <c r="AM303" s="39">
        <f t="shared" si="106"/>
        <v>0</v>
      </c>
      <c r="AN303" s="39">
        <f t="shared" si="107"/>
        <v>0</v>
      </c>
      <c r="AO303" s="40" t="s">
        <v>1550</v>
      </c>
      <c r="AP303" s="40" t="s">
        <v>1604</v>
      </c>
      <c r="AQ303" s="31" t="s">
        <v>1612</v>
      </c>
    </row>
    <row r="304" spans="1:43" ht="12.75">
      <c r="A304" s="5" t="s">
        <v>187</v>
      </c>
      <c r="B304" s="5" t="s">
        <v>595</v>
      </c>
      <c r="C304" s="5" t="s">
        <v>790</v>
      </c>
      <c r="D304" s="5" t="s">
        <v>1217</v>
      </c>
      <c r="E304" s="5" t="s">
        <v>1504</v>
      </c>
      <c r="F304" s="22">
        <v>3</v>
      </c>
      <c r="G304" s="22">
        <v>0</v>
      </c>
      <c r="H304" s="22">
        <f t="shared" si="98"/>
        <v>0</v>
      </c>
      <c r="I304" s="22">
        <f t="shared" si="99"/>
        <v>0</v>
      </c>
      <c r="J304" s="22">
        <f t="shared" si="100"/>
        <v>0</v>
      </c>
      <c r="K304" s="22">
        <v>0</v>
      </c>
      <c r="L304" s="22">
        <f t="shared" si="101"/>
        <v>0</v>
      </c>
      <c r="M304" s="35" t="s">
        <v>1531</v>
      </c>
      <c r="N304" s="35" t="s">
        <v>7</v>
      </c>
      <c r="O304" s="22">
        <f t="shared" si="102"/>
        <v>0</v>
      </c>
      <c r="Z304" s="22">
        <f t="shared" si="103"/>
        <v>0</v>
      </c>
      <c r="AA304" s="22">
        <f t="shared" si="104"/>
        <v>0</v>
      </c>
      <c r="AB304" s="22">
        <f t="shared" si="105"/>
        <v>0</v>
      </c>
      <c r="AD304" s="39">
        <v>15</v>
      </c>
      <c r="AE304" s="39">
        <f>G304*0.674124009185866</f>
        <v>0</v>
      </c>
      <c r="AF304" s="39">
        <f>G304*(1-0.674124009185866)</f>
        <v>0</v>
      </c>
      <c r="AM304" s="39">
        <f t="shared" si="106"/>
        <v>0</v>
      </c>
      <c r="AN304" s="39">
        <f t="shared" si="107"/>
        <v>0</v>
      </c>
      <c r="AO304" s="40" t="s">
        <v>1550</v>
      </c>
      <c r="AP304" s="40" t="s">
        <v>1604</v>
      </c>
      <c r="AQ304" s="31" t="s">
        <v>1612</v>
      </c>
    </row>
    <row r="305" ht="12.75">
      <c r="D305" s="18" t="s">
        <v>1218</v>
      </c>
    </row>
    <row r="306" spans="1:43" ht="12.75">
      <c r="A306" s="5" t="s">
        <v>188</v>
      </c>
      <c r="B306" s="5" t="s">
        <v>595</v>
      </c>
      <c r="C306" s="5" t="s">
        <v>791</v>
      </c>
      <c r="D306" s="5" t="s">
        <v>1219</v>
      </c>
      <c r="E306" s="5" t="s">
        <v>1504</v>
      </c>
      <c r="F306" s="22">
        <v>3</v>
      </c>
      <c r="G306" s="22">
        <v>0</v>
      </c>
      <c r="H306" s="22">
        <f>F306*AE306</f>
        <v>0</v>
      </c>
      <c r="I306" s="22">
        <f>J306-H306</f>
        <v>0</v>
      </c>
      <c r="J306" s="22">
        <f>F306*G306</f>
        <v>0</v>
      </c>
      <c r="K306" s="22">
        <v>0.174</v>
      </c>
      <c r="L306" s="22">
        <f>F306*K306</f>
        <v>0.522</v>
      </c>
      <c r="M306" s="35" t="s">
        <v>1531</v>
      </c>
      <c r="N306" s="35" t="s">
        <v>7</v>
      </c>
      <c r="O306" s="22">
        <f>IF(N306="5",I306,0)</f>
        <v>0</v>
      </c>
      <c r="Z306" s="22">
        <f>IF(AD306=0,J306,0)</f>
        <v>0</v>
      </c>
      <c r="AA306" s="22">
        <f>IF(AD306=15,J306,0)</f>
        <v>0</v>
      </c>
      <c r="AB306" s="22">
        <f>IF(AD306=21,J306,0)</f>
        <v>0</v>
      </c>
      <c r="AD306" s="39">
        <v>15</v>
      </c>
      <c r="AE306" s="39">
        <f>G306*0</f>
        <v>0</v>
      </c>
      <c r="AF306" s="39">
        <f>G306*(1-0)</f>
        <v>0</v>
      </c>
      <c r="AM306" s="39">
        <f>F306*AE306</f>
        <v>0</v>
      </c>
      <c r="AN306" s="39">
        <f>F306*AF306</f>
        <v>0</v>
      </c>
      <c r="AO306" s="40" t="s">
        <v>1550</v>
      </c>
      <c r="AP306" s="40" t="s">
        <v>1604</v>
      </c>
      <c r="AQ306" s="31" t="s">
        <v>1612</v>
      </c>
    </row>
    <row r="307" spans="1:43" ht="12.75">
      <c r="A307" s="5" t="s">
        <v>189</v>
      </c>
      <c r="B307" s="5" t="s">
        <v>595</v>
      </c>
      <c r="C307" s="5" t="s">
        <v>792</v>
      </c>
      <c r="D307" s="5" t="s">
        <v>1220</v>
      </c>
      <c r="E307" s="5" t="s">
        <v>1504</v>
      </c>
      <c r="F307" s="22">
        <v>10</v>
      </c>
      <c r="G307" s="22">
        <v>0</v>
      </c>
      <c r="H307" s="22">
        <f>F307*AE307</f>
        <v>0</v>
      </c>
      <c r="I307" s="22">
        <f>J307-H307</f>
        <v>0</v>
      </c>
      <c r="J307" s="22">
        <f>F307*G307</f>
        <v>0</v>
      </c>
      <c r="K307" s="22">
        <v>2E-05</v>
      </c>
      <c r="L307" s="22">
        <f>F307*K307</f>
        <v>0.0002</v>
      </c>
      <c r="M307" s="35" t="s">
        <v>1531</v>
      </c>
      <c r="N307" s="35" t="s">
        <v>7</v>
      </c>
      <c r="O307" s="22">
        <f>IF(N307="5",I307,0)</f>
        <v>0</v>
      </c>
      <c r="Z307" s="22">
        <f>IF(AD307=0,J307,0)</f>
        <v>0</v>
      </c>
      <c r="AA307" s="22">
        <f>IF(AD307=15,J307,0)</f>
        <v>0</v>
      </c>
      <c r="AB307" s="22">
        <f>IF(AD307=21,J307,0)</f>
        <v>0</v>
      </c>
      <c r="AD307" s="39">
        <v>15</v>
      </c>
      <c r="AE307" s="39">
        <f>G307*0.0210983981693364</f>
        <v>0</v>
      </c>
      <c r="AF307" s="39">
        <f>G307*(1-0.0210983981693364)</f>
        <v>0</v>
      </c>
      <c r="AM307" s="39">
        <f>F307*AE307</f>
        <v>0</v>
      </c>
      <c r="AN307" s="39">
        <f>F307*AF307</f>
        <v>0</v>
      </c>
      <c r="AO307" s="40" t="s">
        <v>1550</v>
      </c>
      <c r="AP307" s="40" t="s">
        <v>1604</v>
      </c>
      <c r="AQ307" s="31" t="s">
        <v>1612</v>
      </c>
    </row>
    <row r="308" spans="1:43" ht="12.75">
      <c r="A308" s="5" t="s">
        <v>190</v>
      </c>
      <c r="B308" s="5" t="s">
        <v>595</v>
      </c>
      <c r="C308" s="5" t="s">
        <v>793</v>
      </c>
      <c r="D308" s="5" t="s">
        <v>1221</v>
      </c>
      <c r="E308" s="5" t="s">
        <v>1505</v>
      </c>
      <c r="F308" s="22">
        <v>23.1</v>
      </c>
      <c r="G308" s="22">
        <v>0</v>
      </c>
      <c r="H308" s="22">
        <f>F308*AE308</f>
        <v>0</v>
      </c>
      <c r="I308" s="22">
        <f>J308-H308</f>
        <v>0</v>
      </c>
      <c r="J308" s="22">
        <f>F308*G308</f>
        <v>0</v>
      </c>
      <c r="K308" s="22">
        <v>0.00372</v>
      </c>
      <c r="L308" s="22">
        <f>F308*K308</f>
        <v>0.08593200000000001</v>
      </c>
      <c r="M308" s="35" t="s">
        <v>1531</v>
      </c>
      <c r="N308" s="35" t="s">
        <v>9</v>
      </c>
      <c r="O308" s="22">
        <f>IF(N308="5",I308,0)</f>
        <v>0</v>
      </c>
      <c r="Z308" s="22">
        <f>IF(AD308=0,J308,0)</f>
        <v>0</v>
      </c>
      <c r="AA308" s="22">
        <f>IF(AD308=15,J308,0)</f>
        <v>0</v>
      </c>
      <c r="AB308" s="22">
        <f>IF(AD308=21,J308,0)</f>
        <v>0</v>
      </c>
      <c r="AD308" s="39">
        <v>15</v>
      </c>
      <c r="AE308" s="39">
        <f>G308*0.647173658409614</f>
        <v>0</v>
      </c>
      <c r="AF308" s="39">
        <f>G308*(1-0.647173658409614)</f>
        <v>0</v>
      </c>
      <c r="AM308" s="39">
        <f>F308*AE308</f>
        <v>0</v>
      </c>
      <c r="AN308" s="39">
        <f>F308*AF308</f>
        <v>0</v>
      </c>
      <c r="AO308" s="40" t="s">
        <v>1550</v>
      </c>
      <c r="AP308" s="40" t="s">
        <v>1604</v>
      </c>
      <c r="AQ308" s="31" t="s">
        <v>1612</v>
      </c>
    </row>
    <row r="309" ht="12.75">
      <c r="D309" s="18" t="s">
        <v>1222</v>
      </c>
    </row>
    <row r="310" spans="4:6" ht="10.8" customHeight="1">
      <c r="D310" s="17" t="s">
        <v>1223</v>
      </c>
      <c r="F310" s="23">
        <v>23.1</v>
      </c>
    </row>
    <row r="311" spans="1:37" ht="12.75">
      <c r="A311" s="4"/>
      <c r="B311" s="14" t="s">
        <v>595</v>
      </c>
      <c r="C311" s="14" t="s">
        <v>794</v>
      </c>
      <c r="D311" s="104" t="s">
        <v>1224</v>
      </c>
      <c r="E311" s="105"/>
      <c r="F311" s="105"/>
      <c r="G311" s="105"/>
      <c r="H311" s="42">
        <f>SUM(H312:H314)</f>
        <v>0</v>
      </c>
      <c r="I311" s="42">
        <f>SUM(I312:I314)</f>
        <v>0</v>
      </c>
      <c r="J311" s="42">
        <f>H311+I311</f>
        <v>0</v>
      </c>
      <c r="K311" s="31"/>
      <c r="L311" s="42">
        <f>SUM(L312:L314)</f>
        <v>0.17241</v>
      </c>
      <c r="M311" s="31"/>
      <c r="P311" s="42">
        <f>IF(Q311="PR",J311,SUM(O312:O314))</f>
        <v>0</v>
      </c>
      <c r="Q311" s="31" t="s">
        <v>1537</v>
      </c>
      <c r="R311" s="42">
        <f>IF(Q311="HS",H311,0)</f>
        <v>0</v>
      </c>
      <c r="S311" s="42">
        <f>IF(Q311="HS",I311-P311,0)</f>
        <v>0</v>
      </c>
      <c r="T311" s="42">
        <f>IF(Q311="PS",H311,0)</f>
        <v>0</v>
      </c>
      <c r="U311" s="42">
        <f>IF(Q311="PS",I311-P311,0)</f>
        <v>0</v>
      </c>
      <c r="V311" s="42">
        <f>IF(Q311="MP",H311,0)</f>
        <v>0</v>
      </c>
      <c r="W311" s="42">
        <f>IF(Q311="MP",I311-P311,0)</f>
        <v>0</v>
      </c>
      <c r="X311" s="42">
        <f>IF(Q311="OM",H311,0)</f>
        <v>0</v>
      </c>
      <c r="Y311" s="31" t="s">
        <v>595</v>
      </c>
      <c r="AI311" s="42">
        <f>SUM(Z312:Z314)</f>
        <v>0</v>
      </c>
      <c r="AJ311" s="42">
        <f>SUM(AA312:AA314)</f>
        <v>0</v>
      </c>
      <c r="AK311" s="42">
        <f>SUM(AB312:AB314)</f>
        <v>0</v>
      </c>
    </row>
    <row r="312" spans="1:43" ht="12.75">
      <c r="A312" s="5" t="s">
        <v>191</v>
      </c>
      <c r="B312" s="5" t="s">
        <v>595</v>
      </c>
      <c r="C312" s="5" t="s">
        <v>795</v>
      </c>
      <c r="D312" s="5" t="s">
        <v>1225</v>
      </c>
      <c r="E312" s="5" t="s">
        <v>1504</v>
      </c>
      <c r="F312" s="22">
        <v>3</v>
      </c>
      <c r="G312" s="22">
        <v>0</v>
      </c>
      <c r="H312" s="22">
        <f>F312*AE312</f>
        <v>0</v>
      </c>
      <c r="I312" s="22">
        <f>J312-H312</f>
        <v>0</v>
      </c>
      <c r="J312" s="22">
        <f>F312*G312</f>
        <v>0</v>
      </c>
      <c r="K312" s="22">
        <v>0.05747</v>
      </c>
      <c r="L312" s="22">
        <f>F312*K312</f>
        <v>0.17241</v>
      </c>
      <c r="M312" s="35" t="s">
        <v>1531</v>
      </c>
      <c r="N312" s="35" t="s">
        <v>9</v>
      </c>
      <c r="O312" s="22">
        <f>IF(N312="5",I312,0)</f>
        <v>0</v>
      </c>
      <c r="Z312" s="22">
        <f>IF(AD312=0,J312,0)</f>
        <v>0</v>
      </c>
      <c r="AA312" s="22">
        <f>IF(AD312=15,J312,0)</f>
        <v>0</v>
      </c>
      <c r="AB312" s="22">
        <f>IF(AD312=21,J312,0)</f>
        <v>0</v>
      </c>
      <c r="AD312" s="39">
        <v>15</v>
      </c>
      <c r="AE312" s="39">
        <f>G312*0.877927065026362</f>
        <v>0</v>
      </c>
      <c r="AF312" s="39">
        <f>G312*(1-0.877927065026362)</f>
        <v>0</v>
      </c>
      <c r="AM312" s="39">
        <f>F312*AE312</f>
        <v>0</v>
      </c>
      <c r="AN312" s="39">
        <f>F312*AF312</f>
        <v>0</v>
      </c>
      <c r="AO312" s="40" t="s">
        <v>1576</v>
      </c>
      <c r="AP312" s="40" t="s">
        <v>1604</v>
      </c>
      <c r="AQ312" s="31" t="s">
        <v>1612</v>
      </c>
    </row>
    <row r="313" spans="1:43" ht="12.75">
      <c r="A313" s="6" t="s">
        <v>192</v>
      </c>
      <c r="B313" s="6" t="s">
        <v>595</v>
      </c>
      <c r="C313" s="6" t="s">
        <v>796</v>
      </c>
      <c r="D313" s="6" t="s">
        <v>1226</v>
      </c>
      <c r="E313" s="6" t="s">
        <v>1504</v>
      </c>
      <c r="F313" s="24">
        <v>3</v>
      </c>
      <c r="G313" s="24">
        <v>0</v>
      </c>
      <c r="H313" s="24">
        <f>F313*AE313</f>
        <v>0</v>
      </c>
      <c r="I313" s="24">
        <f>J313-H313</f>
        <v>0</v>
      </c>
      <c r="J313" s="24">
        <f>F313*G313</f>
        <v>0</v>
      </c>
      <c r="K313" s="24">
        <v>0</v>
      </c>
      <c r="L313" s="24">
        <f>F313*K313</f>
        <v>0</v>
      </c>
      <c r="M313" s="36" t="s">
        <v>1531</v>
      </c>
      <c r="N313" s="36" t="s">
        <v>1533</v>
      </c>
      <c r="O313" s="24">
        <f>IF(N313="5",I313,0)</f>
        <v>0</v>
      </c>
      <c r="Z313" s="24">
        <f>IF(AD313=0,J313,0)</f>
        <v>0</v>
      </c>
      <c r="AA313" s="24">
        <f>IF(AD313=15,J313,0)</f>
        <v>0</v>
      </c>
      <c r="AB313" s="24">
        <f>IF(AD313=21,J313,0)</f>
        <v>0</v>
      </c>
      <c r="AD313" s="39">
        <v>15</v>
      </c>
      <c r="AE313" s="39">
        <f>G313*1</f>
        <v>0</v>
      </c>
      <c r="AF313" s="39">
        <f>G313*(1-1)</f>
        <v>0</v>
      </c>
      <c r="AM313" s="39">
        <f>F313*AE313</f>
        <v>0</v>
      </c>
      <c r="AN313" s="39">
        <f>F313*AF313</f>
        <v>0</v>
      </c>
      <c r="AO313" s="40" t="s">
        <v>1576</v>
      </c>
      <c r="AP313" s="40" t="s">
        <v>1604</v>
      </c>
      <c r="AQ313" s="31" t="s">
        <v>1612</v>
      </c>
    </row>
    <row r="314" spans="1:43" ht="12.75">
      <c r="A314" s="6" t="s">
        <v>193</v>
      </c>
      <c r="B314" s="6" t="s">
        <v>595</v>
      </c>
      <c r="C314" s="6" t="s">
        <v>797</v>
      </c>
      <c r="D314" s="6" t="s">
        <v>1227</v>
      </c>
      <c r="E314" s="6" t="s">
        <v>1504</v>
      </c>
      <c r="F314" s="24">
        <v>3</v>
      </c>
      <c r="G314" s="24">
        <v>0</v>
      </c>
      <c r="H314" s="24">
        <f>F314*AE314</f>
        <v>0</v>
      </c>
      <c r="I314" s="24">
        <f>J314-H314</f>
        <v>0</v>
      </c>
      <c r="J314" s="24">
        <f>F314*G314</f>
        <v>0</v>
      </c>
      <c r="K314" s="24">
        <v>0</v>
      </c>
      <c r="L314" s="24">
        <f>F314*K314</f>
        <v>0</v>
      </c>
      <c r="M314" s="36" t="s">
        <v>1531</v>
      </c>
      <c r="N314" s="36" t="s">
        <v>1533</v>
      </c>
      <c r="O314" s="24">
        <f>IF(N314="5",I314,0)</f>
        <v>0</v>
      </c>
      <c r="Z314" s="24">
        <f>IF(AD314=0,J314,0)</f>
        <v>0</v>
      </c>
      <c r="AA314" s="24">
        <f>IF(AD314=15,J314,0)</f>
        <v>0</v>
      </c>
      <c r="AB314" s="24">
        <f>IF(AD314=21,J314,0)</f>
        <v>0</v>
      </c>
      <c r="AD314" s="39">
        <v>15</v>
      </c>
      <c r="AE314" s="39">
        <f>G314*1</f>
        <v>0</v>
      </c>
      <c r="AF314" s="39">
        <f>G314*(1-1)</f>
        <v>0</v>
      </c>
      <c r="AM314" s="39">
        <f>F314*AE314</f>
        <v>0</v>
      </c>
      <c r="AN314" s="39">
        <f>F314*AF314</f>
        <v>0</v>
      </c>
      <c r="AO314" s="40" t="s">
        <v>1576</v>
      </c>
      <c r="AP314" s="40" t="s">
        <v>1604</v>
      </c>
      <c r="AQ314" s="31" t="s">
        <v>1612</v>
      </c>
    </row>
    <row r="315" spans="1:37" ht="12.75">
      <c r="A315" s="4"/>
      <c r="B315" s="14" t="s">
        <v>595</v>
      </c>
      <c r="C315" s="14" t="s">
        <v>636</v>
      </c>
      <c r="D315" s="104" t="s">
        <v>1012</v>
      </c>
      <c r="E315" s="105"/>
      <c r="F315" s="105"/>
      <c r="G315" s="105"/>
      <c r="H315" s="42">
        <f>SUM(H316:H329)</f>
        <v>0</v>
      </c>
      <c r="I315" s="42">
        <f>SUM(I316:I329)</f>
        <v>0</v>
      </c>
      <c r="J315" s="42">
        <f>H315+I315</f>
        <v>0</v>
      </c>
      <c r="K315" s="31"/>
      <c r="L315" s="42">
        <f>SUM(L316:L329)</f>
        <v>1.1628817999999999</v>
      </c>
      <c r="M315" s="31"/>
      <c r="P315" s="42">
        <f>IF(Q315="PR",J315,SUM(O316:O329))</f>
        <v>0</v>
      </c>
      <c r="Q315" s="31" t="s">
        <v>1537</v>
      </c>
      <c r="R315" s="42">
        <f>IF(Q315="HS",H315,0)</f>
        <v>0</v>
      </c>
      <c r="S315" s="42">
        <f>IF(Q315="HS",I315-P315,0)</f>
        <v>0</v>
      </c>
      <c r="T315" s="42">
        <f>IF(Q315="PS",H315,0)</f>
        <v>0</v>
      </c>
      <c r="U315" s="42">
        <f>IF(Q315="PS",I315-P315,0)</f>
        <v>0</v>
      </c>
      <c r="V315" s="42">
        <f>IF(Q315="MP",H315,0)</f>
        <v>0</v>
      </c>
      <c r="W315" s="42">
        <f>IF(Q315="MP",I315-P315,0)</f>
        <v>0</v>
      </c>
      <c r="X315" s="42">
        <f>IF(Q315="OM",H315,0)</f>
        <v>0</v>
      </c>
      <c r="Y315" s="31" t="s">
        <v>595</v>
      </c>
      <c r="AI315" s="42">
        <f>SUM(Z316:Z329)</f>
        <v>0</v>
      </c>
      <c r="AJ315" s="42">
        <f>SUM(AA316:AA329)</f>
        <v>0</v>
      </c>
      <c r="AK315" s="42">
        <f>SUM(AB316:AB329)</f>
        <v>0</v>
      </c>
    </row>
    <row r="316" spans="1:43" ht="12.75">
      <c r="A316" s="5" t="s">
        <v>194</v>
      </c>
      <c r="B316" s="5" t="s">
        <v>595</v>
      </c>
      <c r="C316" s="5" t="s">
        <v>637</v>
      </c>
      <c r="D316" s="5" t="s">
        <v>1013</v>
      </c>
      <c r="E316" s="5" t="s">
        <v>1503</v>
      </c>
      <c r="F316" s="22">
        <v>11.07</v>
      </c>
      <c r="G316" s="22">
        <v>0</v>
      </c>
      <c r="H316" s="22">
        <f>F316*AE316</f>
        <v>0</v>
      </c>
      <c r="I316" s="22">
        <f>J316-H316</f>
        <v>0</v>
      </c>
      <c r="J316" s="22">
        <f>F316*G316</f>
        <v>0</v>
      </c>
      <c r="K316" s="22">
        <v>0</v>
      </c>
      <c r="L316" s="22">
        <f>F316*K316</f>
        <v>0</v>
      </c>
      <c r="M316" s="35" t="s">
        <v>1531</v>
      </c>
      <c r="N316" s="35" t="s">
        <v>7</v>
      </c>
      <c r="O316" s="22">
        <f>IF(N316="5",I316,0)</f>
        <v>0</v>
      </c>
      <c r="Z316" s="22">
        <f>IF(AD316=0,J316,0)</f>
        <v>0</v>
      </c>
      <c r="AA316" s="22">
        <f>IF(AD316=15,J316,0)</f>
        <v>0</v>
      </c>
      <c r="AB316" s="22">
        <f>IF(AD316=21,J316,0)</f>
        <v>0</v>
      </c>
      <c r="AD316" s="39">
        <v>15</v>
      </c>
      <c r="AE316" s="39">
        <f>G316*0</f>
        <v>0</v>
      </c>
      <c r="AF316" s="39">
        <f>G316*(1-0)</f>
        <v>0</v>
      </c>
      <c r="AM316" s="39">
        <f>F316*AE316</f>
        <v>0</v>
      </c>
      <c r="AN316" s="39">
        <f>F316*AF316</f>
        <v>0</v>
      </c>
      <c r="AO316" s="40" t="s">
        <v>1551</v>
      </c>
      <c r="AP316" s="40" t="s">
        <v>1605</v>
      </c>
      <c r="AQ316" s="31" t="s">
        <v>1612</v>
      </c>
    </row>
    <row r="317" ht="12.75">
      <c r="D317" s="18" t="s">
        <v>1228</v>
      </c>
    </row>
    <row r="318" spans="1:43" ht="12.75">
      <c r="A318" s="6" t="s">
        <v>195</v>
      </c>
      <c r="B318" s="6" t="s">
        <v>595</v>
      </c>
      <c r="C318" s="6" t="s">
        <v>639</v>
      </c>
      <c r="D318" s="6" t="s">
        <v>1229</v>
      </c>
      <c r="E318" s="6" t="s">
        <v>1503</v>
      </c>
      <c r="F318" s="24">
        <v>12.177</v>
      </c>
      <c r="G318" s="24">
        <v>0</v>
      </c>
      <c r="H318" s="24">
        <f>F318*AE318</f>
        <v>0</v>
      </c>
      <c r="I318" s="24">
        <f>J318-H318</f>
        <v>0</v>
      </c>
      <c r="J318" s="24">
        <f>F318*G318</f>
        <v>0</v>
      </c>
      <c r="K318" s="24">
        <v>0.0192</v>
      </c>
      <c r="L318" s="24">
        <f>F318*K318</f>
        <v>0.23379839999999996</v>
      </c>
      <c r="M318" s="36" t="s">
        <v>1531</v>
      </c>
      <c r="N318" s="36" t="s">
        <v>1533</v>
      </c>
      <c r="O318" s="24">
        <f>IF(N318="5",I318,0)</f>
        <v>0</v>
      </c>
      <c r="Z318" s="24">
        <f>IF(AD318=0,J318,0)</f>
        <v>0</v>
      </c>
      <c r="AA318" s="24">
        <f>IF(AD318=15,J318,0)</f>
        <v>0</v>
      </c>
      <c r="AB318" s="24">
        <f>IF(AD318=21,J318,0)</f>
        <v>0</v>
      </c>
      <c r="AD318" s="39">
        <v>15</v>
      </c>
      <c r="AE318" s="39">
        <f>G318*1</f>
        <v>0</v>
      </c>
      <c r="AF318" s="39">
        <f>G318*(1-1)</f>
        <v>0</v>
      </c>
      <c r="AM318" s="39">
        <f>F318*AE318</f>
        <v>0</v>
      </c>
      <c r="AN318" s="39">
        <f>F318*AF318</f>
        <v>0</v>
      </c>
      <c r="AO318" s="40" t="s">
        <v>1551</v>
      </c>
      <c r="AP318" s="40" t="s">
        <v>1605</v>
      </c>
      <c r="AQ318" s="31" t="s">
        <v>1612</v>
      </c>
    </row>
    <row r="319" spans="4:6" ht="10.8" customHeight="1">
      <c r="D319" s="17" t="s">
        <v>1230</v>
      </c>
      <c r="F319" s="23">
        <v>12.177</v>
      </c>
    </row>
    <row r="320" spans="1:43" ht="12.75">
      <c r="A320" s="5" t="s">
        <v>196</v>
      </c>
      <c r="B320" s="5" t="s">
        <v>595</v>
      </c>
      <c r="C320" s="5" t="s">
        <v>637</v>
      </c>
      <c r="D320" s="5" t="s">
        <v>1013</v>
      </c>
      <c r="E320" s="5" t="s">
        <v>1503</v>
      </c>
      <c r="F320" s="22">
        <v>19.04</v>
      </c>
      <c r="G320" s="22">
        <v>0</v>
      </c>
      <c r="H320" s="22">
        <f>F320*AE320</f>
        <v>0</v>
      </c>
      <c r="I320" s="22">
        <f>J320-H320</f>
        <v>0</v>
      </c>
      <c r="J320" s="22">
        <f>F320*G320</f>
        <v>0</v>
      </c>
      <c r="K320" s="22">
        <v>0</v>
      </c>
      <c r="L320" s="22">
        <f>F320*K320</f>
        <v>0</v>
      </c>
      <c r="M320" s="35" t="s">
        <v>1531</v>
      </c>
      <c r="N320" s="35" t="s">
        <v>7</v>
      </c>
      <c r="O320" s="22">
        <f>IF(N320="5",I320,0)</f>
        <v>0</v>
      </c>
      <c r="Z320" s="22">
        <f>IF(AD320=0,J320,0)</f>
        <v>0</v>
      </c>
      <c r="AA320" s="22">
        <f>IF(AD320=15,J320,0)</f>
        <v>0</v>
      </c>
      <c r="AB320" s="22">
        <f>IF(AD320=21,J320,0)</f>
        <v>0</v>
      </c>
      <c r="AD320" s="39">
        <v>15</v>
      </c>
      <c r="AE320" s="39">
        <f>G320*0</f>
        <v>0</v>
      </c>
      <c r="AF320" s="39">
        <f>G320*(1-0)</f>
        <v>0</v>
      </c>
      <c r="AM320" s="39">
        <f>F320*AE320</f>
        <v>0</v>
      </c>
      <c r="AN320" s="39">
        <f>F320*AF320</f>
        <v>0</v>
      </c>
      <c r="AO320" s="40" t="s">
        <v>1551</v>
      </c>
      <c r="AP320" s="40" t="s">
        <v>1605</v>
      </c>
      <c r="AQ320" s="31" t="s">
        <v>1612</v>
      </c>
    </row>
    <row r="321" ht="12.75">
      <c r="D321" s="18" t="s">
        <v>1231</v>
      </c>
    </row>
    <row r="322" spans="4:6" ht="10.8" customHeight="1">
      <c r="D322" s="17" t="s">
        <v>1232</v>
      </c>
      <c r="F322" s="23">
        <v>19.04</v>
      </c>
    </row>
    <row r="323" spans="1:43" ht="12.75">
      <c r="A323" s="6" t="s">
        <v>197</v>
      </c>
      <c r="B323" s="6" t="s">
        <v>595</v>
      </c>
      <c r="C323" s="6" t="s">
        <v>639</v>
      </c>
      <c r="D323" s="6" t="s">
        <v>1233</v>
      </c>
      <c r="E323" s="6" t="s">
        <v>1503</v>
      </c>
      <c r="F323" s="24">
        <v>30.8</v>
      </c>
      <c r="G323" s="24">
        <v>0</v>
      </c>
      <c r="H323" s="24">
        <f>F323*AE323</f>
        <v>0</v>
      </c>
      <c r="I323" s="24">
        <f>J323-H323</f>
        <v>0</v>
      </c>
      <c r="J323" s="24">
        <f>F323*G323</f>
        <v>0</v>
      </c>
      <c r="K323" s="24">
        <v>0.0192</v>
      </c>
      <c r="L323" s="24">
        <f>F323*K323</f>
        <v>0.59136</v>
      </c>
      <c r="M323" s="36" t="s">
        <v>1531</v>
      </c>
      <c r="N323" s="36" t="s">
        <v>1533</v>
      </c>
      <c r="O323" s="24">
        <f>IF(N323="5",I323,0)</f>
        <v>0</v>
      </c>
      <c r="Z323" s="24">
        <f>IF(AD323=0,J323,0)</f>
        <v>0</v>
      </c>
      <c r="AA323" s="24">
        <f>IF(AD323=15,J323,0)</f>
        <v>0</v>
      </c>
      <c r="AB323" s="24">
        <f>IF(AD323=21,J323,0)</f>
        <v>0</v>
      </c>
      <c r="AD323" s="39">
        <v>15</v>
      </c>
      <c r="AE323" s="39">
        <f>G323*1</f>
        <v>0</v>
      </c>
      <c r="AF323" s="39">
        <f>G323*(1-1)</f>
        <v>0</v>
      </c>
      <c r="AM323" s="39">
        <f>F323*AE323</f>
        <v>0</v>
      </c>
      <c r="AN323" s="39">
        <f>F323*AF323</f>
        <v>0</v>
      </c>
      <c r="AO323" s="40" t="s">
        <v>1551</v>
      </c>
      <c r="AP323" s="40" t="s">
        <v>1605</v>
      </c>
      <c r="AQ323" s="31" t="s">
        <v>1612</v>
      </c>
    </row>
    <row r="324" spans="4:6" ht="10.8" customHeight="1">
      <c r="D324" s="17" t="s">
        <v>1234</v>
      </c>
      <c r="F324" s="23">
        <v>30.8</v>
      </c>
    </row>
    <row r="325" spans="1:43" ht="12.75">
      <c r="A325" s="5" t="s">
        <v>198</v>
      </c>
      <c r="B325" s="5" t="s">
        <v>595</v>
      </c>
      <c r="C325" s="5" t="s">
        <v>638</v>
      </c>
      <c r="D325" s="5" t="s">
        <v>1014</v>
      </c>
      <c r="E325" s="5" t="s">
        <v>1505</v>
      </c>
      <c r="F325" s="22">
        <v>34</v>
      </c>
      <c r="G325" s="22">
        <v>0</v>
      </c>
      <c r="H325" s="22">
        <f>F325*AE325</f>
        <v>0</v>
      </c>
      <c r="I325" s="22">
        <f>J325-H325</f>
        <v>0</v>
      </c>
      <c r="J325" s="22">
        <f>F325*G325</f>
        <v>0</v>
      </c>
      <c r="K325" s="22">
        <v>0.00518</v>
      </c>
      <c r="L325" s="22">
        <f>F325*K325</f>
        <v>0.17612</v>
      </c>
      <c r="M325" s="35" t="s">
        <v>1531</v>
      </c>
      <c r="N325" s="35" t="s">
        <v>7</v>
      </c>
      <c r="O325" s="22">
        <f>IF(N325="5",I325,0)</f>
        <v>0</v>
      </c>
      <c r="Z325" s="22">
        <f>IF(AD325=0,J325,0)</f>
        <v>0</v>
      </c>
      <c r="AA325" s="22">
        <f>IF(AD325=15,J325,0)</f>
        <v>0</v>
      </c>
      <c r="AB325" s="22">
        <f>IF(AD325=21,J325,0)</f>
        <v>0</v>
      </c>
      <c r="AD325" s="39">
        <v>15</v>
      </c>
      <c r="AE325" s="39">
        <f>G325*0.0526060606060606</f>
        <v>0</v>
      </c>
      <c r="AF325" s="39">
        <f>G325*(1-0.0526060606060606)</f>
        <v>0</v>
      </c>
      <c r="AM325" s="39">
        <f>F325*AE325</f>
        <v>0</v>
      </c>
      <c r="AN325" s="39">
        <f>F325*AF325</f>
        <v>0</v>
      </c>
      <c r="AO325" s="40" t="s">
        <v>1551</v>
      </c>
      <c r="AP325" s="40" t="s">
        <v>1605</v>
      </c>
      <c r="AQ325" s="31" t="s">
        <v>1612</v>
      </c>
    </row>
    <row r="326" spans="1:43" ht="12.75">
      <c r="A326" s="5" t="s">
        <v>199</v>
      </c>
      <c r="B326" s="5" t="s">
        <v>595</v>
      </c>
      <c r="C326" s="5" t="s">
        <v>798</v>
      </c>
      <c r="D326" s="5" t="s">
        <v>1235</v>
      </c>
      <c r="E326" s="5" t="s">
        <v>1503</v>
      </c>
      <c r="F326" s="22">
        <v>6.54</v>
      </c>
      <c r="G326" s="22">
        <v>0</v>
      </c>
      <c r="H326" s="22">
        <f>F326*AE326</f>
        <v>0</v>
      </c>
      <c r="I326" s="22">
        <f>J326-H326</f>
        <v>0</v>
      </c>
      <c r="J326" s="22">
        <f>F326*G326</f>
        <v>0</v>
      </c>
      <c r="K326" s="22">
        <v>0.00359</v>
      </c>
      <c r="L326" s="22">
        <f>F326*K326</f>
        <v>0.0234786</v>
      </c>
      <c r="M326" s="35" t="s">
        <v>1531</v>
      </c>
      <c r="N326" s="35" t="s">
        <v>9</v>
      </c>
      <c r="O326" s="22">
        <f>IF(N326="5",I326,0)</f>
        <v>0</v>
      </c>
      <c r="Z326" s="22">
        <f>IF(AD326=0,J326,0)</f>
        <v>0</v>
      </c>
      <c r="AA326" s="22">
        <f>IF(AD326=15,J326,0)</f>
        <v>0</v>
      </c>
      <c r="AB326" s="22">
        <f>IF(AD326=21,J326,0)</f>
        <v>0</v>
      </c>
      <c r="AD326" s="39">
        <v>15</v>
      </c>
      <c r="AE326" s="39">
        <f>G326*0.254545857234613</f>
        <v>0</v>
      </c>
      <c r="AF326" s="39">
        <f>G326*(1-0.254545857234613)</f>
        <v>0</v>
      </c>
      <c r="AM326" s="39">
        <f>F326*AE326</f>
        <v>0</v>
      </c>
      <c r="AN326" s="39">
        <f>F326*AF326</f>
        <v>0</v>
      </c>
      <c r="AO326" s="40" t="s">
        <v>1551</v>
      </c>
      <c r="AP326" s="40" t="s">
        <v>1605</v>
      </c>
      <c r="AQ326" s="31" t="s">
        <v>1612</v>
      </c>
    </row>
    <row r="327" ht="12.75">
      <c r="D327" s="18" t="s">
        <v>1236</v>
      </c>
    </row>
    <row r="328" spans="4:6" ht="10.8" customHeight="1">
      <c r="D328" s="17" t="s">
        <v>1237</v>
      </c>
      <c r="F328" s="23">
        <v>6.54</v>
      </c>
    </row>
    <row r="329" spans="1:43" ht="12.75">
      <c r="A329" s="6" t="s">
        <v>200</v>
      </c>
      <c r="B329" s="6" t="s">
        <v>595</v>
      </c>
      <c r="C329" s="6" t="s">
        <v>799</v>
      </c>
      <c r="D329" s="6" t="s">
        <v>1238</v>
      </c>
      <c r="E329" s="6" t="s">
        <v>1503</v>
      </c>
      <c r="F329" s="24">
        <v>7.194</v>
      </c>
      <c r="G329" s="24">
        <v>0</v>
      </c>
      <c r="H329" s="24">
        <f>F329*AE329</f>
        <v>0</v>
      </c>
      <c r="I329" s="24">
        <f>J329-H329</f>
        <v>0</v>
      </c>
      <c r="J329" s="24">
        <f>F329*G329</f>
        <v>0</v>
      </c>
      <c r="K329" s="24">
        <v>0.0192</v>
      </c>
      <c r="L329" s="24">
        <f>F329*K329</f>
        <v>0.1381248</v>
      </c>
      <c r="M329" s="36" t="s">
        <v>1531</v>
      </c>
      <c r="N329" s="36" t="s">
        <v>1533</v>
      </c>
      <c r="O329" s="24">
        <f>IF(N329="5",I329,0)</f>
        <v>0</v>
      </c>
      <c r="Z329" s="24">
        <f>IF(AD329=0,J329,0)</f>
        <v>0</v>
      </c>
      <c r="AA329" s="24">
        <f>IF(AD329=15,J329,0)</f>
        <v>0</v>
      </c>
      <c r="AB329" s="24">
        <f>IF(AD329=21,J329,0)</f>
        <v>0</v>
      </c>
      <c r="AD329" s="39">
        <v>15</v>
      </c>
      <c r="AE329" s="39">
        <f>G329*1</f>
        <v>0</v>
      </c>
      <c r="AF329" s="39">
        <f>G329*(1-1)</f>
        <v>0</v>
      </c>
      <c r="AM329" s="39">
        <f>F329*AE329</f>
        <v>0</v>
      </c>
      <c r="AN329" s="39">
        <f>F329*AF329</f>
        <v>0</v>
      </c>
      <c r="AO329" s="40" t="s">
        <v>1551</v>
      </c>
      <c r="AP329" s="40" t="s">
        <v>1605</v>
      </c>
      <c r="AQ329" s="31" t="s">
        <v>1612</v>
      </c>
    </row>
    <row r="330" spans="4:6" ht="10.8" customHeight="1">
      <c r="D330" s="17" t="s">
        <v>1239</v>
      </c>
      <c r="F330" s="23">
        <v>7.194</v>
      </c>
    </row>
    <row r="331" spans="1:37" ht="12.75">
      <c r="A331" s="4"/>
      <c r="B331" s="14" t="s">
        <v>595</v>
      </c>
      <c r="C331" s="14" t="s">
        <v>800</v>
      </c>
      <c r="D331" s="104" t="s">
        <v>1240</v>
      </c>
      <c r="E331" s="105"/>
      <c r="F331" s="105"/>
      <c r="G331" s="105"/>
      <c r="H331" s="42">
        <f>SUM(H332:H340)</f>
        <v>0</v>
      </c>
      <c r="I331" s="42">
        <f>SUM(I332:I340)</f>
        <v>0</v>
      </c>
      <c r="J331" s="42">
        <f>H331+I331</f>
        <v>0</v>
      </c>
      <c r="K331" s="31"/>
      <c r="L331" s="42">
        <f>SUM(L332:L340)</f>
        <v>1.4343872</v>
      </c>
      <c r="M331" s="31"/>
      <c r="P331" s="42">
        <f>IF(Q331="PR",J331,SUM(O332:O340))</f>
        <v>0</v>
      </c>
      <c r="Q331" s="31" t="s">
        <v>1537</v>
      </c>
      <c r="R331" s="42">
        <f>IF(Q331="HS",H331,0)</f>
        <v>0</v>
      </c>
      <c r="S331" s="42">
        <f>IF(Q331="HS",I331-P331,0)</f>
        <v>0</v>
      </c>
      <c r="T331" s="42">
        <f>IF(Q331="PS",H331,0)</f>
        <v>0</v>
      </c>
      <c r="U331" s="42">
        <f>IF(Q331="PS",I331-P331,0)</f>
        <v>0</v>
      </c>
      <c r="V331" s="42">
        <f>IF(Q331="MP",H331,0)</f>
        <v>0</v>
      </c>
      <c r="W331" s="42">
        <f>IF(Q331="MP",I331-P331,0)</f>
        <v>0</v>
      </c>
      <c r="X331" s="42">
        <f>IF(Q331="OM",H331,0)</f>
        <v>0</v>
      </c>
      <c r="Y331" s="31" t="s">
        <v>595</v>
      </c>
      <c r="AI331" s="42">
        <f>SUM(Z332:Z340)</f>
        <v>0</v>
      </c>
      <c r="AJ331" s="42">
        <f>SUM(AA332:AA340)</f>
        <v>0</v>
      </c>
      <c r="AK331" s="42">
        <f>SUM(AB332:AB340)</f>
        <v>0</v>
      </c>
    </row>
    <row r="332" spans="1:43" ht="12.75">
      <c r="A332" s="5" t="s">
        <v>201</v>
      </c>
      <c r="B332" s="5" t="s">
        <v>595</v>
      </c>
      <c r="C332" s="5" t="s">
        <v>801</v>
      </c>
      <c r="D332" s="5" t="s">
        <v>1241</v>
      </c>
      <c r="E332" s="5" t="s">
        <v>1503</v>
      </c>
      <c r="F332" s="22">
        <v>175.12</v>
      </c>
      <c r="G332" s="22">
        <v>0</v>
      </c>
      <c r="H332" s="22">
        <f>F332*AE332</f>
        <v>0</v>
      </c>
      <c r="I332" s="22">
        <f>J332-H332</f>
        <v>0</v>
      </c>
      <c r="J332" s="22">
        <f>F332*G332</f>
        <v>0</v>
      </c>
      <c r="K332" s="22">
        <v>0</v>
      </c>
      <c r="L332" s="22">
        <f>F332*K332</f>
        <v>0</v>
      </c>
      <c r="M332" s="35" t="s">
        <v>1531</v>
      </c>
      <c r="N332" s="35" t="s">
        <v>7</v>
      </c>
      <c r="O332" s="22">
        <f>IF(N332="5",I332,0)</f>
        <v>0</v>
      </c>
      <c r="Z332" s="22">
        <f>IF(AD332=0,J332,0)</f>
        <v>0</v>
      </c>
      <c r="AA332" s="22">
        <f>IF(AD332=15,J332,0)</f>
        <v>0</v>
      </c>
      <c r="AB332" s="22">
        <f>IF(AD332=21,J332,0)</f>
        <v>0</v>
      </c>
      <c r="AD332" s="39">
        <v>15</v>
      </c>
      <c r="AE332" s="39">
        <f>G332*0.377777777777778</f>
        <v>0</v>
      </c>
      <c r="AF332" s="39">
        <f>G332*(1-0.377777777777778)</f>
        <v>0</v>
      </c>
      <c r="AM332" s="39">
        <f>F332*AE332</f>
        <v>0</v>
      </c>
      <c r="AN332" s="39">
        <f>F332*AF332</f>
        <v>0</v>
      </c>
      <c r="AO332" s="40" t="s">
        <v>1577</v>
      </c>
      <c r="AP332" s="40" t="s">
        <v>1605</v>
      </c>
      <c r="AQ332" s="31" t="s">
        <v>1612</v>
      </c>
    </row>
    <row r="333" spans="4:6" ht="10.8" customHeight="1">
      <c r="D333" s="17" t="s">
        <v>1242</v>
      </c>
      <c r="F333" s="23">
        <v>175.12</v>
      </c>
    </row>
    <row r="334" spans="1:43" ht="12.75">
      <c r="A334" s="5" t="s">
        <v>202</v>
      </c>
      <c r="B334" s="5" t="s">
        <v>595</v>
      </c>
      <c r="C334" s="5" t="s">
        <v>802</v>
      </c>
      <c r="D334" s="5" t="s">
        <v>1243</v>
      </c>
      <c r="E334" s="5" t="s">
        <v>1503</v>
      </c>
      <c r="F334" s="22">
        <v>159.2</v>
      </c>
      <c r="G334" s="22">
        <v>0</v>
      </c>
      <c r="H334" s="22">
        <f>F334*AE334</f>
        <v>0</v>
      </c>
      <c r="I334" s="22">
        <f>J334-H334</f>
        <v>0</v>
      </c>
      <c r="J334" s="22">
        <f>F334*G334</f>
        <v>0</v>
      </c>
      <c r="K334" s="22">
        <v>5E-05</v>
      </c>
      <c r="L334" s="22">
        <f>F334*K334</f>
        <v>0.00796</v>
      </c>
      <c r="M334" s="35" t="s">
        <v>1531</v>
      </c>
      <c r="N334" s="35" t="s">
        <v>7</v>
      </c>
      <c r="O334" s="22">
        <f>IF(N334="5",I334,0)</f>
        <v>0</v>
      </c>
      <c r="Z334" s="22">
        <f>IF(AD334=0,J334,0)</f>
        <v>0</v>
      </c>
      <c r="AA334" s="22">
        <f>IF(AD334=15,J334,0)</f>
        <v>0</v>
      </c>
      <c r="AB334" s="22">
        <f>IF(AD334=21,J334,0)</f>
        <v>0</v>
      </c>
      <c r="AD334" s="39">
        <v>15</v>
      </c>
      <c r="AE334" s="39">
        <f>G334*0.112006688963211</f>
        <v>0</v>
      </c>
      <c r="AF334" s="39">
        <f>G334*(1-0.112006688963211)</f>
        <v>0</v>
      </c>
      <c r="AM334" s="39">
        <f>F334*AE334</f>
        <v>0</v>
      </c>
      <c r="AN334" s="39">
        <f>F334*AF334</f>
        <v>0</v>
      </c>
      <c r="AO334" s="40" t="s">
        <v>1577</v>
      </c>
      <c r="AP334" s="40" t="s">
        <v>1605</v>
      </c>
      <c r="AQ334" s="31" t="s">
        <v>1612</v>
      </c>
    </row>
    <row r="335" spans="4:6" ht="10.8" customHeight="1">
      <c r="D335" s="17" t="s">
        <v>1206</v>
      </c>
      <c r="F335" s="23">
        <v>159.2</v>
      </c>
    </row>
    <row r="336" spans="1:43" ht="12.75">
      <c r="A336" s="6" t="s">
        <v>203</v>
      </c>
      <c r="B336" s="6" t="s">
        <v>595</v>
      </c>
      <c r="C336" s="6" t="s">
        <v>803</v>
      </c>
      <c r="D336" s="6" t="s">
        <v>1244</v>
      </c>
      <c r="E336" s="6" t="s">
        <v>1503</v>
      </c>
      <c r="F336" s="24">
        <v>175.12</v>
      </c>
      <c r="G336" s="24">
        <v>0</v>
      </c>
      <c r="H336" s="24">
        <f>F336*AE336</f>
        <v>0</v>
      </c>
      <c r="I336" s="24">
        <f>J336-H336</f>
        <v>0</v>
      </c>
      <c r="J336" s="24">
        <f>F336*G336</f>
        <v>0</v>
      </c>
      <c r="K336" s="24">
        <v>0.0073</v>
      </c>
      <c r="L336" s="24">
        <f>F336*K336</f>
        <v>1.278376</v>
      </c>
      <c r="M336" s="36" t="s">
        <v>1531</v>
      </c>
      <c r="N336" s="36" t="s">
        <v>1533</v>
      </c>
      <c r="O336" s="24">
        <f>IF(N336="5",I336,0)</f>
        <v>0</v>
      </c>
      <c r="Z336" s="24">
        <f>IF(AD336=0,J336,0)</f>
        <v>0</v>
      </c>
      <c r="AA336" s="24">
        <f>IF(AD336=15,J336,0)</f>
        <v>0</v>
      </c>
      <c r="AB336" s="24">
        <f>IF(AD336=21,J336,0)</f>
        <v>0</v>
      </c>
      <c r="AD336" s="39">
        <v>15</v>
      </c>
      <c r="AE336" s="39">
        <f>G336*1</f>
        <v>0</v>
      </c>
      <c r="AF336" s="39">
        <f>G336*(1-1)</f>
        <v>0</v>
      </c>
      <c r="AM336" s="39">
        <f>F336*AE336</f>
        <v>0</v>
      </c>
      <c r="AN336" s="39">
        <f>F336*AF336</f>
        <v>0</v>
      </c>
      <c r="AO336" s="40" t="s">
        <v>1577</v>
      </c>
      <c r="AP336" s="40" t="s">
        <v>1605</v>
      </c>
      <c r="AQ336" s="31" t="s">
        <v>1612</v>
      </c>
    </row>
    <row r="337" spans="4:6" ht="10.8" customHeight="1">
      <c r="D337" s="17" t="s">
        <v>1245</v>
      </c>
      <c r="F337" s="23">
        <v>175.12</v>
      </c>
    </row>
    <row r="338" spans="1:43" ht="12.75">
      <c r="A338" s="5" t="s">
        <v>204</v>
      </c>
      <c r="B338" s="5" t="s">
        <v>595</v>
      </c>
      <c r="C338" s="5" t="s">
        <v>804</v>
      </c>
      <c r="D338" s="5" t="s">
        <v>1246</v>
      </c>
      <c r="E338" s="5" t="s">
        <v>1503</v>
      </c>
      <c r="F338" s="22">
        <v>175.12</v>
      </c>
      <c r="G338" s="22">
        <v>0</v>
      </c>
      <c r="H338" s="22">
        <f>F338*AE338</f>
        <v>0</v>
      </c>
      <c r="I338" s="22">
        <f>J338-H338</f>
        <v>0</v>
      </c>
      <c r="J338" s="22">
        <f>F338*G338</f>
        <v>0</v>
      </c>
      <c r="K338" s="22">
        <v>1E-05</v>
      </c>
      <c r="L338" s="22">
        <f>F338*K338</f>
        <v>0.0017512000000000003</v>
      </c>
      <c r="M338" s="35" t="s">
        <v>1531</v>
      </c>
      <c r="N338" s="35" t="s">
        <v>7</v>
      </c>
      <c r="O338" s="22">
        <f>IF(N338="5",I338,0)</f>
        <v>0</v>
      </c>
      <c r="Z338" s="22">
        <f>IF(AD338=0,J338,0)</f>
        <v>0</v>
      </c>
      <c r="AA338" s="22">
        <f>IF(AD338=15,J338,0)</f>
        <v>0</v>
      </c>
      <c r="AB338" s="22">
        <f>IF(AD338=21,J338,0)</f>
        <v>0</v>
      </c>
      <c r="AD338" s="39">
        <v>15</v>
      </c>
      <c r="AE338" s="39">
        <f>G338*0.545945945945946</f>
        <v>0</v>
      </c>
      <c r="AF338" s="39">
        <f>G338*(1-0.545945945945946)</f>
        <v>0</v>
      </c>
      <c r="AM338" s="39">
        <f>F338*AE338</f>
        <v>0</v>
      </c>
      <c r="AN338" s="39">
        <f>F338*AF338</f>
        <v>0</v>
      </c>
      <c r="AO338" s="40" t="s">
        <v>1577</v>
      </c>
      <c r="AP338" s="40" t="s">
        <v>1605</v>
      </c>
      <c r="AQ338" s="31" t="s">
        <v>1612</v>
      </c>
    </row>
    <row r="339" spans="4:6" ht="10.8" customHeight="1">
      <c r="D339" s="17" t="s">
        <v>1242</v>
      </c>
      <c r="F339" s="23">
        <v>175.12</v>
      </c>
    </row>
    <row r="340" spans="1:43" ht="12.75">
      <c r="A340" s="5" t="s">
        <v>205</v>
      </c>
      <c r="B340" s="5" t="s">
        <v>595</v>
      </c>
      <c r="C340" s="5" t="s">
        <v>805</v>
      </c>
      <c r="D340" s="5" t="s">
        <v>1247</v>
      </c>
      <c r="E340" s="5" t="s">
        <v>1505</v>
      </c>
      <c r="F340" s="22">
        <v>154</v>
      </c>
      <c r="G340" s="22">
        <v>0</v>
      </c>
      <c r="H340" s="22">
        <f>F340*AE340</f>
        <v>0</v>
      </c>
      <c r="I340" s="22">
        <f>J340-H340</f>
        <v>0</v>
      </c>
      <c r="J340" s="22">
        <f>F340*G340</f>
        <v>0</v>
      </c>
      <c r="K340" s="22">
        <v>0.00095</v>
      </c>
      <c r="L340" s="22">
        <f>F340*K340</f>
        <v>0.1463</v>
      </c>
      <c r="M340" s="35" t="s">
        <v>1531</v>
      </c>
      <c r="N340" s="35" t="s">
        <v>7</v>
      </c>
      <c r="O340" s="22">
        <f>IF(N340="5",I340,0)</f>
        <v>0</v>
      </c>
      <c r="Z340" s="22">
        <f>IF(AD340=0,J340,0)</f>
        <v>0</v>
      </c>
      <c r="AA340" s="22">
        <f>IF(AD340=15,J340,0)</f>
        <v>0</v>
      </c>
      <c r="AB340" s="22">
        <f>IF(AD340=21,J340,0)</f>
        <v>0</v>
      </c>
      <c r="AD340" s="39">
        <v>15</v>
      </c>
      <c r="AE340" s="39">
        <f>G340*0.30912436410867</f>
        <v>0</v>
      </c>
      <c r="AF340" s="39">
        <f>G340*(1-0.30912436410867)</f>
        <v>0</v>
      </c>
      <c r="AM340" s="39">
        <f>F340*AE340</f>
        <v>0</v>
      </c>
      <c r="AN340" s="39">
        <f>F340*AF340</f>
        <v>0</v>
      </c>
      <c r="AO340" s="40" t="s">
        <v>1577</v>
      </c>
      <c r="AP340" s="40" t="s">
        <v>1605</v>
      </c>
      <c r="AQ340" s="31" t="s">
        <v>1612</v>
      </c>
    </row>
    <row r="341" spans="1:37" ht="12.75">
      <c r="A341" s="4"/>
      <c r="B341" s="14" t="s">
        <v>595</v>
      </c>
      <c r="C341" s="14" t="s">
        <v>640</v>
      </c>
      <c r="D341" s="104" t="s">
        <v>1016</v>
      </c>
      <c r="E341" s="105"/>
      <c r="F341" s="105"/>
      <c r="G341" s="105"/>
      <c r="H341" s="42">
        <f>SUM(H342:H342)</f>
        <v>0</v>
      </c>
      <c r="I341" s="42">
        <f>SUM(I342:I342)</f>
        <v>0</v>
      </c>
      <c r="J341" s="42">
        <f>H341+I341</f>
        <v>0</v>
      </c>
      <c r="K341" s="31"/>
      <c r="L341" s="42">
        <f>SUM(L342:L342)</f>
        <v>0.15919999999999998</v>
      </c>
      <c r="M341" s="31"/>
      <c r="P341" s="42">
        <f>IF(Q341="PR",J341,SUM(O342:O342))</f>
        <v>0</v>
      </c>
      <c r="Q341" s="31" t="s">
        <v>1537</v>
      </c>
      <c r="R341" s="42">
        <f>IF(Q341="HS",H341,0)</f>
        <v>0</v>
      </c>
      <c r="S341" s="42">
        <f>IF(Q341="HS",I341-P341,0)</f>
        <v>0</v>
      </c>
      <c r="T341" s="42">
        <f>IF(Q341="PS",H341,0)</f>
        <v>0</v>
      </c>
      <c r="U341" s="42">
        <f>IF(Q341="PS",I341-P341,0)</f>
        <v>0</v>
      </c>
      <c r="V341" s="42">
        <f>IF(Q341="MP",H341,0)</f>
        <v>0</v>
      </c>
      <c r="W341" s="42">
        <f>IF(Q341="MP",I341-P341,0)</f>
        <v>0</v>
      </c>
      <c r="X341" s="42">
        <f>IF(Q341="OM",H341,0)</f>
        <v>0</v>
      </c>
      <c r="Y341" s="31" t="s">
        <v>595</v>
      </c>
      <c r="AI341" s="42">
        <f>SUM(Z342:Z342)</f>
        <v>0</v>
      </c>
      <c r="AJ341" s="42">
        <f>SUM(AA342:AA342)</f>
        <v>0</v>
      </c>
      <c r="AK341" s="42">
        <f>SUM(AB342:AB342)</f>
        <v>0</v>
      </c>
    </row>
    <row r="342" spans="1:43" ht="12.75">
      <c r="A342" s="5" t="s">
        <v>206</v>
      </c>
      <c r="B342" s="5" t="s">
        <v>595</v>
      </c>
      <c r="C342" s="5" t="s">
        <v>641</v>
      </c>
      <c r="D342" s="5" t="s">
        <v>1017</v>
      </c>
      <c r="E342" s="5" t="s">
        <v>1503</v>
      </c>
      <c r="F342" s="22">
        <v>159.2</v>
      </c>
      <c r="G342" s="22">
        <v>0</v>
      </c>
      <c r="H342" s="22">
        <f>F342*AE342</f>
        <v>0</v>
      </c>
      <c r="I342" s="22">
        <f>J342-H342</f>
        <v>0</v>
      </c>
      <c r="J342" s="22">
        <f>F342*G342</f>
        <v>0</v>
      </c>
      <c r="K342" s="22">
        <v>0.001</v>
      </c>
      <c r="L342" s="22">
        <f>F342*K342</f>
        <v>0.15919999999999998</v>
      </c>
      <c r="M342" s="35" t="s">
        <v>1531</v>
      </c>
      <c r="N342" s="35" t="s">
        <v>9</v>
      </c>
      <c r="O342" s="22">
        <f>IF(N342="5",I342,0)</f>
        <v>0</v>
      </c>
      <c r="Z342" s="22">
        <f>IF(AD342=0,J342,0)</f>
        <v>0</v>
      </c>
      <c r="AA342" s="22">
        <f>IF(AD342=15,J342,0)</f>
        <v>0</v>
      </c>
      <c r="AB342" s="22">
        <f>IF(AD342=21,J342,0)</f>
        <v>0</v>
      </c>
      <c r="AD342" s="39">
        <v>15</v>
      </c>
      <c r="AE342" s="39">
        <f>G342*0</f>
        <v>0</v>
      </c>
      <c r="AF342" s="39">
        <f>G342*(1-0)</f>
        <v>0</v>
      </c>
      <c r="AM342" s="39">
        <f>F342*AE342</f>
        <v>0</v>
      </c>
      <c r="AN342" s="39">
        <f>F342*AF342</f>
        <v>0</v>
      </c>
      <c r="AO342" s="40" t="s">
        <v>1552</v>
      </c>
      <c r="AP342" s="40" t="s">
        <v>1605</v>
      </c>
      <c r="AQ342" s="31" t="s">
        <v>1612</v>
      </c>
    </row>
    <row r="343" ht="12.75">
      <c r="D343" s="18" t="s">
        <v>1248</v>
      </c>
    </row>
    <row r="344" spans="4:6" ht="10.8" customHeight="1">
      <c r="D344" s="17" t="s">
        <v>1206</v>
      </c>
      <c r="F344" s="23">
        <v>159.2</v>
      </c>
    </row>
    <row r="345" spans="1:37" ht="12.75">
      <c r="A345" s="4"/>
      <c r="B345" s="14" t="s">
        <v>595</v>
      </c>
      <c r="C345" s="14" t="s">
        <v>806</v>
      </c>
      <c r="D345" s="104" t="s">
        <v>1249</v>
      </c>
      <c r="E345" s="105"/>
      <c r="F345" s="105"/>
      <c r="G345" s="105"/>
      <c r="H345" s="42">
        <f>SUM(H346:H355)</f>
        <v>0</v>
      </c>
      <c r="I345" s="42">
        <f>SUM(I346:I355)</f>
        <v>0</v>
      </c>
      <c r="J345" s="42">
        <f>H345+I345</f>
        <v>0</v>
      </c>
      <c r="K345" s="31"/>
      <c r="L345" s="42">
        <f>SUM(L346:L355)</f>
        <v>5.237662</v>
      </c>
      <c r="M345" s="31"/>
      <c r="P345" s="42">
        <f>IF(Q345="PR",J345,SUM(O346:O355))</f>
        <v>0</v>
      </c>
      <c r="Q345" s="31" t="s">
        <v>1537</v>
      </c>
      <c r="R345" s="42">
        <f>IF(Q345="HS",H345,0)</f>
        <v>0</v>
      </c>
      <c r="S345" s="42">
        <f>IF(Q345="HS",I345-P345,0)</f>
        <v>0</v>
      </c>
      <c r="T345" s="42">
        <f>IF(Q345="PS",H345,0)</f>
        <v>0</v>
      </c>
      <c r="U345" s="42">
        <f>IF(Q345="PS",I345-P345,0)</f>
        <v>0</v>
      </c>
      <c r="V345" s="42">
        <f>IF(Q345="MP",H345,0)</f>
        <v>0</v>
      </c>
      <c r="W345" s="42">
        <f>IF(Q345="MP",I345-P345,0)</f>
        <v>0</v>
      </c>
      <c r="X345" s="42">
        <f>IF(Q345="OM",H345,0)</f>
        <v>0</v>
      </c>
      <c r="Y345" s="31" t="s">
        <v>595</v>
      </c>
      <c r="AI345" s="42">
        <f>SUM(Z346:Z355)</f>
        <v>0</v>
      </c>
      <c r="AJ345" s="42">
        <f>SUM(AA346:AA355)</f>
        <v>0</v>
      </c>
      <c r="AK345" s="42">
        <f>SUM(AB346:AB355)</f>
        <v>0</v>
      </c>
    </row>
    <row r="346" spans="1:43" ht="12.75">
      <c r="A346" s="5" t="s">
        <v>207</v>
      </c>
      <c r="B346" s="5" t="s">
        <v>595</v>
      </c>
      <c r="C346" s="5" t="s">
        <v>807</v>
      </c>
      <c r="D346" s="5" t="s">
        <v>1250</v>
      </c>
      <c r="E346" s="5" t="s">
        <v>1503</v>
      </c>
      <c r="F346" s="22">
        <v>60.6</v>
      </c>
      <c r="G346" s="22">
        <v>0</v>
      </c>
      <c r="H346" s="22">
        <f>F346*AE346</f>
        <v>0</v>
      </c>
      <c r="I346" s="22">
        <f>J346-H346</f>
        <v>0</v>
      </c>
      <c r="J346" s="22">
        <f>F346*G346</f>
        <v>0</v>
      </c>
      <c r="K346" s="22">
        <v>0.00495</v>
      </c>
      <c r="L346" s="22">
        <f>F346*K346</f>
        <v>0.29997</v>
      </c>
      <c r="M346" s="35" t="s">
        <v>1531</v>
      </c>
      <c r="N346" s="35" t="s">
        <v>7</v>
      </c>
      <c r="O346" s="22">
        <f>IF(N346="5",I346,0)</f>
        <v>0</v>
      </c>
      <c r="Z346" s="22">
        <f>IF(AD346=0,J346,0)</f>
        <v>0</v>
      </c>
      <c r="AA346" s="22">
        <f>IF(AD346=15,J346,0)</f>
        <v>0</v>
      </c>
      <c r="AB346" s="22">
        <f>IF(AD346=21,J346,0)</f>
        <v>0</v>
      </c>
      <c r="AD346" s="39">
        <v>15</v>
      </c>
      <c r="AE346" s="39">
        <f>G346*0.147761904761905</f>
        <v>0</v>
      </c>
      <c r="AF346" s="39">
        <f>G346*(1-0.147761904761905)</f>
        <v>0</v>
      </c>
      <c r="AM346" s="39">
        <f>F346*AE346</f>
        <v>0</v>
      </c>
      <c r="AN346" s="39">
        <f>F346*AF346</f>
        <v>0</v>
      </c>
      <c r="AO346" s="40" t="s">
        <v>1578</v>
      </c>
      <c r="AP346" s="40" t="s">
        <v>1606</v>
      </c>
      <c r="AQ346" s="31" t="s">
        <v>1612</v>
      </c>
    </row>
    <row r="347" spans="4:6" ht="10.8" customHeight="1">
      <c r="D347" s="17" t="s">
        <v>1251</v>
      </c>
      <c r="F347" s="23">
        <v>48</v>
      </c>
    </row>
    <row r="348" spans="4:6" ht="10.8" customHeight="1">
      <c r="D348" s="17" t="s">
        <v>1252</v>
      </c>
      <c r="F348" s="23">
        <v>9.9</v>
      </c>
    </row>
    <row r="349" spans="4:6" ht="10.8" customHeight="1">
      <c r="D349" s="17" t="s">
        <v>1253</v>
      </c>
      <c r="F349" s="23">
        <v>6.3</v>
      </c>
    </row>
    <row r="350" spans="4:6" ht="10.8" customHeight="1">
      <c r="D350" s="17" t="s">
        <v>1254</v>
      </c>
      <c r="F350" s="23">
        <v>-3.6</v>
      </c>
    </row>
    <row r="351" spans="1:43" ht="12.75">
      <c r="A351" s="5" t="s">
        <v>208</v>
      </c>
      <c r="B351" s="5" t="s">
        <v>595</v>
      </c>
      <c r="C351" s="5" t="s">
        <v>808</v>
      </c>
      <c r="D351" s="5" t="s">
        <v>1255</v>
      </c>
      <c r="E351" s="5" t="s">
        <v>1505</v>
      </c>
      <c r="F351" s="22">
        <v>28</v>
      </c>
      <c r="G351" s="22">
        <v>0</v>
      </c>
      <c r="H351" s="22">
        <f>F351*AE351</f>
        <v>0</v>
      </c>
      <c r="I351" s="22">
        <f>J351-H351</f>
        <v>0</v>
      </c>
      <c r="J351" s="22">
        <f>F351*G351</f>
        <v>0</v>
      </c>
      <c r="K351" s="22">
        <v>0.00013</v>
      </c>
      <c r="L351" s="22">
        <f>F351*K351</f>
        <v>0.0036399999999999996</v>
      </c>
      <c r="M351" s="35" t="s">
        <v>1531</v>
      </c>
      <c r="N351" s="35" t="s">
        <v>7</v>
      </c>
      <c r="O351" s="22">
        <f>IF(N351="5",I351,0)</f>
        <v>0</v>
      </c>
      <c r="Z351" s="22">
        <f>IF(AD351=0,J351,0)</f>
        <v>0</v>
      </c>
      <c r="AA351" s="22">
        <f>IF(AD351=15,J351,0)</f>
        <v>0</v>
      </c>
      <c r="AB351" s="22">
        <f>IF(AD351=21,J351,0)</f>
        <v>0</v>
      </c>
      <c r="AD351" s="39">
        <v>15</v>
      </c>
      <c r="AE351" s="39">
        <f>G351*0.859256637168142</f>
        <v>0</v>
      </c>
      <c r="AF351" s="39">
        <f>G351*(1-0.859256637168142)</f>
        <v>0</v>
      </c>
      <c r="AM351" s="39">
        <f>F351*AE351</f>
        <v>0</v>
      </c>
      <c r="AN351" s="39">
        <f>F351*AF351</f>
        <v>0</v>
      </c>
      <c r="AO351" s="40" t="s">
        <v>1578</v>
      </c>
      <c r="AP351" s="40" t="s">
        <v>1606</v>
      </c>
      <c r="AQ351" s="31" t="s">
        <v>1612</v>
      </c>
    </row>
    <row r="352" ht="12.75">
      <c r="D352" s="18" t="s">
        <v>1256</v>
      </c>
    </row>
    <row r="353" spans="1:43" ht="12.75">
      <c r="A353" s="6" t="s">
        <v>209</v>
      </c>
      <c r="B353" s="6" t="s">
        <v>595</v>
      </c>
      <c r="C353" s="6" t="s">
        <v>809</v>
      </c>
      <c r="D353" s="6" t="s">
        <v>1257</v>
      </c>
      <c r="E353" s="6" t="s">
        <v>1503</v>
      </c>
      <c r="F353" s="24">
        <v>66.66</v>
      </c>
      <c r="G353" s="24">
        <v>0</v>
      </c>
      <c r="H353" s="24">
        <f>F353*AE353</f>
        <v>0</v>
      </c>
      <c r="I353" s="24">
        <f>J353-H353</f>
        <v>0</v>
      </c>
      <c r="J353" s="24">
        <f>F353*G353</f>
        <v>0</v>
      </c>
      <c r="K353" s="24">
        <v>0.0122</v>
      </c>
      <c r="L353" s="24">
        <f>F353*K353</f>
        <v>0.813252</v>
      </c>
      <c r="M353" s="36" t="s">
        <v>1531</v>
      </c>
      <c r="N353" s="36" t="s">
        <v>1533</v>
      </c>
      <c r="O353" s="24">
        <f>IF(N353="5",I353,0)</f>
        <v>0</v>
      </c>
      <c r="Z353" s="24">
        <f>IF(AD353=0,J353,0)</f>
        <v>0</v>
      </c>
      <c r="AA353" s="24">
        <f>IF(AD353=15,J353,0)</f>
        <v>0</v>
      </c>
      <c r="AB353" s="24">
        <f>IF(AD353=21,J353,0)</f>
        <v>0</v>
      </c>
      <c r="AD353" s="39">
        <v>15</v>
      </c>
      <c r="AE353" s="39">
        <f>G353*1</f>
        <v>0</v>
      </c>
      <c r="AF353" s="39">
        <f>G353*(1-1)</f>
        <v>0</v>
      </c>
      <c r="AM353" s="39">
        <f>F353*AE353</f>
        <v>0</v>
      </c>
      <c r="AN353" s="39">
        <f>F353*AF353</f>
        <v>0</v>
      </c>
      <c r="AO353" s="40" t="s">
        <v>1578</v>
      </c>
      <c r="AP353" s="40" t="s">
        <v>1606</v>
      </c>
      <c r="AQ353" s="31" t="s">
        <v>1612</v>
      </c>
    </row>
    <row r="354" spans="4:6" ht="10.8" customHeight="1">
      <c r="D354" s="17" t="s">
        <v>1258</v>
      </c>
      <c r="F354" s="23">
        <v>66.66</v>
      </c>
    </row>
    <row r="355" spans="1:43" ht="12.75">
      <c r="A355" s="5" t="s">
        <v>210</v>
      </c>
      <c r="B355" s="5" t="s">
        <v>595</v>
      </c>
      <c r="C355" s="5" t="s">
        <v>810</v>
      </c>
      <c r="D355" s="5" t="s">
        <v>1259</v>
      </c>
      <c r="E355" s="5" t="s">
        <v>1503</v>
      </c>
      <c r="F355" s="22">
        <v>60.6</v>
      </c>
      <c r="G355" s="22">
        <v>0</v>
      </c>
      <c r="H355" s="22">
        <f>F355*AE355</f>
        <v>0</v>
      </c>
      <c r="I355" s="22">
        <f>J355-H355</f>
        <v>0</v>
      </c>
      <c r="J355" s="22">
        <f>F355*G355</f>
        <v>0</v>
      </c>
      <c r="K355" s="22">
        <v>0.068</v>
      </c>
      <c r="L355" s="22">
        <f>F355*K355</f>
        <v>4.1208</v>
      </c>
      <c r="M355" s="35" t="s">
        <v>1531</v>
      </c>
      <c r="N355" s="35" t="s">
        <v>9</v>
      </c>
      <c r="O355" s="22">
        <f>IF(N355="5",I355,0)</f>
        <v>0</v>
      </c>
      <c r="Z355" s="22">
        <f>IF(AD355=0,J355,0)</f>
        <v>0</v>
      </c>
      <c r="AA355" s="22">
        <f>IF(AD355=15,J355,0)</f>
        <v>0</v>
      </c>
      <c r="AB355" s="22">
        <f>IF(AD355=21,J355,0)</f>
        <v>0</v>
      </c>
      <c r="AD355" s="39">
        <v>15</v>
      </c>
      <c r="AE355" s="39">
        <f>G355*0</f>
        <v>0</v>
      </c>
      <c r="AF355" s="39">
        <f>G355*(1-0)</f>
        <v>0</v>
      </c>
      <c r="AM355" s="39">
        <f>F355*AE355</f>
        <v>0</v>
      </c>
      <c r="AN355" s="39">
        <f>F355*AF355</f>
        <v>0</v>
      </c>
      <c r="AO355" s="40" t="s">
        <v>1578</v>
      </c>
      <c r="AP355" s="40" t="s">
        <v>1606</v>
      </c>
      <c r="AQ355" s="31" t="s">
        <v>1612</v>
      </c>
    </row>
    <row r="356" spans="4:6" ht="10.8" customHeight="1">
      <c r="D356" s="17" t="s">
        <v>1251</v>
      </c>
      <c r="F356" s="23">
        <v>48</v>
      </c>
    </row>
    <row r="357" spans="4:6" ht="10.8" customHeight="1">
      <c r="D357" s="17" t="s">
        <v>1252</v>
      </c>
      <c r="F357" s="23">
        <v>9.9</v>
      </c>
    </row>
    <row r="358" spans="4:6" ht="10.8" customHeight="1">
      <c r="D358" s="17" t="s">
        <v>1253</v>
      </c>
      <c r="F358" s="23">
        <v>6.3</v>
      </c>
    </row>
    <row r="359" spans="4:6" ht="10.8" customHeight="1">
      <c r="D359" s="17" t="s">
        <v>1260</v>
      </c>
      <c r="F359" s="23">
        <v>-3.6</v>
      </c>
    </row>
    <row r="360" spans="1:37" ht="12.75">
      <c r="A360" s="4"/>
      <c r="B360" s="14" t="s">
        <v>595</v>
      </c>
      <c r="C360" s="14" t="s">
        <v>644</v>
      </c>
      <c r="D360" s="104" t="s">
        <v>1021</v>
      </c>
      <c r="E360" s="105"/>
      <c r="F360" s="105"/>
      <c r="G360" s="105"/>
      <c r="H360" s="42">
        <f>SUM(H361:H363)</f>
        <v>0</v>
      </c>
      <c r="I360" s="42">
        <f>SUM(I361:I363)</f>
        <v>0</v>
      </c>
      <c r="J360" s="42">
        <f>H360+I360</f>
        <v>0</v>
      </c>
      <c r="K360" s="31"/>
      <c r="L360" s="42">
        <f>SUM(L361:L363)</f>
        <v>0.013766200000000001</v>
      </c>
      <c r="M360" s="31"/>
      <c r="P360" s="42">
        <f>IF(Q360="PR",J360,SUM(O361:O363))</f>
        <v>0</v>
      </c>
      <c r="Q360" s="31" t="s">
        <v>1537</v>
      </c>
      <c r="R360" s="42">
        <f>IF(Q360="HS",H360,0)</f>
        <v>0</v>
      </c>
      <c r="S360" s="42">
        <f>IF(Q360="HS",I360-P360,0)</f>
        <v>0</v>
      </c>
      <c r="T360" s="42">
        <f>IF(Q360="PS",H360,0)</f>
        <v>0</v>
      </c>
      <c r="U360" s="42">
        <f>IF(Q360="PS",I360-P360,0)</f>
        <v>0</v>
      </c>
      <c r="V360" s="42">
        <f>IF(Q360="MP",H360,0)</f>
        <v>0</v>
      </c>
      <c r="W360" s="42">
        <f>IF(Q360="MP",I360-P360,0)</f>
        <v>0</v>
      </c>
      <c r="X360" s="42">
        <f>IF(Q360="OM",H360,0)</f>
        <v>0</v>
      </c>
      <c r="Y360" s="31" t="s">
        <v>595</v>
      </c>
      <c r="AI360" s="42">
        <f>SUM(Z361:Z363)</f>
        <v>0</v>
      </c>
      <c r="AJ360" s="42">
        <f>SUM(AA361:AA363)</f>
        <v>0</v>
      </c>
      <c r="AK360" s="42">
        <f>SUM(AB361:AB363)</f>
        <v>0</v>
      </c>
    </row>
    <row r="361" spans="1:43" ht="12.75">
      <c r="A361" s="5" t="s">
        <v>211</v>
      </c>
      <c r="B361" s="5" t="s">
        <v>595</v>
      </c>
      <c r="C361" s="5" t="s">
        <v>645</v>
      </c>
      <c r="D361" s="5" t="s">
        <v>1022</v>
      </c>
      <c r="E361" s="5" t="s">
        <v>1503</v>
      </c>
      <c r="F361" s="22">
        <v>376.62</v>
      </c>
      <c r="G361" s="22">
        <v>0</v>
      </c>
      <c r="H361" s="22">
        <f>F361*AE361</f>
        <v>0</v>
      </c>
      <c r="I361" s="22">
        <f>J361-H361</f>
        <v>0</v>
      </c>
      <c r="J361" s="22">
        <f>F361*G361</f>
        <v>0</v>
      </c>
      <c r="K361" s="22">
        <v>1E-05</v>
      </c>
      <c r="L361" s="22">
        <f>F361*K361</f>
        <v>0.0037662000000000004</v>
      </c>
      <c r="M361" s="35" t="s">
        <v>1531</v>
      </c>
      <c r="N361" s="35" t="s">
        <v>7</v>
      </c>
      <c r="O361" s="22">
        <f>IF(N361="5",I361,0)</f>
        <v>0</v>
      </c>
      <c r="Z361" s="22">
        <f>IF(AD361=0,J361,0)</f>
        <v>0</v>
      </c>
      <c r="AA361" s="22">
        <f>IF(AD361=15,J361,0)</f>
        <v>0</v>
      </c>
      <c r="AB361" s="22">
        <f>IF(AD361=21,J361,0)</f>
        <v>0</v>
      </c>
      <c r="AD361" s="39">
        <v>15</v>
      </c>
      <c r="AE361" s="39">
        <f>G361*0.0915384615384615</f>
        <v>0</v>
      </c>
      <c r="AF361" s="39">
        <f>G361*(1-0.0915384615384615)</f>
        <v>0</v>
      </c>
      <c r="AM361" s="39">
        <f>F361*AE361</f>
        <v>0</v>
      </c>
      <c r="AN361" s="39">
        <f>F361*AF361</f>
        <v>0</v>
      </c>
      <c r="AO361" s="40" t="s">
        <v>1554</v>
      </c>
      <c r="AP361" s="40" t="s">
        <v>1606</v>
      </c>
      <c r="AQ361" s="31" t="s">
        <v>1612</v>
      </c>
    </row>
    <row r="362" ht="12.75">
      <c r="D362" s="18" t="s">
        <v>1261</v>
      </c>
    </row>
    <row r="363" spans="1:43" ht="12.75">
      <c r="A363" s="6" t="s">
        <v>212</v>
      </c>
      <c r="B363" s="6" t="s">
        <v>595</v>
      </c>
      <c r="C363" s="6" t="s">
        <v>646</v>
      </c>
      <c r="D363" s="6" t="s">
        <v>1024</v>
      </c>
      <c r="E363" s="6" t="s">
        <v>1506</v>
      </c>
      <c r="F363" s="24">
        <v>10</v>
      </c>
      <c r="G363" s="24">
        <v>0</v>
      </c>
      <c r="H363" s="24">
        <f>F363*AE363</f>
        <v>0</v>
      </c>
      <c r="I363" s="24">
        <f>J363-H363</f>
        <v>0</v>
      </c>
      <c r="J363" s="24">
        <f>F363*G363</f>
        <v>0</v>
      </c>
      <c r="K363" s="24">
        <v>0.001</v>
      </c>
      <c r="L363" s="24">
        <f>F363*K363</f>
        <v>0.01</v>
      </c>
      <c r="M363" s="36" t="s">
        <v>1531</v>
      </c>
      <c r="N363" s="36" t="s">
        <v>1533</v>
      </c>
      <c r="O363" s="24">
        <f>IF(N363="5",I363,0)</f>
        <v>0</v>
      </c>
      <c r="Z363" s="24">
        <f>IF(AD363=0,J363,0)</f>
        <v>0</v>
      </c>
      <c r="AA363" s="24">
        <f>IF(AD363=15,J363,0)</f>
        <v>0</v>
      </c>
      <c r="AB363" s="24">
        <f>IF(AD363=21,J363,0)</f>
        <v>0</v>
      </c>
      <c r="AD363" s="39">
        <v>15</v>
      </c>
      <c r="AE363" s="39">
        <f>G363*1</f>
        <v>0</v>
      </c>
      <c r="AF363" s="39">
        <f>G363*(1-1)</f>
        <v>0</v>
      </c>
      <c r="AM363" s="39">
        <f>F363*AE363</f>
        <v>0</v>
      </c>
      <c r="AN363" s="39">
        <f>F363*AF363</f>
        <v>0</v>
      </c>
      <c r="AO363" s="40" t="s">
        <v>1554</v>
      </c>
      <c r="AP363" s="40" t="s">
        <v>1606</v>
      </c>
      <c r="AQ363" s="31" t="s">
        <v>1612</v>
      </c>
    </row>
    <row r="364" spans="1:37" ht="12.75">
      <c r="A364" s="4"/>
      <c r="B364" s="14" t="s">
        <v>595</v>
      </c>
      <c r="C364" s="14" t="s">
        <v>647</v>
      </c>
      <c r="D364" s="104" t="s">
        <v>1025</v>
      </c>
      <c r="E364" s="105"/>
      <c r="F364" s="105"/>
      <c r="G364" s="105"/>
      <c r="H364" s="42">
        <f>SUM(H365:H367)</f>
        <v>0</v>
      </c>
      <c r="I364" s="42">
        <f>SUM(I365:I367)</f>
        <v>0</v>
      </c>
      <c r="J364" s="42">
        <f>H364+I364</f>
        <v>0</v>
      </c>
      <c r="K364" s="31"/>
      <c r="L364" s="42">
        <f>SUM(L365:L367)</f>
        <v>0.2641366</v>
      </c>
      <c r="M364" s="31"/>
      <c r="P364" s="42">
        <f>IF(Q364="PR",J364,SUM(O365:O367))</f>
        <v>0</v>
      </c>
      <c r="Q364" s="31" t="s">
        <v>1537</v>
      </c>
      <c r="R364" s="42">
        <f>IF(Q364="HS",H364,0)</f>
        <v>0</v>
      </c>
      <c r="S364" s="42">
        <f>IF(Q364="HS",I364-P364,0)</f>
        <v>0</v>
      </c>
      <c r="T364" s="42">
        <f>IF(Q364="PS",H364,0)</f>
        <v>0</v>
      </c>
      <c r="U364" s="42">
        <f>IF(Q364="PS",I364-P364,0)</f>
        <v>0</v>
      </c>
      <c r="V364" s="42">
        <f>IF(Q364="MP",H364,0)</f>
        <v>0</v>
      </c>
      <c r="W364" s="42">
        <f>IF(Q364="MP",I364-P364,0)</f>
        <v>0</v>
      </c>
      <c r="X364" s="42">
        <f>IF(Q364="OM",H364,0)</f>
        <v>0</v>
      </c>
      <c r="Y364" s="31" t="s">
        <v>595</v>
      </c>
      <c r="AI364" s="42">
        <f>SUM(Z365:Z367)</f>
        <v>0</v>
      </c>
      <c r="AJ364" s="42">
        <f>SUM(AA365:AA367)</f>
        <v>0</v>
      </c>
      <c r="AK364" s="42">
        <f>SUM(AB365:AB367)</f>
        <v>0</v>
      </c>
    </row>
    <row r="365" spans="1:43" ht="12.75">
      <c r="A365" s="5" t="s">
        <v>213</v>
      </c>
      <c r="B365" s="5" t="s">
        <v>595</v>
      </c>
      <c r="C365" s="5" t="s">
        <v>648</v>
      </c>
      <c r="D365" s="5" t="s">
        <v>1026</v>
      </c>
      <c r="E365" s="5" t="s">
        <v>1503</v>
      </c>
      <c r="F365" s="22">
        <v>574.21</v>
      </c>
      <c r="G365" s="22">
        <v>0</v>
      </c>
      <c r="H365" s="22">
        <f>F365*AE365</f>
        <v>0</v>
      </c>
      <c r="I365" s="22">
        <f>J365-H365</f>
        <v>0</v>
      </c>
      <c r="J365" s="22">
        <f>F365*G365</f>
        <v>0</v>
      </c>
      <c r="K365" s="22">
        <v>0.00039</v>
      </c>
      <c r="L365" s="22">
        <f>F365*K365</f>
        <v>0.2239419</v>
      </c>
      <c r="M365" s="35" t="s">
        <v>1531</v>
      </c>
      <c r="N365" s="35" t="s">
        <v>7</v>
      </c>
      <c r="O365" s="22">
        <f>IF(N365="5",I365,0)</f>
        <v>0</v>
      </c>
      <c r="Z365" s="22">
        <f>IF(AD365=0,J365,0)</f>
        <v>0</v>
      </c>
      <c r="AA365" s="22">
        <f>IF(AD365=15,J365,0)</f>
        <v>0</v>
      </c>
      <c r="AB365" s="22">
        <f>IF(AD365=21,J365,0)</f>
        <v>0</v>
      </c>
      <c r="AD365" s="39">
        <v>15</v>
      </c>
      <c r="AE365" s="39">
        <f>G365*0.253731343283582</f>
        <v>0</v>
      </c>
      <c r="AF365" s="39">
        <f>G365*(1-0.253731343283582)</f>
        <v>0</v>
      </c>
      <c r="AM365" s="39">
        <f>F365*AE365</f>
        <v>0</v>
      </c>
      <c r="AN365" s="39">
        <f>F365*AF365</f>
        <v>0</v>
      </c>
      <c r="AO365" s="40" t="s">
        <v>1555</v>
      </c>
      <c r="AP365" s="40" t="s">
        <v>1606</v>
      </c>
      <c r="AQ365" s="31" t="s">
        <v>1612</v>
      </c>
    </row>
    <row r="366" ht="12.75">
      <c r="D366" s="18" t="s">
        <v>1262</v>
      </c>
    </row>
    <row r="367" spans="1:43" ht="12.75">
      <c r="A367" s="5" t="s">
        <v>214</v>
      </c>
      <c r="B367" s="5" t="s">
        <v>595</v>
      </c>
      <c r="C367" s="5" t="s">
        <v>649</v>
      </c>
      <c r="D367" s="5" t="s">
        <v>1029</v>
      </c>
      <c r="E367" s="5" t="s">
        <v>1503</v>
      </c>
      <c r="F367" s="22">
        <v>574.21</v>
      </c>
      <c r="G367" s="22">
        <v>0</v>
      </c>
      <c r="H367" s="22">
        <f>F367*AE367</f>
        <v>0</v>
      </c>
      <c r="I367" s="22">
        <f>J367-H367</f>
        <v>0</v>
      </c>
      <c r="J367" s="22">
        <f>F367*G367</f>
        <v>0</v>
      </c>
      <c r="K367" s="22">
        <v>7E-05</v>
      </c>
      <c r="L367" s="22">
        <f>F367*K367</f>
        <v>0.0401947</v>
      </c>
      <c r="M367" s="35" t="s">
        <v>1531</v>
      </c>
      <c r="N367" s="35" t="s">
        <v>7</v>
      </c>
      <c r="O367" s="22">
        <f>IF(N367="5",I367,0)</f>
        <v>0</v>
      </c>
      <c r="Z367" s="22">
        <f>IF(AD367=0,J367,0)</f>
        <v>0</v>
      </c>
      <c r="AA367" s="22">
        <f>IF(AD367=15,J367,0)</f>
        <v>0</v>
      </c>
      <c r="AB367" s="22">
        <f>IF(AD367=21,J367,0)</f>
        <v>0</v>
      </c>
      <c r="AD367" s="39">
        <v>15</v>
      </c>
      <c r="AE367" s="39">
        <f>G367*0.296066252587992</f>
        <v>0</v>
      </c>
      <c r="AF367" s="39">
        <f>G367*(1-0.296066252587992)</f>
        <v>0</v>
      </c>
      <c r="AM367" s="39">
        <f>F367*AE367</f>
        <v>0</v>
      </c>
      <c r="AN367" s="39">
        <f>F367*AF367</f>
        <v>0</v>
      </c>
      <c r="AO367" s="40" t="s">
        <v>1555</v>
      </c>
      <c r="AP367" s="40" t="s">
        <v>1606</v>
      </c>
      <c r="AQ367" s="31" t="s">
        <v>1612</v>
      </c>
    </row>
    <row r="368" spans="4:6" ht="10.8" customHeight="1">
      <c r="D368" s="17" t="s">
        <v>1263</v>
      </c>
      <c r="F368" s="23">
        <v>574.21</v>
      </c>
    </row>
    <row r="369" spans="1:37" ht="12.75">
      <c r="A369" s="4"/>
      <c r="B369" s="14" t="s">
        <v>595</v>
      </c>
      <c r="C369" s="14" t="s">
        <v>96</v>
      </c>
      <c r="D369" s="104" t="s">
        <v>1030</v>
      </c>
      <c r="E369" s="105"/>
      <c r="F369" s="105"/>
      <c r="G369" s="105"/>
      <c r="H369" s="42">
        <f>SUM(H370:H371)</f>
        <v>0</v>
      </c>
      <c r="I369" s="42">
        <f>SUM(I370:I371)</f>
        <v>0</v>
      </c>
      <c r="J369" s="42">
        <f>H369+I369</f>
        <v>0</v>
      </c>
      <c r="K369" s="31"/>
      <c r="L369" s="42">
        <f>SUM(L370:L371)</f>
        <v>0</v>
      </c>
      <c r="M369" s="31"/>
      <c r="P369" s="42">
        <f>IF(Q369="PR",J369,SUM(O370:O371))</f>
        <v>0</v>
      </c>
      <c r="Q369" s="31" t="s">
        <v>1536</v>
      </c>
      <c r="R369" s="42">
        <f>IF(Q369="HS",H369,0)</f>
        <v>0</v>
      </c>
      <c r="S369" s="42">
        <f>IF(Q369="HS",I369-P369,0)</f>
        <v>0</v>
      </c>
      <c r="T369" s="42">
        <f>IF(Q369="PS",H369,0)</f>
        <v>0</v>
      </c>
      <c r="U369" s="42">
        <f>IF(Q369="PS",I369-P369,0)</f>
        <v>0</v>
      </c>
      <c r="V369" s="42">
        <f>IF(Q369="MP",H369,0)</f>
        <v>0</v>
      </c>
      <c r="W369" s="42">
        <f>IF(Q369="MP",I369-P369,0)</f>
        <v>0</v>
      </c>
      <c r="X369" s="42">
        <f>IF(Q369="OM",H369,0)</f>
        <v>0</v>
      </c>
      <c r="Y369" s="31" t="s">
        <v>595</v>
      </c>
      <c r="AI369" s="42">
        <f>SUM(Z370:Z371)</f>
        <v>0</v>
      </c>
      <c r="AJ369" s="42">
        <f>SUM(AA370:AA371)</f>
        <v>0</v>
      </c>
      <c r="AK369" s="42">
        <f>SUM(AB370:AB371)</f>
        <v>0</v>
      </c>
    </row>
    <row r="370" spans="1:43" ht="12.75">
      <c r="A370" s="5" t="s">
        <v>215</v>
      </c>
      <c r="B370" s="5" t="s">
        <v>595</v>
      </c>
      <c r="C370" s="5" t="s">
        <v>650</v>
      </c>
      <c r="D370" s="5" t="s">
        <v>1264</v>
      </c>
      <c r="E370" s="5" t="s">
        <v>1507</v>
      </c>
      <c r="F370" s="22">
        <v>30</v>
      </c>
      <c r="G370" s="22">
        <v>0</v>
      </c>
      <c r="H370" s="22">
        <f>F370*AE370</f>
        <v>0</v>
      </c>
      <c r="I370" s="22">
        <f>J370-H370</f>
        <v>0</v>
      </c>
      <c r="J370" s="22">
        <f>F370*G370</f>
        <v>0</v>
      </c>
      <c r="K370" s="22">
        <v>0</v>
      </c>
      <c r="L370" s="22">
        <f>F370*K370</f>
        <v>0</v>
      </c>
      <c r="M370" s="35" t="s">
        <v>1531</v>
      </c>
      <c r="N370" s="35" t="s">
        <v>7</v>
      </c>
      <c r="O370" s="22">
        <f>IF(N370="5",I370,0)</f>
        <v>0</v>
      </c>
      <c r="Z370" s="22">
        <f>IF(AD370=0,J370,0)</f>
        <v>0</v>
      </c>
      <c r="AA370" s="22">
        <f>IF(AD370=15,J370,0)</f>
        <v>0</v>
      </c>
      <c r="AB370" s="22">
        <f>IF(AD370=21,J370,0)</f>
        <v>0</v>
      </c>
      <c r="AD370" s="39">
        <v>15</v>
      </c>
      <c r="AE370" s="39">
        <f>G370*0</f>
        <v>0</v>
      </c>
      <c r="AF370" s="39">
        <f>G370*(1-0)</f>
        <v>0</v>
      </c>
      <c r="AM370" s="39">
        <f>F370*AE370</f>
        <v>0</v>
      </c>
      <c r="AN370" s="39">
        <f>F370*AF370</f>
        <v>0</v>
      </c>
      <c r="AO370" s="40" t="s">
        <v>1556</v>
      </c>
      <c r="AP370" s="40" t="s">
        <v>1607</v>
      </c>
      <c r="AQ370" s="31" t="s">
        <v>1612</v>
      </c>
    </row>
    <row r="371" spans="1:43" ht="12.75">
      <c r="A371" s="5" t="s">
        <v>216</v>
      </c>
      <c r="B371" s="5" t="s">
        <v>595</v>
      </c>
      <c r="C371" s="5" t="s">
        <v>811</v>
      </c>
      <c r="D371" s="5" t="s">
        <v>1265</v>
      </c>
      <c r="E371" s="5" t="s">
        <v>1507</v>
      </c>
      <c r="F371" s="22">
        <v>30</v>
      </c>
      <c r="G371" s="22">
        <v>0</v>
      </c>
      <c r="H371" s="22">
        <f>F371*AE371</f>
        <v>0</v>
      </c>
      <c r="I371" s="22">
        <f>J371-H371</f>
        <v>0</v>
      </c>
      <c r="J371" s="22">
        <f>F371*G371</f>
        <v>0</v>
      </c>
      <c r="K371" s="22">
        <v>0</v>
      </c>
      <c r="L371" s="22">
        <f>F371*K371</f>
        <v>0</v>
      </c>
      <c r="M371" s="35" t="s">
        <v>1531</v>
      </c>
      <c r="N371" s="35" t="s">
        <v>7</v>
      </c>
      <c r="O371" s="22">
        <f>IF(N371="5",I371,0)</f>
        <v>0</v>
      </c>
      <c r="Z371" s="22">
        <f>IF(AD371=0,J371,0)</f>
        <v>0</v>
      </c>
      <c r="AA371" s="22">
        <f>IF(AD371=15,J371,0)</f>
        <v>0</v>
      </c>
      <c r="AB371" s="22">
        <f>IF(AD371=21,J371,0)</f>
        <v>0</v>
      </c>
      <c r="AD371" s="39">
        <v>15</v>
      </c>
      <c r="AE371" s="39">
        <f>G371*0</f>
        <v>0</v>
      </c>
      <c r="AF371" s="39">
        <f>G371*(1-0)</f>
        <v>0</v>
      </c>
      <c r="AM371" s="39">
        <f>F371*AE371</f>
        <v>0</v>
      </c>
      <c r="AN371" s="39">
        <f>F371*AF371</f>
        <v>0</v>
      </c>
      <c r="AO371" s="40" t="s">
        <v>1556</v>
      </c>
      <c r="AP371" s="40" t="s">
        <v>1607</v>
      </c>
      <c r="AQ371" s="31" t="s">
        <v>1612</v>
      </c>
    </row>
    <row r="372" ht="12.75">
      <c r="D372" s="18" t="s">
        <v>1266</v>
      </c>
    </row>
    <row r="373" spans="1:37" ht="12.75">
      <c r="A373" s="4"/>
      <c r="B373" s="14" t="s">
        <v>595</v>
      </c>
      <c r="C373" s="14" t="s">
        <v>100</v>
      </c>
      <c r="D373" s="104" t="s">
        <v>1033</v>
      </c>
      <c r="E373" s="105"/>
      <c r="F373" s="105"/>
      <c r="G373" s="105"/>
      <c r="H373" s="42">
        <f>SUM(H374:H374)</f>
        <v>0</v>
      </c>
      <c r="I373" s="42">
        <f>SUM(I374:I374)</f>
        <v>0</v>
      </c>
      <c r="J373" s="42">
        <f>H373+I373</f>
        <v>0</v>
      </c>
      <c r="K373" s="31"/>
      <c r="L373" s="42">
        <f>SUM(L374:L374)</f>
        <v>0.2991098</v>
      </c>
      <c r="M373" s="31"/>
      <c r="P373" s="42">
        <f>IF(Q373="PR",J373,SUM(O374:O374))</f>
        <v>0</v>
      </c>
      <c r="Q373" s="31" t="s">
        <v>1536</v>
      </c>
      <c r="R373" s="42">
        <f>IF(Q373="HS",H373,0)</f>
        <v>0</v>
      </c>
      <c r="S373" s="42">
        <f>IF(Q373="HS",I373-P373,0)</f>
        <v>0</v>
      </c>
      <c r="T373" s="42">
        <f>IF(Q373="PS",H373,0)</f>
        <v>0</v>
      </c>
      <c r="U373" s="42">
        <f>IF(Q373="PS",I373-P373,0)</f>
        <v>0</v>
      </c>
      <c r="V373" s="42">
        <f>IF(Q373="MP",H373,0)</f>
        <v>0</v>
      </c>
      <c r="W373" s="42">
        <f>IF(Q373="MP",I373-P373,0)</f>
        <v>0</v>
      </c>
      <c r="X373" s="42">
        <f>IF(Q373="OM",H373,0)</f>
        <v>0</v>
      </c>
      <c r="Y373" s="31" t="s">
        <v>595</v>
      </c>
      <c r="AI373" s="42">
        <f>SUM(Z374:Z374)</f>
        <v>0</v>
      </c>
      <c r="AJ373" s="42">
        <f>SUM(AA374:AA374)</f>
        <v>0</v>
      </c>
      <c r="AK373" s="42">
        <f>SUM(AB374:AB374)</f>
        <v>0</v>
      </c>
    </row>
    <row r="374" spans="1:43" ht="12.75">
      <c r="A374" s="5" t="s">
        <v>217</v>
      </c>
      <c r="B374" s="5" t="s">
        <v>595</v>
      </c>
      <c r="C374" s="5" t="s">
        <v>651</v>
      </c>
      <c r="D374" s="5" t="s">
        <v>1034</v>
      </c>
      <c r="E374" s="5" t="s">
        <v>1503</v>
      </c>
      <c r="F374" s="22">
        <v>189.31</v>
      </c>
      <c r="G374" s="22">
        <v>0</v>
      </c>
      <c r="H374" s="22">
        <f>F374*AE374</f>
        <v>0</v>
      </c>
      <c r="I374" s="22">
        <f>J374-H374</f>
        <v>0</v>
      </c>
      <c r="J374" s="22">
        <f>F374*G374</f>
        <v>0</v>
      </c>
      <c r="K374" s="22">
        <v>0.00158</v>
      </c>
      <c r="L374" s="22">
        <f>F374*K374</f>
        <v>0.2991098</v>
      </c>
      <c r="M374" s="35" t="s">
        <v>1531</v>
      </c>
      <c r="N374" s="35" t="s">
        <v>7</v>
      </c>
      <c r="O374" s="22">
        <f>IF(N374="5",I374,0)</f>
        <v>0</v>
      </c>
      <c r="Z374" s="22">
        <f>IF(AD374=0,J374,0)</f>
        <v>0</v>
      </c>
      <c r="AA374" s="22">
        <f>IF(AD374=15,J374,0)</f>
        <v>0</v>
      </c>
      <c r="AB374" s="22">
        <f>IF(AD374=21,J374,0)</f>
        <v>0</v>
      </c>
      <c r="AD374" s="39">
        <v>15</v>
      </c>
      <c r="AE374" s="39">
        <f>G374*0.455303820267324</f>
        <v>0</v>
      </c>
      <c r="AF374" s="39">
        <f>G374*(1-0.455303820267324)</f>
        <v>0</v>
      </c>
      <c r="AM374" s="39">
        <f>F374*AE374</f>
        <v>0</v>
      </c>
      <c r="AN374" s="39">
        <f>F374*AF374</f>
        <v>0</v>
      </c>
      <c r="AO374" s="40" t="s">
        <v>1557</v>
      </c>
      <c r="AP374" s="40" t="s">
        <v>1607</v>
      </c>
      <c r="AQ374" s="31" t="s">
        <v>1612</v>
      </c>
    </row>
    <row r="375" spans="1:37" ht="12.75">
      <c r="A375" s="4"/>
      <c r="B375" s="14" t="s">
        <v>595</v>
      </c>
      <c r="C375" s="14" t="s">
        <v>101</v>
      </c>
      <c r="D375" s="104" t="s">
        <v>1036</v>
      </c>
      <c r="E375" s="105"/>
      <c r="F375" s="105"/>
      <c r="G375" s="105"/>
      <c r="H375" s="42">
        <f>SUM(H376:H376)</f>
        <v>0</v>
      </c>
      <c r="I375" s="42">
        <f>SUM(I376:I376)</f>
        <v>0</v>
      </c>
      <c r="J375" s="42">
        <f>H375+I375</f>
        <v>0</v>
      </c>
      <c r="K375" s="31"/>
      <c r="L375" s="42">
        <f>SUM(L376:L376)</f>
        <v>0.007572400000000001</v>
      </c>
      <c r="M375" s="31"/>
      <c r="P375" s="42">
        <f>IF(Q375="PR",J375,SUM(O376:O376))</f>
        <v>0</v>
      </c>
      <c r="Q375" s="31" t="s">
        <v>1536</v>
      </c>
      <c r="R375" s="42">
        <f>IF(Q375="HS",H375,0)</f>
        <v>0</v>
      </c>
      <c r="S375" s="42">
        <f>IF(Q375="HS",I375-P375,0)</f>
        <v>0</v>
      </c>
      <c r="T375" s="42">
        <f>IF(Q375="PS",H375,0)</f>
        <v>0</v>
      </c>
      <c r="U375" s="42">
        <f>IF(Q375="PS",I375-P375,0)</f>
        <v>0</v>
      </c>
      <c r="V375" s="42">
        <f>IF(Q375="MP",H375,0)</f>
        <v>0</v>
      </c>
      <c r="W375" s="42">
        <f>IF(Q375="MP",I375-P375,0)</f>
        <v>0</v>
      </c>
      <c r="X375" s="42">
        <f>IF(Q375="OM",H375,0)</f>
        <v>0</v>
      </c>
      <c r="Y375" s="31" t="s">
        <v>595</v>
      </c>
      <c r="AI375" s="42">
        <f>SUM(Z376:Z376)</f>
        <v>0</v>
      </c>
      <c r="AJ375" s="42">
        <f>SUM(AA376:AA376)</f>
        <v>0</v>
      </c>
      <c r="AK375" s="42">
        <f>SUM(AB376:AB376)</f>
        <v>0</v>
      </c>
    </row>
    <row r="376" spans="1:43" ht="12.75">
      <c r="A376" s="5" t="s">
        <v>218</v>
      </c>
      <c r="B376" s="5" t="s">
        <v>595</v>
      </c>
      <c r="C376" s="5" t="s">
        <v>652</v>
      </c>
      <c r="D376" s="5" t="s">
        <v>1037</v>
      </c>
      <c r="E376" s="5" t="s">
        <v>1503</v>
      </c>
      <c r="F376" s="22">
        <v>189.31</v>
      </c>
      <c r="G376" s="22">
        <v>0</v>
      </c>
      <c r="H376" s="22">
        <f>F376*AE376</f>
        <v>0</v>
      </c>
      <c r="I376" s="22">
        <f>J376-H376</f>
        <v>0</v>
      </c>
      <c r="J376" s="22">
        <f>F376*G376</f>
        <v>0</v>
      </c>
      <c r="K376" s="22">
        <v>4E-05</v>
      </c>
      <c r="L376" s="22">
        <f>F376*K376</f>
        <v>0.007572400000000001</v>
      </c>
      <c r="M376" s="35" t="s">
        <v>1531</v>
      </c>
      <c r="N376" s="35" t="s">
        <v>7</v>
      </c>
      <c r="O376" s="22">
        <f>IF(N376="5",I376,0)</f>
        <v>0</v>
      </c>
      <c r="Z376" s="22">
        <f>IF(AD376=0,J376,0)</f>
        <v>0</v>
      </c>
      <c r="AA376" s="22">
        <f>IF(AD376=15,J376,0)</f>
        <v>0</v>
      </c>
      <c r="AB376" s="22">
        <f>IF(AD376=21,J376,0)</f>
        <v>0</v>
      </c>
      <c r="AD376" s="39">
        <v>15</v>
      </c>
      <c r="AE376" s="39">
        <f>G376*0.0183098591549296</f>
        <v>0</v>
      </c>
      <c r="AF376" s="39">
        <f>G376*(1-0.0183098591549296)</f>
        <v>0</v>
      </c>
      <c r="AM376" s="39">
        <f>F376*AE376</f>
        <v>0</v>
      </c>
      <c r="AN376" s="39">
        <f>F376*AF376</f>
        <v>0</v>
      </c>
      <c r="AO376" s="40" t="s">
        <v>1558</v>
      </c>
      <c r="AP376" s="40" t="s">
        <v>1607</v>
      </c>
      <c r="AQ376" s="31" t="s">
        <v>1612</v>
      </c>
    </row>
    <row r="377" spans="1:37" ht="12.75">
      <c r="A377" s="4"/>
      <c r="B377" s="14" t="s">
        <v>595</v>
      </c>
      <c r="C377" s="14" t="s">
        <v>102</v>
      </c>
      <c r="D377" s="104" t="s">
        <v>1267</v>
      </c>
      <c r="E377" s="105"/>
      <c r="F377" s="105"/>
      <c r="G377" s="105"/>
      <c r="H377" s="42">
        <f>SUM(H378:H393)</f>
        <v>0</v>
      </c>
      <c r="I377" s="42">
        <f>SUM(I378:I393)</f>
        <v>0</v>
      </c>
      <c r="J377" s="42">
        <f>H377+I377</f>
        <v>0</v>
      </c>
      <c r="K377" s="31"/>
      <c r="L377" s="42">
        <f>SUM(L378:L393)</f>
        <v>5.782407600000001</v>
      </c>
      <c r="M377" s="31"/>
      <c r="P377" s="42">
        <f>IF(Q377="PR",J377,SUM(O378:O393))</f>
        <v>0</v>
      </c>
      <c r="Q377" s="31" t="s">
        <v>1536</v>
      </c>
      <c r="R377" s="42">
        <f>IF(Q377="HS",H377,0)</f>
        <v>0</v>
      </c>
      <c r="S377" s="42">
        <f>IF(Q377="HS",I377-P377,0)</f>
        <v>0</v>
      </c>
      <c r="T377" s="42">
        <f>IF(Q377="PS",H377,0)</f>
        <v>0</v>
      </c>
      <c r="U377" s="42">
        <f>IF(Q377="PS",I377-P377,0)</f>
        <v>0</v>
      </c>
      <c r="V377" s="42">
        <f>IF(Q377="MP",H377,0)</f>
        <v>0</v>
      </c>
      <c r="W377" s="42">
        <f>IF(Q377="MP",I377-P377,0)</f>
        <v>0</v>
      </c>
      <c r="X377" s="42">
        <f>IF(Q377="OM",H377,0)</f>
        <v>0</v>
      </c>
      <c r="Y377" s="31" t="s">
        <v>595</v>
      </c>
      <c r="AI377" s="42">
        <f>SUM(Z378:Z393)</f>
        <v>0</v>
      </c>
      <c r="AJ377" s="42">
        <f>SUM(AA378:AA393)</f>
        <v>0</v>
      </c>
      <c r="AK377" s="42">
        <f>SUM(AB378:AB393)</f>
        <v>0</v>
      </c>
    </row>
    <row r="378" spans="1:43" ht="12.75">
      <c r="A378" s="5" t="s">
        <v>219</v>
      </c>
      <c r="B378" s="5" t="s">
        <v>595</v>
      </c>
      <c r="C378" s="5" t="s">
        <v>812</v>
      </c>
      <c r="D378" s="5" t="s">
        <v>1268</v>
      </c>
      <c r="E378" s="5" t="s">
        <v>1504</v>
      </c>
      <c r="F378" s="22">
        <v>24</v>
      </c>
      <c r="G378" s="22">
        <v>0</v>
      </c>
      <c r="H378" s="22">
        <f>F378*AE378</f>
        <v>0</v>
      </c>
      <c r="I378" s="22">
        <f>J378-H378</f>
        <v>0</v>
      </c>
      <c r="J378" s="22">
        <f>F378*G378</f>
        <v>0</v>
      </c>
      <c r="K378" s="22">
        <v>0</v>
      </c>
      <c r="L378" s="22">
        <f>F378*K378</f>
        <v>0</v>
      </c>
      <c r="M378" s="35" t="s">
        <v>1531</v>
      </c>
      <c r="N378" s="35" t="s">
        <v>7</v>
      </c>
      <c r="O378" s="22">
        <f>IF(N378="5",I378,0)</f>
        <v>0</v>
      </c>
      <c r="Z378" s="22">
        <f>IF(AD378=0,J378,0)</f>
        <v>0</v>
      </c>
      <c r="AA378" s="22">
        <f>IF(AD378=15,J378,0)</f>
        <v>0</v>
      </c>
      <c r="AB378" s="22">
        <f>IF(AD378=21,J378,0)</f>
        <v>0</v>
      </c>
      <c r="AD378" s="39">
        <v>15</v>
      </c>
      <c r="AE378" s="39">
        <f>G378*0</f>
        <v>0</v>
      </c>
      <c r="AF378" s="39">
        <f>G378*(1-0)</f>
        <v>0</v>
      </c>
      <c r="AM378" s="39">
        <f>F378*AE378</f>
        <v>0</v>
      </c>
      <c r="AN378" s="39">
        <f>F378*AF378</f>
        <v>0</v>
      </c>
      <c r="AO378" s="40" t="s">
        <v>1579</v>
      </c>
      <c r="AP378" s="40" t="s">
        <v>1607</v>
      </c>
      <c r="AQ378" s="31" t="s">
        <v>1612</v>
      </c>
    </row>
    <row r="379" spans="1:43" ht="12.75">
      <c r="A379" s="5" t="s">
        <v>220</v>
      </c>
      <c r="B379" s="5" t="s">
        <v>595</v>
      </c>
      <c r="C379" s="5" t="s">
        <v>813</v>
      </c>
      <c r="D379" s="5" t="s">
        <v>1269</v>
      </c>
      <c r="E379" s="5" t="s">
        <v>1503</v>
      </c>
      <c r="F379" s="22">
        <v>8.28</v>
      </c>
      <c r="G379" s="22">
        <v>0</v>
      </c>
      <c r="H379" s="22">
        <f>F379*AE379</f>
        <v>0</v>
      </c>
      <c r="I379" s="22">
        <f>J379-H379</f>
        <v>0</v>
      </c>
      <c r="J379" s="22">
        <f>F379*G379</f>
        <v>0</v>
      </c>
      <c r="K379" s="22">
        <v>0.11367</v>
      </c>
      <c r="L379" s="22">
        <f>F379*K379</f>
        <v>0.9411875999999999</v>
      </c>
      <c r="M379" s="35" t="s">
        <v>1531</v>
      </c>
      <c r="N379" s="35" t="s">
        <v>9</v>
      </c>
      <c r="O379" s="22">
        <f>IF(N379="5",I379,0)</f>
        <v>0</v>
      </c>
      <c r="Z379" s="22">
        <f>IF(AD379=0,J379,0)</f>
        <v>0</v>
      </c>
      <c r="AA379" s="22">
        <f>IF(AD379=15,J379,0)</f>
        <v>0</v>
      </c>
      <c r="AB379" s="22">
        <f>IF(AD379=21,J379,0)</f>
        <v>0</v>
      </c>
      <c r="AD379" s="39">
        <v>15</v>
      </c>
      <c r="AE379" s="39">
        <f>G379*0.087032967032967</f>
        <v>0</v>
      </c>
      <c r="AF379" s="39">
        <f>G379*(1-0.087032967032967)</f>
        <v>0</v>
      </c>
      <c r="AM379" s="39">
        <f>F379*AE379</f>
        <v>0</v>
      </c>
      <c r="AN379" s="39">
        <f>F379*AF379</f>
        <v>0</v>
      </c>
      <c r="AO379" s="40" t="s">
        <v>1579</v>
      </c>
      <c r="AP379" s="40" t="s">
        <v>1607</v>
      </c>
      <c r="AQ379" s="31" t="s">
        <v>1612</v>
      </c>
    </row>
    <row r="380" ht="12.75">
      <c r="D380" s="18" t="s">
        <v>1270</v>
      </c>
    </row>
    <row r="381" spans="4:6" ht="10.8" customHeight="1">
      <c r="D381" s="17" t="s">
        <v>1271</v>
      </c>
      <c r="F381" s="23">
        <v>9.36</v>
      </c>
    </row>
    <row r="382" spans="4:6" ht="10.8" customHeight="1">
      <c r="D382" s="17" t="s">
        <v>1272</v>
      </c>
      <c r="F382" s="23">
        <v>-1.08</v>
      </c>
    </row>
    <row r="383" spans="1:43" ht="12.75">
      <c r="A383" s="5" t="s">
        <v>221</v>
      </c>
      <c r="B383" s="5" t="s">
        <v>595</v>
      </c>
      <c r="C383" s="5" t="s">
        <v>814</v>
      </c>
      <c r="D383" s="5" t="s">
        <v>1273</v>
      </c>
      <c r="E383" s="5" t="s">
        <v>1503</v>
      </c>
      <c r="F383" s="22">
        <v>21</v>
      </c>
      <c r="G383" s="22">
        <v>0</v>
      </c>
      <c r="H383" s="22">
        <f>F383*AE383</f>
        <v>0</v>
      </c>
      <c r="I383" s="22">
        <f>J383-H383</f>
        <v>0</v>
      </c>
      <c r="J383" s="22">
        <f>F383*G383</f>
        <v>0</v>
      </c>
      <c r="K383" s="22">
        <v>0.07717</v>
      </c>
      <c r="L383" s="22">
        <f>F383*K383</f>
        <v>1.62057</v>
      </c>
      <c r="M383" s="35" t="s">
        <v>1531</v>
      </c>
      <c r="N383" s="35" t="s">
        <v>7</v>
      </c>
      <c r="O383" s="22">
        <f>IF(N383="5",I383,0)</f>
        <v>0</v>
      </c>
      <c r="Z383" s="22">
        <f>IF(AD383=0,J383,0)</f>
        <v>0</v>
      </c>
      <c r="AA383" s="22">
        <f>IF(AD383=15,J383,0)</f>
        <v>0</v>
      </c>
      <c r="AB383" s="22">
        <f>IF(AD383=21,J383,0)</f>
        <v>0</v>
      </c>
      <c r="AD383" s="39">
        <v>15</v>
      </c>
      <c r="AE383" s="39">
        <f>G383*0.105094339622642</f>
        <v>0</v>
      </c>
      <c r="AF383" s="39">
        <f>G383*(1-0.105094339622642)</f>
        <v>0</v>
      </c>
      <c r="AM383" s="39">
        <f>F383*AE383</f>
        <v>0</v>
      </c>
      <c r="AN383" s="39">
        <f>F383*AF383</f>
        <v>0</v>
      </c>
      <c r="AO383" s="40" t="s">
        <v>1579</v>
      </c>
      <c r="AP383" s="40" t="s">
        <v>1607</v>
      </c>
      <c r="AQ383" s="31" t="s">
        <v>1612</v>
      </c>
    </row>
    <row r="384" ht="12.75">
      <c r="D384" s="18" t="s">
        <v>1274</v>
      </c>
    </row>
    <row r="385" spans="1:43" ht="12.75">
      <c r="A385" s="5" t="s">
        <v>222</v>
      </c>
      <c r="B385" s="5" t="s">
        <v>595</v>
      </c>
      <c r="C385" s="5" t="s">
        <v>815</v>
      </c>
      <c r="D385" s="5" t="s">
        <v>1275</v>
      </c>
      <c r="E385" s="5" t="s">
        <v>1505</v>
      </c>
      <c r="F385" s="22">
        <v>30</v>
      </c>
      <c r="G385" s="22">
        <v>0</v>
      </c>
      <c r="H385" s="22">
        <f>F385*AE385</f>
        <v>0</v>
      </c>
      <c r="I385" s="22">
        <f>J385-H385</f>
        <v>0</v>
      </c>
      <c r="J385" s="22">
        <f>F385*G385</f>
        <v>0</v>
      </c>
      <c r="K385" s="22">
        <v>0.03738</v>
      </c>
      <c r="L385" s="22">
        <f>F385*K385</f>
        <v>1.1214</v>
      </c>
      <c r="M385" s="35" t="s">
        <v>1531</v>
      </c>
      <c r="N385" s="35" t="s">
        <v>7</v>
      </c>
      <c r="O385" s="22">
        <f>IF(N385="5",I385,0)</f>
        <v>0</v>
      </c>
      <c r="Z385" s="22">
        <f>IF(AD385=0,J385,0)</f>
        <v>0</v>
      </c>
      <c r="AA385" s="22">
        <f>IF(AD385=15,J385,0)</f>
        <v>0</v>
      </c>
      <c r="AB385" s="22">
        <f>IF(AD385=21,J385,0)</f>
        <v>0</v>
      </c>
      <c r="AD385" s="39">
        <v>15</v>
      </c>
      <c r="AE385" s="39">
        <f>G385*0.226237623762376</f>
        <v>0</v>
      </c>
      <c r="AF385" s="39">
        <f>G385*(1-0.226237623762376)</f>
        <v>0</v>
      </c>
      <c r="AM385" s="39">
        <f>F385*AE385</f>
        <v>0</v>
      </c>
      <c r="AN385" s="39">
        <f>F385*AF385</f>
        <v>0</v>
      </c>
      <c r="AO385" s="40" t="s">
        <v>1579</v>
      </c>
      <c r="AP385" s="40" t="s">
        <v>1607</v>
      </c>
      <c r="AQ385" s="31" t="s">
        <v>1612</v>
      </c>
    </row>
    <row r="386" spans="1:43" ht="12.75">
      <c r="A386" s="5" t="s">
        <v>223</v>
      </c>
      <c r="B386" s="5" t="s">
        <v>595</v>
      </c>
      <c r="C386" s="5" t="s">
        <v>816</v>
      </c>
      <c r="D386" s="5" t="s">
        <v>1276</v>
      </c>
      <c r="E386" s="5" t="s">
        <v>1505</v>
      </c>
      <c r="F386" s="22">
        <v>18</v>
      </c>
      <c r="G386" s="22">
        <v>0</v>
      </c>
      <c r="H386" s="22">
        <f>F386*AE386</f>
        <v>0</v>
      </c>
      <c r="I386" s="22">
        <f>J386-H386</f>
        <v>0</v>
      </c>
      <c r="J386" s="22">
        <f>F386*G386</f>
        <v>0</v>
      </c>
      <c r="K386" s="22">
        <v>0.03759</v>
      </c>
      <c r="L386" s="22">
        <f>F386*K386</f>
        <v>0.67662</v>
      </c>
      <c r="M386" s="35" t="s">
        <v>1531</v>
      </c>
      <c r="N386" s="35" t="s">
        <v>7</v>
      </c>
      <c r="O386" s="22">
        <f>IF(N386="5",I386,0)</f>
        <v>0</v>
      </c>
      <c r="Z386" s="22">
        <f>IF(AD386=0,J386,0)</f>
        <v>0</v>
      </c>
      <c r="AA386" s="22">
        <f>IF(AD386=15,J386,0)</f>
        <v>0</v>
      </c>
      <c r="AB386" s="22">
        <f>IF(AD386=21,J386,0)</f>
        <v>0</v>
      </c>
      <c r="AD386" s="39">
        <v>15</v>
      </c>
      <c r="AE386" s="39">
        <f>G386*0.110555555555556</f>
        <v>0</v>
      </c>
      <c r="AF386" s="39">
        <f>G386*(1-0.110555555555556)</f>
        <v>0</v>
      </c>
      <c r="AM386" s="39">
        <f>F386*AE386</f>
        <v>0</v>
      </c>
      <c r="AN386" s="39">
        <f>F386*AF386</f>
        <v>0</v>
      </c>
      <c r="AO386" s="40" t="s">
        <v>1579</v>
      </c>
      <c r="AP386" s="40" t="s">
        <v>1607</v>
      </c>
      <c r="AQ386" s="31" t="s">
        <v>1612</v>
      </c>
    </row>
    <row r="387" spans="1:43" ht="12.75">
      <c r="A387" s="5" t="s">
        <v>224</v>
      </c>
      <c r="B387" s="5" t="s">
        <v>595</v>
      </c>
      <c r="C387" s="5" t="s">
        <v>817</v>
      </c>
      <c r="D387" s="5" t="s">
        <v>1277</v>
      </c>
      <c r="E387" s="5" t="s">
        <v>1503</v>
      </c>
      <c r="F387" s="22">
        <v>11.07</v>
      </c>
      <c r="G387" s="22">
        <v>0</v>
      </c>
      <c r="H387" s="22">
        <f>F387*AE387</f>
        <v>0</v>
      </c>
      <c r="I387" s="22">
        <f>J387-H387</f>
        <v>0</v>
      </c>
      <c r="J387" s="22">
        <f>F387*G387</f>
        <v>0</v>
      </c>
      <c r="K387" s="22">
        <v>0.065</v>
      </c>
      <c r="L387" s="22">
        <f>F387*K387</f>
        <v>0.71955</v>
      </c>
      <c r="M387" s="35" t="s">
        <v>1531</v>
      </c>
      <c r="N387" s="35" t="s">
        <v>9</v>
      </c>
      <c r="O387" s="22">
        <f>IF(N387="5",I387,0)</f>
        <v>0</v>
      </c>
      <c r="Z387" s="22">
        <f>IF(AD387=0,J387,0)</f>
        <v>0</v>
      </c>
      <c r="AA387" s="22">
        <f>IF(AD387=15,J387,0)</f>
        <v>0</v>
      </c>
      <c r="AB387" s="22">
        <f>IF(AD387=21,J387,0)</f>
        <v>0</v>
      </c>
      <c r="AD387" s="39">
        <v>15</v>
      </c>
      <c r="AE387" s="39">
        <f>G387*0</f>
        <v>0</v>
      </c>
      <c r="AF387" s="39">
        <f>G387*(1-0)</f>
        <v>0</v>
      </c>
      <c r="AM387" s="39">
        <f>F387*AE387</f>
        <v>0</v>
      </c>
      <c r="AN387" s="39">
        <f>F387*AF387</f>
        <v>0</v>
      </c>
      <c r="AO387" s="40" t="s">
        <v>1579</v>
      </c>
      <c r="AP387" s="40" t="s">
        <v>1607</v>
      </c>
      <c r="AQ387" s="31" t="s">
        <v>1612</v>
      </c>
    </row>
    <row r="388" spans="4:6" ht="10.8" customHeight="1">
      <c r="D388" s="17" t="s">
        <v>1278</v>
      </c>
      <c r="F388" s="23">
        <v>7.29</v>
      </c>
    </row>
    <row r="389" spans="4:6" ht="10.8" customHeight="1">
      <c r="D389" s="17" t="s">
        <v>1279</v>
      </c>
      <c r="F389" s="23">
        <v>3.78</v>
      </c>
    </row>
    <row r="390" spans="1:43" ht="12.75">
      <c r="A390" s="5" t="s">
        <v>225</v>
      </c>
      <c r="B390" s="5" t="s">
        <v>595</v>
      </c>
      <c r="C390" s="5" t="s">
        <v>818</v>
      </c>
      <c r="D390" s="5" t="s">
        <v>1280</v>
      </c>
      <c r="E390" s="5" t="s">
        <v>1504</v>
      </c>
      <c r="F390" s="22">
        <v>3</v>
      </c>
      <c r="G390" s="22">
        <v>0</v>
      </c>
      <c r="H390" s="22">
        <f>F390*AE390</f>
        <v>0</v>
      </c>
      <c r="I390" s="22">
        <f>J390-H390</f>
        <v>0</v>
      </c>
      <c r="J390" s="22">
        <f>F390*G390</f>
        <v>0</v>
      </c>
      <c r="K390" s="22">
        <v>0.01549</v>
      </c>
      <c r="L390" s="22">
        <f>F390*K390</f>
        <v>0.04647</v>
      </c>
      <c r="M390" s="35" t="s">
        <v>1531</v>
      </c>
      <c r="N390" s="35" t="s">
        <v>7</v>
      </c>
      <c r="O390" s="22">
        <f>IF(N390="5",I390,0)</f>
        <v>0</v>
      </c>
      <c r="Z390" s="22">
        <f>IF(AD390=0,J390,0)</f>
        <v>0</v>
      </c>
      <c r="AA390" s="22">
        <f>IF(AD390=15,J390,0)</f>
        <v>0</v>
      </c>
      <c r="AB390" s="22">
        <f>IF(AD390=21,J390,0)</f>
        <v>0</v>
      </c>
      <c r="AD390" s="39">
        <v>15</v>
      </c>
      <c r="AE390" s="39">
        <f>G390*0</f>
        <v>0</v>
      </c>
      <c r="AF390" s="39">
        <f>G390*(1-0)</f>
        <v>0</v>
      </c>
      <c r="AM390" s="39">
        <f>F390*AE390</f>
        <v>0</v>
      </c>
      <c r="AN390" s="39">
        <f>F390*AF390</f>
        <v>0</v>
      </c>
      <c r="AO390" s="40" t="s">
        <v>1579</v>
      </c>
      <c r="AP390" s="40" t="s">
        <v>1607</v>
      </c>
      <c r="AQ390" s="31" t="s">
        <v>1612</v>
      </c>
    </row>
    <row r="391" spans="1:43" ht="12.75">
      <c r="A391" s="5" t="s">
        <v>226</v>
      </c>
      <c r="B391" s="5" t="s">
        <v>595</v>
      </c>
      <c r="C391" s="5" t="s">
        <v>814</v>
      </c>
      <c r="D391" s="5" t="s">
        <v>1273</v>
      </c>
      <c r="E391" s="5" t="s">
        <v>1503</v>
      </c>
      <c r="F391" s="22">
        <v>3</v>
      </c>
      <c r="G391" s="22">
        <v>0</v>
      </c>
      <c r="H391" s="22">
        <f>F391*AE391</f>
        <v>0</v>
      </c>
      <c r="I391" s="22">
        <f>J391-H391</f>
        <v>0</v>
      </c>
      <c r="J391" s="22">
        <f>F391*G391</f>
        <v>0</v>
      </c>
      <c r="K391" s="22">
        <v>0.07717</v>
      </c>
      <c r="L391" s="22">
        <f>F391*K391</f>
        <v>0.23151</v>
      </c>
      <c r="M391" s="35" t="s">
        <v>1531</v>
      </c>
      <c r="N391" s="35" t="s">
        <v>7</v>
      </c>
      <c r="O391" s="22">
        <f>IF(N391="5",I391,0)</f>
        <v>0</v>
      </c>
      <c r="Z391" s="22">
        <f>IF(AD391=0,J391,0)</f>
        <v>0</v>
      </c>
      <c r="AA391" s="22">
        <f>IF(AD391=15,J391,0)</f>
        <v>0</v>
      </c>
      <c r="AB391" s="22">
        <f>IF(AD391=21,J391,0)</f>
        <v>0</v>
      </c>
      <c r="AD391" s="39">
        <v>15</v>
      </c>
      <c r="AE391" s="39">
        <f>G391*0.105094339622642</f>
        <v>0</v>
      </c>
      <c r="AF391" s="39">
        <f>G391*(1-0.105094339622642)</f>
        <v>0</v>
      </c>
      <c r="AM391" s="39">
        <f>F391*AE391</f>
        <v>0</v>
      </c>
      <c r="AN391" s="39">
        <f>F391*AF391</f>
        <v>0</v>
      </c>
      <c r="AO391" s="40" t="s">
        <v>1579</v>
      </c>
      <c r="AP391" s="40" t="s">
        <v>1607</v>
      </c>
      <c r="AQ391" s="31" t="s">
        <v>1612</v>
      </c>
    </row>
    <row r="392" ht="12.75">
      <c r="D392" s="18" t="s">
        <v>1281</v>
      </c>
    </row>
    <row r="393" spans="1:43" ht="12.75">
      <c r="A393" s="5" t="s">
        <v>227</v>
      </c>
      <c r="B393" s="5" t="s">
        <v>595</v>
      </c>
      <c r="C393" s="5" t="s">
        <v>817</v>
      </c>
      <c r="D393" s="5" t="s">
        <v>1277</v>
      </c>
      <c r="E393" s="5" t="s">
        <v>1503</v>
      </c>
      <c r="F393" s="22">
        <v>6.54</v>
      </c>
      <c r="G393" s="22">
        <v>0</v>
      </c>
      <c r="H393" s="22">
        <f>F393*AE393</f>
        <v>0</v>
      </c>
      <c r="I393" s="22">
        <f>J393-H393</f>
        <v>0</v>
      </c>
      <c r="J393" s="22">
        <f>F393*G393</f>
        <v>0</v>
      </c>
      <c r="K393" s="22">
        <v>0.065</v>
      </c>
      <c r="L393" s="22">
        <f>F393*K393</f>
        <v>0.42510000000000003</v>
      </c>
      <c r="M393" s="35" t="s">
        <v>1531</v>
      </c>
      <c r="N393" s="35" t="s">
        <v>9</v>
      </c>
      <c r="O393" s="22">
        <f>IF(N393="5",I393,0)</f>
        <v>0</v>
      </c>
      <c r="Z393" s="22">
        <f>IF(AD393=0,J393,0)</f>
        <v>0</v>
      </c>
      <c r="AA393" s="22">
        <f>IF(AD393=15,J393,0)</f>
        <v>0</v>
      </c>
      <c r="AB393" s="22">
        <f>IF(AD393=21,J393,0)</f>
        <v>0</v>
      </c>
      <c r="AD393" s="39">
        <v>15</v>
      </c>
      <c r="AE393" s="39">
        <f>G393*0</f>
        <v>0</v>
      </c>
      <c r="AF393" s="39">
        <f>G393*(1-0)</f>
        <v>0</v>
      </c>
      <c r="AM393" s="39">
        <f>F393*AE393</f>
        <v>0</v>
      </c>
      <c r="AN393" s="39">
        <f>F393*AF393</f>
        <v>0</v>
      </c>
      <c r="AO393" s="40" t="s">
        <v>1579</v>
      </c>
      <c r="AP393" s="40" t="s">
        <v>1607</v>
      </c>
      <c r="AQ393" s="31" t="s">
        <v>1612</v>
      </c>
    </row>
    <row r="394" ht="12.75">
      <c r="D394" s="18" t="s">
        <v>1108</v>
      </c>
    </row>
    <row r="395" spans="1:37" ht="12.75">
      <c r="A395" s="4"/>
      <c r="B395" s="14" t="s">
        <v>595</v>
      </c>
      <c r="C395" s="14" t="s">
        <v>103</v>
      </c>
      <c r="D395" s="104" t="s">
        <v>1282</v>
      </c>
      <c r="E395" s="105"/>
      <c r="F395" s="105"/>
      <c r="G395" s="105"/>
      <c r="H395" s="42">
        <f>SUM(H396:H396)</f>
        <v>0</v>
      </c>
      <c r="I395" s="42">
        <f>SUM(I396:I396)</f>
        <v>0</v>
      </c>
      <c r="J395" s="42">
        <f>H395+I395</f>
        <v>0</v>
      </c>
      <c r="K395" s="31"/>
      <c r="L395" s="42">
        <f>SUM(L396:L396)</f>
        <v>0.3735</v>
      </c>
      <c r="M395" s="31"/>
      <c r="P395" s="42">
        <f>IF(Q395="PR",J395,SUM(O396:O396))</f>
        <v>0</v>
      </c>
      <c r="Q395" s="31" t="s">
        <v>1536</v>
      </c>
      <c r="R395" s="42">
        <f>IF(Q395="HS",H395,0)</f>
        <v>0</v>
      </c>
      <c r="S395" s="42">
        <f>IF(Q395="HS",I395-P395,0)</f>
        <v>0</v>
      </c>
      <c r="T395" s="42">
        <f>IF(Q395="PS",H395,0)</f>
        <v>0</v>
      </c>
      <c r="U395" s="42">
        <f>IF(Q395="PS",I395-P395,0)</f>
        <v>0</v>
      </c>
      <c r="V395" s="42">
        <f>IF(Q395="MP",H395,0)</f>
        <v>0</v>
      </c>
      <c r="W395" s="42">
        <f>IF(Q395="MP",I395-P395,0)</f>
        <v>0</v>
      </c>
      <c r="X395" s="42">
        <f>IF(Q395="OM",H395,0)</f>
        <v>0</v>
      </c>
      <c r="Y395" s="31" t="s">
        <v>595</v>
      </c>
      <c r="AI395" s="42">
        <f>SUM(Z396:Z396)</f>
        <v>0</v>
      </c>
      <c r="AJ395" s="42">
        <f>SUM(AA396:AA396)</f>
        <v>0</v>
      </c>
      <c r="AK395" s="42">
        <f>SUM(AB396:AB396)</f>
        <v>0</v>
      </c>
    </row>
    <row r="396" spans="1:43" ht="12.75">
      <c r="A396" s="5" t="s">
        <v>228</v>
      </c>
      <c r="B396" s="5" t="s">
        <v>595</v>
      </c>
      <c r="C396" s="5" t="s">
        <v>819</v>
      </c>
      <c r="D396" s="5" t="s">
        <v>1283</v>
      </c>
      <c r="E396" s="5" t="s">
        <v>1505</v>
      </c>
      <c r="F396" s="22">
        <v>150</v>
      </c>
      <c r="G396" s="22">
        <v>0</v>
      </c>
      <c r="H396" s="22">
        <f>F396*AE396</f>
        <v>0</v>
      </c>
      <c r="I396" s="22">
        <f>J396-H396</f>
        <v>0</v>
      </c>
      <c r="J396" s="22">
        <f>F396*G396</f>
        <v>0</v>
      </c>
      <c r="K396" s="22">
        <v>0.00249</v>
      </c>
      <c r="L396" s="22">
        <f>F396*K396</f>
        <v>0.3735</v>
      </c>
      <c r="M396" s="35" t="s">
        <v>1531</v>
      </c>
      <c r="N396" s="35" t="s">
        <v>7</v>
      </c>
      <c r="O396" s="22">
        <f>IF(N396="5",I396,0)</f>
        <v>0</v>
      </c>
      <c r="Z396" s="22">
        <f>IF(AD396=0,J396,0)</f>
        <v>0</v>
      </c>
      <c r="AA396" s="22">
        <f>IF(AD396=15,J396,0)</f>
        <v>0</v>
      </c>
      <c r="AB396" s="22">
        <f>IF(AD396=21,J396,0)</f>
        <v>0</v>
      </c>
      <c r="AD396" s="39">
        <v>15</v>
      </c>
      <c r="AE396" s="39">
        <f>G396*0.110889963036679</f>
        <v>0</v>
      </c>
      <c r="AF396" s="39">
        <f>G396*(1-0.110889963036679)</f>
        <v>0</v>
      </c>
      <c r="AM396" s="39">
        <f>F396*AE396</f>
        <v>0</v>
      </c>
      <c r="AN396" s="39">
        <f>F396*AF396</f>
        <v>0</v>
      </c>
      <c r="AO396" s="40" t="s">
        <v>1580</v>
      </c>
      <c r="AP396" s="40" t="s">
        <v>1607</v>
      </c>
      <c r="AQ396" s="31" t="s">
        <v>1612</v>
      </c>
    </row>
    <row r="397" spans="1:37" ht="12.75">
      <c r="A397" s="4"/>
      <c r="B397" s="14" t="s">
        <v>595</v>
      </c>
      <c r="C397" s="14" t="s">
        <v>653</v>
      </c>
      <c r="D397" s="104" t="s">
        <v>1038</v>
      </c>
      <c r="E397" s="105"/>
      <c r="F397" s="105"/>
      <c r="G397" s="105"/>
      <c r="H397" s="42">
        <f>SUM(H398:H398)</f>
        <v>0</v>
      </c>
      <c r="I397" s="42">
        <f>SUM(I398:I398)</f>
        <v>0</v>
      </c>
      <c r="J397" s="42">
        <f>H397+I397</f>
        <v>0</v>
      </c>
      <c r="K397" s="31"/>
      <c r="L397" s="42">
        <f>SUM(L398:L398)</f>
        <v>0</v>
      </c>
      <c r="M397" s="31"/>
      <c r="P397" s="42">
        <f>IF(Q397="PR",J397,SUM(O398:O398))</f>
        <v>0</v>
      </c>
      <c r="Q397" s="31" t="s">
        <v>1536</v>
      </c>
      <c r="R397" s="42">
        <f>IF(Q397="HS",H397,0)</f>
        <v>0</v>
      </c>
      <c r="S397" s="42">
        <f>IF(Q397="HS",I397-P397,0)</f>
        <v>0</v>
      </c>
      <c r="T397" s="42">
        <f>IF(Q397="PS",H397,0)</f>
        <v>0</v>
      </c>
      <c r="U397" s="42">
        <f>IF(Q397="PS",I397-P397,0)</f>
        <v>0</v>
      </c>
      <c r="V397" s="42">
        <f>IF(Q397="MP",H397,0)</f>
        <v>0</v>
      </c>
      <c r="W397" s="42">
        <f>IF(Q397="MP",I397-P397,0)</f>
        <v>0</v>
      </c>
      <c r="X397" s="42">
        <f>IF(Q397="OM",H397,0)</f>
        <v>0</v>
      </c>
      <c r="Y397" s="31" t="s">
        <v>595</v>
      </c>
      <c r="AI397" s="42">
        <f>SUM(Z398:Z398)</f>
        <v>0</v>
      </c>
      <c r="AJ397" s="42">
        <f>SUM(AA398:AA398)</f>
        <v>0</v>
      </c>
      <c r="AK397" s="42">
        <f>SUM(AB398:AB398)</f>
        <v>0</v>
      </c>
    </row>
    <row r="398" spans="1:43" ht="12.75">
      <c r="A398" s="5" t="s">
        <v>229</v>
      </c>
      <c r="B398" s="5" t="s">
        <v>595</v>
      </c>
      <c r="C398" s="5" t="s">
        <v>820</v>
      </c>
      <c r="D398" s="5" t="s">
        <v>1284</v>
      </c>
      <c r="E398" s="5" t="s">
        <v>1508</v>
      </c>
      <c r="F398" s="22">
        <v>15.01</v>
      </c>
      <c r="G398" s="22">
        <v>0</v>
      </c>
      <c r="H398" s="22">
        <f>F398*AE398</f>
        <v>0</v>
      </c>
      <c r="I398" s="22">
        <f>J398-H398</f>
        <v>0</v>
      </c>
      <c r="J398" s="22">
        <f>F398*G398</f>
        <v>0</v>
      </c>
      <c r="K398" s="22">
        <v>0</v>
      </c>
      <c r="L398" s="22">
        <f>F398*K398</f>
        <v>0</v>
      </c>
      <c r="M398" s="35" t="s">
        <v>1531</v>
      </c>
      <c r="N398" s="35" t="s">
        <v>11</v>
      </c>
      <c r="O398" s="22">
        <f>IF(N398="5",I398,0)</f>
        <v>0</v>
      </c>
      <c r="Z398" s="22">
        <f>IF(AD398=0,J398,0)</f>
        <v>0</v>
      </c>
      <c r="AA398" s="22">
        <f>IF(AD398=15,J398,0)</f>
        <v>0</v>
      </c>
      <c r="AB398" s="22">
        <f>IF(AD398=21,J398,0)</f>
        <v>0</v>
      </c>
      <c r="AD398" s="39">
        <v>15</v>
      </c>
      <c r="AE398" s="39">
        <f>G398*0</f>
        <v>0</v>
      </c>
      <c r="AF398" s="39">
        <f>G398*(1-0)</f>
        <v>0</v>
      </c>
      <c r="AM398" s="39">
        <f>F398*AE398</f>
        <v>0</v>
      </c>
      <c r="AN398" s="39">
        <f>F398*AF398</f>
        <v>0</v>
      </c>
      <c r="AO398" s="40" t="s">
        <v>1559</v>
      </c>
      <c r="AP398" s="40" t="s">
        <v>1607</v>
      </c>
      <c r="AQ398" s="31" t="s">
        <v>1612</v>
      </c>
    </row>
    <row r="399" spans="1:37" ht="12.75">
      <c r="A399" s="4"/>
      <c r="B399" s="14" t="s">
        <v>595</v>
      </c>
      <c r="C399" s="14" t="s">
        <v>821</v>
      </c>
      <c r="D399" s="104" t="s">
        <v>1103</v>
      </c>
      <c r="E399" s="105"/>
      <c r="F399" s="105"/>
      <c r="G399" s="105"/>
      <c r="H399" s="42">
        <f>SUM(H400:H400)</f>
        <v>0</v>
      </c>
      <c r="I399" s="42">
        <f>SUM(I400:I400)</f>
        <v>0</v>
      </c>
      <c r="J399" s="42">
        <f>H399+I399</f>
        <v>0</v>
      </c>
      <c r="K399" s="31"/>
      <c r="L399" s="42">
        <f>SUM(L400:L400)</f>
        <v>0</v>
      </c>
      <c r="M399" s="31"/>
      <c r="P399" s="42">
        <f>IF(Q399="PR",J399,SUM(O400:O400))</f>
        <v>0</v>
      </c>
      <c r="Q399" s="31" t="s">
        <v>1536</v>
      </c>
      <c r="R399" s="42">
        <f>IF(Q399="HS",H399,0)</f>
        <v>0</v>
      </c>
      <c r="S399" s="42">
        <f>IF(Q399="HS",I399-P399,0)</f>
        <v>0</v>
      </c>
      <c r="T399" s="42">
        <f>IF(Q399="PS",H399,0)</f>
        <v>0</v>
      </c>
      <c r="U399" s="42">
        <f>IF(Q399="PS",I399-P399,0)</f>
        <v>0</v>
      </c>
      <c r="V399" s="42">
        <f>IF(Q399="MP",H399,0)</f>
        <v>0</v>
      </c>
      <c r="W399" s="42">
        <f>IF(Q399="MP",I399-P399,0)</f>
        <v>0</v>
      </c>
      <c r="X399" s="42">
        <f>IF(Q399="OM",H399,0)</f>
        <v>0</v>
      </c>
      <c r="Y399" s="31" t="s">
        <v>595</v>
      </c>
      <c r="AI399" s="42">
        <f>SUM(Z400:Z400)</f>
        <v>0</v>
      </c>
      <c r="AJ399" s="42">
        <f>SUM(AA400:AA400)</f>
        <v>0</v>
      </c>
      <c r="AK399" s="42">
        <f>SUM(AB400:AB400)</f>
        <v>0</v>
      </c>
    </row>
    <row r="400" spans="1:43" ht="12.75">
      <c r="A400" s="5" t="s">
        <v>230</v>
      </c>
      <c r="B400" s="5" t="s">
        <v>595</v>
      </c>
      <c r="C400" s="5" t="s">
        <v>822</v>
      </c>
      <c r="D400" s="5" t="s">
        <v>1285</v>
      </c>
      <c r="E400" s="5" t="s">
        <v>1509</v>
      </c>
      <c r="F400" s="22">
        <v>1</v>
      </c>
      <c r="G400" s="22">
        <v>0</v>
      </c>
      <c r="H400" s="22">
        <f>F400*AE400</f>
        <v>0</v>
      </c>
      <c r="I400" s="22">
        <f>J400-H400</f>
        <v>0</v>
      </c>
      <c r="J400" s="22">
        <f>F400*G400</f>
        <v>0</v>
      </c>
      <c r="K400" s="22">
        <v>0</v>
      </c>
      <c r="L400" s="22">
        <f>F400*K400</f>
        <v>0</v>
      </c>
      <c r="M400" s="35" t="s">
        <v>1531</v>
      </c>
      <c r="N400" s="35" t="s">
        <v>11</v>
      </c>
      <c r="O400" s="22">
        <f>IF(N400="5",I400,0)</f>
        <v>0</v>
      </c>
      <c r="Z400" s="22">
        <f>IF(AD400=0,J400,0)</f>
        <v>0</v>
      </c>
      <c r="AA400" s="22">
        <f>IF(AD400=15,J400,0)</f>
        <v>0</v>
      </c>
      <c r="AB400" s="22">
        <f>IF(AD400=21,J400,0)</f>
        <v>0</v>
      </c>
      <c r="AD400" s="39">
        <v>15</v>
      </c>
      <c r="AE400" s="39">
        <f>G400*0</f>
        <v>0</v>
      </c>
      <c r="AF400" s="39">
        <f>G400*(1-0)</f>
        <v>0</v>
      </c>
      <c r="AM400" s="39">
        <f>F400*AE400</f>
        <v>0</v>
      </c>
      <c r="AN400" s="39">
        <f>F400*AF400</f>
        <v>0</v>
      </c>
      <c r="AO400" s="40" t="s">
        <v>1581</v>
      </c>
      <c r="AP400" s="40" t="s">
        <v>1607</v>
      </c>
      <c r="AQ400" s="31" t="s">
        <v>1612</v>
      </c>
    </row>
    <row r="401" spans="1:37" ht="12.75">
      <c r="A401" s="4"/>
      <c r="B401" s="14" t="s">
        <v>595</v>
      </c>
      <c r="C401" s="14" t="s">
        <v>823</v>
      </c>
      <c r="D401" s="104" t="s">
        <v>987</v>
      </c>
      <c r="E401" s="105"/>
      <c r="F401" s="105"/>
      <c r="G401" s="105"/>
      <c r="H401" s="42">
        <f>SUM(H402:H402)</f>
        <v>0</v>
      </c>
      <c r="I401" s="42">
        <f>SUM(I402:I402)</f>
        <v>0</v>
      </c>
      <c r="J401" s="42">
        <f>H401+I401</f>
        <v>0</v>
      </c>
      <c r="K401" s="31"/>
      <c r="L401" s="42">
        <f>SUM(L402:L402)</f>
        <v>0</v>
      </c>
      <c r="M401" s="31"/>
      <c r="P401" s="42">
        <f>IF(Q401="PR",J401,SUM(O402:O402))</f>
        <v>0</v>
      </c>
      <c r="Q401" s="31" t="s">
        <v>1536</v>
      </c>
      <c r="R401" s="42">
        <f>IF(Q401="HS",H401,0)</f>
        <v>0</v>
      </c>
      <c r="S401" s="42">
        <f>IF(Q401="HS",I401-P401,0)</f>
        <v>0</v>
      </c>
      <c r="T401" s="42">
        <f>IF(Q401="PS",H401,0)</f>
        <v>0</v>
      </c>
      <c r="U401" s="42">
        <f>IF(Q401="PS",I401-P401,0)</f>
        <v>0</v>
      </c>
      <c r="V401" s="42">
        <f>IF(Q401="MP",H401,0)</f>
        <v>0</v>
      </c>
      <c r="W401" s="42">
        <f>IF(Q401="MP",I401-P401,0)</f>
        <v>0</v>
      </c>
      <c r="X401" s="42">
        <f>IF(Q401="OM",H401,0)</f>
        <v>0</v>
      </c>
      <c r="Y401" s="31" t="s">
        <v>595</v>
      </c>
      <c r="AI401" s="42">
        <f>SUM(Z402:Z402)</f>
        <v>0</v>
      </c>
      <c r="AJ401" s="42">
        <f>SUM(AA402:AA402)</f>
        <v>0</v>
      </c>
      <c r="AK401" s="42">
        <f>SUM(AB402:AB402)</f>
        <v>0</v>
      </c>
    </row>
    <row r="402" spans="1:43" ht="12.75">
      <c r="A402" s="5" t="s">
        <v>231</v>
      </c>
      <c r="B402" s="5" t="s">
        <v>595</v>
      </c>
      <c r="C402" s="5" t="s">
        <v>824</v>
      </c>
      <c r="D402" s="5" t="s">
        <v>1286</v>
      </c>
      <c r="E402" s="5" t="s">
        <v>1509</v>
      </c>
      <c r="F402" s="22">
        <v>1</v>
      </c>
      <c r="G402" s="22">
        <v>0</v>
      </c>
      <c r="H402" s="22">
        <f>F402*AE402</f>
        <v>0</v>
      </c>
      <c r="I402" s="22">
        <f>J402-H402</f>
        <v>0</v>
      </c>
      <c r="J402" s="22">
        <f>F402*G402</f>
        <v>0</v>
      </c>
      <c r="K402" s="22">
        <v>0</v>
      </c>
      <c r="L402" s="22">
        <f>F402*K402</f>
        <v>0</v>
      </c>
      <c r="M402" s="35" t="s">
        <v>1531</v>
      </c>
      <c r="N402" s="35" t="s">
        <v>11</v>
      </c>
      <c r="O402" s="22">
        <f>IF(N402="5",I402,0)</f>
        <v>0</v>
      </c>
      <c r="Z402" s="22">
        <f>IF(AD402=0,J402,0)</f>
        <v>0</v>
      </c>
      <c r="AA402" s="22">
        <f>IF(AD402=15,J402,0)</f>
        <v>0</v>
      </c>
      <c r="AB402" s="22">
        <f>IF(AD402=21,J402,0)</f>
        <v>0</v>
      </c>
      <c r="AD402" s="39">
        <v>15</v>
      </c>
      <c r="AE402" s="39">
        <f>G402*0</f>
        <v>0</v>
      </c>
      <c r="AF402" s="39">
        <f>G402*(1-0)</f>
        <v>0</v>
      </c>
      <c r="AM402" s="39">
        <f>F402*AE402</f>
        <v>0</v>
      </c>
      <c r="AN402" s="39">
        <f>F402*AF402</f>
        <v>0</v>
      </c>
      <c r="AO402" s="40" t="s">
        <v>1582</v>
      </c>
      <c r="AP402" s="40" t="s">
        <v>1607</v>
      </c>
      <c r="AQ402" s="31" t="s">
        <v>1612</v>
      </c>
    </row>
    <row r="403" spans="1:37" ht="12.75">
      <c r="A403" s="4"/>
      <c r="B403" s="14" t="s">
        <v>595</v>
      </c>
      <c r="C403" s="14" t="s">
        <v>825</v>
      </c>
      <c r="D403" s="104" t="s">
        <v>1287</v>
      </c>
      <c r="E403" s="105"/>
      <c r="F403" s="105"/>
      <c r="G403" s="105"/>
      <c r="H403" s="42">
        <f>SUM(H404:H404)</f>
        <v>0</v>
      </c>
      <c r="I403" s="42">
        <f>SUM(I404:I404)</f>
        <v>0</v>
      </c>
      <c r="J403" s="42">
        <f>H403+I403</f>
        <v>0</v>
      </c>
      <c r="K403" s="31"/>
      <c r="L403" s="42">
        <f>SUM(L404:L404)</f>
        <v>0</v>
      </c>
      <c r="M403" s="31"/>
      <c r="P403" s="42">
        <f>IF(Q403="PR",J403,SUM(O404:O404))</f>
        <v>0</v>
      </c>
      <c r="Q403" s="31" t="s">
        <v>1536</v>
      </c>
      <c r="R403" s="42">
        <f>IF(Q403="HS",H403,0)</f>
        <v>0</v>
      </c>
      <c r="S403" s="42">
        <f>IF(Q403="HS",I403-P403,0)</f>
        <v>0</v>
      </c>
      <c r="T403" s="42">
        <f>IF(Q403="PS",H403,0)</f>
        <v>0</v>
      </c>
      <c r="U403" s="42">
        <f>IF(Q403="PS",I403-P403,0)</f>
        <v>0</v>
      </c>
      <c r="V403" s="42">
        <f>IF(Q403="MP",H403,0)</f>
        <v>0</v>
      </c>
      <c r="W403" s="42">
        <f>IF(Q403="MP",I403-P403,0)</f>
        <v>0</v>
      </c>
      <c r="X403" s="42">
        <f>IF(Q403="OM",H403,0)</f>
        <v>0</v>
      </c>
      <c r="Y403" s="31" t="s">
        <v>595</v>
      </c>
      <c r="AI403" s="42">
        <f>SUM(Z404:Z404)</f>
        <v>0</v>
      </c>
      <c r="AJ403" s="42">
        <f>SUM(AA404:AA404)</f>
        <v>0</v>
      </c>
      <c r="AK403" s="42">
        <f>SUM(AB404:AB404)</f>
        <v>0</v>
      </c>
    </row>
    <row r="404" spans="1:43" ht="12.75">
      <c r="A404" s="5" t="s">
        <v>232</v>
      </c>
      <c r="B404" s="5" t="s">
        <v>595</v>
      </c>
      <c r="C404" s="5" t="s">
        <v>826</v>
      </c>
      <c r="D404" s="5" t="s">
        <v>1288</v>
      </c>
      <c r="E404" s="5" t="s">
        <v>1509</v>
      </c>
      <c r="F404" s="22">
        <v>1</v>
      </c>
      <c r="G404" s="22">
        <v>0</v>
      </c>
      <c r="H404" s="22">
        <f>F404*AE404</f>
        <v>0</v>
      </c>
      <c r="I404" s="22">
        <f>J404-H404</f>
        <v>0</v>
      </c>
      <c r="J404" s="22">
        <f>F404*G404</f>
        <v>0</v>
      </c>
      <c r="K404" s="22">
        <v>0</v>
      </c>
      <c r="L404" s="22">
        <f>F404*K404</f>
        <v>0</v>
      </c>
      <c r="M404" s="35" t="s">
        <v>1531</v>
      </c>
      <c r="N404" s="35" t="s">
        <v>11</v>
      </c>
      <c r="O404" s="22">
        <f>IF(N404="5",I404,0)</f>
        <v>0</v>
      </c>
      <c r="Z404" s="22">
        <f>IF(AD404=0,J404,0)</f>
        <v>0</v>
      </c>
      <c r="AA404" s="22">
        <f>IF(AD404=15,J404,0)</f>
        <v>0</v>
      </c>
      <c r="AB404" s="22">
        <f>IF(AD404=21,J404,0)</f>
        <v>0</v>
      </c>
      <c r="AD404" s="39">
        <v>15</v>
      </c>
      <c r="AE404" s="39">
        <f>G404*0</f>
        <v>0</v>
      </c>
      <c r="AF404" s="39">
        <f>G404*(1-0)</f>
        <v>0</v>
      </c>
      <c r="AM404" s="39">
        <f>F404*AE404</f>
        <v>0</v>
      </c>
      <c r="AN404" s="39">
        <f>F404*AF404</f>
        <v>0</v>
      </c>
      <c r="AO404" s="40" t="s">
        <v>1583</v>
      </c>
      <c r="AP404" s="40" t="s">
        <v>1607</v>
      </c>
      <c r="AQ404" s="31" t="s">
        <v>1612</v>
      </c>
    </row>
    <row r="405" spans="1:37" ht="12.75">
      <c r="A405" s="4"/>
      <c r="B405" s="14" t="s">
        <v>595</v>
      </c>
      <c r="C405" s="14" t="s">
        <v>827</v>
      </c>
      <c r="D405" s="104" t="s">
        <v>1115</v>
      </c>
      <c r="E405" s="105"/>
      <c r="F405" s="105"/>
      <c r="G405" s="105"/>
      <c r="H405" s="42">
        <f>SUM(H406:H406)</f>
        <v>0</v>
      </c>
      <c r="I405" s="42">
        <f>SUM(I406:I406)</f>
        <v>0</v>
      </c>
      <c r="J405" s="42">
        <f>H405+I405</f>
        <v>0</v>
      </c>
      <c r="K405" s="31"/>
      <c r="L405" s="42">
        <f>SUM(L406:L406)</f>
        <v>0</v>
      </c>
      <c r="M405" s="31"/>
      <c r="P405" s="42">
        <f>IF(Q405="PR",J405,SUM(O406:O406))</f>
        <v>0</v>
      </c>
      <c r="Q405" s="31" t="s">
        <v>1536</v>
      </c>
      <c r="R405" s="42">
        <f>IF(Q405="HS",H405,0)</f>
        <v>0</v>
      </c>
      <c r="S405" s="42">
        <f>IF(Q405="HS",I405-P405,0)</f>
        <v>0</v>
      </c>
      <c r="T405" s="42">
        <f>IF(Q405="PS",H405,0)</f>
        <v>0</v>
      </c>
      <c r="U405" s="42">
        <f>IF(Q405="PS",I405-P405,0)</f>
        <v>0</v>
      </c>
      <c r="V405" s="42">
        <f>IF(Q405="MP",H405,0)</f>
        <v>0</v>
      </c>
      <c r="W405" s="42">
        <f>IF(Q405="MP",I405-P405,0)</f>
        <v>0</v>
      </c>
      <c r="X405" s="42">
        <f>IF(Q405="OM",H405,0)</f>
        <v>0</v>
      </c>
      <c r="Y405" s="31" t="s">
        <v>595</v>
      </c>
      <c r="AI405" s="42">
        <f>SUM(Z406:Z406)</f>
        <v>0</v>
      </c>
      <c r="AJ405" s="42">
        <f>SUM(AA406:AA406)</f>
        <v>0</v>
      </c>
      <c r="AK405" s="42">
        <f>SUM(AB406:AB406)</f>
        <v>0</v>
      </c>
    </row>
    <row r="406" spans="1:43" ht="12.75">
      <c r="A406" s="5" t="s">
        <v>233</v>
      </c>
      <c r="B406" s="5" t="s">
        <v>595</v>
      </c>
      <c r="C406" s="5" t="s">
        <v>828</v>
      </c>
      <c r="D406" s="5" t="s">
        <v>1289</v>
      </c>
      <c r="E406" s="5" t="s">
        <v>1509</v>
      </c>
      <c r="F406" s="22">
        <v>1</v>
      </c>
      <c r="G406" s="22">
        <v>0</v>
      </c>
      <c r="H406" s="22">
        <f>F406*AE406</f>
        <v>0</v>
      </c>
      <c r="I406" s="22">
        <f>J406-H406</f>
        <v>0</v>
      </c>
      <c r="J406" s="22">
        <f>F406*G406</f>
        <v>0</v>
      </c>
      <c r="K406" s="22">
        <v>0</v>
      </c>
      <c r="L406" s="22">
        <f>F406*K406</f>
        <v>0</v>
      </c>
      <c r="M406" s="35" t="s">
        <v>1531</v>
      </c>
      <c r="N406" s="35" t="s">
        <v>11</v>
      </c>
      <c r="O406" s="22">
        <f>IF(N406="5",I406,0)</f>
        <v>0</v>
      </c>
      <c r="Z406" s="22">
        <f>IF(AD406=0,J406,0)</f>
        <v>0</v>
      </c>
      <c r="AA406" s="22">
        <f>IF(AD406=15,J406,0)</f>
        <v>0</v>
      </c>
      <c r="AB406" s="22">
        <f>IF(AD406=21,J406,0)</f>
        <v>0</v>
      </c>
      <c r="AD406" s="39">
        <v>15</v>
      </c>
      <c r="AE406" s="39">
        <f>G406*0</f>
        <v>0</v>
      </c>
      <c r="AF406" s="39">
        <f>G406*(1-0)</f>
        <v>0</v>
      </c>
      <c r="AM406" s="39">
        <f>F406*AE406</f>
        <v>0</v>
      </c>
      <c r="AN406" s="39">
        <f>F406*AF406</f>
        <v>0</v>
      </c>
      <c r="AO406" s="40" t="s">
        <v>1584</v>
      </c>
      <c r="AP406" s="40" t="s">
        <v>1607</v>
      </c>
      <c r="AQ406" s="31" t="s">
        <v>1612</v>
      </c>
    </row>
    <row r="407" spans="1:37" ht="12.75">
      <c r="A407" s="4"/>
      <c r="B407" s="14" t="s">
        <v>595</v>
      </c>
      <c r="C407" s="14" t="s">
        <v>829</v>
      </c>
      <c r="D407" s="104" t="s">
        <v>1128</v>
      </c>
      <c r="E407" s="105"/>
      <c r="F407" s="105"/>
      <c r="G407" s="105"/>
      <c r="H407" s="42">
        <f>SUM(H408:H408)</f>
        <v>0</v>
      </c>
      <c r="I407" s="42">
        <f>SUM(I408:I408)</f>
        <v>0</v>
      </c>
      <c r="J407" s="42">
        <f>H407+I407</f>
        <v>0</v>
      </c>
      <c r="K407" s="31"/>
      <c r="L407" s="42">
        <f>SUM(L408:L408)</f>
        <v>0</v>
      </c>
      <c r="M407" s="31"/>
      <c r="P407" s="42">
        <f>IF(Q407="PR",J407,SUM(O408:O408))</f>
        <v>0</v>
      </c>
      <c r="Q407" s="31" t="s">
        <v>1536</v>
      </c>
      <c r="R407" s="42">
        <f>IF(Q407="HS",H407,0)</f>
        <v>0</v>
      </c>
      <c r="S407" s="42">
        <f>IF(Q407="HS",I407-P407,0)</f>
        <v>0</v>
      </c>
      <c r="T407" s="42">
        <f>IF(Q407="PS",H407,0)</f>
        <v>0</v>
      </c>
      <c r="U407" s="42">
        <f>IF(Q407="PS",I407-P407,0)</f>
        <v>0</v>
      </c>
      <c r="V407" s="42">
        <f>IF(Q407="MP",H407,0)</f>
        <v>0</v>
      </c>
      <c r="W407" s="42">
        <f>IF(Q407="MP",I407-P407,0)</f>
        <v>0</v>
      </c>
      <c r="X407" s="42">
        <f>IF(Q407="OM",H407,0)</f>
        <v>0</v>
      </c>
      <c r="Y407" s="31" t="s">
        <v>595</v>
      </c>
      <c r="AI407" s="42">
        <f>SUM(Z408:Z408)</f>
        <v>0</v>
      </c>
      <c r="AJ407" s="42">
        <f>SUM(AA408:AA408)</f>
        <v>0</v>
      </c>
      <c r="AK407" s="42">
        <f>SUM(AB408:AB408)</f>
        <v>0</v>
      </c>
    </row>
    <row r="408" spans="1:43" ht="12.75">
      <c r="A408" s="5" t="s">
        <v>234</v>
      </c>
      <c r="B408" s="5" t="s">
        <v>595</v>
      </c>
      <c r="C408" s="5" t="s">
        <v>830</v>
      </c>
      <c r="D408" s="5" t="s">
        <v>1290</v>
      </c>
      <c r="E408" s="5" t="s">
        <v>1509</v>
      </c>
      <c r="F408" s="22">
        <v>1</v>
      </c>
      <c r="G408" s="22">
        <v>0</v>
      </c>
      <c r="H408" s="22">
        <f>F408*AE408</f>
        <v>0</v>
      </c>
      <c r="I408" s="22">
        <f>J408-H408</f>
        <v>0</v>
      </c>
      <c r="J408" s="22">
        <f>F408*G408</f>
        <v>0</v>
      </c>
      <c r="K408" s="22">
        <v>0</v>
      </c>
      <c r="L408" s="22">
        <f>F408*K408</f>
        <v>0</v>
      </c>
      <c r="M408" s="35" t="s">
        <v>1531</v>
      </c>
      <c r="N408" s="35" t="s">
        <v>11</v>
      </c>
      <c r="O408" s="22">
        <f>IF(N408="5",I408,0)</f>
        <v>0</v>
      </c>
      <c r="Z408" s="22">
        <f>IF(AD408=0,J408,0)</f>
        <v>0</v>
      </c>
      <c r="AA408" s="22">
        <f>IF(AD408=15,J408,0)</f>
        <v>0</v>
      </c>
      <c r="AB408" s="22">
        <f>IF(AD408=21,J408,0)</f>
        <v>0</v>
      </c>
      <c r="AD408" s="39">
        <v>15</v>
      </c>
      <c r="AE408" s="39">
        <f>G408*0</f>
        <v>0</v>
      </c>
      <c r="AF408" s="39">
        <f>G408*(1-0)</f>
        <v>0</v>
      </c>
      <c r="AM408" s="39">
        <f>F408*AE408</f>
        <v>0</v>
      </c>
      <c r="AN408" s="39">
        <f>F408*AF408</f>
        <v>0</v>
      </c>
      <c r="AO408" s="40" t="s">
        <v>1585</v>
      </c>
      <c r="AP408" s="40" t="s">
        <v>1607</v>
      </c>
      <c r="AQ408" s="31" t="s">
        <v>1612</v>
      </c>
    </row>
    <row r="409" spans="1:37" ht="12.75">
      <c r="A409" s="4"/>
      <c r="B409" s="14" t="s">
        <v>595</v>
      </c>
      <c r="C409" s="14" t="s">
        <v>831</v>
      </c>
      <c r="D409" s="104" t="s">
        <v>1150</v>
      </c>
      <c r="E409" s="105"/>
      <c r="F409" s="105"/>
      <c r="G409" s="105"/>
      <c r="H409" s="42">
        <f>SUM(H410:H410)</f>
        <v>0</v>
      </c>
      <c r="I409" s="42">
        <f>SUM(I410:I410)</f>
        <v>0</v>
      </c>
      <c r="J409" s="42">
        <f>H409+I409</f>
        <v>0</v>
      </c>
      <c r="K409" s="31"/>
      <c r="L409" s="42">
        <f>SUM(L410:L410)</f>
        <v>0</v>
      </c>
      <c r="M409" s="31"/>
      <c r="P409" s="42">
        <f>IF(Q409="PR",J409,SUM(O410:O410))</f>
        <v>0</v>
      </c>
      <c r="Q409" s="31" t="s">
        <v>1536</v>
      </c>
      <c r="R409" s="42">
        <f>IF(Q409="HS",H409,0)</f>
        <v>0</v>
      </c>
      <c r="S409" s="42">
        <f>IF(Q409="HS",I409-P409,0)</f>
        <v>0</v>
      </c>
      <c r="T409" s="42">
        <f>IF(Q409="PS",H409,0)</f>
        <v>0</v>
      </c>
      <c r="U409" s="42">
        <f>IF(Q409="PS",I409-P409,0)</f>
        <v>0</v>
      </c>
      <c r="V409" s="42">
        <f>IF(Q409="MP",H409,0)</f>
        <v>0</v>
      </c>
      <c r="W409" s="42">
        <f>IF(Q409="MP",I409-P409,0)</f>
        <v>0</v>
      </c>
      <c r="X409" s="42">
        <f>IF(Q409="OM",H409,0)</f>
        <v>0</v>
      </c>
      <c r="Y409" s="31" t="s">
        <v>595</v>
      </c>
      <c r="AI409" s="42">
        <f>SUM(Z410:Z410)</f>
        <v>0</v>
      </c>
      <c r="AJ409" s="42">
        <f>SUM(AA410:AA410)</f>
        <v>0</v>
      </c>
      <c r="AK409" s="42">
        <f>SUM(AB410:AB410)</f>
        <v>0</v>
      </c>
    </row>
    <row r="410" spans="1:43" ht="12.75">
      <c r="A410" s="5" t="s">
        <v>235</v>
      </c>
      <c r="B410" s="5" t="s">
        <v>595</v>
      </c>
      <c r="C410" s="5" t="s">
        <v>832</v>
      </c>
      <c r="D410" s="5" t="s">
        <v>1291</v>
      </c>
      <c r="E410" s="5" t="s">
        <v>1509</v>
      </c>
      <c r="F410" s="22">
        <v>1</v>
      </c>
      <c r="G410" s="22">
        <v>0</v>
      </c>
      <c r="H410" s="22">
        <f>F410*AE410</f>
        <v>0</v>
      </c>
      <c r="I410" s="22">
        <f>J410-H410</f>
        <v>0</v>
      </c>
      <c r="J410" s="22">
        <f>F410*G410</f>
        <v>0</v>
      </c>
      <c r="K410" s="22">
        <v>0</v>
      </c>
      <c r="L410" s="22">
        <f>F410*K410</f>
        <v>0</v>
      </c>
      <c r="M410" s="35" t="s">
        <v>1531</v>
      </c>
      <c r="N410" s="35" t="s">
        <v>11</v>
      </c>
      <c r="O410" s="22">
        <f>IF(N410="5",I410,0)</f>
        <v>0</v>
      </c>
      <c r="Z410" s="22">
        <f>IF(AD410=0,J410,0)</f>
        <v>0</v>
      </c>
      <c r="AA410" s="22">
        <f>IF(AD410=15,J410,0)</f>
        <v>0</v>
      </c>
      <c r="AB410" s="22">
        <f>IF(AD410=21,J410,0)</f>
        <v>0</v>
      </c>
      <c r="AD410" s="39">
        <v>15</v>
      </c>
      <c r="AE410" s="39">
        <f>G410*0</f>
        <v>0</v>
      </c>
      <c r="AF410" s="39">
        <f>G410*(1-0)</f>
        <v>0</v>
      </c>
      <c r="AM410" s="39">
        <f>F410*AE410</f>
        <v>0</v>
      </c>
      <c r="AN410" s="39">
        <f>F410*AF410</f>
        <v>0</v>
      </c>
      <c r="AO410" s="40" t="s">
        <v>1586</v>
      </c>
      <c r="AP410" s="40" t="s">
        <v>1607</v>
      </c>
      <c r="AQ410" s="31" t="s">
        <v>1612</v>
      </c>
    </row>
    <row r="411" spans="1:37" ht="12.75">
      <c r="A411" s="4"/>
      <c r="B411" s="14" t="s">
        <v>595</v>
      </c>
      <c r="C411" s="14" t="s">
        <v>655</v>
      </c>
      <c r="D411" s="104" t="s">
        <v>991</v>
      </c>
      <c r="E411" s="105"/>
      <c r="F411" s="105"/>
      <c r="G411" s="105"/>
      <c r="H411" s="42">
        <f>SUM(H412:H412)</f>
        <v>0</v>
      </c>
      <c r="I411" s="42">
        <f>SUM(I412:I412)</f>
        <v>0</v>
      </c>
      <c r="J411" s="42">
        <f>H411+I411</f>
        <v>0</v>
      </c>
      <c r="K411" s="31"/>
      <c r="L411" s="42">
        <f>SUM(L412:L412)</f>
        <v>0</v>
      </c>
      <c r="M411" s="31"/>
      <c r="P411" s="42">
        <f>IF(Q411="PR",J411,SUM(O412:O412))</f>
        <v>0</v>
      </c>
      <c r="Q411" s="31" t="s">
        <v>1536</v>
      </c>
      <c r="R411" s="42">
        <f>IF(Q411="HS",H411,0)</f>
        <v>0</v>
      </c>
      <c r="S411" s="42">
        <f>IF(Q411="HS",I411-P411,0)</f>
        <v>0</v>
      </c>
      <c r="T411" s="42">
        <f>IF(Q411="PS",H411,0)</f>
        <v>0</v>
      </c>
      <c r="U411" s="42">
        <f>IF(Q411="PS",I411-P411,0)</f>
        <v>0</v>
      </c>
      <c r="V411" s="42">
        <f>IF(Q411="MP",H411,0)</f>
        <v>0</v>
      </c>
      <c r="W411" s="42">
        <f>IF(Q411="MP",I411-P411,0)</f>
        <v>0</v>
      </c>
      <c r="X411" s="42">
        <f>IF(Q411="OM",H411,0)</f>
        <v>0</v>
      </c>
      <c r="Y411" s="31" t="s">
        <v>595</v>
      </c>
      <c r="AI411" s="42">
        <f>SUM(Z412:Z412)</f>
        <v>0</v>
      </c>
      <c r="AJ411" s="42">
        <f>SUM(AA412:AA412)</f>
        <v>0</v>
      </c>
      <c r="AK411" s="42">
        <f>SUM(AB412:AB412)</f>
        <v>0</v>
      </c>
    </row>
    <row r="412" spans="1:43" ht="12.75">
      <c r="A412" s="5" t="s">
        <v>236</v>
      </c>
      <c r="B412" s="5" t="s">
        <v>595</v>
      </c>
      <c r="C412" s="5" t="s">
        <v>833</v>
      </c>
      <c r="D412" s="5" t="s">
        <v>1292</v>
      </c>
      <c r="E412" s="5" t="s">
        <v>1509</v>
      </c>
      <c r="F412" s="22">
        <v>1</v>
      </c>
      <c r="G412" s="22">
        <v>0</v>
      </c>
      <c r="H412" s="22">
        <f>F412*AE412</f>
        <v>0</v>
      </c>
      <c r="I412" s="22">
        <f>J412-H412</f>
        <v>0</v>
      </c>
      <c r="J412" s="22">
        <f>F412*G412</f>
        <v>0</v>
      </c>
      <c r="K412" s="22">
        <v>0</v>
      </c>
      <c r="L412" s="22">
        <f>F412*K412</f>
        <v>0</v>
      </c>
      <c r="M412" s="35" t="s">
        <v>1531</v>
      </c>
      <c r="N412" s="35" t="s">
        <v>11</v>
      </c>
      <c r="O412" s="22">
        <f>IF(N412="5",I412,0)</f>
        <v>0</v>
      </c>
      <c r="Z412" s="22">
        <f>IF(AD412=0,J412,0)</f>
        <v>0</v>
      </c>
      <c r="AA412" s="22">
        <f>IF(AD412=15,J412,0)</f>
        <v>0</v>
      </c>
      <c r="AB412" s="22">
        <f>IF(AD412=21,J412,0)</f>
        <v>0</v>
      </c>
      <c r="AD412" s="39">
        <v>15</v>
      </c>
      <c r="AE412" s="39">
        <f>G412*0</f>
        <v>0</v>
      </c>
      <c r="AF412" s="39">
        <f>G412*(1-0)</f>
        <v>0</v>
      </c>
      <c r="AM412" s="39">
        <f>F412*AE412</f>
        <v>0</v>
      </c>
      <c r="AN412" s="39">
        <f>F412*AF412</f>
        <v>0</v>
      </c>
      <c r="AO412" s="40" t="s">
        <v>1560</v>
      </c>
      <c r="AP412" s="40" t="s">
        <v>1607</v>
      </c>
      <c r="AQ412" s="31" t="s">
        <v>1612</v>
      </c>
    </row>
    <row r="413" spans="1:37" ht="12.75">
      <c r="A413" s="4"/>
      <c r="B413" s="14" t="s">
        <v>595</v>
      </c>
      <c r="C413" s="14" t="s">
        <v>834</v>
      </c>
      <c r="D413" s="104" t="s">
        <v>1195</v>
      </c>
      <c r="E413" s="105"/>
      <c r="F413" s="105"/>
      <c r="G413" s="105"/>
      <c r="H413" s="42">
        <f>SUM(H414:H414)</f>
        <v>0</v>
      </c>
      <c r="I413" s="42">
        <f>SUM(I414:I414)</f>
        <v>0</v>
      </c>
      <c r="J413" s="42">
        <f>H413+I413</f>
        <v>0</v>
      </c>
      <c r="K413" s="31"/>
      <c r="L413" s="42">
        <f>SUM(L414:L414)</f>
        <v>0</v>
      </c>
      <c r="M413" s="31"/>
      <c r="P413" s="42">
        <f>IF(Q413="PR",J413,SUM(O414:O414))</f>
        <v>0</v>
      </c>
      <c r="Q413" s="31" t="s">
        <v>1536</v>
      </c>
      <c r="R413" s="42">
        <f>IF(Q413="HS",H413,0)</f>
        <v>0</v>
      </c>
      <c r="S413" s="42">
        <f>IF(Q413="HS",I413-P413,0)</f>
        <v>0</v>
      </c>
      <c r="T413" s="42">
        <f>IF(Q413="PS",H413,0)</f>
        <v>0</v>
      </c>
      <c r="U413" s="42">
        <f>IF(Q413="PS",I413-P413,0)</f>
        <v>0</v>
      </c>
      <c r="V413" s="42">
        <f>IF(Q413="MP",H413,0)</f>
        <v>0</v>
      </c>
      <c r="W413" s="42">
        <f>IF(Q413="MP",I413-P413,0)</f>
        <v>0</v>
      </c>
      <c r="X413" s="42">
        <f>IF(Q413="OM",H413,0)</f>
        <v>0</v>
      </c>
      <c r="Y413" s="31" t="s">
        <v>595</v>
      </c>
      <c r="AI413" s="42">
        <f>SUM(Z414:Z414)</f>
        <v>0</v>
      </c>
      <c r="AJ413" s="42">
        <f>SUM(AA414:AA414)</f>
        <v>0</v>
      </c>
      <c r="AK413" s="42">
        <f>SUM(AB414:AB414)</f>
        <v>0</v>
      </c>
    </row>
    <row r="414" spans="1:43" ht="12.75">
      <c r="A414" s="5" t="s">
        <v>237</v>
      </c>
      <c r="B414" s="5" t="s">
        <v>595</v>
      </c>
      <c r="C414" s="5" t="s">
        <v>835</v>
      </c>
      <c r="D414" s="5" t="s">
        <v>1293</v>
      </c>
      <c r="E414" s="5" t="s">
        <v>1509</v>
      </c>
      <c r="F414" s="22">
        <v>1</v>
      </c>
      <c r="G414" s="22">
        <v>0</v>
      </c>
      <c r="H414" s="22">
        <f>F414*AE414</f>
        <v>0</v>
      </c>
      <c r="I414" s="22">
        <f>J414-H414</f>
        <v>0</v>
      </c>
      <c r="J414" s="22">
        <f>F414*G414</f>
        <v>0</v>
      </c>
      <c r="K414" s="22">
        <v>0</v>
      </c>
      <c r="L414" s="22">
        <f>F414*K414</f>
        <v>0</v>
      </c>
      <c r="M414" s="35" t="s">
        <v>1531</v>
      </c>
      <c r="N414" s="35" t="s">
        <v>11</v>
      </c>
      <c r="O414" s="22">
        <f>IF(N414="5",I414,0)</f>
        <v>0</v>
      </c>
      <c r="Z414" s="22">
        <f>IF(AD414=0,J414,0)</f>
        <v>0</v>
      </c>
      <c r="AA414" s="22">
        <f>IF(AD414=15,J414,0)</f>
        <v>0</v>
      </c>
      <c r="AB414" s="22">
        <f>IF(AD414=21,J414,0)</f>
        <v>0</v>
      </c>
      <c r="AD414" s="39">
        <v>15</v>
      </c>
      <c r="AE414" s="39">
        <f>G414*0</f>
        <v>0</v>
      </c>
      <c r="AF414" s="39">
        <f>G414*(1-0)</f>
        <v>0</v>
      </c>
      <c r="AM414" s="39">
        <f>F414*AE414</f>
        <v>0</v>
      </c>
      <c r="AN414" s="39">
        <f>F414*AF414</f>
        <v>0</v>
      </c>
      <c r="AO414" s="40" t="s">
        <v>1587</v>
      </c>
      <c r="AP414" s="40" t="s">
        <v>1607</v>
      </c>
      <c r="AQ414" s="31" t="s">
        <v>1612</v>
      </c>
    </row>
    <row r="415" spans="1:37" ht="12.75">
      <c r="A415" s="4"/>
      <c r="B415" s="14" t="s">
        <v>595</v>
      </c>
      <c r="C415" s="14" t="s">
        <v>836</v>
      </c>
      <c r="D415" s="104" t="s">
        <v>1198</v>
      </c>
      <c r="E415" s="105"/>
      <c r="F415" s="105"/>
      <c r="G415" s="105"/>
      <c r="H415" s="42">
        <f>SUM(H416:H416)</f>
        <v>0</v>
      </c>
      <c r="I415" s="42">
        <f>SUM(I416:I416)</f>
        <v>0</v>
      </c>
      <c r="J415" s="42">
        <f>H415+I415</f>
        <v>0</v>
      </c>
      <c r="K415" s="31"/>
      <c r="L415" s="42">
        <f>SUM(L416:L416)</f>
        <v>0</v>
      </c>
      <c r="M415" s="31"/>
      <c r="P415" s="42">
        <f>IF(Q415="PR",J415,SUM(O416:O416))</f>
        <v>0</v>
      </c>
      <c r="Q415" s="31" t="s">
        <v>1536</v>
      </c>
      <c r="R415" s="42">
        <f>IF(Q415="HS",H415,0)</f>
        <v>0</v>
      </c>
      <c r="S415" s="42">
        <f>IF(Q415="HS",I415-P415,0)</f>
        <v>0</v>
      </c>
      <c r="T415" s="42">
        <f>IF(Q415="PS",H415,0)</f>
        <v>0</v>
      </c>
      <c r="U415" s="42">
        <f>IF(Q415="PS",I415-P415,0)</f>
        <v>0</v>
      </c>
      <c r="V415" s="42">
        <f>IF(Q415="MP",H415,0)</f>
        <v>0</v>
      </c>
      <c r="W415" s="42">
        <f>IF(Q415="MP",I415-P415,0)</f>
        <v>0</v>
      </c>
      <c r="X415" s="42">
        <f>IF(Q415="OM",H415,0)</f>
        <v>0</v>
      </c>
      <c r="Y415" s="31" t="s">
        <v>595</v>
      </c>
      <c r="AI415" s="42">
        <f>SUM(Z416:Z416)</f>
        <v>0</v>
      </c>
      <c r="AJ415" s="42">
        <f>SUM(AA416:AA416)</f>
        <v>0</v>
      </c>
      <c r="AK415" s="42">
        <f>SUM(AB416:AB416)</f>
        <v>0</v>
      </c>
    </row>
    <row r="416" spans="1:43" ht="12.75">
      <c r="A416" s="5" t="s">
        <v>238</v>
      </c>
      <c r="B416" s="5" t="s">
        <v>595</v>
      </c>
      <c r="C416" s="5" t="s">
        <v>837</v>
      </c>
      <c r="D416" s="5" t="s">
        <v>1294</v>
      </c>
      <c r="E416" s="5" t="s">
        <v>1509</v>
      </c>
      <c r="F416" s="22">
        <v>1</v>
      </c>
      <c r="G416" s="22">
        <v>0</v>
      </c>
      <c r="H416" s="22">
        <f>F416*AE416</f>
        <v>0</v>
      </c>
      <c r="I416" s="22">
        <f>J416-H416</f>
        <v>0</v>
      </c>
      <c r="J416" s="22">
        <f>F416*G416</f>
        <v>0</v>
      </c>
      <c r="K416" s="22">
        <v>0</v>
      </c>
      <c r="L416" s="22">
        <f>F416*K416</f>
        <v>0</v>
      </c>
      <c r="M416" s="35" t="s">
        <v>1531</v>
      </c>
      <c r="N416" s="35" t="s">
        <v>11</v>
      </c>
      <c r="O416" s="22">
        <f>IF(N416="5",I416,0)</f>
        <v>0</v>
      </c>
      <c r="Z416" s="22">
        <f>IF(AD416=0,J416,0)</f>
        <v>0</v>
      </c>
      <c r="AA416" s="22">
        <f>IF(AD416=15,J416,0)</f>
        <v>0</v>
      </c>
      <c r="AB416" s="22">
        <f>IF(AD416=21,J416,0)</f>
        <v>0</v>
      </c>
      <c r="AD416" s="39">
        <v>15</v>
      </c>
      <c r="AE416" s="39">
        <f>G416*0</f>
        <v>0</v>
      </c>
      <c r="AF416" s="39">
        <f>G416*(1-0)</f>
        <v>0</v>
      </c>
      <c r="AM416" s="39">
        <f>F416*AE416</f>
        <v>0</v>
      </c>
      <c r="AN416" s="39">
        <f>F416*AF416</f>
        <v>0</v>
      </c>
      <c r="AO416" s="40" t="s">
        <v>1588</v>
      </c>
      <c r="AP416" s="40" t="s">
        <v>1607</v>
      </c>
      <c r="AQ416" s="31" t="s">
        <v>1612</v>
      </c>
    </row>
    <row r="417" spans="1:37" ht="12.75">
      <c r="A417" s="4"/>
      <c r="B417" s="14" t="s">
        <v>595</v>
      </c>
      <c r="C417" s="14" t="s">
        <v>838</v>
      </c>
      <c r="D417" s="104" t="s">
        <v>1203</v>
      </c>
      <c r="E417" s="105"/>
      <c r="F417" s="105"/>
      <c r="G417" s="105"/>
      <c r="H417" s="42">
        <f>SUM(H418:H418)</f>
        <v>0</v>
      </c>
      <c r="I417" s="42">
        <f>SUM(I418:I418)</f>
        <v>0</v>
      </c>
      <c r="J417" s="42">
        <f>H417+I417</f>
        <v>0</v>
      </c>
      <c r="K417" s="31"/>
      <c r="L417" s="42">
        <f>SUM(L418:L418)</f>
        <v>0</v>
      </c>
      <c r="M417" s="31"/>
      <c r="P417" s="42">
        <f>IF(Q417="PR",J417,SUM(O418:O418))</f>
        <v>0</v>
      </c>
      <c r="Q417" s="31" t="s">
        <v>1536</v>
      </c>
      <c r="R417" s="42">
        <f>IF(Q417="HS",H417,0)</f>
        <v>0</v>
      </c>
      <c r="S417" s="42">
        <f>IF(Q417="HS",I417-P417,0)</f>
        <v>0</v>
      </c>
      <c r="T417" s="42">
        <f>IF(Q417="PS",H417,0)</f>
        <v>0</v>
      </c>
      <c r="U417" s="42">
        <f>IF(Q417="PS",I417-P417,0)</f>
        <v>0</v>
      </c>
      <c r="V417" s="42">
        <f>IF(Q417="MP",H417,0)</f>
        <v>0</v>
      </c>
      <c r="W417" s="42">
        <f>IF(Q417="MP",I417-P417,0)</f>
        <v>0</v>
      </c>
      <c r="X417" s="42">
        <f>IF(Q417="OM",H417,0)</f>
        <v>0</v>
      </c>
      <c r="Y417" s="31" t="s">
        <v>595</v>
      </c>
      <c r="AI417" s="42">
        <f>SUM(Z418:Z418)</f>
        <v>0</v>
      </c>
      <c r="AJ417" s="42">
        <f>SUM(AA418:AA418)</f>
        <v>0</v>
      </c>
      <c r="AK417" s="42">
        <f>SUM(AB418:AB418)</f>
        <v>0</v>
      </c>
    </row>
    <row r="418" spans="1:43" ht="12.75">
      <c r="A418" s="5" t="s">
        <v>239</v>
      </c>
      <c r="B418" s="5" t="s">
        <v>595</v>
      </c>
      <c r="C418" s="5" t="s">
        <v>839</v>
      </c>
      <c r="D418" s="5" t="s">
        <v>1295</v>
      </c>
      <c r="E418" s="5" t="s">
        <v>1509</v>
      </c>
      <c r="F418" s="22">
        <v>1</v>
      </c>
      <c r="G418" s="22">
        <v>0</v>
      </c>
      <c r="H418" s="22">
        <f>F418*AE418</f>
        <v>0</v>
      </c>
      <c r="I418" s="22">
        <f>J418-H418</f>
        <v>0</v>
      </c>
      <c r="J418" s="22">
        <f>F418*G418</f>
        <v>0</v>
      </c>
      <c r="K418" s="22">
        <v>0</v>
      </c>
      <c r="L418" s="22">
        <f>F418*K418</f>
        <v>0</v>
      </c>
      <c r="M418" s="35" t="s">
        <v>1531</v>
      </c>
      <c r="N418" s="35" t="s">
        <v>11</v>
      </c>
      <c r="O418" s="22">
        <f>IF(N418="5",I418,0)</f>
        <v>0</v>
      </c>
      <c r="Z418" s="22">
        <f>IF(AD418=0,J418,0)</f>
        <v>0</v>
      </c>
      <c r="AA418" s="22">
        <f>IF(AD418=15,J418,0)</f>
        <v>0</v>
      </c>
      <c r="AB418" s="22">
        <f>IF(AD418=21,J418,0)</f>
        <v>0</v>
      </c>
      <c r="AD418" s="39">
        <v>15</v>
      </c>
      <c r="AE418" s="39">
        <f>G418*0</f>
        <v>0</v>
      </c>
      <c r="AF418" s="39">
        <f>G418*(1-0)</f>
        <v>0</v>
      </c>
      <c r="AM418" s="39">
        <f>F418*AE418</f>
        <v>0</v>
      </c>
      <c r="AN418" s="39">
        <f>F418*AF418</f>
        <v>0</v>
      </c>
      <c r="AO418" s="40" t="s">
        <v>1589</v>
      </c>
      <c r="AP418" s="40" t="s">
        <v>1607</v>
      </c>
      <c r="AQ418" s="31" t="s">
        <v>1612</v>
      </c>
    </row>
    <row r="419" spans="1:37" ht="12.75">
      <c r="A419" s="4"/>
      <c r="B419" s="14" t="s">
        <v>595</v>
      </c>
      <c r="C419" s="14" t="s">
        <v>657</v>
      </c>
      <c r="D419" s="104" t="s">
        <v>1004</v>
      </c>
      <c r="E419" s="105"/>
      <c r="F419" s="105"/>
      <c r="G419" s="105"/>
      <c r="H419" s="42">
        <f>SUM(H420:H420)</f>
        <v>0</v>
      </c>
      <c r="I419" s="42">
        <f>SUM(I420:I420)</f>
        <v>0</v>
      </c>
      <c r="J419" s="42">
        <f>H419+I419</f>
        <v>0</v>
      </c>
      <c r="K419" s="31"/>
      <c r="L419" s="42">
        <f>SUM(L420:L420)</f>
        <v>0</v>
      </c>
      <c r="M419" s="31"/>
      <c r="P419" s="42">
        <f>IF(Q419="PR",J419,SUM(O420:O420))</f>
        <v>0</v>
      </c>
      <c r="Q419" s="31" t="s">
        <v>1536</v>
      </c>
      <c r="R419" s="42">
        <f>IF(Q419="HS",H419,0)</f>
        <v>0</v>
      </c>
      <c r="S419" s="42">
        <f>IF(Q419="HS",I419-P419,0)</f>
        <v>0</v>
      </c>
      <c r="T419" s="42">
        <f>IF(Q419="PS",H419,0)</f>
        <v>0</v>
      </c>
      <c r="U419" s="42">
        <f>IF(Q419="PS",I419-P419,0)</f>
        <v>0</v>
      </c>
      <c r="V419" s="42">
        <f>IF(Q419="MP",H419,0)</f>
        <v>0</v>
      </c>
      <c r="W419" s="42">
        <f>IF(Q419="MP",I419-P419,0)</f>
        <v>0</v>
      </c>
      <c r="X419" s="42">
        <f>IF(Q419="OM",H419,0)</f>
        <v>0</v>
      </c>
      <c r="Y419" s="31" t="s">
        <v>595</v>
      </c>
      <c r="AI419" s="42">
        <f>SUM(Z420:Z420)</f>
        <v>0</v>
      </c>
      <c r="AJ419" s="42">
        <f>SUM(AA420:AA420)</f>
        <v>0</v>
      </c>
      <c r="AK419" s="42">
        <f>SUM(AB420:AB420)</f>
        <v>0</v>
      </c>
    </row>
    <row r="420" spans="1:43" ht="12.75">
      <c r="A420" s="5" t="s">
        <v>240</v>
      </c>
      <c r="B420" s="5" t="s">
        <v>595</v>
      </c>
      <c r="C420" s="5" t="s">
        <v>840</v>
      </c>
      <c r="D420" s="5" t="s">
        <v>1296</v>
      </c>
      <c r="E420" s="5" t="s">
        <v>1509</v>
      </c>
      <c r="F420" s="22">
        <v>1</v>
      </c>
      <c r="G420" s="22">
        <v>0</v>
      </c>
      <c r="H420" s="22">
        <f>F420*AE420</f>
        <v>0</v>
      </c>
      <c r="I420" s="22">
        <f>J420-H420</f>
        <v>0</v>
      </c>
      <c r="J420" s="22">
        <f>F420*G420</f>
        <v>0</v>
      </c>
      <c r="K420" s="22">
        <v>0</v>
      </c>
      <c r="L420" s="22">
        <f>F420*K420</f>
        <v>0</v>
      </c>
      <c r="M420" s="35" t="s">
        <v>1531</v>
      </c>
      <c r="N420" s="35" t="s">
        <v>11</v>
      </c>
      <c r="O420" s="22">
        <f>IF(N420="5",I420,0)</f>
        <v>0</v>
      </c>
      <c r="Z420" s="22">
        <f>IF(AD420=0,J420,0)</f>
        <v>0</v>
      </c>
      <c r="AA420" s="22">
        <f>IF(AD420=15,J420,0)</f>
        <v>0</v>
      </c>
      <c r="AB420" s="22">
        <f>IF(AD420=21,J420,0)</f>
        <v>0</v>
      </c>
      <c r="AD420" s="39">
        <v>15</v>
      </c>
      <c r="AE420" s="39">
        <f>G420*0</f>
        <v>0</v>
      </c>
      <c r="AF420" s="39">
        <f>G420*(1-0)</f>
        <v>0</v>
      </c>
      <c r="AM420" s="39">
        <f>F420*AE420</f>
        <v>0</v>
      </c>
      <c r="AN420" s="39">
        <f>F420*AF420</f>
        <v>0</v>
      </c>
      <c r="AO420" s="40" t="s">
        <v>1561</v>
      </c>
      <c r="AP420" s="40" t="s">
        <v>1607</v>
      </c>
      <c r="AQ420" s="31" t="s">
        <v>1612</v>
      </c>
    </row>
    <row r="421" spans="1:37" ht="12.75">
      <c r="A421" s="4"/>
      <c r="B421" s="14" t="s">
        <v>595</v>
      </c>
      <c r="C421" s="14" t="s">
        <v>841</v>
      </c>
      <c r="D421" s="104" t="s">
        <v>1224</v>
      </c>
      <c r="E421" s="105"/>
      <c r="F421" s="105"/>
      <c r="G421" s="105"/>
      <c r="H421" s="42">
        <f>SUM(H422:H422)</f>
        <v>0</v>
      </c>
      <c r="I421" s="42">
        <f>SUM(I422:I422)</f>
        <v>0</v>
      </c>
      <c r="J421" s="42">
        <f>H421+I421</f>
        <v>0</v>
      </c>
      <c r="K421" s="31"/>
      <c r="L421" s="42">
        <f>SUM(L422:L422)</f>
        <v>0</v>
      </c>
      <c r="M421" s="31"/>
      <c r="P421" s="42">
        <f>IF(Q421="PR",J421,SUM(O422:O422))</f>
        <v>0</v>
      </c>
      <c r="Q421" s="31" t="s">
        <v>1536</v>
      </c>
      <c r="R421" s="42">
        <f>IF(Q421="HS",H421,0)</f>
        <v>0</v>
      </c>
      <c r="S421" s="42">
        <f>IF(Q421="HS",I421-P421,0)</f>
        <v>0</v>
      </c>
      <c r="T421" s="42">
        <f>IF(Q421="PS",H421,0)</f>
        <v>0</v>
      </c>
      <c r="U421" s="42">
        <f>IF(Q421="PS",I421-P421,0)</f>
        <v>0</v>
      </c>
      <c r="V421" s="42">
        <f>IF(Q421="MP",H421,0)</f>
        <v>0</v>
      </c>
      <c r="W421" s="42">
        <f>IF(Q421="MP",I421-P421,0)</f>
        <v>0</v>
      </c>
      <c r="X421" s="42">
        <f>IF(Q421="OM",H421,0)</f>
        <v>0</v>
      </c>
      <c r="Y421" s="31" t="s">
        <v>595</v>
      </c>
      <c r="AI421" s="42">
        <f>SUM(Z422:Z422)</f>
        <v>0</v>
      </c>
      <c r="AJ421" s="42">
        <f>SUM(AA422:AA422)</f>
        <v>0</v>
      </c>
      <c r="AK421" s="42">
        <f>SUM(AB422:AB422)</f>
        <v>0</v>
      </c>
    </row>
    <row r="422" spans="1:43" ht="12.75">
      <c r="A422" s="5" t="s">
        <v>241</v>
      </c>
      <c r="B422" s="5" t="s">
        <v>595</v>
      </c>
      <c r="C422" s="5" t="s">
        <v>842</v>
      </c>
      <c r="D422" s="5" t="s">
        <v>1297</v>
      </c>
      <c r="E422" s="5" t="s">
        <v>1509</v>
      </c>
      <c r="F422" s="22">
        <v>1</v>
      </c>
      <c r="G422" s="22">
        <v>0</v>
      </c>
      <c r="H422" s="22">
        <f>F422*AE422</f>
        <v>0</v>
      </c>
      <c r="I422" s="22">
        <f>J422-H422</f>
        <v>0</v>
      </c>
      <c r="J422" s="22">
        <f>F422*G422</f>
        <v>0</v>
      </c>
      <c r="K422" s="22">
        <v>0</v>
      </c>
      <c r="L422" s="22">
        <f>F422*K422</f>
        <v>0</v>
      </c>
      <c r="M422" s="35" t="s">
        <v>1531</v>
      </c>
      <c r="N422" s="35" t="s">
        <v>11</v>
      </c>
      <c r="O422" s="22">
        <f>IF(N422="5",I422,0)</f>
        <v>0</v>
      </c>
      <c r="Z422" s="22">
        <f>IF(AD422=0,J422,0)</f>
        <v>0</v>
      </c>
      <c r="AA422" s="22">
        <f>IF(AD422=15,J422,0)</f>
        <v>0</v>
      </c>
      <c r="AB422" s="22">
        <f>IF(AD422=21,J422,0)</f>
        <v>0</v>
      </c>
      <c r="AD422" s="39">
        <v>15</v>
      </c>
      <c r="AE422" s="39">
        <f>G422*0</f>
        <v>0</v>
      </c>
      <c r="AF422" s="39">
        <f>G422*(1-0)</f>
        <v>0</v>
      </c>
      <c r="AM422" s="39">
        <f>F422*AE422</f>
        <v>0</v>
      </c>
      <c r="AN422" s="39">
        <f>F422*AF422</f>
        <v>0</v>
      </c>
      <c r="AO422" s="40" t="s">
        <v>1590</v>
      </c>
      <c r="AP422" s="40" t="s">
        <v>1607</v>
      </c>
      <c r="AQ422" s="31" t="s">
        <v>1612</v>
      </c>
    </row>
    <row r="423" spans="1:37" ht="12.75">
      <c r="A423" s="4"/>
      <c r="B423" s="14" t="s">
        <v>595</v>
      </c>
      <c r="C423" s="14" t="s">
        <v>659</v>
      </c>
      <c r="D423" s="104" t="s">
        <v>1012</v>
      </c>
      <c r="E423" s="105"/>
      <c r="F423" s="105"/>
      <c r="G423" s="105"/>
      <c r="H423" s="42">
        <f>SUM(H424:H424)</f>
        <v>0</v>
      </c>
      <c r="I423" s="42">
        <f>SUM(I424:I424)</f>
        <v>0</v>
      </c>
      <c r="J423" s="42">
        <f>H423+I423</f>
        <v>0</v>
      </c>
      <c r="K423" s="31"/>
      <c r="L423" s="42">
        <f>SUM(L424:L424)</f>
        <v>0</v>
      </c>
      <c r="M423" s="31"/>
      <c r="P423" s="42">
        <f>IF(Q423="PR",J423,SUM(O424:O424))</f>
        <v>0</v>
      </c>
      <c r="Q423" s="31" t="s">
        <v>1536</v>
      </c>
      <c r="R423" s="42">
        <f>IF(Q423="HS",H423,0)</f>
        <v>0</v>
      </c>
      <c r="S423" s="42">
        <f>IF(Q423="HS",I423-P423,0)</f>
        <v>0</v>
      </c>
      <c r="T423" s="42">
        <f>IF(Q423="PS",H423,0)</f>
        <v>0</v>
      </c>
      <c r="U423" s="42">
        <f>IF(Q423="PS",I423-P423,0)</f>
        <v>0</v>
      </c>
      <c r="V423" s="42">
        <f>IF(Q423="MP",H423,0)</f>
        <v>0</v>
      </c>
      <c r="W423" s="42">
        <f>IF(Q423="MP",I423-P423,0)</f>
        <v>0</v>
      </c>
      <c r="X423" s="42">
        <f>IF(Q423="OM",H423,0)</f>
        <v>0</v>
      </c>
      <c r="Y423" s="31" t="s">
        <v>595</v>
      </c>
      <c r="AI423" s="42">
        <f>SUM(Z424:Z424)</f>
        <v>0</v>
      </c>
      <c r="AJ423" s="42">
        <f>SUM(AA424:AA424)</f>
        <v>0</v>
      </c>
      <c r="AK423" s="42">
        <f>SUM(AB424:AB424)</f>
        <v>0</v>
      </c>
    </row>
    <row r="424" spans="1:43" ht="12.75">
      <c r="A424" s="5" t="s">
        <v>242</v>
      </c>
      <c r="B424" s="5" t="s">
        <v>595</v>
      </c>
      <c r="C424" s="5" t="s">
        <v>843</v>
      </c>
      <c r="D424" s="5" t="s">
        <v>1298</v>
      </c>
      <c r="E424" s="5" t="s">
        <v>1509</v>
      </c>
      <c r="F424" s="22">
        <v>1</v>
      </c>
      <c r="G424" s="22">
        <v>0</v>
      </c>
      <c r="H424" s="22">
        <f>F424*AE424</f>
        <v>0</v>
      </c>
      <c r="I424" s="22">
        <f>J424-H424</f>
        <v>0</v>
      </c>
      <c r="J424" s="22">
        <f>F424*G424</f>
        <v>0</v>
      </c>
      <c r="K424" s="22">
        <v>0</v>
      </c>
      <c r="L424" s="22">
        <f>F424*K424</f>
        <v>0</v>
      </c>
      <c r="M424" s="35" t="s">
        <v>1531</v>
      </c>
      <c r="N424" s="35" t="s">
        <v>11</v>
      </c>
      <c r="O424" s="22">
        <f>IF(N424="5",I424,0)</f>
        <v>0</v>
      </c>
      <c r="Z424" s="22">
        <f>IF(AD424=0,J424,0)</f>
        <v>0</v>
      </c>
      <c r="AA424" s="22">
        <f>IF(AD424=15,J424,0)</f>
        <v>0</v>
      </c>
      <c r="AB424" s="22">
        <f>IF(AD424=21,J424,0)</f>
        <v>0</v>
      </c>
      <c r="AD424" s="39">
        <v>15</v>
      </c>
      <c r="AE424" s="39">
        <f>G424*0</f>
        <v>0</v>
      </c>
      <c r="AF424" s="39">
        <f>G424*(1-0)</f>
        <v>0</v>
      </c>
      <c r="AM424" s="39">
        <f>F424*AE424</f>
        <v>0</v>
      </c>
      <c r="AN424" s="39">
        <f>F424*AF424</f>
        <v>0</v>
      </c>
      <c r="AO424" s="40" t="s">
        <v>1562</v>
      </c>
      <c r="AP424" s="40" t="s">
        <v>1607</v>
      </c>
      <c r="AQ424" s="31" t="s">
        <v>1612</v>
      </c>
    </row>
    <row r="425" spans="1:37" ht="12.75">
      <c r="A425" s="4"/>
      <c r="B425" s="14" t="s">
        <v>595</v>
      </c>
      <c r="C425" s="14" t="s">
        <v>844</v>
      </c>
      <c r="D425" s="104" t="s">
        <v>1240</v>
      </c>
      <c r="E425" s="105"/>
      <c r="F425" s="105"/>
      <c r="G425" s="105"/>
      <c r="H425" s="42">
        <f>SUM(H426:H426)</f>
        <v>0</v>
      </c>
      <c r="I425" s="42">
        <f>SUM(I426:I426)</f>
        <v>0</v>
      </c>
      <c r="J425" s="42">
        <f>H425+I425</f>
        <v>0</v>
      </c>
      <c r="K425" s="31"/>
      <c r="L425" s="42">
        <f>SUM(L426:L426)</f>
        <v>0</v>
      </c>
      <c r="M425" s="31"/>
      <c r="P425" s="42">
        <f>IF(Q425="PR",J425,SUM(O426:O426))</f>
        <v>0</v>
      </c>
      <c r="Q425" s="31" t="s">
        <v>1536</v>
      </c>
      <c r="R425" s="42">
        <f>IF(Q425="HS",H425,0)</f>
        <v>0</v>
      </c>
      <c r="S425" s="42">
        <f>IF(Q425="HS",I425-P425,0)</f>
        <v>0</v>
      </c>
      <c r="T425" s="42">
        <f>IF(Q425="PS",H425,0)</f>
        <v>0</v>
      </c>
      <c r="U425" s="42">
        <f>IF(Q425="PS",I425-P425,0)</f>
        <v>0</v>
      </c>
      <c r="V425" s="42">
        <f>IF(Q425="MP",H425,0)</f>
        <v>0</v>
      </c>
      <c r="W425" s="42">
        <f>IF(Q425="MP",I425-P425,0)</f>
        <v>0</v>
      </c>
      <c r="X425" s="42">
        <f>IF(Q425="OM",H425,0)</f>
        <v>0</v>
      </c>
      <c r="Y425" s="31" t="s">
        <v>595</v>
      </c>
      <c r="AI425" s="42">
        <f>SUM(Z426:Z426)</f>
        <v>0</v>
      </c>
      <c r="AJ425" s="42">
        <f>SUM(AA426:AA426)</f>
        <v>0</v>
      </c>
      <c r="AK425" s="42">
        <f>SUM(AB426:AB426)</f>
        <v>0</v>
      </c>
    </row>
    <row r="426" spans="1:43" ht="12.75">
      <c r="A426" s="5" t="s">
        <v>243</v>
      </c>
      <c r="B426" s="5" t="s">
        <v>595</v>
      </c>
      <c r="C426" s="5" t="s">
        <v>845</v>
      </c>
      <c r="D426" s="5" t="s">
        <v>1299</v>
      </c>
      <c r="E426" s="5" t="s">
        <v>1509</v>
      </c>
      <c r="F426" s="22">
        <v>1</v>
      </c>
      <c r="G426" s="22">
        <v>0</v>
      </c>
      <c r="H426" s="22">
        <f>F426*AE426</f>
        <v>0</v>
      </c>
      <c r="I426" s="22">
        <f>J426-H426</f>
        <v>0</v>
      </c>
      <c r="J426" s="22">
        <f>F426*G426</f>
        <v>0</v>
      </c>
      <c r="K426" s="22">
        <v>0</v>
      </c>
      <c r="L426" s="22">
        <f>F426*K426</f>
        <v>0</v>
      </c>
      <c r="M426" s="35" t="s">
        <v>1531</v>
      </c>
      <c r="N426" s="35" t="s">
        <v>11</v>
      </c>
      <c r="O426" s="22">
        <f>IF(N426="5",I426,0)</f>
        <v>0</v>
      </c>
      <c r="Z426" s="22">
        <f>IF(AD426=0,J426,0)</f>
        <v>0</v>
      </c>
      <c r="AA426" s="22">
        <f>IF(AD426=15,J426,0)</f>
        <v>0</v>
      </c>
      <c r="AB426" s="22">
        <f>IF(AD426=21,J426,0)</f>
        <v>0</v>
      </c>
      <c r="AD426" s="39">
        <v>15</v>
      </c>
      <c r="AE426" s="39">
        <f>G426*0</f>
        <v>0</v>
      </c>
      <c r="AF426" s="39">
        <f>G426*(1-0)</f>
        <v>0</v>
      </c>
      <c r="AM426" s="39">
        <f>F426*AE426</f>
        <v>0</v>
      </c>
      <c r="AN426" s="39">
        <f>F426*AF426</f>
        <v>0</v>
      </c>
      <c r="AO426" s="40" t="s">
        <v>1591</v>
      </c>
      <c r="AP426" s="40" t="s">
        <v>1607</v>
      </c>
      <c r="AQ426" s="31" t="s">
        <v>1612</v>
      </c>
    </row>
    <row r="427" spans="1:37" ht="12.75">
      <c r="A427" s="4"/>
      <c r="B427" s="14" t="s">
        <v>595</v>
      </c>
      <c r="C427" s="14" t="s">
        <v>661</v>
      </c>
      <c r="D427" s="104" t="s">
        <v>1016</v>
      </c>
      <c r="E427" s="105"/>
      <c r="F427" s="105"/>
      <c r="G427" s="105"/>
      <c r="H427" s="42">
        <f>SUM(H428:H428)</f>
        <v>0</v>
      </c>
      <c r="I427" s="42">
        <f>SUM(I428:I428)</f>
        <v>0</v>
      </c>
      <c r="J427" s="42">
        <f>H427+I427</f>
        <v>0</v>
      </c>
      <c r="K427" s="31"/>
      <c r="L427" s="42">
        <f>SUM(L428:L428)</f>
        <v>0</v>
      </c>
      <c r="M427" s="31"/>
      <c r="P427" s="42">
        <f>IF(Q427="PR",J427,SUM(O428:O428))</f>
        <v>0</v>
      </c>
      <c r="Q427" s="31" t="s">
        <v>1536</v>
      </c>
      <c r="R427" s="42">
        <f>IF(Q427="HS",H427,0)</f>
        <v>0</v>
      </c>
      <c r="S427" s="42">
        <f>IF(Q427="HS",I427-P427,0)</f>
        <v>0</v>
      </c>
      <c r="T427" s="42">
        <f>IF(Q427="PS",H427,0)</f>
        <v>0</v>
      </c>
      <c r="U427" s="42">
        <f>IF(Q427="PS",I427-P427,0)</f>
        <v>0</v>
      </c>
      <c r="V427" s="42">
        <f>IF(Q427="MP",H427,0)</f>
        <v>0</v>
      </c>
      <c r="W427" s="42">
        <f>IF(Q427="MP",I427-P427,0)</f>
        <v>0</v>
      </c>
      <c r="X427" s="42">
        <f>IF(Q427="OM",H427,0)</f>
        <v>0</v>
      </c>
      <c r="Y427" s="31" t="s">
        <v>595</v>
      </c>
      <c r="AI427" s="42">
        <f>SUM(Z428:Z428)</f>
        <v>0</v>
      </c>
      <c r="AJ427" s="42">
        <f>SUM(AA428:AA428)</f>
        <v>0</v>
      </c>
      <c r="AK427" s="42">
        <f>SUM(AB428:AB428)</f>
        <v>0</v>
      </c>
    </row>
    <row r="428" spans="1:43" ht="12.75">
      <c r="A428" s="5" t="s">
        <v>244</v>
      </c>
      <c r="B428" s="5" t="s">
        <v>595</v>
      </c>
      <c r="C428" s="5" t="s">
        <v>846</v>
      </c>
      <c r="D428" s="5" t="s">
        <v>1300</v>
      </c>
      <c r="E428" s="5" t="s">
        <v>1509</v>
      </c>
      <c r="F428" s="22">
        <v>1</v>
      </c>
      <c r="G428" s="22">
        <v>0</v>
      </c>
      <c r="H428" s="22">
        <f>F428*AE428</f>
        <v>0</v>
      </c>
      <c r="I428" s="22">
        <f>J428-H428</f>
        <v>0</v>
      </c>
      <c r="J428" s="22">
        <f>F428*G428</f>
        <v>0</v>
      </c>
      <c r="K428" s="22">
        <v>0</v>
      </c>
      <c r="L428" s="22">
        <f>F428*K428</f>
        <v>0</v>
      </c>
      <c r="M428" s="35" t="s">
        <v>1531</v>
      </c>
      <c r="N428" s="35" t="s">
        <v>11</v>
      </c>
      <c r="O428" s="22">
        <f>IF(N428="5",I428,0)</f>
        <v>0</v>
      </c>
      <c r="Z428" s="22">
        <f>IF(AD428=0,J428,0)</f>
        <v>0</v>
      </c>
      <c r="AA428" s="22">
        <f>IF(AD428=15,J428,0)</f>
        <v>0</v>
      </c>
      <c r="AB428" s="22">
        <f>IF(AD428=21,J428,0)</f>
        <v>0</v>
      </c>
      <c r="AD428" s="39">
        <v>15</v>
      </c>
      <c r="AE428" s="39">
        <f>G428*0</f>
        <v>0</v>
      </c>
      <c r="AF428" s="39">
        <f>G428*(1-0)</f>
        <v>0</v>
      </c>
      <c r="AM428" s="39">
        <f>F428*AE428</f>
        <v>0</v>
      </c>
      <c r="AN428" s="39">
        <f>F428*AF428</f>
        <v>0</v>
      </c>
      <c r="AO428" s="40" t="s">
        <v>1563</v>
      </c>
      <c r="AP428" s="40" t="s">
        <v>1607</v>
      </c>
      <c r="AQ428" s="31" t="s">
        <v>1612</v>
      </c>
    </row>
    <row r="429" spans="1:37" ht="12.75">
      <c r="A429" s="4"/>
      <c r="B429" s="14" t="s">
        <v>595</v>
      </c>
      <c r="C429" s="14" t="s">
        <v>847</v>
      </c>
      <c r="D429" s="104" t="s">
        <v>1249</v>
      </c>
      <c r="E429" s="105"/>
      <c r="F429" s="105"/>
      <c r="G429" s="105"/>
      <c r="H429" s="42">
        <f>SUM(H430:H430)</f>
        <v>0</v>
      </c>
      <c r="I429" s="42">
        <f>SUM(I430:I430)</f>
        <v>0</v>
      </c>
      <c r="J429" s="42">
        <f>H429+I429</f>
        <v>0</v>
      </c>
      <c r="K429" s="31"/>
      <c r="L429" s="42">
        <f>SUM(L430:L430)</f>
        <v>0</v>
      </c>
      <c r="M429" s="31"/>
      <c r="P429" s="42">
        <f>IF(Q429="PR",J429,SUM(O430:O430))</f>
        <v>0</v>
      </c>
      <c r="Q429" s="31" t="s">
        <v>1536</v>
      </c>
      <c r="R429" s="42">
        <f>IF(Q429="HS",H429,0)</f>
        <v>0</v>
      </c>
      <c r="S429" s="42">
        <f>IF(Q429="HS",I429-P429,0)</f>
        <v>0</v>
      </c>
      <c r="T429" s="42">
        <f>IF(Q429="PS",H429,0)</f>
        <v>0</v>
      </c>
      <c r="U429" s="42">
        <f>IF(Q429="PS",I429-P429,0)</f>
        <v>0</v>
      </c>
      <c r="V429" s="42">
        <f>IF(Q429="MP",H429,0)</f>
        <v>0</v>
      </c>
      <c r="W429" s="42">
        <f>IF(Q429="MP",I429-P429,0)</f>
        <v>0</v>
      </c>
      <c r="X429" s="42">
        <f>IF(Q429="OM",H429,0)</f>
        <v>0</v>
      </c>
      <c r="Y429" s="31" t="s">
        <v>595</v>
      </c>
      <c r="AI429" s="42">
        <f>SUM(Z430:Z430)</f>
        <v>0</v>
      </c>
      <c r="AJ429" s="42">
        <f>SUM(AA430:AA430)</f>
        <v>0</v>
      </c>
      <c r="AK429" s="42">
        <f>SUM(AB430:AB430)</f>
        <v>0</v>
      </c>
    </row>
    <row r="430" spans="1:43" ht="12.75">
      <c r="A430" s="5" t="s">
        <v>245</v>
      </c>
      <c r="B430" s="5" t="s">
        <v>595</v>
      </c>
      <c r="C430" s="5" t="s">
        <v>848</v>
      </c>
      <c r="D430" s="5" t="s">
        <v>1301</v>
      </c>
      <c r="E430" s="5" t="s">
        <v>1509</v>
      </c>
      <c r="F430" s="22">
        <v>1</v>
      </c>
      <c r="G430" s="22">
        <v>0</v>
      </c>
      <c r="H430" s="22">
        <f>F430*AE430</f>
        <v>0</v>
      </c>
      <c r="I430" s="22">
        <f>J430-H430</f>
        <v>0</v>
      </c>
      <c r="J430" s="22">
        <f>F430*G430</f>
        <v>0</v>
      </c>
      <c r="K430" s="22">
        <v>0</v>
      </c>
      <c r="L430" s="22">
        <f>F430*K430</f>
        <v>0</v>
      </c>
      <c r="M430" s="35" t="s">
        <v>1531</v>
      </c>
      <c r="N430" s="35" t="s">
        <v>11</v>
      </c>
      <c r="O430" s="22">
        <f>IF(N430="5",I430,0)</f>
        <v>0</v>
      </c>
      <c r="Z430" s="22">
        <f>IF(AD430=0,J430,0)</f>
        <v>0</v>
      </c>
      <c r="AA430" s="22">
        <f>IF(AD430=15,J430,0)</f>
        <v>0</v>
      </c>
      <c r="AB430" s="22">
        <f>IF(AD430=21,J430,0)</f>
        <v>0</v>
      </c>
      <c r="AD430" s="39">
        <v>15</v>
      </c>
      <c r="AE430" s="39">
        <f>G430*0</f>
        <v>0</v>
      </c>
      <c r="AF430" s="39">
        <f>G430*(1-0)</f>
        <v>0</v>
      </c>
      <c r="AM430" s="39">
        <f>F430*AE430</f>
        <v>0</v>
      </c>
      <c r="AN430" s="39">
        <f>F430*AF430</f>
        <v>0</v>
      </c>
      <c r="AO430" s="40" t="s">
        <v>1592</v>
      </c>
      <c r="AP430" s="40" t="s">
        <v>1607</v>
      </c>
      <c r="AQ430" s="31" t="s">
        <v>1612</v>
      </c>
    </row>
    <row r="431" spans="1:37" ht="12.75">
      <c r="A431" s="4"/>
      <c r="B431" s="14" t="s">
        <v>595</v>
      </c>
      <c r="C431" s="14" t="s">
        <v>665</v>
      </c>
      <c r="D431" s="104" t="s">
        <v>1045</v>
      </c>
      <c r="E431" s="105"/>
      <c r="F431" s="105"/>
      <c r="G431" s="105"/>
      <c r="H431" s="42">
        <f>SUM(H432:H468)</f>
        <v>0</v>
      </c>
      <c r="I431" s="42">
        <f>SUM(I432:I468)</f>
        <v>0</v>
      </c>
      <c r="J431" s="42">
        <f>H431+I431</f>
        <v>0</v>
      </c>
      <c r="K431" s="31"/>
      <c r="L431" s="42">
        <f>SUM(L432:L468)</f>
        <v>0.28154999999999997</v>
      </c>
      <c r="M431" s="31"/>
      <c r="P431" s="42">
        <f>IF(Q431="PR",J431,SUM(O432:O468))</f>
        <v>0</v>
      </c>
      <c r="Q431" s="31" t="s">
        <v>1538</v>
      </c>
      <c r="R431" s="42">
        <f>IF(Q431="HS",H431,0)</f>
        <v>0</v>
      </c>
      <c r="S431" s="42">
        <f>IF(Q431="HS",I431-P431,0)</f>
        <v>0</v>
      </c>
      <c r="T431" s="42">
        <f>IF(Q431="PS",H431,0)</f>
        <v>0</v>
      </c>
      <c r="U431" s="42">
        <f>IF(Q431="PS",I431-P431,0)</f>
        <v>0</v>
      </c>
      <c r="V431" s="42">
        <f>IF(Q431="MP",H431,0)</f>
        <v>0</v>
      </c>
      <c r="W431" s="42">
        <f>IF(Q431="MP",I431-P431,0)</f>
        <v>0</v>
      </c>
      <c r="X431" s="42">
        <f>IF(Q431="OM",H431,0)</f>
        <v>0</v>
      </c>
      <c r="Y431" s="31" t="s">
        <v>595</v>
      </c>
      <c r="AI431" s="42">
        <f>SUM(Z432:Z468)</f>
        <v>0</v>
      </c>
      <c r="AJ431" s="42">
        <f>SUM(AA432:AA468)</f>
        <v>0</v>
      </c>
      <c r="AK431" s="42">
        <f>SUM(AB432:AB468)</f>
        <v>0</v>
      </c>
    </row>
    <row r="432" spans="1:43" ht="12.75">
      <c r="A432" s="6" t="s">
        <v>246</v>
      </c>
      <c r="B432" s="6" t="s">
        <v>595</v>
      </c>
      <c r="C432" s="6" t="s">
        <v>672</v>
      </c>
      <c r="D432" s="6" t="s">
        <v>1057</v>
      </c>
      <c r="E432" s="6" t="s">
        <v>1504</v>
      </c>
      <c r="F432" s="24">
        <v>30</v>
      </c>
      <c r="G432" s="24">
        <v>0</v>
      </c>
      <c r="H432" s="24">
        <f aca="true" t="shared" si="108" ref="H432:H468">F432*AE432</f>
        <v>0</v>
      </c>
      <c r="I432" s="24">
        <f aca="true" t="shared" si="109" ref="I432:I468">J432-H432</f>
        <v>0</v>
      </c>
      <c r="J432" s="24">
        <f aca="true" t="shared" si="110" ref="J432:J468">F432*G432</f>
        <v>0</v>
      </c>
      <c r="K432" s="24">
        <v>5E-05</v>
      </c>
      <c r="L432" s="24">
        <f aca="true" t="shared" si="111" ref="L432:L468">F432*K432</f>
        <v>0.0015</v>
      </c>
      <c r="M432" s="36" t="s">
        <v>1531</v>
      </c>
      <c r="N432" s="36" t="s">
        <v>1533</v>
      </c>
      <c r="O432" s="24">
        <f aca="true" t="shared" si="112" ref="O432:O468">IF(N432="5",I432,0)</f>
        <v>0</v>
      </c>
      <c r="Z432" s="24">
        <f aca="true" t="shared" si="113" ref="Z432:Z468">IF(AD432=0,J432,0)</f>
        <v>0</v>
      </c>
      <c r="AA432" s="24">
        <f aca="true" t="shared" si="114" ref="AA432:AA468">IF(AD432=15,J432,0)</f>
        <v>0</v>
      </c>
      <c r="AB432" s="24">
        <f aca="true" t="shared" si="115" ref="AB432:AB468">IF(AD432=21,J432,0)</f>
        <v>0</v>
      </c>
      <c r="AD432" s="39">
        <v>15</v>
      </c>
      <c r="AE432" s="39">
        <f aca="true" t="shared" si="116" ref="AE432:AE458">G432*1</f>
        <v>0</v>
      </c>
      <c r="AF432" s="39">
        <f aca="true" t="shared" si="117" ref="AF432:AF458">G432*(1-1)</f>
        <v>0</v>
      </c>
      <c r="AM432" s="39">
        <f aca="true" t="shared" si="118" ref="AM432:AM468">F432*AE432</f>
        <v>0</v>
      </c>
      <c r="AN432" s="39">
        <f aca="true" t="shared" si="119" ref="AN432:AN468">F432*AF432</f>
        <v>0</v>
      </c>
      <c r="AO432" s="40" t="s">
        <v>1565</v>
      </c>
      <c r="AP432" s="40" t="s">
        <v>1607</v>
      </c>
      <c r="AQ432" s="31" t="s">
        <v>1612</v>
      </c>
    </row>
    <row r="433" spans="1:43" ht="12.75">
      <c r="A433" s="6" t="s">
        <v>247</v>
      </c>
      <c r="B433" s="6" t="s">
        <v>595</v>
      </c>
      <c r="C433" s="6" t="s">
        <v>849</v>
      </c>
      <c r="D433" s="6" t="s">
        <v>1302</v>
      </c>
      <c r="E433" s="6" t="s">
        <v>1504</v>
      </c>
      <c r="F433" s="24">
        <v>21</v>
      </c>
      <c r="G433" s="24">
        <v>0</v>
      </c>
      <c r="H433" s="24">
        <f t="shared" si="108"/>
        <v>0</v>
      </c>
      <c r="I433" s="24">
        <f t="shared" si="109"/>
        <v>0</v>
      </c>
      <c r="J433" s="24">
        <f t="shared" si="110"/>
        <v>0</v>
      </c>
      <c r="K433" s="24">
        <v>4E-05</v>
      </c>
      <c r="L433" s="24">
        <f t="shared" si="111"/>
        <v>0.00084</v>
      </c>
      <c r="M433" s="36" t="s">
        <v>1531</v>
      </c>
      <c r="N433" s="36" t="s">
        <v>1533</v>
      </c>
      <c r="O433" s="24">
        <f t="shared" si="112"/>
        <v>0</v>
      </c>
      <c r="Z433" s="24">
        <f t="shared" si="113"/>
        <v>0</v>
      </c>
      <c r="AA433" s="24">
        <f t="shared" si="114"/>
        <v>0</v>
      </c>
      <c r="AB433" s="24">
        <f t="shared" si="115"/>
        <v>0</v>
      </c>
      <c r="AD433" s="39">
        <v>15</v>
      </c>
      <c r="AE433" s="39">
        <f t="shared" si="116"/>
        <v>0</v>
      </c>
      <c r="AF433" s="39">
        <f t="shared" si="117"/>
        <v>0</v>
      </c>
      <c r="AM433" s="39">
        <f t="shared" si="118"/>
        <v>0</v>
      </c>
      <c r="AN433" s="39">
        <f t="shared" si="119"/>
        <v>0</v>
      </c>
      <c r="AO433" s="40" t="s">
        <v>1565</v>
      </c>
      <c r="AP433" s="40" t="s">
        <v>1607</v>
      </c>
      <c r="AQ433" s="31" t="s">
        <v>1612</v>
      </c>
    </row>
    <row r="434" spans="1:43" ht="12.75">
      <c r="A434" s="6" t="s">
        <v>248</v>
      </c>
      <c r="B434" s="6" t="s">
        <v>595</v>
      </c>
      <c r="C434" s="6" t="s">
        <v>673</v>
      </c>
      <c r="D434" s="6" t="s">
        <v>1058</v>
      </c>
      <c r="E434" s="6" t="s">
        <v>1504</v>
      </c>
      <c r="F434" s="24">
        <v>9</v>
      </c>
      <c r="G434" s="24">
        <v>0</v>
      </c>
      <c r="H434" s="24">
        <f t="shared" si="108"/>
        <v>0</v>
      </c>
      <c r="I434" s="24">
        <f t="shared" si="109"/>
        <v>0</v>
      </c>
      <c r="J434" s="24">
        <f t="shared" si="110"/>
        <v>0</v>
      </c>
      <c r="K434" s="24">
        <v>1E-05</v>
      </c>
      <c r="L434" s="24">
        <f t="shared" si="111"/>
        <v>9E-05</v>
      </c>
      <c r="M434" s="36" t="s">
        <v>1531</v>
      </c>
      <c r="N434" s="36" t="s">
        <v>1533</v>
      </c>
      <c r="O434" s="24">
        <f t="shared" si="112"/>
        <v>0</v>
      </c>
      <c r="Z434" s="24">
        <f t="shared" si="113"/>
        <v>0</v>
      </c>
      <c r="AA434" s="24">
        <f t="shared" si="114"/>
        <v>0</v>
      </c>
      <c r="AB434" s="24">
        <f t="shared" si="115"/>
        <v>0</v>
      </c>
      <c r="AD434" s="39">
        <v>15</v>
      </c>
      <c r="AE434" s="39">
        <f t="shared" si="116"/>
        <v>0</v>
      </c>
      <c r="AF434" s="39">
        <f t="shared" si="117"/>
        <v>0</v>
      </c>
      <c r="AM434" s="39">
        <f t="shared" si="118"/>
        <v>0</v>
      </c>
      <c r="AN434" s="39">
        <f t="shared" si="119"/>
        <v>0</v>
      </c>
      <c r="AO434" s="40" t="s">
        <v>1565</v>
      </c>
      <c r="AP434" s="40" t="s">
        <v>1607</v>
      </c>
      <c r="AQ434" s="31" t="s">
        <v>1612</v>
      </c>
    </row>
    <row r="435" spans="1:43" ht="12.75">
      <c r="A435" s="6" t="s">
        <v>249</v>
      </c>
      <c r="B435" s="6" t="s">
        <v>595</v>
      </c>
      <c r="C435" s="6" t="s">
        <v>674</v>
      </c>
      <c r="D435" s="6" t="s">
        <v>1059</v>
      </c>
      <c r="E435" s="6" t="s">
        <v>1504</v>
      </c>
      <c r="F435" s="24">
        <v>28</v>
      </c>
      <c r="G435" s="24">
        <v>0</v>
      </c>
      <c r="H435" s="24">
        <f t="shared" si="108"/>
        <v>0</v>
      </c>
      <c r="I435" s="24">
        <f t="shared" si="109"/>
        <v>0</v>
      </c>
      <c r="J435" s="24">
        <f t="shared" si="110"/>
        <v>0</v>
      </c>
      <c r="K435" s="24">
        <v>0</v>
      </c>
      <c r="L435" s="24">
        <f t="shared" si="111"/>
        <v>0</v>
      </c>
      <c r="M435" s="36" t="s">
        <v>1531</v>
      </c>
      <c r="N435" s="36" t="s">
        <v>1533</v>
      </c>
      <c r="O435" s="24">
        <f t="shared" si="112"/>
        <v>0</v>
      </c>
      <c r="Z435" s="24">
        <f t="shared" si="113"/>
        <v>0</v>
      </c>
      <c r="AA435" s="24">
        <f t="shared" si="114"/>
        <v>0</v>
      </c>
      <c r="AB435" s="24">
        <f t="shared" si="115"/>
        <v>0</v>
      </c>
      <c r="AD435" s="39">
        <v>15</v>
      </c>
      <c r="AE435" s="39">
        <f t="shared" si="116"/>
        <v>0</v>
      </c>
      <c r="AF435" s="39">
        <f t="shared" si="117"/>
        <v>0</v>
      </c>
      <c r="AM435" s="39">
        <f t="shared" si="118"/>
        <v>0</v>
      </c>
      <c r="AN435" s="39">
        <f t="shared" si="119"/>
        <v>0</v>
      </c>
      <c r="AO435" s="40" t="s">
        <v>1565</v>
      </c>
      <c r="AP435" s="40" t="s">
        <v>1607</v>
      </c>
      <c r="AQ435" s="31" t="s">
        <v>1612</v>
      </c>
    </row>
    <row r="436" spans="1:43" ht="12.75">
      <c r="A436" s="6" t="s">
        <v>250</v>
      </c>
      <c r="B436" s="6" t="s">
        <v>595</v>
      </c>
      <c r="C436" s="6" t="s">
        <v>675</v>
      </c>
      <c r="D436" s="6" t="s">
        <v>1060</v>
      </c>
      <c r="E436" s="6" t="s">
        <v>1504</v>
      </c>
      <c r="F436" s="24">
        <v>6</v>
      </c>
      <c r="G436" s="24">
        <v>0</v>
      </c>
      <c r="H436" s="24">
        <f t="shared" si="108"/>
        <v>0</v>
      </c>
      <c r="I436" s="24">
        <f t="shared" si="109"/>
        <v>0</v>
      </c>
      <c r="J436" s="24">
        <f t="shared" si="110"/>
        <v>0</v>
      </c>
      <c r="K436" s="24">
        <v>1E-05</v>
      </c>
      <c r="L436" s="24">
        <f t="shared" si="111"/>
        <v>6.000000000000001E-05</v>
      </c>
      <c r="M436" s="36" t="s">
        <v>1531</v>
      </c>
      <c r="N436" s="36" t="s">
        <v>1533</v>
      </c>
      <c r="O436" s="24">
        <f t="shared" si="112"/>
        <v>0</v>
      </c>
      <c r="Z436" s="24">
        <f t="shared" si="113"/>
        <v>0</v>
      </c>
      <c r="AA436" s="24">
        <f t="shared" si="114"/>
        <v>0</v>
      </c>
      <c r="AB436" s="24">
        <f t="shared" si="115"/>
        <v>0</v>
      </c>
      <c r="AD436" s="39">
        <v>15</v>
      </c>
      <c r="AE436" s="39">
        <f t="shared" si="116"/>
        <v>0</v>
      </c>
      <c r="AF436" s="39">
        <f t="shared" si="117"/>
        <v>0</v>
      </c>
      <c r="AM436" s="39">
        <f t="shared" si="118"/>
        <v>0</v>
      </c>
      <c r="AN436" s="39">
        <f t="shared" si="119"/>
        <v>0</v>
      </c>
      <c r="AO436" s="40" t="s">
        <v>1565</v>
      </c>
      <c r="AP436" s="40" t="s">
        <v>1607</v>
      </c>
      <c r="AQ436" s="31" t="s">
        <v>1612</v>
      </c>
    </row>
    <row r="437" spans="1:43" ht="12.75">
      <c r="A437" s="6" t="s">
        <v>251</v>
      </c>
      <c r="B437" s="6" t="s">
        <v>595</v>
      </c>
      <c r="C437" s="6" t="s">
        <v>676</v>
      </c>
      <c r="D437" s="6" t="s">
        <v>1061</v>
      </c>
      <c r="E437" s="6" t="s">
        <v>1504</v>
      </c>
      <c r="F437" s="24">
        <v>18</v>
      </c>
      <c r="G437" s="24">
        <v>0</v>
      </c>
      <c r="H437" s="24">
        <f t="shared" si="108"/>
        <v>0</v>
      </c>
      <c r="I437" s="24">
        <f t="shared" si="109"/>
        <v>0</v>
      </c>
      <c r="J437" s="24">
        <f t="shared" si="110"/>
        <v>0</v>
      </c>
      <c r="K437" s="24">
        <v>5E-05</v>
      </c>
      <c r="L437" s="24">
        <f t="shared" si="111"/>
        <v>0.0009000000000000001</v>
      </c>
      <c r="M437" s="36" t="s">
        <v>1531</v>
      </c>
      <c r="N437" s="36" t="s">
        <v>1533</v>
      </c>
      <c r="O437" s="24">
        <f t="shared" si="112"/>
        <v>0</v>
      </c>
      <c r="Z437" s="24">
        <f t="shared" si="113"/>
        <v>0</v>
      </c>
      <c r="AA437" s="24">
        <f t="shared" si="114"/>
        <v>0</v>
      </c>
      <c r="AB437" s="24">
        <f t="shared" si="115"/>
        <v>0</v>
      </c>
      <c r="AD437" s="39">
        <v>15</v>
      </c>
      <c r="AE437" s="39">
        <f t="shared" si="116"/>
        <v>0</v>
      </c>
      <c r="AF437" s="39">
        <f t="shared" si="117"/>
        <v>0</v>
      </c>
      <c r="AM437" s="39">
        <f t="shared" si="118"/>
        <v>0</v>
      </c>
      <c r="AN437" s="39">
        <f t="shared" si="119"/>
        <v>0</v>
      </c>
      <c r="AO437" s="40" t="s">
        <v>1565</v>
      </c>
      <c r="AP437" s="40" t="s">
        <v>1607</v>
      </c>
      <c r="AQ437" s="31" t="s">
        <v>1612</v>
      </c>
    </row>
    <row r="438" spans="1:43" ht="12.75">
      <c r="A438" s="6" t="s">
        <v>252</v>
      </c>
      <c r="B438" s="6" t="s">
        <v>595</v>
      </c>
      <c r="C438" s="6" t="s">
        <v>850</v>
      </c>
      <c r="D438" s="6" t="s">
        <v>1303</v>
      </c>
      <c r="E438" s="6" t="s">
        <v>1504</v>
      </c>
      <c r="F438" s="24">
        <v>3</v>
      </c>
      <c r="G438" s="24">
        <v>0</v>
      </c>
      <c r="H438" s="24">
        <f t="shared" si="108"/>
        <v>0</v>
      </c>
      <c r="I438" s="24">
        <f t="shared" si="109"/>
        <v>0</v>
      </c>
      <c r="J438" s="24">
        <f t="shared" si="110"/>
        <v>0</v>
      </c>
      <c r="K438" s="24">
        <v>6E-05</v>
      </c>
      <c r="L438" s="24">
        <f t="shared" si="111"/>
        <v>0.00018</v>
      </c>
      <c r="M438" s="36" t="s">
        <v>1531</v>
      </c>
      <c r="N438" s="36" t="s">
        <v>1533</v>
      </c>
      <c r="O438" s="24">
        <f t="shared" si="112"/>
        <v>0</v>
      </c>
      <c r="Z438" s="24">
        <f t="shared" si="113"/>
        <v>0</v>
      </c>
      <c r="AA438" s="24">
        <f t="shared" si="114"/>
        <v>0</v>
      </c>
      <c r="AB438" s="24">
        <f t="shared" si="115"/>
        <v>0</v>
      </c>
      <c r="AD438" s="39">
        <v>15</v>
      </c>
      <c r="AE438" s="39">
        <f t="shared" si="116"/>
        <v>0</v>
      </c>
      <c r="AF438" s="39">
        <f t="shared" si="117"/>
        <v>0</v>
      </c>
      <c r="AM438" s="39">
        <f t="shared" si="118"/>
        <v>0</v>
      </c>
      <c r="AN438" s="39">
        <f t="shared" si="119"/>
        <v>0</v>
      </c>
      <c r="AO438" s="40" t="s">
        <v>1565</v>
      </c>
      <c r="AP438" s="40" t="s">
        <v>1607</v>
      </c>
      <c r="AQ438" s="31" t="s">
        <v>1612</v>
      </c>
    </row>
    <row r="439" spans="1:43" ht="12.75">
      <c r="A439" s="6" t="s">
        <v>253</v>
      </c>
      <c r="B439" s="6" t="s">
        <v>595</v>
      </c>
      <c r="C439" s="6" t="s">
        <v>677</v>
      </c>
      <c r="D439" s="6" t="s">
        <v>1062</v>
      </c>
      <c r="E439" s="6" t="s">
        <v>1504</v>
      </c>
      <c r="F439" s="24">
        <v>78</v>
      </c>
      <c r="G439" s="24">
        <v>0</v>
      </c>
      <c r="H439" s="24">
        <f t="shared" si="108"/>
        <v>0</v>
      </c>
      <c r="I439" s="24">
        <f t="shared" si="109"/>
        <v>0</v>
      </c>
      <c r="J439" s="24">
        <f t="shared" si="110"/>
        <v>0</v>
      </c>
      <c r="K439" s="24">
        <v>2E-05</v>
      </c>
      <c r="L439" s="24">
        <f t="shared" si="111"/>
        <v>0.0015600000000000002</v>
      </c>
      <c r="M439" s="36" t="s">
        <v>1531</v>
      </c>
      <c r="N439" s="36" t="s">
        <v>1533</v>
      </c>
      <c r="O439" s="24">
        <f t="shared" si="112"/>
        <v>0</v>
      </c>
      <c r="Z439" s="24">
        <f t="shared" si="113"/>
        <v>0</v>
      </c>
      <c r="AA439" s="24">
        <f t="shared" si="114"/>
        <v>0</v>
      </c>
      <c r="AB439" s="24">
        <f t="shared" si="115"/>
        <v>0</v>
      </c>
      <c r="AD439" s="39">
        <v>15</v>
      </c>
      <c r="AE439" s="39">
        <f t="shared" si="116"/>
        <v>0</v>
      </c>
      <c r="AF439" s="39">
        <f t="shared" si="117"/>
        <v>0</v>
      </c>
      <c r="AM439" s="39">
        <f t="shared" si="118"/>
        <v>0</v>
      </c>
      <c r="AN439" s="39">
        <f t="shared" si="119"/>
        <v>0</v>
      </c>
      <c r="AO439" s="40" t="s">
        <v>1565</v>
      </c>
      <c r="AP439" s="40" t="s">
        <v>1607</v>
      </c>
      <c r="AQ439" s="31" t="s">
        <v>1612</v>
      </c>
    </row>
    <row r="440" spans="1:43" ht="12.75">
      <c r="A440" s="5" t="s">
        <v>254</v>
      </c>
      <c r="B440" s="5" t="s">
        <v>595</v>
      </c>
      <c r="C440" s="5" t="s">
        <v>851</v>
      </c>
      <c r="D440" s="5" t="s">
        <v>1304</v>
      </c>
      <c r="E440" s="5" t="s">
        <v>1504</v>
      </c>
      <c r="F440" s="22">
        <v>3</v>
      </c>
      <c r="G440" s="22">
        <v>0</v>
      </c>
      <c r="H440" s="22">
        <f t="shared" si="108"/>
        <v>0</v>
      </c>
      <c r="I440" s="22">
        <f t="shared" si="109"/>
        <v>0</v>
      </c>
      <c r="J440" s="22">
        <f t="shared" si="110"/>
        <v>0</v>
      </c>
      <c r="K440" s="22">
        <v>0</v>
      </c>
      <c r="L440" s="22">
        <f t="shared" si="111"/>
        <v>0</v>
      </c>
      <c r="M440" s="35" t="s">
        <v>1531</v>
      </c>
      <c r="N440" s="35" t="s">
        <v>8</v>
      </c>
      <c r="O440" s="22">
        <f t="shared" si="112"/>
        <v>0</v>
      </c>
      <c r="Z440" s="22">
        <f t="shared" si="113"/>
        <v>0</v>
      </c>
      <c r="AA440" s="22">
        <f t="shared" si="114"/>
        <v>0</v>
      </c>
      <c r="AB440" s="22">
        <f t="shared" si="115"/>
        <v>0</v>
      </c>
      <c r="AD440" s="39">
        <v>15</v>
      </c>
      <c r="AE440" s="39">
        <f t="shared" si="116"/>
        <v>0</v>
      </c>
      <c r="AF440" s="39">
        <f t="shared" si="117"/>
        <v>0</v>
      </c>
      <c r="AM440" s="39">
        <f t="shared" si="118"/>
        <v>0</v>
      </c>
      <c r="AN440" s="39">
        <f t="shared" si="119"/>
        <v>0</v>
      </c>
      <c r="AO440" s="40" t="s">
        <v>1565</v>
      </c>
      <c r="AP440" s="40" t="s">
        <v>1607</v>
      </c>
      <c r="AQ440" s="31" t="s">
        <v>1612</v>
      </c>
    </row>
    <row r="441" spans="1:43" ht="12.75">
      <c r="A441" s="5" t="s">
        <v>255</v>
      </c>
      <c r="B441" s="5" t="s">
        <v>595</v>
      </c>
      <c r="C441" s="5" t="s">
        <v>666</v>
      </c>
      <c r="D441" s="5" t="s">
        <v>1046</v>
      </c>
      <c r="E441" s="5" t="s">
        <v>1505</v>
      </c>
      <c r="F441" s="22">
        <v>45</v>
      </c>
      <c r="G441" s="22">
        <v>0</v>
      </c>
      <c r="H441" s="22">
        <f t="shared" si="108"/>
        <v>0</v>
      </c>
      <c r="I441" s="22">
        <f t="shared" si="109"/>
        <v>0</v>
      </c>
      <c r="J441" s="22">
        <f t="shared" si="110"/>
        <v>0</v>
      </c>
      <c r="K441" s="22">
        <v>0</v>
      </c>
      <c r="L441" s="22">
        <f t="shared" si="111"/>
        <v>0</v>
      </c>
      <c r="M441" s="35" t="s">
        <v>1531</v>
      </c>
      <c r="N441" s="35" t="s">
        <v>8</v>
      </c>
      <c r="O441" s="22">
        <f t="shared" si="112"/>
        <v>0</v>
      </c>
      <c r="Z441" s="22">
        <f t="shared" si="113"/>
        <v>0</v>
      </c>
      <c r="AA441" s="22">
        <f t="shared" si="114"/>
        <v>0</v>
      </c>
      <c r="AB441" s="22">
        <f t="shared" si="115"/>
        <v>0</v>
      </c>
      <c r="AD441" s="39">
        <v>15</v>
      </c>
      <c r="AE441" s="39">
        <f t="shared" si="116"/>
        <v>0</v>
      </c>
      <c r="AF441" s="39">
        <f t="shared" si="117"/>
        <v>0</v>
      </c>
      <c r="AM441" s="39">
        <f t="shared" si="118"/>
        <v>0</v>
      </c>
      <c r="AN441" s="39">
        <f t="shared" si="119"/>
        <v>0</v>
      </c>
      <c r="AO441" s="40" t="s">
        <v>1565</v>
      </c>
      <c r="AP441" s="40" t="s">
        <v>1607</v>
      </c>
      <c r="AQ441" s="31" t="s">
        <v>1612</v>
      </c>
    </row>
    <row r="442" spans="1:43" ht="12.75">
      <c r="A442" s="5" t="s">
        <v>256</v>
      </c>
      <c r="B442" s="5" t="s">
        <v>595</v>
      </c>
      <c r="C442" s="5" t="s">
        <v>852</v>
      </c>
      <c r="D442" s="5" t="s">
        <v>1305</v>
      </c>
      <c r="E442" s="5" t="s">
        <v>1505</v>
      </c>
      <c r="F442" s="22">
        <v>30</v>
      </c>
      <c r="G442" s="22">
        <v>0</v>
      </c>
      <c r="H442" s="22">
        <f t="shared" si="108"/>
        <v>0</v>
      </c>
      <c r="I442" s="22">
        <f t="shared" si="109"/>
        <v>0</v>
      </c>
      <c r="J442" s="22">
        <f t="shared" si="110"/>
        <v>0</v>
      </c>
      <c r="K442" s="22">
        <v>0</v>
      </c>
      <c r="L442" s="22">
        <f t="shared" si="111"/>
        <v>0</v>
      </c>
      <c r="M442" s="35" t="s">
        <v>1531</v>
      </c>
      <c r="N442" s="35" t="s">
        <v>8</v>
      </c>
      <c r="O442" s="22">
        <f t="shared" si="112"/>
        <v>0</v>
      </c>
      <c r="Z442" s="22">
        <f t="shared" si="113"/>
        <v>0</v>
      </c>
      <c r="AA442" s="22">
        <f t="shared" si="114"/>
        <v>0</v>
      </c>
      <c r="AB442" s="22">
        <f t="shared" si="115"/>
        <v>0</v>
      </c>
      <c r="AD442" s="39">
        <v>15</v>
      </c>
      <c r="AE442" s="39">
        <f t="shared" si="116"/>
        <v>0</v>
      </c>
      <c r="AF442" s="39">
        <f t="shared" si="117"/>
        <v>0</v>
      </c>
      <c r="AM442" s="39">
        <f t="shared" si="118"/>
        <v>0</v>
      </c>
      <c r="AN442" s="39">
        <f t="shared" si="119"/>
        <v>0</v>
      </c>
      <c r="AO442" s="40" t="s">
        <v>1565</v>
      </c>
      <c r="AP442" s="40" t="s">
        <v>1607</v>
      </c>
      <c r="AQ442" s="31" t="s">
        <v>1612</v>
      </c>
    </row>
    <row r="443" spans="1:43" ht="12.75">
      <c r="A443" s="5" t="s">
        <v>257</v>
      </c>
      <c r="B443" s="5" t="s">
        <v>595</v>
      </c>
      <c r="C443" s="5" t="s">
        <v>853</v>
      </c>
      <c r="D443" s="5" t="s">
        <v>1306</v>
      </c>
      <c r="E443" s="5" t="s">
        <v>1505</v>
      </c>
      <c r="F443" s="22">
        <v>18</v>
      </c>
      <c r="G443" s="22">
        <v>0</v>
      </c>
      <c r="H443" s="22">
        <f t="shared" si="108"/>
        <v>0</v>
      </c>
      <c r="I443" s="22">
        <f t="shared" si="109"/>
        <v>0</v>
      </c>
      <c r="J443" s="22">
        <f t="shared" si="110"/>
        <v>0</v>
      </c>
      <c r="K443" s="22">
        <v>0</v>
      </c>
      <c r="L443" s="22">
        <f t="shared" si="111"/>
        <v>0</v>
      </c>
      <c r="M443" s="35" t="s">
        <v>1531</v>
      </c>
      <c r="N443" s="35" t="s">
        <v>8</v>
      </c>
      <c r="O443" s="22">
        <f t="shared" si="112"/>
        <v>0</v>
      </c>
      <c r="Z443" s="22">
        <f t="shared" si="113"/>
        <v>0</v>
      </c>
      <c r="AA443" s="22">
        <f t="shared" si="114"/>
        <v>0</v>
      </c>
      <c r="AB443" s="22">
        <f t="shared" si="115"/>
        <v>0</v>
      </c>
      <c r="AD443" s="39">
        <v>15</v>
      </c>
      <c r="AE443" s="39">
        <f t="shared" si="116"/>
        <v>0</v>
      </c>
      <c r="AF443" s="39">
        <f t="shared" si="117"/>
        <v>0</v>
      </c>
      <c r="AM443" s="39">
        <f t="shared" si="118"/>
        <v>0</v>
      </c>
      <c r="AN443" s="39">
        <f t="shared" si="119"/>
        <v>0</v>
      </c>
      <c r="AO443" s="40" t="s">
        <v>1565</v>
      </c>
      <c r="AP443" s="40" t="s">
        <v>1607</v>
      </c>
      <c r="AQ443" s="31" t="s">
        <v>1612</v>
      </c>
    </row>
    <row r="444" spans="1:43" ht="12.75">
      <c r="A444" s="6" t="s">
        <v>258</v>
      </c>
      <c r="B444" s="6" t="s">
        <v>595</v>
      </c>
      <c r="C444" s="6" t="s">
        <v>678</v>
      </c>
      <c r="D444" s="6" t="s">
        <v>1063</v>
      </c>
      <c r="E444" s="6" t="s">
        <v>1505</v>
      </c>
      <c r="F444" s="24">
        <v>150</v>
      </c>
      <c r="G444" s="24">
        <v>0</v>
      </c>
      <c r="H444" s="24">
        <f t="shared" si="108"/>
        <v>0</v>
      </c>
      <c r="I444" s="24">
        <f t="shared" si="109"/>
        <v>0</v>
      </c>
      <c r="J444" s="24">
        <f t="shared" si="110"/>
        <v>0</v>
      </c>
      <c r="K444" s="24">
        <v>0.00016</v>
      </c>
      <c r="L444" s="24">
        <f t="shared" si="111"/>
        <v>0.024</v>
      </c>
      <c r="M444" s="36" t="s">
        <v>1531</v>
      </c>
      <c r="N444" s="36" t="s">
        <v>1533</v>
      </c>
      <c r="O444" s="24">
        <f t="shared" si="112"/>
        <v>0</v>
      </c>
      <c r="Z444" s="24">
        <f t="shared" si="113"/>
        <v>0</v>
      </c>
      <c r="AA444" s="24">
        <f t="shared" si="114"/>
        <v>0</v>
      </c>
      <c r="AB444" s="24">
        <f t="shared" si="115"/>
        <v>0</v>
      </c>
      <c r="AD444" s="39">
        <v>15</v>
      </c>
      <c r="AE444" s="39">
        <f t="shared" si="116"/>
        <v>0</v>
      </c>
      <c r="AF444" s="39">
        <f t="shared" si="117"/>
        <v>0</v>
      </c>
      <c r="AM444" s="39">
        <f t="shared" si="118"/>
        <v>0</v>
      </c>
      <c r="AN444" s="39">
        <f t="shared" si="119"/>
        <v>0</v>
      </c>
      <c r="AO444" s="40" t="s">
        <v>1565</v>
      </c>
      <c r="AP444" s="40" t="s">
        <v>1607</v>
      </c>
      <c r="AQ444" s="31" t="s">
        <v>1612</v>
      </c>
    </row>
    <row r="445" spans="1:43" ht="12.75">
      <c r="A445" s="6" t="s">
        <v>259</v>
      </c>
      <c r="B445" s="6" t="s">
        <v>595</v>
      </c>
      <c r="C445" s="6" t="s">
        <v>679</v>
      </c>
      <c r="D445" s="6" t="s">
        <v>1064</v>
      </c>
      <c r="E445" s="6" t="s">
        <v>1505</v>
      </c>
      <c r="F445" s="24">
        <v>150</v>
      </c>
      <c r="G445" s="24">
        <v>0</v>
      </c>
      <c r="H445" s="24">
        <f t="shared" si="108"/>
        <v>0</v>
      </c>
      <c r="I445" s="24">
        <f t="shared" si="109"/>
        <v>0</v>
      </c>
      <c r="J445" s="24">
        <f t="shared" si="110"/>
        <v>0</v>
      </c>
      <c r="K445" s="24">
        <v>0.00015</v>
      </c>
      <c r="L445" s="24">
        <f t="shared" si="111"/>
        <v>0.0225</v>
      </c>
      <c r="M445" s="36" t="s">
        <v>1531</v>
      </c>
      <c r="N445" s="36" t="s">
        <v>1533</v>
      </c>
      <c r="O445" s="24">
        <f t="shared" si="112"/>
        <v>0</v>
      </c>
      <c r="Z445" s="24">
        <f t="shared" si="113"/>
        <v>0</v>
      </c>
      <c r="AA445" s="24">
        <f t="shared" si="114"/>
        <v>0</v>
      </c>
      <c r="AB445" s="24">
        <f t="shared" si="115"/>
        <v>0</v>
      </c>
      <c r="AD445" s="39">
        <v>15</v>
      </c>
      <c r="AE445" s="39">
        <f t="shared" si="116"/>
        <v>0</v>
      </c>
      <c r="AF445" s="39">
        <f t="shared" si="117"/>
        <v>0</v>
      </c>
      <c r="AM445" s="39">
        <f t="shared" si="118"/>
        <v>0</v>
      </c>
      <c r="AN445" s="39">
        <f t="shared" si="119"/>
        <v>0</v>
      </c>
      <c r="AO445" s="40" t="s">
        <v>1565</v>
      </c>
      <c r="AP445" s="40" t="s">
        <v>1607</v>
      </c>
      <c r="AQ445" s="31" t="s">
        <v>1612</v>
      </c>
    </row>
    <row r="446" spans="1:43" ht="12.75">
      <c r="A446" s="6" t="s">
        <v>260</v>
      </c>
      <c r="B446" s="6" t="s">
        <v>595</v>
      </c>
      <c r="C446" s="6" t="s">
        <v>680</v>
      </c>
      <c r="D446" s="6" t="s">
        <v>1065</v>
      </c>
      <c r="E446" s="6" t="s">
        <v>1505</v>
      </c>
      <c r="F446" s="24">
        <v>240</v>
      </c>
      <c r="G446" s="24">
        <v>0</v>
      </c>
      <c r="H446" s="24">
        <f t="shared" si="108"/>
        <v>0</v>
      </c>
      <c r="I446" s="24">
        <f t="shared" si="109"/>
        <v>0</v>
      </c>
      <c r="J446" s="24">
        <f t="shared" si="110"/>
        <v>0</v>
      </c>
      <c r="K446" s="24">
        <v>0.00022</v>
      </c>
      <c r="L446" s="24">
        <f t="shared" si="111"/>
        <v>0.0528</v>
      </c>
      <c r="M446" s="36" t="s">
        <v>1531</v>
      </c>
      <c r="N446" s="36" t="s">
        <v>1533</v>
      </c>
      <c r="O446" s="24">
        <f t="shared" si="112"/>
        <v>0</v>
      </c>
      <c r="Z446" s="24">
        <f t="shared" si="113"/>
        <v>0</v>
      </c>
      <c r="AA446" s="24">
        <f t="shared" si="114"/>
        <v>0</v>
      </c>
      <c r="AB446" s="24">
        <f t="shared" si="115"/>
        <v>0</v>
      </c>
      <c r="AD446" s="39">
        <v>15</v>
      </c>
      <c r="AE446" s="39">
        <f t="shared" si="116"/>
        <v>0</v>
      </c>
      <c r="AF446" s="39">
        <f t="shared" si="117"/>
        <v>0</v>
      </c>
      <c r="AM446" s="39">
        <f t="shared" si="118"/>
        <v>0</v>
      </c>
      <c r="AN446" s="39">
        <f t="shared" si="119"/>
        <v>0</v>
      </c>
      <c r="AO446" s="40" t="s">
        <v>1565</v>
      </c>
      <c r="AP446" s="40" t="s">
        <v>1607</v>
      </c>
      <c r="AQ446" s="31" t="s">
        <v>1612</v>
      </c>
    </row>
    <row r="447" spans="1:43" ht="12.75">
      <c r="A447" s="6" t="s">
        <v>261</v>
      </c>
      <c r="B447" s="6" t="s">
        <v>595</v>
      </c>
      <c r="C447" s="6" t="s">
        <v>683</v>
      </c>
      <c r="D447" s="6" t="s">
        <v>1307</v>
      </c>
      <c r="E447" s="6" t="s">
        <v>1505</v>
      </c>
      <c r="F447" s="24">
        <v>60</v>
      </c>
      <c r="G447" s="24">
        <v>0</v>
      </c>
      <c r="H447" s="24">
        <f t="shared" si="108"/>
        <v>0</v>
      </c>
      <c r="I447" s="24">
        <f t="shared" si="109"/>
        <v>0</v>
      </c>
      <c r="J447" s="24">
        <f t="shared" si="110"/>
        <v>0</v>
      </c>
      <c r="K447" s="24">
        <v>0.00018</v>
      </c>
      <c r="L447" s="24">
        <f t="shared" si="111"/>
        <v>0.0108</v>
      </c>
      <c r="M447" s="36" t="s">
        <v>1531</v>
      </c>
      <c r="N447" s="36" t="s">
        <v>1533</v>
      </c>
      <c r="O447" s="24">
        <f t="shared" si="112"/>
        <v>0</v>
      </c>
      <c r="Z447" s="24">
        <f t="shared" si="113"/>
        <v>0</v>
      </c>
      <c r="AA447" s="24">
        <f t="shared" si="114"/>
        <v>0</v>
      </c>
      <c r="AB447" s="24">
        <f t="shared" si="115"/>
        <v>0</v>
      </c>
      <c r="AD447" s="39">
        <v>15</v>
      </c>
      <c r="AE447" s="39">
        <f t="shared" si="116"/>
        <v>0</v>
      </c>
      <c r="AF447" s="39">
        <f t="shared" si="117"/>
        <v>0</v>
      </c>
      <c r="AM447" s="39">
        <f t="shared" si="118"/>
        <v>0</v>
      </c>
      <c r="AN447" s="39">
        <f t="shared" si="119"/>
        <v>0</v>
      </c>
      <c r="AO447" s="40" t="s">
        <v>1565</v>
      </c>
      <c r="AP447" s="40" t="s">
        <v>1607</v>
      </c>
      <c r="AQ447" s="31" t="s">
        <v>1612</v>
      </c>
    </row>
    <row r="448" spans="1:43" ht="12.75">
      <c r="A448" s="6" t="s">
        <v>262</v>
      </c>
      <c r="B448" s="6" t="s">
        <v>595</v>
      </c>
      <c r="C448" s="6" t="s">
        <v>854</v>
      </c>
      <c r="D448" s="6" t="s">
        <v>1308</v>
      </c>
      <c r="E448" s="6" t="s">
        <v>1505</v>
      </c>
      <c r="F448" s="24">
        <v>45</v>
      </c>
      <c r="G448" s="24">
        <v>0</v>
      </c>
      <c r="H448" s="24">
        <f t="shared" si="108"/>
        <v>0</v>
      </c>
      <c r="I448" s="24">
        <f t="shared" si="109"/>
        <v>0</v>
      </c>
      <c r="J448" s="24">
        <f t="shared" si="110"/>
        <v>0</v>
      </c>
      <c r="K448" s="24">
        <v>0.00061</v>
      </c>
      <c r="L448" s="24">
        <f t="shared" si="111"/>
        <v>0.02745</v>
      </c>
      <c r="M448" s="36" t="s">
        <v>1531</v>
      </c>
      <c r="N448" s="36" t="s">
        <v>1533</v>
      </c>
      <c r="O448" s="24">
        <f t="shared" si="112"/>
        <v>0</v>
      </c>
      <c r="Z448" s="24">
        <f t="shared" si="113"/>
        <v>0</v>
      </c>
      <c r="AA448" s="24">
        <f t="shared" si="114"/>
        <v>0</v>
      </c>
      <c r="AB448" s="24">
        <f t="shared" si="115"/>
        <v>0</v>
      </c>
      <c r="AD448" s="39">
        <v>15</v>
      </c>
      <c r="AE448" s="39">
        <f t="shared" si="116"/>
        <v>0</v>
      </c>
      <c r="AF448" s="39">
        <f t="shared" si="117"/>
        <v>0</v>
      </c>
      <c r="AM448" s="39">
        <f t="shared" si="118"/>
        <v>0</v>
      </c>
      <c r="AN448" s="39">
        <f t="shared" si="119"/>
        <v>0</v>
      </c>
      <c r="AO448" s="40" t="s">
        <v>1565</v>
      </c>
      <c r="AP448" s="40" t="s">
        <v>1607</v>
      </c>
      <c r="AQ448" s="31" t="s">
        <v>1612</v>
      </c>
    </row>
    <row r="449" spans="1:43" ht="12.75">
      <c r="A449" s="6" t="s">
        <v>263</v>
      </c>
      <c r="B449" s="6" t="s">
        <v>595</v>
      </c>
      <c r="C449" s="6" t="s">
        <v>681</v>
      </c>
      <c r="D449" s="6" t="s">
        <v>1066</v>
      </c>
      <c r="E449" s="6" t="s">
        <v>1505</v>
      </c>
      <c r="F449" s="24">
        <v>45</v>
      </c>
      <c r="G449" s="24">
        <v>0</v>
      </c>
      <c r="H449" s="24">
        <f t="shared" si="108"/>
        <v>0</v>
      </c>
      <c r="I449" s="24">
        <f t="shared" si="109"/>
        <v>0</v>
      </c>
      <c r="J449" s="24">
        <f t="shared" si="110"/>
        <v>0</v>
      </c>
      <c r="K449" s="24">
        <v>0.0003</v>
      </c>
      <c r="L449" s="24">
        <f t="shared" si="111"/>
        <v>0.013499999999999998</v>
      </c>
      <c r="M449" s="36" t="s">
        <v>1531</v>
      </c>
      <c r="N449" s="36" t="s">
        <v>1533</v>
      </c>
      <c r="O449" s="24">
        <f t="shared" si="112"/>
        <v>0</v>
      </c>
      <c r="Z449" s="24">
        <f t="shared" si="113"/>
        <v>0</v>
      </c>
      <c r="AA449" s="24">
        <f t="shared" si="114"/>
        <v>0</v>
      </c>
      <c r="AB449" s="24">
        <f t="shared" si="115"/>
        <v>0</v>
      </c>
      <c r="AD449" s="39">
        <v>15</v>
      </c>
      <c r="AE449" s="39">
        <f t="shared" si="116"/>
        <v>0</v>
      </c>
      <c r="AF449" s="39">
        <f t="shared" si="117"/>
        <v>0</v>
      </c>
      <c r="AM449" s="39">
        <f t="shared" si="118"/>
        <v>0</v>
      </c>
      <c r="AN449" s="39">
        <f t="shared" si="119"/>
        <v>0</v>
      </c>
      <c r="AO449" s="40" t="s">
        <v>1565</v>
      </c>
      <c r="AP449" s="40" t="s">
        <v>1607</v>
      </c>
      <c r="AQ449" s="31" t="s">
        <v>1612</v>
      </c>
    </row>
    <row r="450" spans="1:43" ht="12.75">
      <c r="A450" s="6" t="s">
        <v>264</v>
      </c>
      <c r="B450" s="6" t="s">
        <v>595</v>
      </c>
      <c r="C450" s="6" t="s">
        <v>682</v>
      </c>
      <c r="D450" s="6" t="s">
        <v>1067</v>
      </c>
      <c r="E450" s="6" t="s">
        <v>1505</v>
      </c>
      <c r="F450" s="24">
        <v>30</v>
      </c>
      <c r="G450" s="24">
        <v>0</v>
      </c>
      <c r="H450" s="24">
        <f t="shared" si="108"/>
        <v>0</v>
      </c>
      <c r="I450" s="24">
        <f t="shared" si="109"/>
        <v>0</v>
      </c>
      <c r="J450" s="24">
        <f t="shared" si="110"/>
        <v>0</v>
      </c>
      <c r="K450" s="24">
        <v>0.00041</v>
      </c>
      <c r="L450" s="24">
        <f t="shared" si="111"/>
        <v>0.0123</v>
      </c>
      <c r="M450" s="36" t="s">
        <v>1531</v>
      </c>
      <c r="N450" s="36" t="s">
        <v>1533</v>
      </c>
      <c r="O450" s="24">
        <f t="shared" si="112"/>
        <v>0</v>
      </c>
      <c r="Z450" s="24">
        <f t="shared" si="113"/>
        <v>0</v>
      </c>
      <c r="AA450" s="24">
        <f t="shared" si="114"/>
        <v>0</v>
      </c>
      <c r="AB450" s="24">
        <f t="shared" si="115"/>
        <v>0</v>
      </c>
      <c r="AD450" s="39">
        <v>15</v>
      </c>
      <c r="AE450" s="39">
        <f t="shared" si="116"/>
        <v>0</v>
      </c>
      <c r="AF450" s="39">
        <f t="shared" si="117"/>
        <v>0</v>
      </c>
      <c r="AM450" s="39">
        <f t="shared" si="118"/>
        <v>0</v>
      </c>
      <c r="AN450" s="39">
        <f t="shared" si="119"/>
        <v>0</v>
      </c>
      <c r="AO450" s="40" t="s">
        <v>1565</v>
      </c>
      <c r="AP450" s="40" t="s">
        <v>1607</v>
      </c>
      <c r="AQ450" s="31" t="s">
        <v>1612</v>
      </c>
    </row>
    <row r="451" spans="1:43" ht="12.75">
      <c r="A451" s="6" t="s">
        <v>265</v>
      </c>
      <c r="B451" s="6" t="s">
        <v>595</v>
      </c>
      <c r="C451" s="6" t="s">
        <v>683</v>
      </c>
      <c r="D451" s="6" t="s">
        <v>1068</v>
      </c>
      <c r="E451" s="6" t="s">
        <v>1505</v>
      </c>
      <c r="F451" s="24">
        <v>24</v>
      </c>
      <c r="G451" s="24">
        <v>0</v>
      </c>
      <c r="H451" s="24">
        <f t="shared" si="108"/>
        <v>0</v>
      </c>
      <c r="I451" s="24">
        <f t="shared" si="109"/>
        <v>0</v>
      </c>
      <c r="J451" s="24">
        <f t="shared" si="110"/>
        <v>0</v>
      </c>
      <c r="K451" s="24">
        <v>0.00018</v>
      </c>
      <c r="L451" s="24">
        <f t="shared" si="111"/>
        <v>0.00432</v>
      </c>
      <c r="M451" s="36" t="s">
        <v>1531</v>
      </c>
      <c r="N451" s="36" t="s">
        <v>1533</v>
      </c>
      <c r="O451" s="24">
        <f t="shared" si="112"/>
        <v>0</v>
      </c>
      <c r="Z451" s="24">
        <f t="shared" si="113"/>
        <v>0</v>
      </c>
      <c r="AA451" s="24">
        <f t="shared" si="114"/>
        <v>0</v>
      </c>
      <c r="AB451" s="24">
        <f t="shared" si="115"/>
        <v>0</v>
      </c>
      <c r="AD451" s="39">
        <v>15</v>
      </c>
      <c r="AE451" s="39">
        <f t="shared" si="116"/>
        <v>0</v>
      </c>
      <c r="AF451" s="39">
        <f t="shared" si="117"/>
        <v>0</v>
      </c>
      <c r="AM451" s="39">
        <f t="shared" si="118"/>
        <v>0</v>
      </c>
      <c r="AN451" s="39">
        <f t="shared" si="119"/>
        <v>0</v>
      </c>
      <c r="AO451" s="40" t="s">
        <v>1565</v>
      </c>
      <c r="AP451" s="40" t="s">
        <v>1607</v>
      </c>
      <c r="AQ451" s="31" t="s">
        <v>1612</v>
      </c>
    </row>
    <row r="452" spans="1:43" ht="12.75">
      <c r="A452" s="6" t="s">
        <v>266</v>
      </c>
      <c r="B452" s="6" t="s">
        <v>595</v>
      </c>
      <c r="C452" s="6" t="s">
        <v>855</v>
      </c>
      <c r="D452" s="6" t="s">
        <v>1309</v>
      </c>
      <c r="E452" s="6" t="s">
        <v>1505</v>
      </c>
      <c r="F452" s="24">
        <v>45</v>
      </c>
      <c r="G452" s="24">
        <v>0</v>
      </c>
      <c r="H452" s="24">
        <f t="shared" si="108"/>
        <v>0</v>
      </c>
      <c r="I452" s="24">
        <f t="shared" si="109"/>
        <v>0</v>
      </c>
      <c r="J452" s="24">
        <f t="shared" si="110"/>
        <v>0</v>
      </c>
      <c r="K452" s="24">
        <v>0.00013</v>
      </c>
      <c r="L452" s="24">
        <f t="shared" si="111"/>
        <v>0.005849999999999999</v>
      </c>
      <c r="M452" s="36" t="s">
        <v>1531</v>
      </c>
      <c r="N452" s="36" t="s">
        <v>1533</v>
      </c>
      <c r="O452" s="24">
        <f t="shared" si="112"/>
        <v>0</v>
      </c>
      <c r="Z452" s="24">
        <f t="shared" si="113"/>
        <v>0</v>
      </c>
      <c r="AA452" s="24">
        <f t="shared" si="114"/>
        <v>0</v>
      </c>
      <c r="AB452" s="24">
        <f t="shared" si="115"/>
        <v>0</v>
      </c>
      <c r="AD452" s="39">
        <v>15</v>
      </c>
      <c r="AE452" s="39">
        <f t="shared" si="116"/>
        <v>0</v>
      </c>
      <c r="AF452" s="39">
        <f t="shared" si="117"/>
        <v>0</v>
      </c>
      <c r="AM452" s="39">
        <f t="shared" si="118"/>
        <v>0</v>
      </c>
      <c r="AN452" s="39">
        <f t="shared" si="119"/>
        <v>0</v>
      </c>
      <c r="AO452" s="40" t="s">
        <v>1565</v>
      </c>
      <c r="AP452" s="40" t="s">
        <v>1607</v>
      </c>
      <c r="AQ452" s="31" t="s">
        <v>1612</v>
      </c>
    </row>
    <row r="453" spans="1:43" ht="12.75">
      <c r="A453" s="6" t="s">
        <v>267</v>
      </c>
      <c r="B453" s="6" t="s">
        <v>595</v>
      </c>
      <c r="C453" s="6" t="s">
        <v>684</v>
      </c>
      <c r="D453" s="6" t="s">
        <v>1069</v>
      </c>
      <c r="E453" s="6" t="s">
        <v>1504</v>
      </c>
      <c r="F453" s="24">
        <v>24</v>
      </c>
      <c r="G453" s="24">
        <v>0</v>
      </c>
      <c r="H453" s="24">
        <f t="shared" si="108"/>
        <v>0</v>
      </c>
      <c r="I453" s="24">
        <f t="shared" si="109"/>
        <v>0</v>
      </c>
      <c r="J453" s="24">
        <f t="shared" si="110"/>
        <v>0</v>
      </c>
      <c r="K453" s="24">
        <v>3E-05</v>
      </c>
      <c r="L453" s="24">
        <f t="shared" si="111"/>
        <v>0.00072</v>
      </c>
      <c r="M453" s="36" t="s">
        <v>1531</v>
      </c>
      <c r="N453" s="36" t="s">
        <v>1533</v>
      </c>
      <c r="O453" s="24">
        <f t="shared" si="112"/>
        <v>0</v>
      </c>
      <c r="Z453" s="24">
        <f t="shared" si="113"/>
        <v>0</v>
      </c>
      <c r="AA453" s="24">
        <f t="shared" si="114"/>
        <v>0</v>
      </c>
      <c r="AB453" s="24">
        <f t="shared" si="115"/>
        <v>0</v>
      </c>
      <c r="AD453" s="39">
        <v>15</v>
      </c>
      <c r="AE453" s="39">
        <f t="shared" si="116"/>
        <v>0</v>
      </c>
      <c r="AF453" s="39">
        <f t="shared" si="117"/>
        <v>0</v>
      </c>
      <c r="AM453" s="39">
        <f t="shared" si="118"/>
        <v>0</v>
      </c>
      <c r="AN453" s="39">
        <f t="shared" si="119"/>
        <v>0</v>
      </c>
      <c r="AO453" s="40" t="s">
        <v>1565</v>
      </c>
      <c r="AP453" s="40" t="s">
        <v>1607</v>
      </c>
      <c r="AQ453" s="31" t="s">
        <v>1612</v>
      </c>
    </row>
    <row r="454" spans="1:43" ht="12.75">
      <c r="A454" s="6" t="s">
        <v>268</v>
      </c>
      <c r="B454" s="6" t="s">
        <v>595</v>
      </c>
      <c r="C454" s="6" t="s">
        <v>685</v>
      </c>
      <c r="D454" s="6" t="s">
        <v>1070</v>
      </c>
      <c r="E454" s="6" t="s">
        <v>1504</v>
      </c>
      <c r="F454" s="24">
        <v>24</v>
      </c>
      <c r="G454" s="24">
        <v>0</v>
      </c>
      <c r="H454" s="24">
        <f t="shared" si="108"/>
        <v>0</v>
      </c>
      <c r="I454" s="24">
        <f t="shared" si="109"/>
        <v>0</v>
      </c>
      <c r="J454" s="24">
        <f t="shared" si="110"/>
        <v>0</v>
      </c>
      <c r="K454" s="24">
        <v>1E-05</v>
      </c>
      <c r="L454" s="24">
        <f t="shared" si="111"/>
        <v>0.00024000000000000003</v>
      </c>
      <c r="M454" s="36" t="s">
        <v>1531</v>
      </c>
      <c r="N454" s="36" t="s">
        <v>1533</v>
      </c>
      <c r="O454" s="24">
        <f t="shared" si="112"/>
        <v>0</v>
      </c>
      <c r="Z454" s="24">
        <f t="shared" si="113"/>
        <v>0</v>
      </c>
      <c r="AA454" s="24">
        <f t="shared" si="114"/>
        <v>0</v>
      </c>
      <c r="AB454" s="24">
        <f t="shared" si="115"/>
        <v>0</v>
      </c>
      <c r="AD454" s="39">
        <v>15</v>
      </c>
      <c r="AE454" s="39">
        <f t="shared" si="116"/>
        <v>0</v>
      </c>
      <c r="AF454" s="39">
        <f t="shared" si="117"/>
        <v>0</v>
      </c>
      <c r="AM454" s="39">
        <f t="shared" si="118"/>
        <v>0</v>
      </c>
      <c r="AN454" s="39">
        <f t="shared" si="119"/>
        <v>0</v>
      </c>
      <c r="AO454" s="40" t="s">
        <v>1565</v>
      </c>
      <c r="AP454" s="40" t="s">
        <v>1607</v>
      </c>
      <c r="AQ454" s="31" t="s">
        <v>1612</v>
      </c>
    </row>
    <row r="455" spans="1:43" ht="12.75">
      <c r="A455" s="6" t="s">
        <v>269</v>
      </c>
      <c r="B455" s="6" t="s">
        <v>595</v>
      </c>
      <c r="C455" s="6" t="s">
        <v>856</v>
      </c>
      <c r="D455" s="6" t="s">
        <v>1310</v>
      </c>
      <c r="E455" s="6" t="s">
        <v>1504</v>
      </c>
      <c r="F455" s="24">
        <v>3</v>
      </c>
      <c r="G455" s="24">
        <v>0</v>
      </c>
      <c r="H455" s="24">
        <f t="shared" si="108"/>
        <v>0</v>
      </c>
      <c r="I455" s="24">
        <f t="shared" si="109"/>
        <v>0</v>
      </c>
      <c r="J455" s="24">
        <f t="shared" si="110"/>
        <v>0</v>
      </c>
      <c r="K455" s="24">
        <v>0.033</v>
      </c>
      <c r="L455" s="24">
        <f t="shared" si="111"/>
        <v>0.099</v>
      </c>
      <c r="M455" s="36" t="s">
        <v>1531</v>
      </c>
      <c r="N455" s="36" t="s">
        <v>1533</v>
      </c>
      <c r="O455" s="24">
        <f t="shared" si="112"/>
        <v>0</v>
      </c>
      <c r="Z455" s="24">
        <f t="shared" si="113"/>
        <v>0</v>
      </c>
      <c r="AA455" s="24">
        <f t="shared" si="114"/>
        <v>0</v>
      </c>
      <c r="AB455" s="24">
        <f t="shared" si="115"/>
        <v>0</v>
      </c>
      <c r="AD455" s="39">
        <v>15</v>
      </c>
      <c r="AE455" s="39">
        <f t="shared" si="116"/>
        <v>0</v>
      </c>
      <c r="AF455" s="39">
        <f t="shared" si="117"/>
        <v>0</v>
      </c>
      <c r="AM455" s="39">
        <f t="shared" si="118"/>
        <v>0</v>
      </c>
      <c r="AN455" s="39">
        <f t="shared" si="119"/>
        <v>0</v>
      </c>
      <c r="AO455" s="40" t="s">
        <v>1565</v>
      </c>
      <c r="AP455" s="40" t="s">
        <v>1607</v>
      </c>
      <c r="AQ455" s="31" t="s">
        <v>1612</v>
      </c>
    </row>
    <row r="456" spans="1:43" ht="12.75">
      <c r="A456" s="6" t="s">
        <v>270</v>
      </c>
      <c r="B456" s="6" t="s">
        <v>595</v>
      </c>
      <c r="C456" s="6" t="s">
        <v>687</v>
      </c>
      <c r="D456" s="6" t="s">
        <v>1072</v>
      </c>
      <c r="E456" s="6" t="s">
        <v>1504</v>
      </c>
      <c r="F456" s="24">
        <v>30</v>
      </c>
      <c r="G456" s="24">
        <v>0</v>
      </c>
      <c r="H456" s="24">
        <f t="shared" si="108"/>
        <v>0</v>
      </c>
      <c r="I456" s="24">
        <f t="shared" si="109"/>
        <v>0</v>
      </c>
      <c r="J456" s="24">
        <f t="shared" si="110"/>
        <v>0</v>
      </c>
      <c r="K456" s="24">
        <v>0</v>
      </c>
      <c r="L456" s="24">
        <f t="shared" si="111"/>
        <v>0</v>
      </c>
      <c r="M456" s="36" t="s">
        <v>1531</v>
      </c>
      <c r="N456" s="36" t="s">
        <v>1533</v>
      </c>
      <c r="O456" s="24">
        <f t="shared" si="112"/>
        <v>0</v>
      </c>
      <c r="Z456" s="24">
        <f t="shared" si="113"/>
        <v>0</v>
      </c>
      <c r="AA456" s="24">
        <f t="shared" si="114"/>
        <v>0</v>
      </c>
      <c r="AB456" s="24">
        <f t="shared" si="115"/>
        <v>0</v>
      </c>
      <c r="AD456" s="39">
        <v>15</v>
      </c>
      <c r="AE456" s="39">
        <f t="shared" si="116"/>
        <v>0</v>
      </c>
      <c r="AF456" s="39">
        <f t="shared" si="117"/>
        <v>0</v>
      </c>
      <c r="AM456" s="39">
        <f t="shared" si="118"/>
        <v>0</v>
      </c>
      <c r="AN456" s="39">
        <f t="shared" si="119"/>
        <v>0</v>
      </c>
      <c r="AO456" s="40" t="s">
        <v>1565</v>
      </c>
      <c r="AP456" s="40" t="s">
        <v>1607</v>
      </c>
      <c r="AQ456" s="31" t="s">
        <v>1612</v>
      </c>
    </row>
    <row r="457" spans="1:43" ht="12.75">
      <c r="A457" s="5" t="s">
        <v>271</v>
      </c>
      <c r="B457" s="5" t="s">
        <v>595</v>
      </c>
      <c r="C457" s="5" t="s">
        <v>857</v>
      </c>
      <c r="D457" s="5" t="s">
        <v>1311</v>
      </c>
      <c r="E457" s="5" t="s">
        <v>1504</v>
      </c>
      <c r="F457" s="22">
        <v>3</v>
      </c>
      <c r="G457" s="22">
        <v>0</v>
      </c>
      <c r="H457" s="22">
        <f t="shared" si="108"/>
        <v>0</v>
      </c>
      <c r="I457" s="22">
        <f t="shared" si="109"/>
        <v>0</v>
      </c>
      <c r="J457" s="22">
        <f t="shared" si="110"/>
        <v>0</v>
      </c>
      <c r="K457" s="22">
        <v>0.00039</v>
      </c>
      <c r="L457" s="22">
        <f t="shared" si="111"/>
        <v>0.00117</v>
      </c>
      <c r="M457" s="35" t="s">
        <v>1531</v>
      </c>
      <c r="N457" s="35" t="s">
        <v>8</v>
      </c>
      <c r="O457" s="22">
        <f t="shared" si="112"/>
        <v>0</v>
      </c>
      <c r="Z457" s="22">
        <f t="shared" si="113"/>
        <v>0</v>
      </c>
      <c r="AA457" s="22">
        <f t="shared" si="114"/>
        <v>0</v>
      </c>
      <c r="AB457" s="22">
        <f t="shared" si="115"/>
        <v>0</v>
      </c>
      <c r="AD457" s="39">
        <v>15</v>
      </c>
      <c r="AE457" s="39">
        <f t="shared" si="116"/>
        <v>0</v>
      </c>
      <c r="AF457" s="39">
        <f t="shared" si="117"/>
        <v>0</v>
      </c>
      <c r="AM457" s="39">
        <f t="shared" si="118"/>
        <v>0</v>
      </c>
      <c r="AN457" s="39">
        <f t="shared" si="119"/>
        <v>0</v>
      </c>
      <c r="AO457" s="40" t="s">
        <v>1565</v>
      </c>
      <c r="AP457" s="40" t="s">
        <v>1607</v>
      </c>
      <c r="AQ457" s="31" t="s">
        <v>1612</v>
      </c>
    </row>
    <row r="458" spans="1:43" ht="12.75">
      <c r="A458" s="5" t="s">
        <v>272</v>
      </c>
      <c r="B458" s="5" t="s">
        <v>595</v>
      </c>
      <c r="C458" s="5" t="s">
        <v>667</v>
      </c>
      <c r="D458" s="5" t="s">
        <v>1047</v>
      </c>
      <c r="E458" s="5" t="s">
        <v>1504</v>
      </c>
      <c r="F458" s="22">
        <v>24</v>
      </c>
      <c r="G458" s="22">
        <v>0</v>
      </c>
      <c r="H458" s="22">
        <f t="shared" si="108"/>
        <v>0</v>
      </c>
      <c r="I458" s="22">
        <f t="shared" si="109"/>
        <v>0</v>
      </c>
      <c r="J458" s="22">
        <f t="shared" si="110"/>
        <v>0</v>
      </c>
      <c r="K458" s="22">
        <v>0</v>
      </c>
      <c r="L458" s="22">
        <f t="shared" si="111"/>
        <v>0</v>
      </c>
      <c r="M458" s="35" t="s">
        <v>1531</v>
      </c>
      <c r="N458" s="35" t="s">
        <v>8</v>
      </c>
      <c r="O458" s="22">
        <f t="shared" si="112"/>
        <v>0</v>
      </c>
      <c r="Z458" s="22">
        <f t="shared" si="113"/>
        <v>0</v>
      </c>
      <c r="AA458" s="22">
        <f t="shared" si="114"/>
        <v>0</v>
      </c>
      <c r="AB458" s="22">
        <f t="shared" si="115"/>
        <v>0</v>
      </c>
      <c r="AD458" s="39">
        <v>15</v>
      </c>
      <c r="AE458" s="39">
        <f t="shared" si="116"/>
        <v>0</v>
      </c>
      <c r="AF458" s="39">
        <f t="shared" si="117"/>
        <v>0</v>
      </c>
      <c r="AM458" s="39">
        <f t="shared" si="118"/>
        <v>0</v>
      </c>
      <c r="AN458" s="39">
        <f t="shared" si="119"/>
        <v>0</v>
      </c>
      <c r="AO458" s="40" t="s">
        <v>1565</v>
      </c>
      <c r="AP458" s="40" t="s">
        <v>1607</v>
      </c>
      <c r="AQ458" s="31" t="s">
        <v>1612</v>
      </c>
    </row>
    <row r="459" spans="1:43" ht="12.75">
      <c r="A459" s="5" t="s">
        <v>273</v>
      </c>
      <c r="B459" s="5" t="s">
        <v>595</v>
      </c>
      <c r="C459" s="5" t="s">
        <v>668</v>
      </c>
      <c r="D459" s="5" t="s">
        <v>1048</v>
      </c>
      <c r="E459" s="5" t="s">
        <v>1504</v>
      </c>
      <c r="F459" s="22">
        <v>3</v>
      </c>
      <c r="G459" s="22">
        <v>0</v>
      </c>
      <c r="H459" s="22">
        <f t="shared" si="108"/>
        <v>0</v>
      </c>
      <c r="I459" s="22">
        <f t="shared" si="109"/>
        <v>0</v>
      </c>
      <c r="J459" s="22">
        <f t="shared" si="110"/>
        <v>0</v>
      </c>
      <c r="K459" s="22">
        <v>0</v>
      </c>
      <c r="L459" s="22">
        <f t="shared" si="111"/>
        <v>0</v>
      </c>
      <c r="M459" s="35" t="s">
        <v>1531</v>
      </c>
      <c r="N459" s="35" t="s">
        <v>8</v>
      </c>
      <c r="O459" s="22">
        <f t="shared" si="112"/>
        <v>0</v>
      </c>
      <c r="Z459" s="22">
        <f t="shared" si="113"/>
        <v>0</v>
      </c>
      <c r="AA459" s="22">
        <f t="shared" si="114"/>
        <v>0</v>
      </c>
      <c r="AB459" s="22">
        <f t="shared" si="115"/>
        <v>0</v>
      </c>
      <c r="AD459" s="39">
        <v>15</v>
      </c>
      <c r="AE459" s="39">
        <f>G459*0</f>
        <v>0</v>
      </c>
      <c r="AF459" s="39">
        <f>G459*(1-0)</f>
        <v>0</v>
      </c>
      <c r="AM459" s="39">
        <f t="shared" si="118"/>
        <v>0</v>
      </c>
      <c r="AN459" s="39">
        <f t="shared" si="119"/>
        <v>0</v>
      </c>
      <c r="AO459" s="40" t="s">
        <v>1565</v>
      </c>
      <c r="AP459" s="40" t="s">
        <v>1607</v>
      </c>
      <c r="AQ459" s="31" t="s">
        <v>1612</v>
      </c>
    </row>
    <row r="460" spans="1:43" ht="12.75">
      <c r="A460" s="5" t="s">
        <v>274</v>
      </c>
      <c r="B460" s="5" t="s">
        <v>595</v>
      </c>
      <c r="C460" s="5" t="s">
        <v>669</v>
      </c>
      <c r="D460" s="5" t="s">
        <v>1312</v>
      </c>
      <c r="E460" s="5" t="s">
        <v>1504</v>
      </c>
      <c r="F460" s="22">
        <v>3</v>
      </c>
      <c r="G460" s="22">
        <v>0</v>
      </c>
      <c r="H460" s="22">
        <f t="shared" si="108"/>
        <v>0</v>
      </c>
      <c r="I460" s="22">
        <f t="shared" si="109"/>
        <v>0</v>
      </c>
      <c r="J460" s="22">
        <f t="shared" si="110"/>
        <v>0</v>
      </c>
      <c r="K460" s="22">
        <v>0</v>
      </c>
      <c r="L460" s="22">
        <f t="shared" si="111"/>
        <v>0</v>
      </c>
      <c r="M460" s="35" t="s">
        <v>1531</v>
      </c>
      <c r="N460" s="35" t="s">
        <v>8</v>
      </c>
      <c r="O460" s="22">
        <f t="shared" si="112"/>
        <v>0</v>
      </c>
      <c r="Z460" s="22">
        <f t="shared" si="113"/>
        <v>0</v>
      </c>
      <c r="AA460" s="22">
        <f t="shared" si="114"/>
        <v>0</v>
      </c>
      <c r="AB460" s="22">
        <f t="shared" si="115"/>
        <v>0</v>
      </c>
      <c r="AD460" s="39">
        <v>15</v>
      </c>
      <c r="AE460" s="39">
        <f>G460*0</f>
        <v>0</v>
      </c>
      <c r="AF460" s="39">
        <f>G460*(1-0)</f>
        <v>0</v>
      </c>
      <c r="AM460" s="39">
        <f t="shared" si="118"/>
        <v>0</v>
      </c>
      <c r="AN460" s="39">
        <f t="shared" si="119"/>
        <v>0</v>
      </c>
      <c r="AO460" s="40" t="s">
        <v>1565</v>
      </c>
      <c r="AP460" s="40" t="s">
        <v>1607</v>
      </c>
      <c r="AQ460" s="31" t="s">
        <v>1612</v>
      </c>
    </row>
    <row r="461" spans="1:43" ht="12.75">
      <c r="A461" s="5" t="s">
        <v>275</v>
      </c>
      <c r="B461" s="5" t="s">
        <v>595</v>
      </c>
      <c r="C461" s="5" t="s">
        <v>858</v>
      </c>
      <c r="D461" s="5" t="s">
        <v>1052</v>
      </c>
      <c r="E461" s="5" t="s">
        <v>1504</v>
      </c>
      <c r="F461" s="22">
        <v>3</v>
      </c>
      <c r="G461" s="22">
        <v>0</v>
      </c>
      <c r="H461" s="22">
        <f t="shared" si="108"/>
        <v>0</v>
      </c>
      <c r="I461" s="22">
        <f t="shared" si="109"/>
        <v>0</v>
      </c>
      <c r="J461" s="22">
        <f t="shared" si="110"/>
        <v>0</v>
      </c>
      <c r="K461" s="22">
        <v>0</v>
      </c>
      <c r="L461" s="22">
        <f t="shared" si="111"/>
        <v>0</v>
      </c>
      <c r="M461" s="35" t="s">
        <v>1531</v>
      </c>
      <c r="N461" s="35" t="s">
        <v>8</v>
      </c>
      <c r="O461" s="22">
        <f t="shared" si="112"/>
        <v>0</v>
      </c>
      <c r="Z461" s="22">
        <f t="shared" si="113"/>
        <v>0</v>
      </c>
      <c r="AA461" s="22">
        <f t="shared" si="114"/>
        <v>0</v>
      </c>
      <c r="AB461" s="22">
        <f t="shared" si="115"/>
        <v>0</v>
      </c>
      <c r="AD461" s="39">
        <v>15</v>
      </c>
      <c r="AE461" s="39">
        <f>G461*0</f>
        <v>0</v>
      </c>
      <c r="AF461" s="39">
        <f>G461*(1-0)</f>
        <v>0</v>
      </c>
      <c r="AM461" s="39">
        <f t="shared" si="118"/>
        <v>0</v>
      </c>
      <c r="AN461" s="39">
        <f t="shared" si="119"/>
        <v>0</v>
      </c>
      <c r="AO461" s="40" t="s">
        <v>1565</v>
      </c>
      <c r="AP461" s="40" t="s">
        <v>1607</v>
      </c>
      <c r="AQ461" s="31" t="s">
        <v>1612</v>
      </c>
    </row>
    <row r="462" spans="1:43" ht="12.75">
      <c r="A462" s="5" t="s">
        <v>276</v>
      </c>
      <c r="B462" s="5" t="s">
        <v>595</v>
      </c>
      <c r="C462" s="5" t="s">
        <v>670</v>
      </c>
      <c r="D462" s="5" t="s">
        <v>1313</v>
      </c>
      <c r="E462" s="5" t="s">
        <v>1511</v>
      </c>
      <c r="F462" s="22">
        <v>96</v>
      </c>
      <c r="G462" s="22">
        <v>0</v>
      </c>
      <c r="H462" s="22">
        <f t="shared" si="108"/>
        <v>0</v>
      </c>
      <c r="I462" s="22">
        <f t="shared" si="109"/>
        <v>0</v>
      </c>
      <c r="J462" s="22">
        <f t="shared" si="110"/>
        <v>0</v>
      </c>
      <c r="K462" s="22">
        <v>0</v>
      </c>
      <c r="L462" s="22">
        <f t="shared" si="111"/>
        <v>0</v>
      </c>
      <c r="M462" s="35" t="s">
        <v>1531</v>
      </c>
      <c r="N462" s="35" t="s">
        <v>8</v>
      </c>
      <c r="O462" s="22">
        <f t="shared" si="112"/>
        <v>0</v>
      </c>
      <c r="Z462" s="22">
        <f t="shared" si="113"/>
        <v>0</v>
      </c>
      <c r="AA462" s="22">
        <f t="shared" si="114"/>
        <v>0</v>
      </c>
      <c r="AB462" s="22">
        <f t="shared" si="115"/>
        <v>0</v>
      </c>
      <c r="AD462" s="39">
        <v>15</v>
      </c>
      <c r="AE462" s="39">
        <f>G462*0</f>
        <v>0</v>
      </c>
      <c r="AF462" s="39">
        <f>G462*(1-0)</f>
        <v>0</v>
      </c>
      <c r="AM462" s="39">
        <f t="shared" si="118"/>
        <v>0</v>
      </c>
      <c r="AN462" s="39">
        <f t="shared" si="119"/>
        <v>0</v>
      </c>
      <c r="AO462" s="40" t="s">
        <v>1565</v>
      </c>
      <c r="AP462" s="40" t="s">
        <v>1607</v>
      </c>
      <c r="AQ462" s="31" t="s">
        <v>1612</v>
      </c>
    </row>
    <row r="463" spans="1:43" ht="12.75">
      <c r="A463" s="5" t="s">
        <v>277</v>
      </c>
      <c r="B463" s="5" t="s">
        <v>595</v>
      </c>
      <c r="C463" s="5" t="s">
        <v>671</v>
      </c>
      <c r="D463" s="5" t="s">
        <v>1056</v>
      </c>
      <c r="E463" s="5" t="s">
        <v>1504</v>
      </c>
      <c r="F463" s="22">
        <v>21</v>
      </c>
      <c r="G463" s="22">
        <v>0</v>
      </c>
      <c r="H463" s="22">
        <f t="shared" si="108"/>
        <v>0</v>
      </c>
      <c r="I463" s="22">
        <f t="shared" si="109"/>
        <v>0</v>
      </c>
      <c r="J463" s="22">
        <f t="shared" si="110"/>
        <v>0</v>
      </c>
      <c r="K463" s="22">
        <v>0</v>
      </c>
      <c r="L463" s="22">
        <f t="shared" si="111"/>
        <v>0</v>
      </c>
      <c r="M463" s="35" t="s">
        <v>1531</v>
      </c>
      <c r="N463" s="35" t="s">
        <v>8</v>
      </c>
      <c r="O463" s="22">
        <f t="shared" si="112"/>
        <v>0</v>
      </c>
      <c r="Z463" s="22">
        <f t="shared" si="113"/>
        <v>0</v>
      </c>
      <c r="AA463" s="22">
        <f t="shared" si="114"/>
        <v>0</v>
      </c>
      <c r="AB463" s="22">
        <f t="shared" si="115"/>
        <v>0</v>
      </c>
      <c r="AD463" s="39">
        <v>15</v>
      </c>
      <c r="AE463" s="39">
        <f aca="true" t="shared" si="120" ref="AE463:AE468">G463*1</f>
        <v>0</v>
      </c>
      <c r="AF463" s="39">
        <f aca="true" t="shared" si="121" ref="AF463:AF468">G463*(1-1)</f>
        <v>0</v>
      </c>
      <c r="AM463" s="39">
        <f t="shared" si="118"/>
        <v>0</v>
      </c>
      <c r="AN463" s="39">
        <f t="shared" si="119"/>
        <v>0</v>
      </c>
      <c r="AO463" s="40" t="s">
        <v>1565</v>
      </c>
      <c r="AP463" s="40" t="s">
        <v>1607</v>
      </c>
      <c r="AQ463" s="31" t="s">
        <v>1612</v>
      </c>
    </row>
    <row r="464" spans="1:43" ht="12.75">
      <c r="A464" s="5" t="s">
        <v>278</v>
      </c>
      <c r="B464" s="5" t="s">
        <v>595</v>
      </c>
      <c r="C464" s="5" t="s">
        <v>859</v>
      </c>
      <c r="D464" s="5" t="s">
        <v>1314</v>
      </c>
      <c r="E464" s="5" t="s">
        <v>1505</v>
      </c>
      <c r="F464" s="22">
        <v>45</v>
      </c>
      <c r="G464" s="22">
        <v>0</v>
      </c>
      <c r="H464" s="22">
        <f t="shared" si="108"/>
        <v>0</v>
      </c>
      <c r="I464" s="22">
        <f t="shared" si="109"/>
        <v>0</v>
      </c>
      <c r="J464" s="22">
        <f t="shared" si="110"/>
        <v>0</v>
      </c>
      <c r="K464" s="22">
        <v>0</v>
      </c>
      <c r="L464" s="22">
        <f t="shared" si="111"/>
        <v>0</v>
      </c>
      <c r="M464" s="35" t="s">
        <v>1531</v>
      </c>
      <c r="N464" s="35" t="s">
        <v>8</v>
      </c>
      <c r="O464" s="22">
        <f t="shared" si="112"/>
        <v>0</v>
      </c>
      <c r="Z464" s="22">
        <f t="shared" si="113"/>
        <v>0</v>
      </c>
      <c r="AA464" s="22">
        <f t="shared" si="114"/>
        <v>0</v>
      </c>
      <c r="AB464" s="22">
        <f t="shared" si="115"/>
        <v>0</v>
      </c>
      <c r="AD464" s="39">
        <v>15</v>
      </c>
      <c r="AE464" s="39">
        <f t="shared" si="120"/>
        <v>0</v>
      </c>
      <c r="AF464" s="39">
        <f t="shared" si="121"/>
        <v>0</v>
      </c>
      <c r="AM464" s="39">
        <f t="shared" si="118"/>
        <v>0</v>
      </c>
      <c r="AN464" s="39">
        <f t="shared" si="119"/>
        <v>0</v>
      </c>
      <c r="AO464" s="40" t="s">
        <v>1565</v>
      </c>
      <c r="AP464" s="40" t="s">
        <v>1607</v>
      </c>
      <c r="AQ464" s="31" t="s">
        <v>1612</v>
      </c>
    </row>
    <row r="465" spans="1:43" ht="12.75">
      <c r="A465" s="5" t="s">
        <v>279</v>
      </c>
      <c r="B465" s="5" t="s">
        <v>595</v>
      </c>
      <c r="C465" s="5" t="s">
        <v>860</v>
      </c>
      <c r="D465" s="5" t="s">
        <v>1315</v>
      </c>
      <c r="E465" s="5" t="s">
        <v>1504</v>
      </c>
      <c r="F465" s="22">
        <v>12</v>
      </c>
      <c r="G465" s="22">
        <v>0</v>
      </c>
      <c r="H465" s="22">
        <f t="shared" si="108"/>
        <v>0</v>
      </c>
      <c r="I465" s="22">
        <f t="shared" si="109"/>
        <v>0</v>
      </c>
      <c r="J465" s="22">
        <f t="shared" si="110"/>
        <v>0</v>
      </c>
      <c r="K465" s="22">
        <v>0</v>
      </c>
      <c r="L465" s="22">
        <f t="shared" si="111"/>
        <v>0</v>
      </c>
      <c r="M465" s="35" t="s">
        <v>1531</v>
      </c>
      <c r="N465" s="35" t="s">
        <v>8</v>
      </c>
      <c r="O465" s="22">
        <f t="shared" si="112"/>
        <v>0</v>
      </c>
      <c r="Z465" s="22">
        <f t="shared" si="113"/>
        <v>0</v>
      </c>
      <c r="AA465" s="22">
        <f t="shared" si="114"/>
        <v>0</v>
      </c>
      <c r="AB465" s="22">
        <f t="shared" si="115"/>
        <v>0</v>
      </c>
      <c r="AD465" s="39">
        <v>15</v>
      </c>
      <c r="AE465" s="39">
        <f t="shared" si="120"/>
        <v>0</v>
      </c>
      <c r="AF465" s="39">
        <f t="shared" si="121"/>
        <v>0</v>
      </c>
      <c r="AM465" s="39">
        <f t="shared" si="118"/>
        <v>0</v>
      </c>
      <c r="AN465" s="39">
        <f t="shared" si="119"/>
        <v>0</v>
      </c>
      <c r="AO465" s="40" t="s">
        <v>1565</v>
      </c>
      <c r="AP465" s="40" t="s">
        <v>1607</v>
      </c>
      <c r="AQ465" s="31" t="s">
        <v>1612</v>
      </c>
    </row>
    <row r="466" spans="1:43" ht="12.75">
      <c r="A466" s="5" t="s">
        <v>280</v>
      </c>
      <c r="B466" s="5" t="s">
        <v>595</v>
      </c>
      <c r="C466" s="5" t="s">
        <v>861</v>
      </c>
      <c r="D466" s="5" t="s">
        <v>1316</v>
      </c>
      <c r="E466" s="5" t="s">
        <v>1504</v>
      </c>
      <c r="F466" s="22">
        <v>3</v>
      </c>
      <c r="G466" s="22">
        <v>0</v>
      </c>
      <c r="H466" s="22">
        <f t="shared" si="108"/>
        <v>0</v>
      </c>
      <c r="I466" s="22">
        <f t="shared" si="109"/>
        <v>0</v>
      </c>
      <c r="J466" s="22">
        <f t="shared" si="110"/>
        <v>0</v>
      </c>
      <c r="K466" s="22">
        <v>0</v>
      </c>
      <c r="L466" s="22">
        <f t="shared" si="111"/>
        <v>0</v>
      </c>
      <c r="M466" s="35" t="s">
        <v>1531</v>
      </c>
      <c r="N466" s="35" t="s">
        <v>8</v>
      </c>
      <c r="O466" s="22">
        <f t="shared" si="112"/>
        <v>0</v>
      </c>
      <c r="Z466" s="22">
        <f t="shared" si="113"/>
        <v>0</v>
      </c>
      <c r="AA466" s="22">
        <f t="shared" si="114"/>
        <v>0</v>
      </c>
      <c r="AB466" s="22">
        <f t="shared" si="115"/>
        <v>0</v>
      </c>
      <c r="AD466" s="39">
        <v>15</v>
      </c>
      <c r="AE466" s="39">
        <f t="shared" si="120"/>
        <v>0</v>
      </c>
      <c r="AF466" s="39">
        <f t="shared" si="121"/>
        <v>0</v>
      </c>
      <c r="AM466" s="39">
        <f t="shared" si="118"/>
        <v>0</v>
      </c>
      <c r="AN466" s="39">
        <f t="shared" si="119"/>
        <v>0</v>
      </c>
      <c r="AO466" s="40" t="s">
        <v>1565</v>
      </c>
      <c r="AP466" s="40" t="s">
        <v>1607</v>
      </c>
      <c r="AQ466" s="31" t="s">
        <v>1612</v>
      </c>
    </row>
    <row r="467" spans="1:43" ht="12.75">
      <c r="A467" s="5" t="s">
        <v>281</v>
      </c>
      <c r="B467" s="5" t="s">
        <v>595</v>
      </c>
      <c r="C467" s="5" t="s">
        <v>862</v>
      </c>
      <c r="D467" s="5" t="s">
        <v>1317</v>
      </c>
      <c r="E467" s="5" t="s">
        <v>1504</v>
      </c>
      <c r="F467" s="22">
        <v>3</v>
      </c>
      <c r="G467" s="22">
        <v>0</v>
      </c>
      <c r="H467" s="22">
        <f t="shared" si="108"/>
        <v>0</v>
      </c>
      <c r="I467" s="22">
        <f t="shared" si="109"/>
        <v>0</v>
      </c>
      <c r="J467" s="22">
        <f t="shared" si="110"/>
        <v>0</v>
      </c>
      <c r="K467" s="22">
        <v>0</v>
      </c>
      <c r="L467" s="22">
        <f t="shared" si="111"/>
        <v>0</v>
      </c>
      <c r="M467" s="35" t="s">
        <v>1531</v>
      </c>
      <c r="N467" s="35" t="s">
        <v>8</v>
      </c>
      <c r="O467" s="22">
        <f t="shared" si="112"/>
        <v>0</v>
      </c>
      <c r="Z467" s="22">
        <f t="shared" si="113"/>
        <v>0</v>
      </c>
      <c r="AA467" s="22">
        <f t="shared" si="114"/>
        <v>0</v>
      </c>
      <c r="AB467" s="22">
        <f t="shared" si="115"/>
        <v>0</v>
      </c>
      <c r="AD467" s="39">
        <v>15</v>
      </c>
      <c r="AE467" s="39">
        <f t="shared" si="120"/>
        <v>0</v>
      </c>
      <c r="AF467" s="39">
        <f t="shared" si="121"/>
        <v>0</v>
      </c>
      <c r="AM467" s="39">
        <f t="shared" si="118"/>
        <v>0</v>
      </c>
      <c r="AN467" s="39">
        <f t="shared" si="119"/>
        <v>0</v>
      </c>
      <c r="AO467" s="40" t="s">
        <v>1565</v>
      </c>
      <c r="AP467" s="40" t="s">
        <v>1607</v>
      </c>
      <c r="AQ467" s="31" t="s">
        <v>1612</v>
      </c>
    </row>
    <row r="468" spans="1:43" ht="12.75">
      <c r="A468" s="6" t="s">
        <v>282</v>
      </c>
      <c r="B468" s="6" t="s">
        <v>595</v>
      </c>
      <c r="C468" s="6" t="s">
        <v>863</v>
      </c>
      <c r="D468" s="6" t="s">
        <v>1318</v>
      </c>
      <c r="E468" s="6" t="s">
        <v>1504</v>
      </c>
      <c r="F468" s="24">
        <v>3</v>
      </c>
      <c r="G468" s="24">
        <v>0</v>
      </c>
      <c r="H468" s="24">
        <f t="shared" si="108"/>
        <v>0</v>
      </c>
      <c r="I468" s="24">
        <f t="shared" si="109"/>
        <v>0</v>
      </c>
      <c r="J468" s="24">
        <f t="shared" si="110"/>
        <v>0</v>
      </c>
      <c r="K468" s="24">
        <v>0.00059</v>
      </c>
      <c r="L468" s="24">
        <f t="shared" si="111"/>
        <v>0.00177</v>
      </c>
      <c r="M468" s="36" t="s">
        <v>1531</v>
      </c>
      <c r="N468" s="36" t="s">
        <v>1533</v>
      </c>
      <c r="O468" s="24">
        <f t="shared" si="112"/>
        <v>0</v>
      </c>
      <c r="Z468" s="24">
        <f t="shared" si="113"/>
        <v>0</v>
      </c>
      <c r="AA468" s="24">
        <f t="shared" si="114"/>
        <v>0</v>
      </c>
      <c r="AB468" s="24">
        <f t="shared" si="115"/>
        <v>0</v>
      </c>
      <c r="AD468" s="39">
        <v>15</v>
      </c>
      <c r="AE468" s="39">
        <f t="shared" si="120"/>
        <v>0</v>
      </c>
      <c r="AF468" s="39">
        <f t="shared" si="121"/>
        <v>0</v>
      </c>
      <c r="AM468" s="39">
        <f t="shared" si="118"/>
        <v>0</v>
      </c>
      <c r="AN468" s="39">
        <f t="shared" si="119"/>
        <v>0</v>
      </c>
      <c r="AO468" s="40" t="s">
        <v>1565</v>
      </c>
      <c r="AP468" s="40" t="s">
        <v>1607</v>
      </c>
      <c r="AQ468" s="31" t="s">
        <v>1612</v>
      </c>
    </row>
    <row r="469" spans="1:13" ht="12.75">
      <c r="A469" s="7"/>
      <c r="B469" s="15" t="s">
        <v>596</v>
      </c>
      <c r="C469" s="15"/>
      <c r="D469" s="106" t="s">
        <v>1319</v>
      </c>
      <c r="E469" s="107"/>
      <c r="F469" s="107"/>
      <c r="G469" s="107"/>
      <c r="H469" s="43">
        <f>H470+H489+H501+H506+H509+H517+H523+H536+H561+H596+H606+H610+H612+H617+H621+H641+H645+H661+H671+H675+H690+H694+H699+H703+H706+H709+H727+H729+H731+H733+H735+H737+H739+H741+H743+H745+H747+H749+H751+H753+H755+H757+H759+H761+H763</f>
        <v>0</v>
      </c>
      <c r="I469" s="43">
        <f>I470+I489+I501+I506+I509+I517+I523+I536+I561+I596+I606+I610+I612+I617+I621+I641+I645+I661+I671+I675+I690+I694+I699+I703+I706+I709+I727+I729+I731+I733+I735+I737+I739+I741+I743+I745+I747+I749+I751+I753+I755+I757+I759+I761+I763</f>
        <v>0</v>
      </c>
      <c r="J469" s="43">
        <f>H469+I469</f>
        <v>0</v>
      </c>
      <c r="K469" s="32"/>
      <c r="L469" s="43">
        <f>L470+L489+L501+L506+L509+L517+L523+L536+L561+L596+L606+L610+L612+L617+L621+L641+L645+L661+L671+L675+L690+L694+L699+L703+L706+L709+L727+L729+L731+L733+L735+L737+L739+L741+L743+L745+L747+L749+L751+L753+L755+L757+L759+L761+L763</f>
        <v>48.03882231</v>
      </c>
      <c r="M469" s="32"/>
    </row>
    <row r="470" spans="1:37" ht="12.75">
      <c r="A470" s="4"/>
      <c r="B470" s="14" t="s">
        <v>596</v>
      </c>
      <c r="C470" s="14" t="s">
        <v>40</v>
      </c>
      <c r="D470" s="104" t="s">
        <v>1074</v>
      </c>
      <c r="E470" s="105"/>
      <c r="F470" s="105"/>
      <c r="G470" s="105"/>
      <c r="H470" s="42">
        <f>SUM(H471:H482)</f>
        <v>0</v>
      </c>
      <c r="I470" s="42">
        <f>SUM(I471:I482)</f>
        <v>0</v>
      </c>
      <c r="J470" s="42">
        <f>H470+I470</f>
        <v>0</v>
      </c>
      <c r="K470" s="31"/>
      <c r="L470" s="42">
        <f>SUM(L471:L482)</f>
        <v>7.11202756</v>
      </c>
      <c r="M470" s="31"/>
      <c r="P470" s="42">
        <f>IF(Q470="PR",J470,SUM(O471:O482))</f>
        <v>0</v>
      </c>
      <c r="Q470" s="31" t="s">
        <v>1536</v>
      </c>
      <c r="R470" s="42">
        <f>IF(Q470="HS",H470,0)</f>
        <v>0</v>
      </c>
      <c r="S470" s="42">
        <f>IF(Q470="HS",I470-P470,0)</f>
        <v>0</v>
      </c>
      <c r="T470" s="42">
        <f>IF(Q470="PS",H470,0)</f>
        <v>0</v>
      </c>
      <c r="U470" s="42">
        <f>IF(Q470="PS",I470-P470,0)</f>
        <v>0</v>
      </c>
      <c r="V470" s="42">
        <f>IF(Q470="MP",H470,0)</f>
        <v>0</v>
      </c>
      <c r="W470" s="42">
        <f>IF(Q470="MP",I470-P470,0)</f>
        <v>0</v>
      </c>
      <c r="X470" s="42">
        <f>IF(Q470="OM",H470,0)</f>
        <v>0</v>
      </c>
      <c r="Y470" s="31" t="s">
        <v>596</v>
      </c>
      <c r="AI470" s="42">
        <f>SUM(Z471:Z482)</f>
        <v>0</v>
      </c>
      <c r="AJ470" s="42">
        <f>SUM(AA471:AA482)</f>
        <v>0</v>
      </c>
      <c r="AK470" s="42">
        <f>SUM(AB471:AB482)</f>
        <v>0</v>
      </c>
    </row>
    <row r="471" spans="1:43" ht="12.75">
      <c r="A471" s="5" t="s">
        <v>283</v>
      </c>
      <c r="B471" s="5" t="s">
        <v>596</v>
      </c>
      <c r="C471" s="5" t="s">
        <v>688</v>
      </c>
      <c r="D471" s="5" t="s">
        <v>1075</v>
      </c>
      <c r="E471" s="5" t="s">
        <v>1503</v>
      </c>
      <c r="F471" s="22">
        <v>178.24</v>
      </c>
      <c r="G471" s="22">
        <v>0</v>
      </c>
      <c r="H471" s="22">
        <f>F471*AE471</f>
        <v>0</v>
      </c>
      <c r="I471" s="22">
        <f>J471-H471</f>
        <v>0</v>
      </c>
      <c r="J471" s="22">
        <f>F471*G471</f>
        <v>0</v>
      </c>
      <c r="K471" s="22">
        <v>0.0186</v>
      </c>
      <c r="L471" s="22">
        <f>F471*K471</f>
        <v>3.315264</v>
      </c>
      <c r="M471" s="35" t="s">
        <v>1531</v>
      </c>
      <c r="N471" s="35" t="s">
        <v>7</v>
      </c>
      <c r="O471" s="22">
        <f>IF(N471="5",I471,0)</f>
        <v>0</v>
      </c>
      <c r="Z471" s="22">
        <f>IF(AD471=0,J471,0)</f>
        <v>0</v>
      </c>
      <c r="AA471" s="22">
        <f>IF(AD471=15,J471,0)</f>
        <v>0</v>
      </c>
      <c r="AB471" s="22">
        <f>IF(AD471=21,J471,0)</f>
        <v>0</v>
      </c>
      <c r="AD471" s="39">
        <v>15</v>
      </c>
      <c r="AE471" s="39">
        <f>G471*0.375521472392638</f>
        <v>0</v>
      </c>
      <c r="AF471" s="39">
        <f>G471*(1-0.375521472392638)</f>
        <v>0</v>
      </c>
      <c r="AM471" s="39">
        <f>F471*AE471</f>
        <v>0</v>
      </c>
      <c r="AN471" s="39">
        <f>F471*AF471</f>
        <v>0</v>
      </c>
      <c r="AO471" s="40" t="s">
        <v>1566</v>
      </c>
      <c r="AP471" s="40" t="s">
        <v>1608</v>
      </c>
      <c r="AQ471" s="31" t="s">
        <v>1613</v>
      </c>
    </row>
    <row r="472" ht="12.75">
      <c r="D472" s="18" t="s">
        <v>1076</v>
      </c>
    </row>
    <row r="473" spans="4:6" ht="10.8" customHeight="1">
      <c r="D473" s="17" t="s">
        <v>1077</v>
      </c>
      <c r="F473" s="23">
        <v>178.24</v>
      </c>
    </row>
    <row r="474" spans="1:43" ht="12.75">
      <c r="A474" s="5" t="s">
        <v>284</v>
      </c>
      <c r="B474" s="5" t="s">
        <v>596</v>
      </c>
      <c r="C474" s="5" t="s">
        <v>689</v>
      </c>
      <c r="D474" s="5" t="s">
        <v>1075</v>
      </c>
      <c r="E474" s="5" t="s">
        <v>1503</v>
      </c>
      <c r="F474" s="22">
        <v>11.07</v>
      </c>
      <c r="G474" s="22">
        <v>0</v>
      </c>
      <c r="H474" s="22">
        <f>F474*AE474</f>
        <v>0</v>
      </c>
      <c r="I474" s="22">
        <f>J474-H474</f>
        <v>0</v>
      </c>
      <c r="J474" s="22">
        <f>F474*G474</f>
        <v>0</v>
      </c>
      <c r="K474" s="22">
        <v>0.0186</v>
      </c>
      <c r="L474" s="22">
        <f>F474*K474</f>
        <v>0.205902</v>
      </c>
      <c r="M474" s="35" t="s">
        <v>1531</v>
      </c>
      <c r="N474" s="35" t="s">
        <v>7</v>
      </c>
      <c r="O474" s="22">
        <f>IF(N474="5",I474,0)</f>
        <v>0</v>
      </c>
      <c r="Z474" s="22">
        <f>IF(AD474=0,J474,0)</f>
        <v>0</v>
      </c>
      <c r="AA474" s="22">
        <f>IF(AD474=15,J474,0)</f>
        <v>0</v>
      </c>
      <c r="AB474" s="22">
        <f>IF(AD474=21,J474,0)</f>
        <v>0</v>
      </c>
      <c r="AD474" s="39">
        <v>15</v>
      </c>
      <c r="AE474" s="39">
        <f>G474*0.415</f>
        <v>0</v>
      </c>
      <c r="AF474" s="39">
        <f>G474*(1-0.415)</f>
        <v>0</v>
      </c>
      <c r="AM474" s="39">
        <f>F474*AE474</f>
        <v>0</v>
      </c>
      <c r="AN474" s="39">
        <f>F474*AF474</f>
        <v>0</v>
      </c>
      <c r="AO474" s="40" t="s">
        <v>1566</v>
      </c>
      <c r="AP474" s="40" t="s">
        <v>1608</v>
      </c>
      <c r="AQ474" s="31" t="s">
        <v>1613</v>
      </c>
    </row>
    <row r="475" ht="12.75">
      <c r="D475" s="18" t="s">
        <v>1078</v>
      </c>
    </row>
    <row r="476" spans="1:43" ht="12.75">
      <c r="A476" s="5" t="s">
        <v>285</v>
      </c>
      <c r="B476" s="5" t="s">
        <v>596</v>
      </c>
      <c r="C476" s="5" t="s">
        <v>690</v>
      </c>
      <c r="D476" s="5" t="s">
        <v>1079</v>
      </c>
      <c r="E476" s="5" t="s">
        <v>1503</v>
      </c>
      <c r="F476" s="22">
        <v>3.36</v>
      </c>
      <c r="G476" s="22">
        <v>0</v>
      </c>
      <c r="H476" s="22">
        <f>F476*AE476</f>
        <v>0</v>
      </c>
      <c r="I476" s="22">
        <f>J476-H476</f>
        <v>0</v>
      </c>
      <c r="J476" s="22">
        <f>F476*G476</f>
        <v>0</v>
      </c>
      <c r="K476" s="22">
        <v>0.1435</v>
      </c>
      <c r="L476" s="22">
        <f>F476*K476</f>
        <v>0.4821599999999999</v>
      </c>
      <c r="M476" s="35" t="s">
        <v>1531</v>
      </c>
      <c r="N476" s="35" t="s">
        <v>7</v>
      </c>
      <c r="O476" s="22">
        <f>IF(N476="5",I476,0)</f>
        <v>0</v>
      </c>
      <c r="Z476" s="22">
        <f>IF(AD476=0,J476,0)</f>
        <v>0</v>
      </c>
      <c r="AA476" s="22">
        <f>IF(AD476=15,J476,0)</f>
        <v>0</v>
      </c>
      <c r="AB476" s="22">
        <f>IF(AD476=21,J476,0)</f>
        <v>0</v>
      </c>
      <c r="AD476" s="39">
        <v>15</v>
      </c>
      <c r="AE476" s="39">
        <f>G476*0.552259696458685</f>
        <v>0</v>
      </c>
      <c r="AF476" s="39">
        <f>G476*(1-0.552259696458685)</f>
        <v>0</v>
      </c>
      <c r="AM476" s="39">
        <f>F476*AE476</f>
        <v>0</v>
      </c>
      <c r="AN476" s="39">
        <f>F476*AF476</f>
        <v>0</v>
      </c>
      <c r="AO476" s="40" t="s">
        <v>1566</v>
      </c>
      <c r="AP476" s="40" t="s">
        <v>1608</v>
      </c>
      <c r="AQ476" s="31" t="s">
        <v>1613</v>
      </c>
    </row>
    <row r="477" ht="12.75">
      <c r="D477" s="18" t="s">
        <v>1080</v>
      </c>
    </row>
    <row r="478" spans="4:6" ht="10.8" customHeight="1">
      <c r="D478" s="17" t="s">
        <v>1081</v>
      </c>
      <c r="F478" s="23">
        <v>3.36</v>
      </c>
    </row>
    <row r="479" spans="1:43" ht="12.75">
      <c r="A479" s="5" t="s">
        <v>286</v>
      </c>
      <c r="B479" s="5" t="s">
        <v>596</v>
      </c>
      <c r="C479" s="5" t="s">
        <v>691</v>
      </c>
      <c r="D479" s="5" t="s">
        <v>1082</v>
      </c>
      <c r="E479" s="5" t="s">
        <v>1503</v>
      </c>
      <c r="F479" s="22">
        <v>8.2786</v>
      </c>
      <c r="G479" s="22">
        <v>0</v>
      </c>
      <c r="H479" s="22">
        <f>F479*AE479</f>
        <v>0</v>
      </c>
      <c r="I479" s="22">
        <f>J479-H479</f>
        <v>0</v>
      </c>
      <c r="J479" s="22">
        <f>F479*G479</f>
        <v>0</v>
      </c>
      <c r="K479" s="22">
        <v>0.0706</v>
      </c>
      <c r="L479" s="22">
        <f>F479*K479</f>
        <v>0.58446916</v>
      </c>
      <c r="M479" s="35" t="s">
        <v>1531</v>
      </c>
      <c r="N479" s="35" t="s">
        <v>9</v>
      </c>
      <c r="O479" s="22">
        <f>IF(N479="5",I479,0)</f>
        <v>0</v>
      </c>
      <c r="Z479" s="22">
        <f>IF(AD479=0,J479,0)</f>
        <v>0</v>
      </c>
      <c r="AA479" s="22">
        <f>IF(AD479=15,J479,0)</f>
        <v>0</v>
      </c>
      <c r="AB479" s="22">
        <f>IF(AD479=21,J479,0)</f>
        <v>0</v>
      </c>
      <c r="AD479" s="39">
        <v>15</v>
      </c>
      <c r="AE479" s="39">
        <f>G479*0.636367265469062</f>
        <v>0</v>
      </c>
      <c r="AF479" s="39">
        <f>G479*(1-0.636367265469062)</f>
        <v>0</v>
      </c>
      <c r="AM479" s="39">
        <f>F479*AE479</f>
        <v>0</v>
      </c>
      <c r="AN479" s="39">
        <f>F479*AF479</f>
        <v>0</v>
      </c>
      <c r="AO479" s="40" t="s">
        <v>1566</v>
      </c>
      <c r="AP479" s="40" t="s">
        <v>1608</v>
      </c>
      <c r="AQ479" s="31" t="s">
        <v>1613</v>
      </c>
    </row>
    <row r="480" ht="12.75">
      <c r="D480" s="18" t="s">
        <v>1083</v>
      </c>
    </row>
    <row r="481" spans="4:6" ht="10.8" customHeight="1">
      <c r="D481" s="17" t="s">
        <v>1320</v>
      </c>
      <c r="F481" s="23">
        <v>8.2786</v>
      </c>
    </row>
    <row r="482" spans="1:43" ht="12.75">
      <c r="A482" s="5" t="s">
        <v>287</v>
      </c>
      <c r="B482" s="5" t="s">
        <v>596</v>
      </c>
      <c r="C482" s="5" t="s">
        <v>691</v>
      </c>
      <c r="D482" s="5" t="s">
        <v>1082</v>
      </c>
      <c r="E482" s="5" t="s">
        <v>1503</v>
      </c>
      <c r="F482" s="22">
        <v>35.754</v>
      </c>
      <c r="G482" s="22">
        <v>0</v>
      </c>
      <c r="H482" s="22">
        <f>F482*AE482</f>
        <v>0</v>
      </c>
      <c r="I482" s="22">
        <f>J482-H482</f>
        <v>0</v>
      </c>
      <c r="J482" s="22">
        <f>F482*G482</f>
        <v>0</v>
      </c>
      <c r="K482" s="22">
        <v>0.0706</v>
      </c>
      <c r="L482" s="22">
        <f>F482*K482</f>
        <v>2.5242324</v>
      </c>
      <c r="M482" s="35" t="s">
        <v>1531</v>
      </c>
      <c r="N482" s="35" t="s">
        <v>9</v>
      </c>
      <c r="O482" s="22">
        <f>IF(N482="5",I482,0)</f>
        <v>0</v>
      </c>
      <c r="Z482" s="22">
        <f>IF(AD482=0,J482,0)</f>
        <v>0</v>
      </c>
      <c r="AA482" s="22">
        <f>IF(AD482=15,J482,0)</f>
        <v>0</v>
      </c>
      <c r="AB482" s="22">
        <f>IF(AD482=21,J482,0)</f>
        <v>0</v>
      </c>
      <c r="AD482" s="39">
        <v>15</v>
      </c>
      <c r="AE482" s="39">
        <f>G482*0.636367265469062</f>
        <v>0</v>
      </c>
      <c r="AF482" s="39">
        <f>G482*(1-0.636367265469062)</f>
        <v>0</v>
      </c>
      <c r="AM482" s="39">
        <f>F482*AE482</f>
        <v>0</v>
      </c>
      <c r="AN482" s="39">
        <f>F482*AF482</f>
        <v>0</v>
      </c>
      <c r="AO482" s="40" t="s">
        <v>1566</v>
      </c>
      <c r="AP482" s="40" t="s">
        <v>1608</v>
      </c>
      <c r="AQ482" s="31" t="s">
        <v>1613</v>
      </c>
    </row>
    <row r="483" ht="12.75">
      <c r="D483" s="18" t="s">
        <v>1085</v>
      </c>
    </row>
    <row r="484" spans="4:6" ht="10.8" customHeight="1">
      <c r="D484" s="17" t="s">
        <v>1086</v>
      </c>
      <c r="F484" s="23">
        <v>12.96</v>
      </c>
    </row>
    <row r="485" spans="4:6" ht="10.8" customHeight="1">
      <c r="D485" s="17" t="s">
        <v>1087</v>
      </c>
      <c r="F485" s="23">
        <v>25.11</v>
      </c>
    </row>
    <row r="486" spans="4:6" ht="10.8" customHeight="1">
      <c r="D486" s="17" t="s">
        <v>1088</v>
      </c>
      <c r="F486" s="23">
        <v>13.284</v>
      </c>
    </row>
    <row r="487" spans="4:6" ht="10.8" customHeight="1">
      <c r="D487" s="17" t="s">
        <v>1089</v>
      </c>
      <c r="F487" s="23">
        <v>-10.8</v>
      </c>
    </row>
    <row r="488" spans="4:6" ht="10.8" customHeight="1">
      <c r="D488" s="17" t="s">
        <v>1090</v>
      </c>
      <c r="F488" s="23">
        <v>-4.8</v>
      </c>
    </row>
    <row r="489" spans="1:37" ht="12.75">
      <c r="A489" s="4"/>
      <c r="B489" s="14" t="s">
        <v>596</v>
      </c>
      <c r="C489" s="14" t="s">
        <v>67</v>
      </c>
      <c r="D489" s="104" t="s">
        <v>967</v>
      </c>
      <c r="E489" s="105"/>
      <c r="F489" s="105"/>
      <c r="G489" s="105"/>
      <c r="H489" s="42">
        <f>SUM(H490:H498)</f>
        <v>0</v>
      </c>
      <c r="I489" s="42">
        <f>SUM(I490:I498)</f>
        <v>0</v>
      </c>
      <c r="J489" s="42">
        <f>H489+I489</f>
        <v>0</v>
      </c>
      <c r="K489" s="31"/>
      <c r="L489" s="42">
        <f>SUM(L490:L498)</f>
        <v>7.704231</v>
      </c>
      <c r="M489" s="31"/>
      <c r="P489" s="42">
        <f>IF(Q489="PR",J489,SUM(O490:O498))</f>
        <v>0</v>
      </c>
      <c r="Q489" s="31" t="s">
        <v>1536</v>
      </c>
      <c r="R489" s="42">
        <f>IF(Q489="HS",H489,0)</f>
        <v>0</v>
      </c>
      <c r="S489" s="42">
        <f>IF(Q489="HS",I489-P489,0)</f>
        <v>0</v>
      </c>
      <c r="T489" s="42">
        <f>IF(Q489="PS",H489,0)</f>
        <v>0</v>
      </c>
      <c r="U489" s="42">
        <f>IF(Q489="PS",I489-P489,0)</f>
        <v>0</v>
      </c>
      <c r="V489" s="42">
        <f>IF(Q489="MP",H489,0)</f>
        <v>0</v>
      </c>
      <c r="W489" s="42">
        <f>IF(Q489="MP",I489-P489,0)</f>
        <v>0</v>
      </c>
      <c r="X489" s="42">
        <f>IF(Q489="OM",H489,0)</f>
        <v>0</v>
      </c>
      <c r="Y489" s="31" t="s">
        <v>596</v>
      </c>
      <c r="AI489" s="42">
        <f>SUM(Z490:Z498)</f>
        <v>0</v>
      </c>
      <c r="AJ489" s="42">
        <f>SUM(AA490:AA498)</f>
        <v>0</v>
      </c>
      <c r="AK489" s="42">
        <f>SUM(AB490:AB498)</f>
        <v>0</v>
      </c>
    </row>
    <row r="490" spans="1:43" ht="12.75">
      <c r="A490" s="5" t="s">
        <v>288</v>
      </c>
      <c r="B490" s="5" t="s">
        <v>596</v>
      </c>
      <c r="C490" s="5" t="s">
        <v>692</v>
      </c>
      <c r="D490" s="5" t="s">
        <v>1091</v>
      </c>
      <c r="E490" s="5" t="s">
        <v>1503</v>
      </c>
      <c r="F490" s="22">
        <v>11.64</v>
      </c>
      <c r="G490" s="22">
        <v>0</v>
      </c>
      <c r="H490" s="22">
        <f>F490*AE490</f>
        <v>0</v>
      </c>
      <c r="I490" s="22">
        <f>J490-H490</f>
        <v>0</v>
      </c>
      <c r="J490" s="22">
        <f>F490*G490</f>
        <v>0</v>
      </c>
      <c r="K490" s="22">
        <v>0.00367</v>
      </c>
      <c r="L490" s="22">
        <f>F490*K490</f>
        <v>0.0427188</v>
      </c>
      <c r="M490" s="35" t="s">
        <v>1531</v>
      </c>
      <c r="N490" s="35" t="s">
        <v>7</v>
      </c>
      <c r="O490" s="22">
        <f>IF(N490="5",I490,0)</f>
        <v>0</v>
      </c>
      <c r="Z490" s="22">
        <f>IF(AD490=0,J490,0)</f>
        <v>0</v>
      </c>
      <c r="AA490" s="22">
        <f>IF(AD490=15,J490,0)</f>
        <v>0</v>
      </c>
      <c r="AB490" s="22">
        <f>IF(AD490=21,J490,0)</f>
        <v>0</v>
      </c>
      <c r="AD490" s="39">
        <v>15</v>
      </c>
      <c r="AE490" s="39">
        <f>G490*0.298520693667239</f>
        <v>0</v>
      </c>
      <c r="AF490" s="39">
        <f>G490*(1-0.298520693667239)</f>
        <v>0</v>
      </c>
      <c r="AM490" s="39">
        <f>F490*AE490</f>
        <v>0</v>
      </c>
      <c r="AN490" s="39">
        <f>F490*AF490</f>
        <v>0</v>
      </c>
      <c r="AO490" s="40" t="s">
        <v>1546</v>
      </c>
      <c r="AP490" s="40" t="s">
        <v>1601</v>
      </c>
      <c r="AQ490" s="31" t="s">
        <v>1613</v>
      </c>
    </row>
    <row r="491" ht="12.75">
      <c r="D491" s="18" t="s">
        <v>978</v>
      </c>
    </row>
    <row r="492" spans="4:6" ht="10.8" customHeight="1">
      <c r="D492" s="17" t="s">
        <v>1092</v>
      </c>
      <c r="F492" s="23">
        <v>11.64</v>
      </c>
    </row>
    <row r="493" spans="1:43" ht="12.75">
      <c r="A493" s="5" t="s">
        <v>289</v>
      </c>
      <c r="B493" s="5" t="s">
        <v>596</v>
      </c>
      <c r="C493" s="5" t="s">
        <v>601</v>
      </c>
      <c r="D493" s="5" t="s">
        <v>968</v>
      </c>
      <c r="E493" s="5" t="s">
        <v>1503</v>
      </c>
      <c r="F493" s="22">
        <v>376.618</v>
      </c>
      <c r="G493" s="22">
        <v>0</v>
      </c>
      <c r="H493" s="22">
        <f>F493*AE493</f>
        <v>0</v>
      </c>
      <c r="I493" s="22">
        <f>J493-H493</f>
        <v>0</v>
      </c>
      <c r="J493" s="22">
        <f>F493*G493</f>
        <v>0</v>
      </c>
      <c r="K493" s="22">
        <v>0.0021</v>
      </c>
      <c r="L493" s="22">
        <f>F493*K493</f>
        <v>0.7908978</v>
      </c>
      <c r="M493" s="35" t="s">
        <v>1531</v>
      </c>
      <c r="N493" s="35" t="s">
        <v>7</v>
      </c>
      <c r="O493" s="22">
        <f>IF(N493="5",I493,0)</f>
        <v>0</v>
      </c>
      <c r="Z493" s="22">
        <f>IF(AD493=0,J493,0)</f>
        <v>0</v>
      </c>
      <c r="AA493" s="22">
        <f>IF(AD493=15,J493,0)</f>
        <v>0</v>
      </c>
      <c r="AB493" s="22">
        <f>IF(AD493=21,J493,0)</f>
        <v>0</v>
      </c>
      <c r="AD493" s="39">
        <v>15</v>
      </c>
      <c r="AE493" s="39">
        <f>G493*0.815916955017301</f>
        <v>0</v>
      </c>
      <c r="AF493" s="39">
        <f>G493*(1-0.815916955017301)</f>
        <v>0</v>
      </c>
      <c r="AM493" s="39">
        <f>F493*AE493</f>
        <v>0</v>
      </c>
      <c r="AN493" s="39">
        <f>F493*AF493</f>
        <v>0</v>
      </c>
      <c r="AO493" s="40" t="s">
        <v>1546</v>
      </c>
      <c r="AP493" s="40" t="s">
        <v>1601</v>
      </c>
      <c r="AQ493" s="31" t="s">
        <v>1613</v>
      </c>
    </row>
    <row r="494" spans="4:6" ht="10.8" customHeight="1">
      <c r="D494" s="17" t="s">
        <v>1093</v>
      </c>
      <c r="F494" s="23">
        <v>376.618</v>
      </c>
    </row>
    <row r="495" spans="1:43" ht="12.75">
      <c r="A495" s="5" t="s">
        <v>290</v>
      </c>
      <c r="B495" s="5" t="s">
        <v>596</v>
      </c>
      <c r="C495" s="5" t="s">
        <v>602</v>
      </c>
      <c r="D495" s="5" t="s">
        <v>973</v>
      </c>
      <c r="E495" s="5" t="s">
        <v>1503</v>
      </c>
      <c r="F495" s="22">
        <v>384.9</v>
      </c>
      <c r="G495" s="22">
        <v>0</v>
      </c>
      <c r="H495" s="22">
        <f>F495*AE495</f>
        <v>0</v>
      </c>
      <c r="I495" s="22">
        <f>J495-H495</f>
        <v>0</v>
      </c>
      <c r="J495" s="22">
        <f>F495*G495</f>
        <v>0</v>
      </c>
      <c r="K495" s="22">
        <v>0.00635</v>
      </c>
      <c r="L495" s="22">
        <f>F495*K495</f>
        <v>2.4441149999999996</v>
      </c>
      <c r="M495" s="35" t="s">
        <v>1531</v>
      </c>
      <c r="N495" s="35" t="s">
        <v>7</v>
      </c>
      <c r="O495" s="22">
        <f>IF(N495="5",I495,0)</f>
        <v>0</v>
      </c>
      <c r="Z495" s="22">
        <f>IF(AD495=0,J495,0)</f>
        <v>0</v>
      </c>
      <c r="AA495" s="22">
        <f>IF(AD495=15,J495,0)</f>
        <v>0</v>
      </c>
      <c r="AB495" s="22">
        <f>IF(AD495=21,J495,0)</f>
        <v>0</v>
      </c>
      <c r="AD495" s="39">
        <v>15</v>
      </c>
      <c r="AE495" s="39">
        <f>G495*0.0665993945509586</f>
        <v>0</v>
      </c>
      <c r="AF495" s="39">
        <f>G495*(1-0.0665993945509586)</f>
        <v>0</v>
      </c>
      <c r="AM495" s="39">
        <f>F495*AE495</f>
        <v>0</v>
      </c>
      <c r="AN495" s="39">
        <f>F495*AF495</f>
        <v>0</v>
      </c>
      <c r="AO495" s="40" t="s">
        <v>1546</v>
      </c>
      <c r="AP495" s="40" t="s">
        <v>1601</v>
      </c>
      <c r="AQ495" s="31" t="s">
        <v>1613</v>
      </c>
    </row>
    <row r="496" spans="4:6" ht="10.8" customHeight="1">
      <c r="D496" s="17" t="s">
        <v>1094</v>
      </c>
      <c r="F496" s="23">
        <v>384.9</v>
      </c>
    </row>
    <row r="497" spans="1:43" ht="12.75">
      <c r="A497" s="5" t="s">
        <v>291</v>
      </c>
      <c r="B497" s="5" t="s">
        <v>596</v>
      </c>
      <c r="C497" s="5" t="s">
        <v>693</v>
      </c>
      <c r="D497" s="5" t="s">
        <v>1095</v>
      </c>
      <c r="E497" s="5" t="s">
        <v>1505</v>
      </c>
      <c r="F497" s="22">
        <v>150</v>
      </c>
      <c r="G497" s="22">
        <v>0</v>
      </c>
      <c r="H497" s="22">
        <f>F497*AE497</f>
        <v>0</v>
      </c>
      <c r="I497" s="22">
        <f>J497-H497</f>
        <v>0</v>
      </c>
      <c r="J497" s="22">
        <f>F497*G497</f>
        <v>0</v>
      </c>
      <c r="K497" s="22">
        <v>0.01733</v>
      </c>
      <c r="L497" s="22">
        <f>F497*K497</f>
        <v>2.5995000000000004</v>
      </c>
      <c r="M497" s="35" t="s">
        <v>1531</v>
      </c>
      <c r="N497" s="35" t="s">
        <v>7</v>
      </c>
      <c r="O497" s="22">
        <f>IF(N497="5",I497,0)</f>
        <v>0</v>
      </c>
      <c r="Z497" s="22">
        <f>IF(AD497=0,J497,0)</f>
        <v>0</v>
      </c>
      <c r="AA497" s="22">
        <f>IF(AD497=15,J497,0)</f>
        <v>0</v>
      </c>
      <c r="AB497" s="22">
        <f>IF(AD497=21,J497,0)</f>
        <v>0</v>
      </c>
      <c r="AD497" s="39">
        <v>15</v>
      </c>
      <c r="AE497" s="39">
        <f>G497*0.395538461538462</f>
        <v>0</v>
      </c>
      <c r="AF497" s="39">
        <f>G497*(1-0.395538461538462)</f>
        <v>0</v>
      </c>
      <c r="AM497" s="39">
        <f>F497*AE497</f>
        <v>0</v>
      </c>
      <c r="AN497" s="39">
        <f>F497*AF497</f>
        <v>0</v>
      </c>
      <c r="AO497" s="40" t="s">
        <v>1546</v>
      </c>
      <c r="AP497" s="40" t="s">
        <v>1601</v>
      </c>
      <c r="AQ497" s="31" t="s">
        <v>1613</v>
      </c>
    </row>
    <row r="498" spans="1:43" ht="12.75">
      <c r="A498" s="5" t="s">
        <v>292</v>
      </c>
      <c r="B498" s="5" t="s">
        <v>596</v>
      </c>
      <c r="C498" s="5" t="s">
        <v>692</v>
      </c>
      <c r="D498" s="5" t="s">
        <v>1091</v>
      </c>
      <c r="E498" s="5" t="s">
        <v>1503</v>
      </c>
      <c r="F498" s="22">
        <v>497.82</v>
      </c>
      <c r="G498" s="22">
        <v>0</v>
      </c>
      <c r="H498" s="22">
        <f>F498*AE498</f>
        <v>0</v>
      </c>
      <c r="I498" s="22">
        <f>J498-H498</f>
        <v>0</v>
      </c>
      <c r="J498" s="22">
        <f>F498*G498</f>
        <v>0</v>
      </c>
      <c r="K498" s="22">
        <v>0.00367</v>
      </c>
      <c r="L498" s="22">
        <f>F498*K498</f>
        <v>1.8269994</v>
      </c>
      <c r="M498" s="35" t="s">
        <v>1531</v>
      </c>
      <c r="N498" s="35" t="s">
        <v>7</v>
      </c>
      <c r="O498" s="22">
        <f>IF(N498="5",I498,0)</f>
        <v>0</v>
      </c>
      <c r="Z498" s="22">
        <f>IF(AD498=0,J498,0)</f>
        <v>0</v>
      </c>
      <c r="AA498" s="22">
        <f>IF(AD498=15,J498,0)</f>
        <v>0</v>
      </c>
      <c r="AB498" s="22">
        <f>IF(AD498=21,J498,0)</f>
        <v>0</v>
      </c>
      <c r="AD498" s="39">
        <v>15</v>
      </c>
      <c r="AE498" s="39">
        <f>G498*0.298520693667239</f>
        <v>0</v>
      </c>
      <c r="AF498" s="39">
        <f>G498*(1-0.298520693667239)</f>
        <v>0</v>
      </c>
      <c r="AM498" s="39">
        <f>F498*AE498</f>
        <v>0</v>
      </c>
      <c r="AN498" s="39">
        <f>F498*AF498</f>
        <v>0</v>
      </c>
      <c r="AO498" s="40" t="s">
        <v>1546</v>
      </c>
      <c r="AP498" s="40" t="s">
        <v>1601</v>
      </c>
      <c r="AQ498" s="31" t="s">
        <v>1613</v>
      </c>
    </row>
    <row r="499" ht="12.75">
      <c r="D499" s="18" t="s">
        <v>978</v>
      </c>
    </row>
    <row r="500" spans="4:6" ht="10.8" customHeight="1">
      <c r="D500" s="17" t="s">
        <v>1096</v>
      </c>
      <c r="F500" s="23">
        <v>497.82</v>
      </c>
    </row>
    <row r="501" spans="1:37" ht="12.75">
      <c r="A501" s="4"/>
      <c r="B501" s="14" t="s">
        <v>596</v>
      </c>
      <c r="C501" s="14" t="s">
        <v>69</v>
      </c>
      <c r="D501" s="104" t="s">
        <v>1097</v>
      </c>
      <c r="E501" s="105"/>
      <c r="F501" s="105"/>
      <c r="G501" s="105"/>
      <c r="H501" s="42">
        <f>SUM(H502:H502)</f>
        <v>0</v>
      </c>
      <c r="I501" s="42">
        <f>SUM(I502:I502)</f>
        <v>0</v>
      </c>
      <c r="J501" s="42">
        <f>H501+I501</f>
        <v>0</v>
      </c>
      <c r="K501" s="31"/>
      <c r="L501" s="42">
        <f>SUM(L502:L502)</f>
        <v>13.241897900000001</v>
      </c>
      <c r="M501" s="31"/>
      <c r="P501" s="42">
        <f>IF(Q501="PR",J501,SUM(O502:O502))</f>
        <v>0</v>
      </c>
      <c r="Q501" s="31" t="s">
        <v>1536</v>
      </c>
      <c r="R501" s="42">
        <f>IF(Q501="HS",H501,0)</f>
        <v>0</v>
      </c>
      <c r="S501" s="42">
        <f>IF(Q501="HS",I501-P501,0)</f>
        <v>0</v>
      </c>
      <c r="T501" s="42">
        <f>IF(Q501="PS",H501,0)</f>
        <v>0</v>
      </c>
      <c r="U501" s="42">
        <f>IF(Q501="PS",I501-P501,0)</f>
        <v>0</v>
      </c>
      <c r="V501" s="42">
        <f>IF(Q501="MP",H501,0)</f>
        <v>0</v>
      </c>
      <c r="W501" s="42">
        <f>IF(Q501="MP",I501-P501,0)</f>
        <v>0</v>
      </c>
      <c r="X501" s="42">
        <f>IF(Q501="OM",H501,0)</f>
        <v>0</v>
      </c>
      <c r="Y501" s="31" t="s">
        <v>596</v>
      </c>
      <c r="AI501" s="42">
        <f>SUM(Z502:Z502)</f>
        <v>0</v>
      </c>
      <c r="AJ501" s="42">
        <f>SUM(AA502:AA502)</f>
        <v>0</v>
      </c>
      <c r="AK501" s="42">
        <f>SUM(AB502:AB502)</f>
        <v>0</v>
      </c>
    </row>
    <row r="502" spans="1:43" ht="12.75">
      <c r="A502" s="5" t="s">
        <v>293</v>
      </c>
      <c r="B502" s="5" t="s">
        <v>596</v>
      </c>
      <c r="C502" s="5" t="s">
        <v>694</v>
      </c>
      <c r="D502" s="5" t="s">
        <v>1098</v>
      </c>
      <c r="E502" s="5" t="s">
        <v>1503</v>
      </c>
      <c r="F502" s="22">
        <v>170.27</v>
      </c>
      <c r="G502" s="22">
        <v>0</v>
      </c>
      <c r="H502" s="22">
        <f>F502*AE502</f>
        <v>0</v>
      </c>
      <c r="I502" s="22">
        <f>J502-H502</f>
        <v>0</v>
      </c>
      <c r="J502" s="22">
        <f>F502*G502</f>
        <v>0</v>
      </c>
      <c r="K502" s="22">
        <v>0.07777</v>
      </c>
      <c r="L502" s="22">
        <f>F502*K502</f>
        <v>13.241897900000001</v>
      </c>
      <c r="M502" s="35" t="s">
        <v>1531</v>
      </c>
      <c r="N502" s="35" t="s">
        <v>7</v>
      </c>
      <c r="O502" s="22">
        <f>IF(N502="5",I502,0)</f>
        <v>0</v>
      </c>
      <c r="Z502" s="22">
        <f>IF(AD502=0,J502,0)</f>
        <v>0</v>
      </c>
      <c r="AA502" s="22">
        <f>IF(AD502=15,J502,0)</f>
        <v>0</v>
      </c>
      <c r="AB502" s="22">
        <f>IF(AD502=21,J502,0)</f>
        <v>0</v>
      </c>
      <c r="AD502" s="39">
        <v>15</v>
      </c>
      <c r="AE502" s="39">
        <f>G502*0.61025</f>
        <v>0</v>
      </c>
      <c r="AF502" s="39">
        <f>G502*(1-0.61025)</f>
        <v>0</v>
      </c>
      <c r="AM502" s="39">
        <f>F502*AE502</f>
        <v>0</v>
      </c>
      <c r="AN502" s="39">
        <f>F502*AF502</f>
        <v>0</v>
      </c>
      <c r="AO502" s="40" t="s">
        <v>1567</v>
      </c>
      <c r="AP502" s="40" t="s">
        <v>1601</v>
      </c>
      <c r="AQ502" s="31" t="s">
        <v>1613</v>
      </c>
    </row>
    <row r="503" spans="4:6" ht="10.8" customHeight="1">
      <c r="D503" s="17" t="s">
        <v>1099</v>
      </c>
      <c r="F503" s="23">
        <v>72.1</v>
      </c>
    </row>
    <row r="504" spans="4:6" ht="10.8" customHeight="1">
      <c r="D504" s="17" t="s">
        <v>1100</v>
      </c>
      <c r="F504" s="23">
        <v>35.33</v>
      </c>
    </row>
    <row r="505" spans="4:6" ht="10.8" customHeight="1">
      <c r="D505" s="17" t="s">
        <v>1101</v>
      </c>
      <c r="F505" s="23">
        <v>62.84</v>
      </c>
    </row>
    <row r="506" spans="1:37" ht="12.75">
      <c r="A506" s="4"/>
      <c r="B506" s="14" t="s">
        <v>596</v>
      </c>
      <c r="C506" s="14" t="s">
        <v>70</v>
      </c>
      <c r="D506" s="104" t="s">
        <v>980</v>
      </c>
      <c r="E506" s="105"/>
      <c r="F506" s="105"/>
      <c r="G506" s="105"/>
      <c r="H506" s="42">
        <f>SUM(H507:H508)</f>
        <v>0</v>
      </c>
      <c r="I506" s="42">
        <f>SUM(I507:I508)</f>
        <v>0</v>
      </c>
      <c r="J506" s="42">
        <f>H506+I506</f>
        <v>0</v>
      </c>
      <c r="K506" s="31"/>
      <c r="L506" s="42">
        <f>SUM(L507:L508)</f>
        <v>0.20343</v>
      </c>
      <c r="M506" s="31"/>
      <c r="P506" s="42">
        <f>IF(Q506="PR",J506,SUM(O507:O508))</f>
        <v>0</v>
      </c>
      <c r="Q506" s="31" t="s">
        <v>1536</v>
      </c>
      <c r="R506" s="42">
        <f>IF(Q506="HS",H506,0)</f>
        <v>0</v>
      </c>
      <c r="S506" s="42">
        <f>IF(Q506="HS",I506-P506,0)</f>
        <v>0</v>
      </c>
      <c r="T506" s="42">
        <f>IF(Q506="PS",H506,0)</f>
        <v>0</v>
      </c>
      <c r="U506" s="42">
        <f>IF(Q506="PS",I506-P506,0)</f>
        <v>0</v>
      </c>
      <c r="V506" s="42">
        <f>IF(Q506="MP",H506,0)</f>
        <v>0</v>
      </c>
      <c r="W506" s="42">
        <f>IF(Q506="MP",I506-P506,0)</f>
        <v>0</v>
      </c>
      <c r="X506" s="42">
        <f>IF(Q506="OM",H506,0)</f>
        <v>0</v>
      </c>
      <c r="Y506" s="31" t="s">
        <v>596</v>
      </c>
      <c r="AI506" s="42">
        <f>SUM(Z507:Z508)</f>
        <v>0</v>
      </c>
      <c r="AJ506" s="42">
        <f>SUM(AA507:AA508)</f>
        <v>0</v>
      </c>
      <c r="AK506" s="42">
        <f>SUM(AB507:AB508)</f>
        <v>0</v>
      </c>
    </row>
    <row r="507" spans="1:43" ht="12.75">
      <c r="A507" s="5" t="s">
        <v>294</v>
      </c>
      <c r="B507" s="5" t="s">
        <v>596</v>
      </c>
      <c r="C507" s="5" t="s">
        <v>606</v>
      </c>
      <c r="D507" s="5" t="s">
        <v>981</v>
      </c>
      <c r="E507" s="5" t="s">
        <v>1504</v>
      </c>
      <c r="F507" s="22">
        <v>3</v>
      </c>
      <c r="G507" s="22">
        <v>0</v>
      </c>
      <c r="H507" s="22">
        <f>F507*AE507</f>
        <v>0</v>
      </c>
      <c r="I507" s="22">
        <f>J507-H507</f>
        <v>0</v>
      </c>
      <c r="J507" s="22">
        <f>F507*G507</f>
        <v>0</v>
      </c>
      <c r="K507" s="22">
        <v>0.05401</v>
      </c>
      <c r="L507" s="22">
        <f>F507*K507</f>
        <v>0.16203</v>
      </c>
      <c r="M507" s="35" t="s">
        <v>1531</v>
      </c>
      <c r="N507" s="35" t="s">
        <v>7</v>
      </c>
      <c r="O507" s="22">
        <f>IF(N507="5",I507,0)</f>
        <v>0</v>
      </c>
      <c r="Z507" s="22">
        <f>IF(AD507=0,J507,0)</f>
        <v>0</v>
      </c>
      <c r="AA507" s="22">
        <f>IF(AD507=15,J507,0)</f>
        <v>0</v>
      </c>
      <c r="AB507" s="22">
        <f>IF(AD507=21,J507,0)</f>
        <v>0</v>
      </c>
      <c r="AD507" s="39">
        <v>15</v>
      </c>
      <c r="AE507" s="39">
        <f>G507*0.130146064908988</f>
        <v>0</v>
      </c>
      <c r="AF507" s="39">
        <f>G507*(1-0.130146064908988)</f>
        <v>0</v>
      </c>
      <c r="AM507" s="39">
        <f>F507*AE507</f>
        <v>0</v>
      </c>
      <c r="AN507" s="39">
        <f>F507*AF507</f>
        <v>0</v>
      </c>
      <c r="AO507" s="40" t="s">
        <v>1547</v>
      </c>
      <c r="AP507" s="40" t="s">
        <v>1601</v>
      </c>
      <c r="AQ507" s="31" t="s">
        <v>1613</v>
      </c>
    </row>
    <row r="508" spans="1:43" ht="12.75">
      <c r="A508" s="6" t="s">
        <v>295</v>
      </c>
      <c r="B508" s="6" t="s">
        <v>596</v>
      </c>
      <c r="C508" s="6" t="s">
        <v>695</v>
      </c>
      <c r="D508" s="6" t="s">
        <v>1102</v>
      </c>
      <c r="E508" s="6" t="s">
        <v>1504</v>
      </c>
      <c r="F508" s="24">
        <v>3</v>
      </c>
      <c r="G508" s="24">
        <v>0</v>
      </c>
      <c r="H508" s="24">
        <f>F508*AE508</f>
        <v>0</v>
      </c>
      <c r="I508" s="24">
        <f>J508-H508</f>
        <v>0</v>
      </c>
      <c r="J508" s="24">
        <f>F508*G508</f>
        <v>0</v>
      </c>
      <c r="K508" s="24">
        <v>0.0138</v>
      </c>
      <c r="L508" s="24">
        <f>F508*K508</f>
        <v>0.0414</v>
      </c>
      <c r="M508" s="36" t="s">
        <v>1531</v>
      </c>
      <c r="N508" s="36" t="s">
        <v>1533</v>
      </c>
      <c r="O508" s="24">
        <f>IF(N508="5",I508,0)</f>
        <v>0</v>
      </c>
      <c r="Z508" s="24">
        <f>IF(AD508=0,J508,0)</f>
        <v>0</v>
      </c>
      <c r="AA508" s="24">
        <f>IF(AD508=15,J508,0)</f>
        <v>0</v>
      </c>
      <c r="AB508" s="24">
        <f>IF(AD508=21,J508,0)</f>
        <v>0</v>
      </c>
      <c r="AD508" s="39">
        <v>15</v>
      </c>
      <c r="AE508" s="39">
        <f>G508*1</f>
        <v>0</v>
      </c>
      <c r="AF508" s="39">
        <f>G508*(1-1)</f>
        <v>0</v>
      </c>
      <c r="AM508" s="39">
        <f>F508*AE508</f>
        <v>0</v>
      </c>
      <c r="AN508" s="39">
        <f>F508*AF508</f>
        <v>0</v>
      </c>
      <c r="AO508" s="40" t="s">
        <v>1547</v>
      </c>
      <c r="AP508" s="40" t="s">
        <v>1601</v>
      </c>
      <c r="AQ508" s="31" t="s">
        <v>1613</v>
      </c>
    </row>
    <row r="509" spans="1:37" ht="12.75">
      <c r="A509" s="4"/>
      <c r="B509" s="14" t="s">
        <v>596</v>
      </c>
      <c r="C509" s="14" t="s">
        <v>696</v>
      </c>
      <c r="D509" s="104" t="s">
        <v>1103</v>
      </c>
      <c r="E509" s="105"/>
      <c r="F509" s="105"/>
      <c r="G509" s="105"/>
      <c r="H509" s="42">
        <f>SUM(H510:H515)</f>
        <v>0</v>
      </c>
      <c r="I509" s="42">
        <f>SUM(I510:I515)</f>
        <v>0</v>
      </c>
      <c r="J509" s="42">
        <f>H509+I509</f>
        <v>0</v>
      </c>
      <c r="K509" s="31"/>
      <c r="L509" s="42">
        <f>SUM(L510:L515)</f>
        <v>0.0820968</v>
      </c>
      <c r="M509" s="31"/>
      <c r="P509" s="42">
        <f>IF(Q509="PR",J509,SUM(O510:O515))</f>
        <v>0</v>
      </c>
      <c r="Q509" s="31" t="s">
        <v>1537</v>
      </c>
      <c r="R509" s="42">
        <f>IF(Q509="HS",H509,0)</f>
        <v>0</v>
      </c>
      <c r="S509" s="42">
        <f>IF(Q509="HS",I509-P509,0)</f>
        <v>0</v>
      </c>
      <c r="T509" s="42">
        <f>IF(Q509="PS",H509,0)</f>
        <v>0</v>
      </c>
      <c r="U509" s="42">
        <f>IF(Q509="PS",I509-P509,0)</f>
        <v>0</v>
      </c>
      <c r="V509" s="42">
        <f>IF(Q509="MP",H509,0)</f>
        <v>0</v>
      </c>
      <c r="W509" s="42">
        <f>IF(Q509="MP",I509-P509,0)</f>
        <v>0</v>
      </c>
      <c r="X509" s="42">
        <f>IF(Q509="OM",H509,0)</f>
        <v>0</v>
      </c>
      <c r="Y509" s="31" t="s">
        <v>596</v>
      </c>
      <c r="AI509" s="42">
        <f>SUM(Z510:Z515)</f>
        <v>0</v>
      </c>
      <c r="AJ509" s="42">
        <f>SUM(AA510:AA515)</f>
        <v>0</v>
      </c>
      <c r="AK509" s="42">
        <f>SUM(AB510:AB515)</f>
        <v>0</v>
      </c>
    </row>
    <row r="510" spans="1:43" ht="12.75">
      <c r="A510" s="5" t="s">
        <v>296</v>
      </c>
      <c r="B510" s="5" t="s">
        <v>596</v>
      </c>
      <c r="C510" s="5" t="s">
        <v>697</v>
      </c>
      <c r="D510" s="5" t="s">
        <v>1104</v>
      </c>
      <c r="E510" s="5" t="s">
        <v>1503</v>
      </c>
      <c r="F510" s="22">
        <v>10.935</v>
      </c>
      <c r="G510" s="22">
        <v>0</v>
      </c>
      <c r="H510" s="22">
        <f>F510*AE510</f>
        <v>0</v>
      </c>
      <c r="I510" s="22">
        <f>J510-H510</f>
        <v>0</v>
      </c>
      <c r="J510" s="22">
        <f>F510*G510</f>
        <v>0</v>
      </c>
      <c r="K510" s="22">
        <v>0.00368</v>
      </c>
      <c r="L510" s="22">
        <f>F510*K510</f>
        <v>0.0402408</v>
      </c>
      <c r="M510" s="35" t="s">
        <v>1531</v>
      </c>
      <c r="N510" s="35" t="s">
        <v>7</v>
      </c>
      <c r="O510" s="22">
        <f>IF(N510="5",I510,0)</f>
        <v>0</v>
      </c>
      <c r="Z510" s="22">
        <f>IF(AD510=0,J510,0)</f>
        <v>0</v>
      </c>
      <c r="AA510" s="22">
        <f>IF(AD510=15,J510,0)</f>
        <v>0</v>
      </c>
      <c r="AB510" s="22">
        <f>IF(AD510=21,J510,0)</f>
        <v>0</v>
      </c>
      <c r="AD510" s="39">
        <v>15</v>
      </c>
      <c r="AE510" s="39">
        <f>G510*0.681042026050651</f>
        <v>0</v>
      </c>
      <c r="AF510" s="39">
        <f>G510*(1-0.681042026050651)</f>
        <v>0</v>
      </c>
      <c r="AM510" s="39">
        <f>F510*AE510</f>
        <v>0</v>
      </c>
      <c r="AN510" s="39">
        <f>F510*AF510</f>
        <v>0</v>
      </c>
      <c r="AO510" s="40" t="s">
        <v>1568</v>
      </c>
      <c r="AP510" s="40" t="s">
        <v>1602</v>
      </c>
      <c r="AQ510" s="31" t="s">
        <v>1613</v>
      </c>
    </row>
    <row r="511" ht="12.75">
      <c r="D511" s="18" t="s">
        <v>1105</v>
      </c>
    </row>
    <row r="512" spans="4:6" ht="10.8" customHeight="1">
      <c r="D512" s="17" t="s">
        <v>1106</v>
      </c>
      <c r="F512" s="23">
        <v>10.935</v>
      </c>
    </row>
    <row r="513" spans="1:43" ht="12.75">
      <c r="A513" s="5" t="s">
        <v>297</v>
      </c>
      <c r="B513" s="5" t="s">
        <v>596</v>
      </c>
      <c r="C513" s="5" t="s">
        <v>698</v>
      </c>
      <c r="D513" s="5" t="s">
        <v>1107</v>
      </c>
      <c r="E513" s="5" t="s">
        <v>1503</v>
      </c>
      <c r="F513" s="22">
        <v>6.54</v>
      </c>
      <c r="G513" s="22">
        <v>0</v>
      </c>
      <c r="H513" s="22">
        <f>F513*AE513</f>
        <v>0</v>
      </c>
      <c r="I513" s="22">
        <f>J513-H513</f>
        <v>0</v>
      </c>
      <c r="J513" s="22">
        <f>F513*G513</f>
        <v>0</v>
      </c>
      <c r="K513" s="22">
        <v>0.00272</v>
      </c>
      <c r="L513" s="22">
        <f>F513*K513</f>
        <v>0.0177888</v>
      </c>
      <c r="M513" s="35" t="s">
        <v>1531</v>
      </c>
      <c r="N513" s="35" t="s">
        <v>7</v>
      </c>
      <c r="O513" s="22">
        <f>IF(N513="5",I513,0)</f>
        <v>0</v>
      </c>
      <c r="Z513" s="22">
        <f>IF(AD513=0,J513,0)</f>
        <v>0</v>
      </c>
      <c r="AA513" s="22">
        <f>IF(AD513=15,J513,0)</f>
        <v>0</v>
      </c>
      <c r="AB513" s="22">
        <f>IF(AD513=21,J513,0)</f>
        <v>0</v>
      </c>
      <c r="AD513" s="39">
        <v>15</v>
      </c>
      <c r="AE513" s="39">
        <f>G513*0.85271012006861</f>
        <v>0</v>
      </c>
      <c r="AF513" s="39">
        <f>G513*(1-0.85271012006861)</f>
        <v>0</v>
      </c>
      <c r="AM513" s="39">
        <f>F513*AE513</f>
        <v>0</v>
      </c>
      <c r="AN513" s="39">
        <f>F513*AF513</f>
        <v>0</v>
      </c>
      <c r="AO513" s="40" t="s">
        <v>1568</v>
      </c>
      <c r="AP513" s="40" t="s">
        <v>1602</v>
      </c>
      <c r="AQ513" s="31" t="s">
        <v>1613</v>
      </c>
    </row>
    <row r="514" ht="12.75">
      <c r="D514" s="18" t="s">
        <v>1108</v>
      </c>
    </row>
    <row r="515" spans="1:43" ht="12.75">
      <c r="A515" s="5" t="s">
        <v>298</v>
      </c>
      <c r="B515" s="5" t="s">
        <v>596</v>
      </c>
      <c r="C515" s="5" t="s">
        <v>697</v>
      </c>
      <c r="D515" s="5" t="s">
        <v>1104</v>
      </c>
      <c r="E515" s="5" t="s">
        <v>1503</v>
      </c>
      <c r="F515" s="22">
        <v>6.54</v>
      </c>
      <c r="G515" s="22">
        <v>0</v>
      </c>
      <c r="H515" s="22">
        <f>F515*AE515</f>
        <v>0</v>
      </c>
      <c r="I515" s="22">
        <f>J515-H515</f>
        <v>0</v>
      </c>
      <c r="J515" s="22">
        <f>F515*G515</f>
        <v>0</v>
      </c>
      <c r="K515" s="22">
        <v>0.00368</v>
      </c>
      <c r="L515" s="22">
        <f>F515*K515</f>
        <v>0.0240672</v>
      </c>
      <c r="M515" s="35" t="s">
        <v>1531</v>
      </c>
      <c r="N515" s="35" t="s">
        <v>7</v>
      </c>
      <c r="O515" s="22">
        <f>IF(N515="5",I515,0)</f>
        <v>0</v>
      </c>
      <c r="Z515" s="22">
        <f>IF(AD515=0,J515,0)</f>
        <v>0</v>
      </c>
      <c r="AA515" s="22">
        <f>IF(AD515=15,J515,0)</f>
        <v>0</v>
      </c>
      <c r="AB515" s="22">
        <f>IF(AD515=21,J515,0)</f>
        <v>0</v>
      </c>
      <c r="AD515" s="39">
        <v>15</v>
      </c>
      <c r="AE515" s="39">
        <f>G515*0.681042026050651</f>
        <v>0</v>
      </c>
      <c r="AF515" s="39">
        <f>G515*(1-0.681042026050651)</f>
        <v>0</v>
      </c>
      <c r="AM515" s="39">
        <f>F515*AE515</f>
        <v>0</v>
      </c>
      <c r="AN515" s="39">
        <f>F515*AF515</f>
        <v>0</v>
      </c>
      <c r="AO515" s="40" t="s">
        <v>1568</v>
      </c>
      <c r="AP515" s="40" t="s">
        <v>1602</v>
      </c>
      <c r="AQ515" s="31" t="s">
        <v>1613</v>
      </c>
    </row>
    <row r="516" ht="12.75">
      <c r="D516" s="18" t="s">
        <v>1109</v>
      </c>
    </row>
    <row r="517" spans="1:37" ht="12.75">
      <c r="A517" s="4"/>
      <c r="B517" s="14" t="s">
        <v>596</v>
      </c>
      <c r="C517" s="14" t="s">
        <v>612</v>
      </c>
      <c r="D517" s="104" t="s">
        <v>987</v>
      </c>
      <c r="E517" s="105"/>
      <c r="F517" s="105"/>
      <c r="G517" s="105"/>
      <c r="H517" s="42">
        <f>SUM(H518:H521)</f>
        <v>0</v>
      </c>
      <c r="I517" s="42">
        <f>SUM(I518:I521)</f>
        <v>0</v>
      </c>
      <c r="J517" s="42">
        <f>H517+I517</f>
        <v>0</v>
      </c>
      <c r="K517" s="31"/>
      <c r="L517" s="42">
        <f>SUM(L518:L521)</f>
        <v>0.86987945</v>
      </c>
      <c r="M517" s="31"/>
      <c r="P517" s="42">
        <f>IF(Q517="PR",J517,SUM(O518:O521))</f>
        <v>0</v>
      </c>
      <c r="Q517" s="31" t="s">
        <v>1537</v>
      </c>
      <c r="R517" s="42">
        <f>IF(Q517="HS",H517,0)</f>
        <v>0</v>
      </c>
      <c r="S517" s="42">
        <f>IF(Q517="HS",I517-P517,0)</f>
        <v>0</v>
      </c>
      <c r="T517" s="42">
        <f>IF(Q517="PS",H517,0)</f>
        <v>0</v>
      </c>
      <c r="U517" s="42">
        <f>IF(Q517="PS",I517-P517,0)</f>
        <v>0</v>
      </c>
      <c r="V517" s="42">
        <f>IF(Q517="MP",H517,0)</f>
        <v>0</v>
      </c>
      <c r="W517" s="42">
        <f>IF(Q517="MP",I517-P517,0)</f>
        <v>0</v>
      </c>
      <c r="X517" s="42">
        <f>IF(Q517="OM",H517,0)</f>
        <v>0</v>
      </c>
      <c r="Y517" s="31" t="s">
        <v>596</v>
      </c>
      <c r="AI517" s="42">
        <f>SUM(Z518:Z521)</f>
        <v>0</v>
      </c>
      <c r="AJ517" s="42">
        <f>SUM(AA518:AA521)</f>
        <v>0</v>
      </c>
      <c r="AK517" s="42">
        <f>SUM(AB518:AB521)</f>
        <v>0</v>
      </c>
    </row>
    <row r="518" spans="1:43" ht="12.75">
      <c r="A518" s="5" t="s">
        <v>299</v>
      </c>
      <c r="B518" s="5" t="s">
        <v>596</v>
      </c>
      <c r="C518" s="5" t="s">
        <v>699</v>
      </c>
      <c r="D518" s="5" t="s">
        <v>1110</v>
      </c>
      <c r="E518" s="5" t="s">
        <v>1503</v>
      </c>
      <c r="F518" s="22">
        <v>189.31</v>
      </c>
      <c r="G518" s="22">
        <v>0</v>
      </c>
      <c r="H518" s="22">
        <f>F518*AE518</f>
        <v>0</v>
      </c>
      <c r="I518" s="22">
        <f>J518-H518</f>
        <v>0</v>
      </c>
      <c r="J518" s="22">
        <f>F518*G518</f>
        <v>0</v>
      </c>
      <c r="K518" s="22">
        <v>0.00443</v>
      </c>
      <c r="L518" s="22">
        <f>F518*K518</f>
        <v>0.8386433</v>
      </c>
      <c r="M518" s="35" t="s">
        <v>1531</v>
      </c>
      <c r="N518" s="35" t="s">
        <v>9</v>
      </c>
      <c r="O518" s="22">
        <f>IF(N518="5",I518,0)</f>
        <v>0</v>
      </c>
      <c r="Z518" s="22">
        <f>IF(AD518=0,J518,0)</f>
        <v>0</v>
      </c>
      <c r="AA518" s="22">
        <f>IF(AD518=15,J518,0)</f>
        <v>0</v>
      </c>
      <c r="AB518" s="22">
        <f>IF(AD518=21,J518,0)</f>
        <v>0</v>
      </c>
      <c r="AD518" s="39">
        <v>15</v>
      </c>
      <c r="AE518" s="39">
        <f>G518*0.734044007106738</f>
        <v>0</v>
      </c>
      <c r="AF518" s="39">
        <f>G518*(1-0.734044007106738)</f>
        <v>0</v>
      </c>
      <c r="AM518" s="39">
        <f>F518*AE518</f>
        <v>0</v>
      </c>
      <c r="AN518" s="39">
        <f>F518*AF518</f>
        <v>0</v>
      </c>
      <c r="AO518" s="40" t="s">
        <v>1548</v>
      </c>
      <c r="AP518" s="40" t="s">
        <v>1602</v>
      </c>
      <c r="AQ518" s="31" t="s">
        <v>1613</v>
      </c>
    </row>
    <row r="519" ht="12.75">
      <c r="D519" s="18" t="s">
        <v>1111</v>
      </c>
    </row>
    <row r="520" spans="4:6" ht="10.8" customHeight="1">
      <c r="D520" s="17" t="s">
        <v>1112</v>
      </c>
      <c r="F520" s="23">
        <v>189.31</v>
      </c>
    </row>
    <row r="521" spans="1:43" ht="12.75">
      <c r="A521" s="5" t="s">
        <v>300</v>
      </c>
      <c r="B521" s="5" t="s">
        <v>596</v>
      </c>
      <c r="C521" s="5" t="s">
        <v>700</v>
      </c>
      <c r="D521" s="5" t="s">
        <v>1113</v>
      </c>
      <c r="E521" s="5" t="s">
        <v>1503</v>
      </c>
      <c r="F521" s="22">
        <v>208.241</v>
      </c>
      <c r="G521" s="22">
        <v>0</v>
      </c>
      <c r="H521" s="22">
        <f>F521*AE521</f>
        <v>0</v>
      </c>
      <c r="I521" s="22">
        <f>J521-H521</f>
        <v>0</v>
      </c>
      <c r="J521" s="22">
        <f>F521*G521</f>
        <v>0</v>
      </c>
      <c r="K521" s="22">
        <v>0.00015</v>
      </c>
      <c r="L521" s="22">
        <f>F521*K521</f>
        <v>0.03123615</v>
      </c>
      <c r="M521" s="35" t="s">
        <v>1531</v>
      </c>
      <c r="N521" s="35" t="s">
        <v>7</v>
      </c>
      <c r="O521" s="22">
        <f>IF(N521="5",I521,0)</f>
        <v>0</v>
      </c>
      <c r="Z521" s="22">
        <f>IF(AD521=0,J521,0)</f>
        <v>0</v>
      </c>
      <c r="AA521" s="22">
        <f>IF(AD521=15,J521,0)</f>
        <v>0</v>
      </c>
      <c r="AB521" s="22">
        <f>IF(AD521=21,J521,0)</f>
        <v>0</v>
      </c>
      <c r="AD521" s="39">
        <v>15</v>
      </c>
      <c r="AE521" s="39">
        <f>G521*0.318322093953595</f>
        <v>0</v>
      </c>
      <c r="AF521" s="39">
        <f>G521*(1-0.318322093953595)</f>
        <v>0</v>
      </c>
      <c r="AM521" s="39">
        <f>F521*AE521</f>
        <v>0</v>
      </c>
      <c r="AN521" s="39">
        <f>F521*AF521</f>
        <v>0</v>
      </c>
      <c r="AO521" s="40" t="s">
        <v>1548</v>
      </c>
      <c r="AP521" s="40" t="s">
        <v>1602</v>
      </c>
      <c r="AQ521" s="31" t="s">
        <v>1613</v>
      </c>
    </row>
    <row r="522" spans="4:6" ht="10.8" customHeight="1">
      <c r="D522" s="17" t="s">
        <v>1114</v>
      </c>
      <c r="F522" s="23">
        <v>208.241</v>
      </c>
    </row>
    <row r="523" spans="1:37" ht="12.75">
      <c r="A523" s="4"/>
      <c r="B523" s="14" t="s">
        <v>596</v>
      </c>
      <c r="C523" s="14" t="s">
        <v>701</v>
      </c>
      <c r="D523" s="104" t="s">
        <v>1115</v>
      </c>
      <c r="E523" s="105"/>
      <c r="F523" s="105"/>
      <c r="G523" s="105"/>
      <c r="H523" s="42">
        <f>SUM(H524:H535)</f>
        <v>0</v>
      </c>
      <c r="I523" s="42">
        <f>SUM(I524:I535)</f>
        <v>0</v>
      </c>
      <c r="J523" s="42">
        <f>H523+I523</f>
        <v>0</v>
      </c>
      <c r="K523" s="31"/>
      <c r="L523" s="42">
        <f>SUM(L524:L535)</f>
        <v>0.03921000000000001</v>
      </c>
      <c r="M523" s="31"/>
      <c r="P523" s="42">
        <f>IF(Q523="PR",J523,SUM(O524:O535))</f>
        <v>0</v>
      </c>
      <c r="Q523" s="31" t="s">
        <v>1537</v>
      </c>
      <c r="R523" s="42">
        <f>IF(Q523="HS",H523,0)</f>
        <v>0</v>
      </c>
      <c r="S523" s="42">
        <f>IF(Q523="HS",I523-P523,0)</f>
        <v>0</v>
      </c>
      <c r="T523" s="42">
        <f>IF(Q523="PS",H523,0)</f>
        <v>0</v>
      </c>
      <c r="U523" s="42">
        <f>IF(Q523="PS",I523-P523,0)</f>
        <v>0</v>
      </c>
      <c r="V523" s="42">
        <f>IF(Q523="MP",H523,0)</f>
        <v>0</v>
      </c>
      <c r="W523" s="42">
        <f>IF(Q523="MP",I523-P523,0)</f>
        <v>0</v>
      </c>
      <c r="X523" s="42">
        <f>IF(Q523="OM",H523,0)</f>
        <v>0</v>
      </c>
      <c r="Y523" s="31" t="s">
        <v>596</v>
      </c>
      <c r="AI523" s="42">
        <f>SUM(Z524:Z535)</f>
        <v>0</v>
      </c>
      <c r="AJ523" s="42">
        <f>SUM(AA524:AA535)</f>
        <v>0</v>
      </c>
      <c r="AK523" s="42">
        <f>SUM(AB524:AB535)</f>
        <v>0</v>
      </c>
    </row>
    <row r="524" spans="1:43" ht="12.75">
      <c r="A524" s="5" t="s">
        <v>301</v>
      </c>
      <c r="B524" s="5" t="s">
        <v>596</v>
      </c>
      <c r="C524" s="5" t="s">
        <v>702</v>
      </c>
      <c r="D524" s="5" t="s">
        <v>1116</v>
      </c>
      <c r="E524" s="5" t="s">
        <v>1504</v>
      </c>
      <c r="F524" s="22">
        <v>3</v>
      </c>
      <c r="G524" s="22">
        <v>0</v>
      </c>
      <c r="H524" s="22">
        <f>F524*AE524</f>
        <v>0</v>
      </c>
      <c r="I524" s="22">
        <f>J524-H524</f>
        <v>0</v>
      </c>
      <c r="J524" s="22">
        <f>F524*G524</f>
        <v>0</v>
      </c>
      <c r="K524" s="22">
        <v>4E-05</v>
      </c>
      <c r="L524" s="22">
        <f>F524*K524</f>
        <v>0.00012000000000000002</v>
      </c>
      <c r="M524" s="35" t="s">
        <v>1531</v>
      </c>
      <c r="N524" s="35" t="s">
        <v>7</v>
      </c>
      <c r="O524" s="22">
        <f>IF(N524="5",I524,0)</f>
        <v>0</v>
      </c>
      <c r="Z524" s="22">
        <f>IF(AD524=0,J524,0)</f>
        <v>0</v>
      </c>
      <c r="AA524" s="22">
        <f>IF(AD524=15,J524,0)</f>
        <v>0</v>
      </c>
      <c r="AB524" s="22">
        <f>IF(AD524=21,J524,0)</f>
        <v>0</v>
      </c>
      <c r="AD524" s="39">
        <v>15</v>
      </c>
      <c r="AE524" s="39">
        <f>G524*0</f>
        <v>0</v>
      </c>
      <c r="AF524" s="39">
        <f>G524*(1-0)</f>
        <v>0</v>
      </c>
      <c r="AM524" s="39">
        <f>F524*AE524</f>
        <v>0</v>
      </c>
      <c r="AN524" s="39">
        <f>F524*AF524</f>
        <v>0</v>
      </c>
      <c r="AO524" s="40" t="s">
        <v>1569</v>
      </c>
      <c r="AP524" s="40" t="s">
        <v>1609</v>
      </c>
      <c r="AQ524" s="31" t="s">
        <v>1613</v>
      </c>
    </row>
    <row r="525" ht="12.75">
      <c r="D525" s="18" t="s">
        <v>1321</v>
      </c>
    </row>
    <row r="526" spans="1:43" ht="12.75">
      <c r="A526" s="5" t="s">
        <v>302</v>
      </c>
      <c r="B526" s="5" t="s">
        <v>596</v>
      </c>
      <c r="C526" s="5" t="s">
        <v>703</v>
      </c>
      <c r="D526" s="5" t="s">
        <v>1118</v>
      </c>
      <c r="E526" s="5" t="s">
        <v>1505</v>
      </c>
      <c r="F526" s="22">
        <v>12</v>
      </c>
      <c r="G526" s="22">
        <v>0</v>
      </c>
      <c r="H526" s="22">
        <f>F526*AE526</f>
        <v>0</v>
      </c>
      <c r="I526" s="22">
        <f>J526-H526</f>
        <v>0</v>
      </c>
      <c r="J526" s="22">
        <f>F526*G526</f>
        <v>0</v>
      </c>
      <c r="K526" s="22">
        <v>0</v>
      </c>
      <c r="L526" s="22">
        <f>F526*K526</f>
        <v>0</v>
      </c>
      <c r="M526" s="35" t="s">
        <v>1531</v>
      </c>
      <c r="N526" s="35" t="s">
        <v>7</v>
      </c>
      <c r="O526" s="22">
        <f>IF(N526="5",I526,0)</f>
        <v>0</v>
      </c>
      <c r="Z526" s="22">
        <f>IF(AD526=0,J526,0)</f>
        <v>0</v>
      </c>
      <c r="AA526" s="22">
        <f>IF(AD526=15,J526,0)</f>
        <v>0</v>
      </c>
      <c r="AB526" s="22">
        <f>IF(AD526=21,J526,0)</f>
        <v>0</v>
      </c>
      <c r="AD526" s="39">
        <v>15</v>
      </c>
      <c r="AE526" s="39">
        <f>G526*0.0247086247086247</f>
        <v>0</v>
      </c>
      <c r="AF526" s="39">
        <f>G526*(1-0.0247086247086247)</f>
        <v>0</v>
      </c>
      <c r="AM526" s="39">
        <f>F526*AE526</f>
        <v>0</v>
      </c>
      <c r="AN526" s="39">
        <f>F526*AF526</f>
        <v>0</v>
      </c>
      <c r="AO526" s="40" t="s">
        <v>1569</v>
      </c>
      <c r="AP526" s="40" t="s">
        <v>1609</v>
      </c>
      <c r="AQ526" s="31" t="s">
        <v>1613</v>
      </c>
    </row>
    <row r="527" spans="1:43" ht="12.75">
      <c r="A527" s="5" t="s">
        <v>303</v>
      </c>
      <c r="B527" s="5" t="s">
        <v>596</v>
      </c>
      <c r="C527" s="5" t="s">
        <v>704</v>
      </c>
      <c r="D527" s="5" t="s">
        <v>1119</v>
      </c>
      <c r="E527" s="5" t="s">
        <v>1504</v>
      </c>
      <c r="F527" s="22">
        <v>3</v>
      </c>
      <c r="G527" s="22">
        <v>0</v>
      </c>
      <c r="H527" s="22">
        <f>F527*AE527</f>
        <v>0</v>
      </c>
      <c r="I527" s="22">
        <f>J527-H527</f>
        <v>0</v>
      </c>
      <c r="J527" s="22">
        <f>F527*G527</f>
        <v>0</v>
      </c>
      <c r="K527" s="22">
        <v>2E-05</v>
      </c>
      <c r="L527" s="22">
        <f>F527*K527</f>
        <v>6.000000000000001E-05</v>
      </c>
      <c r="M527" s="35" t="s">
        <v>1531</v>
      </c>
      <c r="N527" s="35" t="s">
        <v>7</v>
      </c>
      <c r="O527" s="22">
        <f>IF(N527="5",I527,0)</f>
        <v>0</v>
      </c>
      <c r="Z527" s="22">
        <f>IF(AD527=0,J527,0)</f>
        <v>0</v>
      </c>
      <c r="AA527" s="22">
        <f>IF(AD527=15,J527,0)</f>
        <v>0</v>
      </c>
      <c r="AB527" s="22">
        <f>IF(AD527=21,J527,0)</f>
        <v>0</v>
      </c>
      <c r="AD527" s="39">
        <v>15</v>
      </c>
      <c r="AE527" s="39">
        <f>G527*0</f>
        <v>0</v>
      </c>
      <c r="AF527" s="39">
        <f>G527*(1-0)</f>
        <v>0</v>
      </c>
      <c r="AM527" s="39">
        <f>F527*AE527</f>
        <v>0</v>
      </c>
      <c r="AN527" s="39">
        <f>F527*AF527</f>
        <v>0</v>
      </c>
      <c r="AO527" s="40" t="s">
        <v>1569</v>
      </c>
      <c r="AP527" s="40" t="s">
        <v>1609</v>
      </c>
      <c r="AQ527" s="31" t="s">
        <v>1613</v>
      </c>
    </row>
    <row r="528" ht="12.75">
      <c r="D528" s="18" t="s">
        <v>1322</v>
      </c>
    </row>
    <row r="529" spans="1:43" ht="12.75">
      <c r="A529" s="6" t="s">
        <v>304</v>
      </c>
      <c r="B529" s="6" t="s">
        <v>596</v>
      </c>
      <c r="C529" s="6" t="s">
        <v>705</v>
      </c>
      <c r="D529" s="6" t="s">
        <v>1121</v>
      </c>
      <c r="E529" s="6" t="s">
        <v>1504</v>
      </c>
      <c r="F529" s="24">
        <v>6</v>
      </c>
      <c r="G529" s="24">
        <v>0</v>
      </c>
      <c r="H529" s="24">
        <f aca="true" t="shared" si="122" ref="H529:H535">F529*AE529</f>
        <v>0</v>
      </c>
      <c r="I529" s="24">
        <f aca="true" t="shared" si="123" ref="I529:I535">J529-H529</f>
        <v>0</v>
      </c>
      <c r="J529" s="24">
        <f aca="true" t="shared" si="124" ref="J529:J535">F529*G529</f>
        <v>0</v>
      </c>
      <c r="K529" s="24">
        <v>0.0003</v>
      </c>
      <c r="L529" s="24">
        <f aca="true" t="shared" si="125" ref="L529:L535">F529*K529</f>
        <v>0.0018</v>
      </c>
      <c r="M529" s="36" t="s">
        <v>1531</v>
      </c>
      <c r="N529" s="36" t="s">
        <v>1533</v>
      </c>
      <c r="O529" s="24">
        <f aca="true" t="shared" si="126" ref="O529:O535">IF(N529="5",I529,0)</f>
        <v>0</v>
      </c>
      <c r="Z529" s="24">
        <f aca="true" t="shared" si="127" ref="Z529:Z535">IF(AD529=0,J529,0)</f>
        <v>0</v>
      </c>
      <c r="AA529" s="24">
        <f aca="true" t="shared" si="128" ref="AA529:AA535">IF(AD529=15,J529,0)</f>
        <v>0</v>
      </c>
      <c r="AB529" s="24">
        <f aca="true" t="shared" si="129" ref="AB529:AB535">IF(AD529=21,J529,0)</f>
        <v>0</v>
      </c>
      <c r="AD529" s="39">
        <v>15</v>
      </c>
      <c r="AE529" s="39">
        <f aca="true" t="shared" si="130" ref="AE529:AE535">G529*1</f>
        <v>0</v>
      </c>
      <c r="AF529" s="39">
        <f aca="true" t="shared" si="131" ref="AF529:AF535">G529*(1-1)</f>
        <v>0</v>
      </c>
      <c r="AM529" s="39">
        <f aca="true" t="shared" si="132" ref="AM529:AM535">F529*AE529</f>
        <v>0</v>
      </c>
      <c r="AN529" s="39">
        <f aca="true" t="shared" si="133" ref="AN529:AN535">F529*AF529</f>
        <v>0</v>
      </c>
      <c r="AO529" s="40" t="s">
        <v>1569</v>
      </c>
      <c r="AP529" s="40" t="s">
        <v>1609</v>
      </c>
      <c r="AQ529" s="31" t="s">
        <v>1613</v>
      </c>
    </row>
    <row r="530" spans="1:43" ht="12.75">
      <c r="A530" s="6" t="s">
        <v>305</v>
      </c>
      <c r="B530" s="6" t="s">
        <v>596</v>
      </c>
      <c r="C530" s="6" t="s">
        <v>706</v>
      </c>
      <c r="D530" s="6" t="s">
        <v>1122</v>
      </c>
      <c r="E530" s="6" t="s">
        <v>1504</v>
      </c>
      <c r="F530" s="24">
        <v>30</v>
      </c>
      <c r="G530" s="24">
        <v>0</v>
      </c>
      <c r="H530" s="24">
        <f t="shared" si="122"/>
        <v>0</v>
      </c>
      <c r="I530" s="24">
        <f t="shared" si="123"/>
        <v>0</v>
      </c>
      <c r="J530" s="24">
        <f t="shared" si="124"/>
        <v>0</v>
      </c>
      <c r="K530" s="24">
        <v>0.00108</v>
      </c>
      <c r="L530" s="24">
        <f t="shared" si="125"/>
        <v>0.0324</v>
      </c>
      <c r="M530" s="36" t="s">
        <v>1531</v>
      </c>
      <c r="N530" s="36" t="s">
        <v>1533</v>
      </c>
      <c r="O530" s="24">
        <f t="shared" si="126"/>
        <v>0</v>
      </c>
      <c r="Z530" s="24">
        <f t="shared" si="127"/>
        <v>0</v>
      </c>
      <c r="AA530" s="24">
        <f t="shared" si="128"/>
        <v>0</v>
      </c>
      <c r="AB530" s="24">
        <f t="shared" si="129"/>
        <v>0</v>
      </c>
      <c r="AD530" s="39">
        <v>15</v>
      </c>
      <c r="AE530" s="39">
        <f t="shared" si="130"/>
        <v>0</v>
      </c>
      <c r="AF530" s="39">
        <f t="shared" si="131"/>
        <v>0</v>
      </c>
      <c r="AM530" s="39">
        <f t="shared" si="132"/>
        <v>0</v>
      </c>
      <c r="AN530" s="39">
        <f t="shared" si="133"/>
        <v>0</v>
      </c>
      <c r="AO530" s="40" t="s">
        <v>1569</v>
      </c>
      <c r="AP530" s="40" t="s">
        <v>1609</v>
      </c>
      <c r="AQ530" s="31" t="s">
        <v>1613</v>
      </c>
    </row>
    <row r="531" spans="1:43" ht="12.75">
      <c r="A531" s="6" t="s">
        <v>306</v>
      </c>
      <c r="B531" s="6" t="s">
        <v>596</v>
      </c>
      <c r="C531" s="6" t="s">
        <v>707</v>
      </c>
      <c r="D531" s="6" t="s">
        <v>1123</v>
      </c>
      <c r="E531" s="6" t="s">
        <v>1504</v>
      </c>
      <c r="F531" s="24">
        <v>12</v>
      </c>
      <c r="G531" s="24">
        <v>0</v>
      </c>
      <c r="H531" s="24">
        <f t="shared" si="122"/>
        <v>0</v>
      </c>
      <c r="I531" s="24">
        <f t="shared" si="123"/>
        <v>0</v>
      </c>
      <c r="J531" s="24">
        <f t="shared" si="124"/>
        <v>0</v>
      </c>
      <c r="K531" s="24">
        <v>8E-05</v>
      </c>
      <c r="L531" s="24">
        <f t="shared" si="125"/>
        <v>0.0009600000000000001</v>
      </c>
      <c r="M531" s="36" t="s">
        <v>1531</v>
      </c>
      <c r="N531" s="36" t="s">
        <v>1533</v>
      </c>
      <c r="O531" s="24">
        <f t="shared" si="126"/>
        <v>0</v>
      </c>
      <c r="Z531" s="24">
        <f t="shared" si="127"/>
        <v>0</v>
      </c>
      <c r="AA531" s="24">
        <f t="shared" si="128"/>
        <v>0</v>
      </c>
      <c r="AB531" s="24">
        <f t="shared" si="129"/>
        <v>0</v>
      </c>
      <c r="AD531" s="39">
        <v>15</v>
      </c>
      <c r="AE531" s="39">
        <f t="shared" si="130"/>
        <v>0</v>
      </c>
      <c r="AF531" s="39">
        <f t="shared" si="131"/>
        <v>0</v>
      </c>
      <c r="AM531" s="39">
        <f t="shared" si="132"/>
        <v>0</v>
      </c>
      <c r="AN531" s="39">
        <f t="shared" si="133"/>
        <v>0</v>
      </c>
      <c r="AO531" s="40" t="s">
        <v>1569</v>
      </c>
      <c r="AP531" s="40" t="s">
        <v>1609</v>
      </c>
      <c r="AQ531" s="31" t="s">
        <v>1613</v>
      </c>
    </row>
    <row r="532" spans="1:43" ht="12.75">
      <c r="A532" s="6" t="s">
        <v>307</v>
      </c>
      <c r="B532" s="6" t="s">
        <v>596</v>
      </c>
      <c r="C532" s="6" t="s">
        <v>708</v>
      </c>
      <c r="D532" s="6" t="s">
        <v>1124</v>
      </c>
      <c r="E532" s="6" t="s">
        <v>1504</v>
      </c>
      <c r="F532" s="24">
        <v>3</v>
      </c>
      <c r="G532" s="24">
        <v>0</v>
      </c>
      <c r="H532" s="24">
        <f t="shared" si="122"/>
        <v>0</v>
      </c>
      <c r="I532" s="24">
        <f t="shared" si="123"/>
        <v>0</v>
      </c>
      <c r="J532" s="24">
        <f t="shared" si="124"/>
        <v>0</v>
      </c>
      <c r="K532" s="24">
        <v>0.00025</v>
      </c>
      <c r="L532" s="24">
        <f t="shared" si="125"/>
        <v>0.00075</v>
      </c>
      <c r="M532" s="36" t="s">
        <v>1531</v>
      </c>
      <c r="N532" s="36" t="s">
        <v>1533</v>
      </c>
      <c r="O532" s="24">
        <f t="shared" si="126"/>
        <v>0</v>
      </c>
      <c r="Z532" s="24">
        <f t="shared" si="127"/>
        <v>0</v>
      </c>
      <c r="AA532" s="24">
        <f t="shared" si="128"/>
        <v>0</v>
      </c>
      <c r="AB532" s="24">
        <f t="shared" si="129"/>
        <v>0</v>
      </c>
      <c r="AD532" s="39">
        <v>15</v>
      </c>
      <c r="AE532" s="39">
        <f t="shared" si="130"/>
        <v>0</v>
      </c>
      <c r="AF532" s="39">
        <f t="shared" si="131"/>
        <v>0</v>
      </c>
      <c r="AM532" s="39">
        <f t="shared" si="132"/>
        <v>0</v>
      </c>
      <c r="AN532" s="39">
        <f t="shared" si="133"/>
        <v>0</v>
      </c>
      <c r="AO532" s="40" t="s">
        <v>1569</v>
      </c>
      <c r="AP532" s="40" t="s">
        <v>1609</v>
      </c>
      <c r="AQ532" s="31" t="s">
        <v>1613</v>
      </c>
    </row>
    <row r="533" spans="1:43" ht="12.75">
      <c r="A533" s="6" t="s">
        <v>308</v>
      </c>
      <c r="B533" s="6" t="s">
        <v>596</v>
      </c>
      <c r="C533" s="6" t="s">
        <v>709</v>
      </c>
      <c r="D533" s="6" t="s">
        <v>1125</v>
      </c>
      <c r="E533" s="6" t="s">
        <v>1504</v>
      </c>
      <c r="F533" s="24">
        <v>18</v>
      </c>
      <c r="G533" s="24">
        <v>0</v>
      </c>
      <c r="H533" s="24">
        <f t="shared" si="122"/>
        <v>0</v>
      </c>
      <c r="I533" s="24">
        <f t="shared" si="123"/>
        <v>0</v>
      </c>
      <c r="J533" s="24">
        <f t="shared" si="124"/>
        <v>0</v>
      </c>
      <c r="K533" s="24">
        <v>5E-05</v>
      </c>
      <c r="L533" s="24">
        <f t="shared" si="125"/>
        <v>0.0009000000000000001</v>
      </c>
      <c r="M533" s="36" t="s">
        <v>1531</v>
      </c>
      <c r="N533" s="36" t="s">
        <v>1533</v>
      </c>
      <c r="O533" s="24">
        <f t="shared" si="126"/>
        <v>0</v>
      </c>
      <c r="Z533" s="24">
        <f t="shared" si="127"/>
        <v>0</v>
      </c>
      <c r="AA533" s="24">
        <f t="shared" si="128"/>
        <v>0</v>
      </c>
      <c r="AB533" s="24">
        <f t="shared" si="129"/>
        <v>0</v>
      </c>
      <c r="AD533" s="39">
        <v>15</v>
      </c>
      <c r="AE533" s="39">
        <f t="shared" si="130"/>
        <v>0</v>
      </c>
      <c r="AF533" s="39">
        <f t="shared" si="131"/>
        <v>0</v>
      </c>
      <c r="AM533" s="39">
        <f t="shared" si="132"/>
        <v>0</v>
      </c>
      <c r="AN533" s="39">
        <f t="shared" si="133"/>
        <v>0</v>
      </c>
      <c r="AO533" s="40" t="s">
        <v>1569</v>
      </c>
      <c r="AP533" s="40" t="s">
        <v>1609</v>
      </c>
      <c r="AQ533" s="31" t="s">
        <v>1613</v>
      </c>
    </row>
    <row r="534" spans="1:43" ht="12.75">
      <c r="A534" s="6" t="s">
        <v>309</v>
      </c>
      <c r="B534" s="6" t="s">
        <v>596</v>
      </c>
      <c r="C534" s="6" t="s">
        <v>710</v>
      </c>
      <c r="D534" s="6" t="s">
        <v>1126</v>
      </c>
      <c r="E534" s="6" t="s">
        <v>1504</v>
      </c>
      <c r="F534" s="24">
        <v>12</v>
      </c>
      <c r="G534" s="24">
        <v>0</v>
      </c>
      <c r="H534" s="24">
        <f t="shared" si="122"/>
        <v>0</v>
      </c>
      <c r="I534" s="24">
        <f t="shared" si="123"/>
        <v>0</v>
      </c>
      <c r="J534" s="24">
        <f t="shared" si="124"/>
        <v>0</v>
      </c>
      <c r="K534" s="24">
        <v>5E-05</v>
      </c>
      <c r="L534" s="24">
        <f t="shared" si="125"/>
        <v>0.0006000000000000001</v>
      </c>
      <c r="M534" s="36" t="s">
        <v>1531</v>
      </c>
      <c r="N534" s="36" t="s">
        <v>1533</v>
      </c>
      <c r="O534" s="24">
        <f t="shared" si="126"/>
        <v>0</v>
      </c>
      <c r="Z534" s="24">
        <f t="shared" si="127"/>
        <v>0</v>
      </c>
      <c r="AA534" s="24">
        <f t="shared" si="128"/>
        <v>0</v>
      </c>
      <c r="AB534" s="24">
        <f t="shared" si="129"/>
        <v>0</v>
      </c>
      <c r="AD534" s="39">
        <v>15</v>
      </c>
      <c r="AE534" s="39">
        <f t="shared" si="130"/>
        <v>0</v>
      </c>
      <c r="AF534" s="39">
        <f t="shared" si="131"/>
        <v>0</v>
      </c>
      <c r="AM534" s="39">
        <f t="shared" si="132"/>
        <v>0</v>
      </c>
      <c r="AN534" s="39">
        <f t="shared" si="133"/>
        <v>0</v>
      </c>
      <c r="AO534" s="40" t="s">
        <v>1569</v>
      </c>
      <c r="AP534" s="40" t="s">
        <v>1609</v>
      </c>
      <c r="AQ534" s="31" t="s">
        <v>1613</v>
      </c>
    </row>
    <row r="535" spans="1:43" ht="12.75">
      <c r="A535" s="6" t="s">
        <v>310</v>
      </c>
      <c r="B535" s="6" t="s">
        <v>596</v>
      </c>
      <c r="C535" s="6" t="s">
        <v>711</v>
      </c>
      <c r="D535" s="6" t="s">
        <v>1127</v>
      </c>
      <c r="E535" s="6" t="s">
        <v>1504</v>
      </c>
      <c r="F535" s="24">
        <v>9</v>
      </c>
      <c r="G535" s="24">
        <v>0</v>
      </c>
      <c r="H535" s="24">
        <f t="shared" si="122"/>
        <v>0</v>
      </c>
      <c r="I535" s="24">
        <f t="shared" si="123"/>
        <v>0</v>
      </c>
      <c r="J535" s="24">
        <f t="shared" si="124"/>
        <v>0</v>
      </c>
      <c r="K535" s="24">
        <v>0.00018</v>
      </c>
      <c r="L535" s="24">
        <f t="shared" si="125"/>
        <v>0.0016200000000000001</v>
      </c>
      <c r="M535" s="36" t="s">
        <v>1531</v>
      </c>
      <c r="N535" s="36" t="s">
        <v>1533</v>
      </c>
      <c r="O535" s="24">
        <f t="shared" si="126"/>
        <v>0</v>
      </c>
      <c r="Z535" s="24">
        <f t="shared" si="127"/>
        <v>0</v>
      </c>
      <c r="AA535" s="24">
        <f t="shared" si="128"/>
        <v>0</v>
      </c>
      <c r="AB535" s="24">
        <f t="shared" si="129"/>
        <v>0</v>
      </c>
      <c r="AD535" s="39">
        <v>15</v>
      </c>
      <c r="AE535" s="39">
        <f t="shared" si="130"/>
        <v>0</v>
      </c>
      <c r="AF535" s="39">
        <f t="shared" si="131"/>
        <v>0</v>
      </c>
      <c r="AM535" s="39">
        <f t="shared" si="132"/>
        <v>0</v>
      </c>
      <c r="AN535" s="39">
        <f t="shared" si="133"/>
        <v>0</v>
      </c>
      <c r="AO535" s="40" t="s">
        <v>1569</v>
      </c>
      <c r="AP535" s="40" t="s">
        <v>1609</v>
      </c>
      <c r="AQ535" s="31" t="s">
        <v>1613</v>
      </c>
    </row>
    <row r="536" spans="1:37" ht="12.75">
      <c r="A536" s="4"/>
      <c r="B536" s="14" t="s">
        <v>596</v>
      </c>
      <c r="C536" s="14" t="s">
        <v>712</v>
      </c>
      <c r="D536" s="104" t="s">
        <v>1128</v>
      </c>
      <c r="E536" s="105"/>
      <c r="F536" s="105"/>
      <c r="G536" s="105"/>
      <c r="H536" s="42">
        <f>SUM(H537:H560)</f>
        <v>0</v>
      </c>
      <c r="I536" s="42">
        <f>SUM(I537:I560)</f>
        <v>0</v>
      </c>
      <c r="J536" s="42">
        <f>H536+I536</f>
        <v>0</v>
      </c>
      <c r="K536" s="31"/>
      <c r="L536" s="42">
        <f>SUM(L537:L560)</f>
        <v>0.11600999999999999</v>
      </c>
      <c r="M536" s="31"/>
      <c r="P536" s="42">
        <f>IF(Q536="PR",J536,SUM(O537:O560))</f>
        <v>0</v>
      </c>
      <c r="Q536" s="31" t="s">
        <v>1537</v>
      </c>
      <c r="R536" s="42">
        <f>IF(Q536="HS",H536,0)</f>
        <v>0</v>
      </c>
      <c r="S536" s="42">
        <f>IF(Q536="HS",I536-P536,0)</f>
        <v>0</v>
      </c>
      <c r="T536" s="42">
        <f>IF(Q536="PS",H536,0)</f>
        <v>0</v>
      </c>
      <c r="U536" s="42">
        <f>IF(Q536="PS",I536-P536,0)</f>
        <v>0</v>
      </c>
      <c r="V536" s="42">
        <f>IF(Q536="MP",H536,0)</f>
        <v>0</v>
      </c>
      <c r="W536" s="42">
        <f>IF(Q536="MP",I536-P536,0)</f>
        <v>0</v>
      </c>
      <c r="X536" s="42">
        <f>IF(Q536="OM",H536,0)</f>
        <v>0</v>
      </c>
      <c r="Y536" s="31" t="s">
        <v>596</v>
      </c>
      <c r="AI536" s="42">
        <f>SUM(Z537:Z560)</f>
        <v>0</v>
      </c>
      <c r="AJ536" s="42">
        <f>SUM(AA537:AA560)</f>
        <v>0</v>
      </c>
      <c r="AK536" s="42">
        <f>SUM(AB537:AB560)</f>
        <v>0</v>
      </c>
    </row>
    <row r="537" spans="1:43" ht="12.75">
      <c r="A537" s="5" t="s">
        <v>311</v>
      </c>
      <c r="B537" s="5" t="s">
        <v>596</v>
      </c>
      <c r="C537" s="5" t="s">
        <v>730</v>
      </c>
      <c r="D537" s="5" t="s">
        <v>1148</v>
      </c>
      <c r="E537" s="5" t="s">
        <v>1504</v>
      </c>
      <c r="F537" s="22">
        <v>3</v>
      </c>
      <c r="G537" s="22">
        <v>0</v>
      </c>
      <c r="H537" s="22">
        <f aca="true" t="shared" si="134" ref="H537:H542">F537*AE537</f>
        <v>0</v>
      </c>
      <c r="I537" s="22">
        <f aca="true" t="shared" si="135" ref="I537:I542">J537-H537</f>
        <v>0</v>
      </c>
      <c r="J537" s="22">
        <f aca="true" t="shared" si="136" ref="J537:J542">F537*G537</f>
        <v>0</v>
      </c>
      <c r="K537" s="22">
        <v>0.00194</v>
      </c>
      <c r="L537" s="22">
        <f aca="true" t="shared" si="137" ref="L537:L542">F537*K537</f>
        <v>0.0058200000000000005</v>
      </c>
      <c r="M537" s="35" t="s">
        <v>1531</v>
      </c>
      <c r="N537" s="35" t="s">
        <v>7</v>
      </c>
      <c r="O537" s="22">
        <f aca="true" t="shared" si="138" ref="O537:O542">IF(N537="5",I537,0)</f>
        <v>0</v>
      </c>
      <c r="Z537" s="22">
        <f aca="true" t="shared" si="139" ref="Z537:Z542">IF(AD537=0,J537,0)</f>
        <v>0</v>
      </c>
      <c r="AA537" s="22">
        <f aca="true" t="shared" si="140" ref="AA537:AA542">IF(AD537=15,J537,0)</f>
        <v>0</v>
      </c>
      <c r="AB537" s="22">
        <f aca="true" t="shared" si="141" ref="AB537:AB542">IF(AD537=21,J537,0)</f>
        <v>0</v>
      </c>
      <c r="AD537" s="39">
        <v>15</v>
      </c>
      <c r="AE537" s="39">
        <f>G537*0.490293542074364</f>
        <v>0</v>
      </c>
      <c r="AF537" s="39">
        <f>G537*(1-0.490293542074364)</f>
        <v>0</v>
      </c>
      <c r="AM537" s="39">
        <f aca="true" t="shared" si="142" ref="AM537:AM542">F537*AE537</f>
        <v>0</v>
      </c>
      <c r="AN537" s="39">
        <f aca="true" t="shared" si="143" ref="AN537:AN542">F537*AF537</f>
        <v>0</v>
      </c>
      <c r="AO537" s="40" t="s">
        <v>1570</v>
      </c>
      <c r="AP537" s="40" t="s">
        <v>1609</v>
      </c>
      <c r="AQ537" s="31" t="s">
        <v>1613</v>
      </c>
    </row>
    <row r="538" spans="1:43" ht="12.75">
      <c r="A538" s="6" t="s">
        <v>312</v>
      </c>
      <c r="B538" s="6" t="s">
        <v>596</v>
      </c>
      <c r="C538" s="6" t="s">
        <v>731</v>
      </c>
      <c r="D538" s="6" t="s">
        <v>1149</v>
      </c>
      <c r="E538" s="6" t="s">
        <v>1504</v>
      </c>
      <c r="F538" s="24">
        <v>3</v>
      </c>
      <c r="G538" s="24">
        <v>0</v>
      </c>
      <c r="H538" s="24">
        <f t="shared" si="134"/>
        <v>0</v>
      </c>
      <c r="I538" s="24">
        <f t="shared" si="135"/>
        <v>0</v>
      </c>
      <c r="J538" s="24">
        <f t="shared" si="136"/>
        <v>0</v>
      </c>
      <c r="K538" s="24">
        <v>0.00053</v>
      </c>
      <c r="L538" s="24">
        <f t="shared" si="137"/>
        <v>0.0015899999999999998</v>
      </c>
      <c r="M538" s="36" t="s">
        <v>1531</v>
      </c>
      <c r="N538" s="36" t="s">
        <v>1533</v>
      </c>
      <c r="O538" s="24">
        <f t="shared" si="138"/>
        <v>0</v>
      </c>
      <c r="Z538" s="24">
        <f t="shared" si="139"/>
        <v>0</v>
      </c>
      <c r="AA538" s="24">
        <f t="shared" si="140"/>
        <v>0</v>
      </c>
      <c r="AB538" s="24">
        <f t="shared" si="141"/>
        <v>0</v>
      </c>
      <c r="AD538" s="39">
        <v>15</v>
      </c>
      <c r="AE538" s="39">
        <f>G538*1</f>
        <v>0</v>
      </c>
      <c r="AF538" s="39">
        <f>G538*(1-1)</f>
        <v>0</v>
      </c>
      <c r="AM538" s="39">
        <f t="shared" si="142"/>
        <v>0</v>
      </c>
      <c r="AN538" s="39">
        <f t="shared" si="143"/>
        <v>0</v>
      </c>
      <c r="AO538" s="40" t="s">
        <v>1570</v>
      </c>
      <c r="AP538" s="40" t="s">
        <v>1609</v>
      </c>
      <c r="AQ538" s="31" t="s">
        <v>1613</v>
      </c>
    </row>
    <row r="539" spans="1:43" ht="12.75">
      <c r="A539" s="5" t="s">
        <v>313</v>
      </c>
      <c r="B539" s="5" t="s">
        <v>596</v>
      </c>
      <c r="C539" s="5" t="s">
        <v>721</v>
      </c>
      <c r="D539" s="5" t="s">
        <v>1137</v>
      </c>
      <c r="E539" s="5" t="s">
        <v>1504</v>
      </c>
      <c r="F539" s="22">
        <v>6</v>
      </c>
      <c r="G539" s="22">
        <v>0</v>
      </c>
      <c r="H539" s="22">
        <f t="shared" si="134"/>
        <v>0</v>
      </c>
      <c r="I539" s="22">
        <f t="shared" si="135"/>
        <v>0</v>
      </c>
      <c r="J539" s="22">
        <f t="shared" si="136"/>
        <v>0</v>
      </c>
      <c r="K539" s="22">
        <v>0.00028</v>
      </c>
      <c r="L539" s="22">
        <f t="shared" si="137"/>
        <v>0.0016799999999999999</v>
      </c>
      <c r="M539" s="35" t="s">
        <v>1531</v>
      </c>
      <c r="N539" s="35" t="s">
        <v>7</v>
      </c>
      <c r="O539" s="22">
        <f t="shared" si="138"/>
        <v>0</v>
      </c>
      <c r="Z539" s="22">
        <f t="shared" si="139"/>
        <v>0</v>
      </c>
      <c r="AA539" s="22">
        <f t="shared" si="140"/>
        <v>0</v>
      </c>
      <c r="AB539" s="22">
        <f t="shared" si="141"/>
        <v>0</v>
      </c>
      <c r="AD539" s="39">
        <v>15</v>
      </c>
      <c r="AE539" s="39">
        <f>G539*0.809814814814815</f>
        <v>0</v>
      </c>
      <c r="AF539" s="39">
        <f>G539*(1-0.809814814814815)</f>
        <v>0</v>
      </c>
      <c r="AM539" s="39">
        <f t="shared" si="142"/>
        <v>0</v>
      </c>
      <c r="AN539" s="39">
        <f t="shared" si="143"/>
        <v>0</v>
      </c>
      <c r="AO539" s="40" t="s">
        <v>1570</v>
      </c>
      <c r="AP539" s="40" t="s">
        <v>1609</v>
      </c>
      <c r="AQ539" s="31" t="s">
        <v>1613</v>
      </c>
    </row>
    <row r="540" spans="1:43" ht="12.75">
      <c r="A540" s="5" t="s">
        <v>314</v>
      </c>
      <c r="B540" s="5" t="s">
        <v>596</v>
      </c>
      <c r="C540" s="5" t="s">
        <v>722</v>
      </c>
      <c r="D540" s="5" t="s">
        <v>1138</v>
      </c>
      <c r="E540" s="5" t="s">
        <v>1504</v>
      </c>
      <c r="F540" s="22">
        <v>3</v>
      </c>
      <c r="G540" s="22">
        <v>0</v>
      </c>
      <c r="H540" s="22">
        <f t="shared" si="134"/>
        <v>0</v>
      </c>
      <c r="I540" s="22">
        <f t="shared" si="135"/>
        <v>0</v>
      </c>
      <c r="J540" s="22">
        <f t="shared" si="136"/>
        <v>0</v>
      </c>
      <c r="K540" s="22">
        <v>0.00017</v>
      </c>
      <c r="L540" s="22">
        <f t="shared" si="137"/>
        <v>0.00051</v>
      </c>
      <c r="M540" s="35" t="s">
        <v>1531</v>
      </c>
      <c r="N540" s="35" t="s">
        <v>7</v>
      </c>
      <c r="O540" s="22">
        <f t="shared" si="138"/>
        <v>0</v>
      </c>
      <c r="Z540" s="22">
        <f t="shared" si="139"/>
        <v>0</v>
      </c>
      <c r="AA540" s="22">
        <f t="shared" si="140"/>
        <v>0</v>
      </c>
      <c r="AB540" s="22">
        <f t="shared" si="141"/>
        <v>0</v>
      </c>
      <c r="AD540" s="39">
        <v>15</v>
      </c>
      <c r="AE540" s="39">
        <f>G540*1</f>
        <v>0</v>
      </c>
      <c r="AF540" s="39">
        <f>G540*(1-1)</f>
        <v>0</v>
      </c>
      <c r="AM540" s="39">
        <f t="shared" si="142"/>
        <v>0</v>
      </c>
      <c r="AN540" s="39">
        <f t="shared" si="143"/>
        <v>0</v>
      </c>
      <c r="AO540" s="40" t="s">
        <v>1570</v>
      </c>
      <c r="AP540" s="40" t="s">
        <v>1609</v>
      </c>
      <c r="AQ540" s="31" t="s">
        <v>1613</v>
      </c>
    </row>
    <row r="541" spans="1:43" ht="12.75">
      <c r="A541" s="5" t="s">
        <v>315</v>
      </c>
      <c r="B541" s="5" t="s">
        <v>596</v>
      </c>
      <c r="C541" s="5" t="s">
        <v>726</v>
      </c>
      <c r="D541" s="5" t="s">
        <v>1142</v>
      </c>
      <c r="E541" s="5" t="s">
        <v>1504</v>
      </c>
      <c r="F541" s="22">
        <v>3</v>
      </c>
      <c r="G541" s="22">
        <v>0</v>
      </c>
      <c r="H541" s="22">
        <f t="shared" si="134"/>
        <v>0</v>
      </c>
      <c r="I541" s="22">
        <f t="shared" si="135"/>
        <v>0</v>
      </c>
      <c r="J541" s="22">
        <f t="shared" si="136"/>
        <v>0</v>
      </c>
      <c r="K541" s="22">
        <v>0.0035</v>
      </c>
      <c r="L541" s="22">
        <f t="shared" si="137"/>
        <v>0.0105</v>
      </c>
      <c r="M541" s="35" t="s">
        <v>1531</v>
      </c>
      <c r="N541" s="35" t="s">
        <v>7</v>
      </c>
      <c r="O541" s="22">
        <f t="shared" si="138"/>
        <v>0</v>
      </c>
      <c r="Z541" s="22">
        <f t="shared" si="139"/>
        <v>0</v>
      </c>
      <c r="AA541" s="22">
        <f t="shared" si="140"/>
        <v>0</v>
      </c>
      <c r="AB541" s="22">
        <f t="shared" si="141"/>
        <v>0</v>
      </c>
      <c r="AD541" s="39">
        <v>15</v>
      </c>
      <c r="AE541" s="39">
        <f>G541*1</f>
        <v>0</v>
      </c>
      <c r="AF541" s="39">
        <f>G541*(1-1)</f>
        <v>0</v>
      </c>
      <c r="AM541" s="39">
        <f t="shared" si="142"/>
        <v>0</v>
      </c>
      <c r="AN541" s="39">
        <f t="shared" si="143"/>
        <v>0</v>
      </c>
      <c r="AO541" s="40" t="s">
        <v>1570</v>
      </c>
      <c r="AP541" s="40" t="s">
        <v>1609</v>
      </c>
      <c r="AQ541" s="31" t="s">
        <v>1613</v>
      </c>
    </row>
    <row r="542" spans="1:43" ht="12.75">
      <c r="A542" s="5" t="s">
        <v>316</v>
      </c>
      <c r="B542" s="5" t="s">
        <v>596</v>
      </c>
      <c r="C542" s="5" t="s">
        <v>727</v>
      </c>
      <c r="D542" s="5" t="s">
        <v>1143</v>
      </c>
      <c r="E542" s="5" t="s">
        <v>1505</v>
      </c>
      <c r="F542" s="22">
        <v>3</v>
      </c>
      <c r="G542" s="22">
        <v>0</v>
      </c>
      <c r="H542" s="22">
        <f t="shared" si="134"/>
        <v>0</v>
      </c>
      <c r="I542" s="22">
        <f t="shared" si="135"/>
        <v>0</v>
      </c>
      <c r="J542" s="22">
        <f t="shared" si="136"/>
        <v>0</v>
      </c>
      <c r="K542" s="22">
        <v>0</v>
      </c>
      <c r="L542" s="22">
        <f t="shared" si="137"/>
        <v>0</v>
      </c>
      <c r="M542" s="35" t="s">
        <v>1531</v>
      </c>
      <c r="N542" s="35" t="s">
        <v>8</v>
      </c>
      <c r="O542" s="22">
        <f t="shared" si="138"/>
        <v>0</v>
      </c>
      <c r="Z542" s="22">
        <f t="shared" si="139"/>
        <v>0</v>
      </c>
      <c r="AA542" s="22">
        <f t="shared" si="140"/>
        <v>0</v>
      </c>
      <c r="AB542" s="22">
        <f t="shared" si="141"/>
        <v>0</v>
      </c>
      <c r="AD542" s="39">
        <v>15</v>
      </c>
      <c r="AE542" s="39">
        <f>G542*0</f>
        <v>0</v>
      </c>
      <c r="AF542" s="39">
        <f>G542*(1-0)</f>
        <v>0</v>
      </c>
      <c r="AM542" s="39">
        <f t="shared" si="142"/>
        <v>0</v>
      </c>
      <c r="AN542" s="39">
        <f t="shared" si="143"/>
        <v>0</v>
      </c>
      <c r="AO542" s="40" t="s">
        <v>1570</v>
      </c>
      <c r="AP542" s="40" t="s">
        <v>1609</v>
      </c>
      <c r="AQ542" s="31" t="s">
        <v>1613</v>
      </c>
    </row>
    <row r="543" ht="12.75">
      <c r="D543" s="18" t="s">
        <v>1323</v>
      </c>
    </row>
    <row r="544" spans="1:43" ht="12.75">
      <c r="A544" s="5" t="s">
        <v>317</v>
      </c>
      <c r="B544" s="5" t="s">
        <v>596</v>
      </c>
      <c r="C544" s="5" t="s">
        <v>728</v>
      </c>
      <c r="D544" s="5" t="s">
        <v>1145</v>
      </c>
      <c r="E544" s="5" t="s">
        <v>1504</v>
      </c>
      <c r="F544" s="22">
        <v>3</v>
      </c>
      <c r="G544" s="22">
        <v>0</v>
      </c>
      <c r="H544" s="22">
        <f>F544*AE544</f>
        <v>0</v>
      </c>
      <c r="I544" s="22">
        <f>J544-H544</f>
        <v>0</v>
      </c>
      <c r="J544" s="22">
        <f>F544*G544</f>
        <v>0</v>
      </c>
      <c r="K544" s="22">
        <v>0</v>
      </c>
      <c r="L544" s="22">
        <f>F544*K544</f>
        <v>0</v>
      </c>
      <c r="M544" s="35" t="s">
        <v>1531</v>
      </c>
      <c r="N544" s="35" t="s">
        <v>8</v>
      </c>
      <c r="O544" s="22">
        <f>IF(N544="5",I544,0)</f>
        <v>0</v>
      </c>
      <c r="Z544" s="22">
        <f>IF(AD544=0,J544,0)</f>
        <v>0</v>
      </c>
      <c r="AA544" s="22">
        <f>IF(AD544=15,J544,0)</f>
        <v>0</v>
      </c>
      <c r="AB544" s="22">
        <f>IF(AD544=21,J544,0)</f>
        <v>0</v>
      </c>
      <c r="AD544" s="39">
        <v>15</v>
      </c>
      <c r="AE544" s="39">
        <f>G544*0</f>
        <v>0</v>
      </c>
      <c r="AF544" s="39">
        <f>G544*(1-0)</f>
        <v>0</v>
      </c>
      <c r="AM544" s="39">
        <f>F544*AE544</f>
        <v>0</v>
      </c>
      <c r="AN544" s="39">
        <f>F544*AF544</f>
        <v>0</v>
      </c>
      <c r="AO544" s="40" t="s">
        <v>1570</v>
      </c>
      <c r="AP544" s="40" t="s">
        <v>1609</v>
      </c>
      <c r="AQ544" s="31" t="s">
        <v>1613</v>
      </c>
    </row>
    <row r="545" spans="1:43" ht="12.75">
      <c r="A545" s="5" t="s">
        <v>318</v>
      </c>
      <c r="B545" s="5" t="s">
        <v>596</v>
      </c>
      <c r="C545" s="5" t="s">
        <v>729</v>
      </c>
      <c r="D545" s="5" t="s">
        <v>1146</v>
      </c>
      <c r="E545" s="5" t="s">
        <v>1504</v>
      </c>
      <c r="F545" s="22">
        <v>3</v>
      </c>
      <c r="G545" s="22">
        <v>0</v>
      </c>
      <c r="H545" s="22">
        <f>F545*AE545</f>
        <v>0</v>
      </c>
      <c r="I545" s="22">
        <f>J545-H545</f>
        <v>0</v>
      </c>
      <c r="J545" s="22">
        <f>F545*G545</f>
        <v>0</v>
      </c>
      <c r="K545" s="22">
        <v>0.01933</v>
      </c>
      <c r="L545" s="22">
        <f>F545*K545</f>
        <v>0.05799</v>
      </c>
      <c r="M545" s="35" t="s">
        <v>1531</v>
      </c>
      <c r="N545" s="35" t="s">
        <v>9</v>
      </c>
      <c r="O545" s="22">
        <f>IF(N545="5",I545,0)</f>
        <v>0</v>
      </c>
      <c r="Z545" s="22">
        <f>IF(AD545=0,J545,0)</f>
        <v>0</v>
      </c>
      <c r="AA545" s="22">
        <f>IF(AD545=15,J545,0)</f>
        <v>0</v>
      </c>
      <c r="AB545" s="22">
        <f>IF(AD545=21,J545,0)</f>
        <v>0</v>
      </c>
      <c r="AD545" s="39">
        <v>15</v>
      </c>
      <c r="AE545" s="39">
        <f>G545*0</f>
        <v>0</v>
      </c>
      <c r="AF545" s="39">
        <f>G545*(1-0)</f>
        <v>0</v>
      </c>
      <c r="AM545" s="39">
        <f>F545*AE545</f>
        <v>0</v>
      </c>
      <c r="AN545" s="39">
        <f>F545*AF545</f>
        <v>0</v>
      </c>
      <c r="AO545" s="40" t="s">
        <v>1570</v>
      </c>
      <c r="AP545" s="40" t="s">
        <v>1609</v>
      </c>
      <c r="AQ545" s="31" t="s">
        <v>1613</v>
      </c>
    </row>
    <row r="546" ht="12.75">
      <c r="D546" s="18" t="s">
        <v>1324</v>
      </c>
    </row>
    <row r="547" spans="1:43" ht="12.75">
      <c r="A547" s="6" t="s">
        <v>319</v>
      </c>
      <c r="B547" s="6" t="s">
        <v>596</v>
      </c>
      <c r="C547" s="6" t="s">
        <v>713</v>
      </c>
      <c r="D547" s="6" t="s">
        <v>1129</v>
      </c>
      <c r="E547" s="6" t="s">
        <v>1504</v>
      </c>
      <c r="F547" s="24">
        <v>6</v>
      </c>
      <c r="G547" s="24">
        <v>0</v>
      </c>
      <c r="H547" s="24">
        <f aca="true" t="shared" si="144" ref="H547:H560">F547*AE547</f>
        <v>0</v>
      </c>
      <c r="I547" s="24">
        <f aca="true" t="shared" si="145" ref="I547:I560">J547-H547</f>
        <v>0</v>
      </c>
      <c r="J547" s="24">
        <f aca="true" t="shared" si="146" ref="J547:J560">F547*G547</f>
        <v>0</v>
      </c>
      <c r="K547" s="24">
        <v>0.00023</v>
      </c>
      <c r="L547" s="24">
        <f aca="true" t="shared" si="147" ref="L547:L560">F547*K547</f>
        <v>0.0013800000000000002</v>
      </c>
      <c r="M547" s="36" t="s">
        <v>1531</v>
      </c>
      <c r="N547" s="36" t="s">
        <v>1533</v>
      </c>
      <c r="O547" s="24">
        <f aca="true" t="shared" si="148" ref="O547:O560">IF(N547="5",I547,0)</f>
        <v>0</v>
      </c>
      <c r="Z547" s="24">
        <f aca="true" t="shared" si="149" ref="Z547:Z560">IF(AD547=0,J547,0)</f>
        <v>0</v>
      </c>
      <c r="AA547" s="24">
        <f aca="true" t="shared" si="150" ref="AA547:AA560">IF(AD547=15,J547,0)</f>
        <v>0</v>
      </c>
      <c r="AB547" s="24">
        <f aca="true" t="shared" si="151" ref="AB547:AB560">IF(AD547=21,J547,0)</f>
        <v>0</v>
      </c>
      <c r="AD547" s="39">
        <v>15</v>
      </c>
      <c r="AE547" s="39">
        <f aca="true" t="shared" si="152" ref="AE547:AE560">G547*1</f>
        <v>0</v>
      </c>
      <c r="AF547" s="39">
        <f aca="true" t="shared" si="153" ref="AF547:AF560">G547*(1-1)</f>
        <v>0</v>
      </c>
      <c r="AM547" s="39">
        <f aca="true" t="shared" si="154" ref="AM547:AM560">F547*AE547</f>
        <v>0</v>
      </c>
      <c r="AN547" s="39">
        <f aca="true" t="shared" si="155" ref="AN547:AN560">F547*AF547</f>
        <v>0</v>
      </c>
      <c r="AO547" s="40" t="s">
        <v>1570</v>
      </c>
      <c r="AP547" s="40" t="s">
        <v>1609</v>
      </c>
      <c r="AQ547" s="31" t="s">
        <v>1613</v>
      </c>
    </row>
    <row r="548" spans="1:43" ht="12.75">
      <c r="A548" s="6" t="s">
        <v>320</v>
      </c>
      <c r="B548" s="6" t="s">
        <v>596</v>
      </c>
      <c r="C548" s="6" t="s">
        <v>714</v>
      </c>
      <c r="D548" s="6" t="s">
        <v>1130</v>
      </c>
      <c r="E548" s="6" t="s">
        <v>1504</v>
      </c>
      <c r="F548" s="24">
        <v>3</v>
      </c>
      <c r="G548" s="24">
        <v>0</v>
      </c>
      <c r="H548" s="24">
        <f t="shared" si="144"/>
        <v>0</v>
      </c>
      <c r="I548" s="24">
        <f t="shared" si="145"/>
        <v>0</v>
      </c>
      <c r="J548" s="24">
        <f t="shared" si="146"/>
        <v>0</v>
      </c>
      <c r="K548" s="24">
        <v>0.00013</v>
      </c>
      <c r="L548" s="24">
        <f t="shared" si="147"/>
        <v>0.00038999999999999994</v>
      </c>
      <c r="M548" s="36" t="s">
        <v>1531</v>
      </c>
      <c r="N548" s="36" t="s">
        <v>1533</v>
      </c>
      <c r="O548" s="24">
        <f t="shared" si="148"/>
        <v>0</v>
      </c>
      <c r="Z548" s="24">
        <f t="shared" si="149"/>
        <v>0</v>
      </c>
      <c r="AA548" s="24">
        <f t="shared" si="150"/>
        <v>0</v>
      </c>
      <c r="AB548" s="24">
        <f t="shared" si="151"/>
        <v>0</v>
      </c>
      <c r="AD548" s="39">
        <v>15</v>
      </c>
      <c r="AE548" s="39">
        <f t="shared" si="152"/>
        <v>0</v>
      </c>
      <c r="AF548" s="39">
        <f t="shared" si="153"/>
        <v>0</v>
      </c>
      <c r="AM548" s="39">
        <f t="shared" si="154"/>
        <v>0</v>
      </c>
      <c r="AN548" s="39">
        <f t="shared" si="155"/>
        <v>0</v>
      </c>
      <c r="AO548" s="40" t="s">
        <v>1570</v>
      </c>
      <c r="AP548" s="40" t="s">
        <v>1609</v>
      </c>
      <c r="AQ548" s="31" t="s">
        <v>1613</v>
      </c>
    </row>
    <row r="549" spans="1:43" ht="12.75">
      <c r="A549" s="6" t="s">
        <v>321</v>
      </c>
      <c r="B549" s="6" t="s">
        <v>596</v>
      </c>
      <c r="C549" s="6" t="s">
        <v>715</v>
      </c>
      <c r="D549" s="6" t="s">
        <v>1131</v>
      </c>
      <c r="E549" s="6" t="s">
        <v>1505</v>
      </c>
      <c r="F549" s="24">
        <v>42</v>
      </c>
      <c r="G549" s="24">
        <v>0</v>
      </c>
      <c r="H549" s="24">
        <f t="shared" si="144"/>
        <v>0</v>
      </c>
      <c r="I549" s="24">
        <f t="shared" si="145"/>
        <v>0</v>
      </c>
      <c r="J549" s="24">
        <f t="shared" si="146"/>
        <v>0</v>
      </c>
      <c r="K549" s="24">
        <v>0.00015</v>
      </c>
      <c r="L549" s="24">
        <f t="shared" si="147"/>
        <v>0.006299999999999999</v>
      </c>
      <c r="M549" s="36" t="s">
        <v>1531</v>
      </c>
      <c r="N549" s="36" t="s">
        <v>1533</v>
      </c>
      <c r="O549" s="24">
        <f t="shared" si="148"/>
        <v>0</v>
      </c>
      <c r="Z549" s="24">
        <f t="shared" si="149"/>
        <v>0</v>
      </c>
      <c r="AA549" s="24">
        <f t="shared" si="150"/>
        <v>0</v>
      </c>
      <c r="AB549" s="24">
        <f t="shared" si="151"/>
        <v>0</v>
      </c>
      <c r="AD549" s="39">
        <v>15</v>
      </c>
      <c r="AE549" s="39">
        <f t="shared" si="152"/>
        <v>0</v>
      </c>
      <c r="AF549" s="39">
        <f t="shared" si="153"/>
        <v>0</v>
      </c>
      <c r="AM549" s="39">
        <f t="shared" si="154"/>
        <v>0</v>
      </c>
      <c r="AN549" s="39">
        <f t="shared" si="155"/>
        <v>0</v>
      </c>
      <c r="AO549" s="40" t="s">
        <v>1570</v>
      </c>
      <c r="AP549" s="40" t="s">
        <v>1609</v>
      </c>
      <c r="AQ549" s="31" t="s">
        <v>1613</v>
      </c>
    </row>
    <row r="550" spans="1:43" ht="12.75">
      <c r="A550" s="6" t="s">
        <v>322</v>
      </c>
      <c r="B550" s="6" t="s">
        <v>596</v>
      </c>
      <c r="C550" s="6" t="s">
        <v>715</v>
      </c>
      <c r="D550" s="6" t="s">
        <v>1325</v>
      </c>
      <c r="E550" s="6" t="s">
        <v>1505</v>
      </c>
      <c r="F550" s="24">
        <v>36</v>
      </c>
      <c r="G550" s="24">
        <v>0</v>
      </c>
      <c r="H550" s="24">
        <f t="shared" si="144"/>
        <v>0</v>
      </c>
      <c r="I550" s="24">
        <f t="shared" si="145"/>
        <v>0</v>
      </c>
      <c r="J550" s="24">
        <f t="shared" si="146"/>
        <v>0</v>
      </c>
      <c r="K550" s="24">
        <v>0.00015</v>
      </c>
      <c r="L550" s="24">
        <f t="shared" si="147"/>
        <v>0.005399999999999999</v>
      </c>
      <c r="M550" s="36" t="s">
        <v>1531</v>
      </c>
      <c r="N550" s="36" t="s">
        <v>1533</v>
      </c>
      <c r="O550" s="24">
        <f t="shared" si="148"/>
        <v>0</v>
      </c>
      <c r="Z550" s="24">
        <f t="shared" si="149"/>
        <v>0</v>
      </c>
      <c r="AA550" s="24">
        <f t="shared" si="150"/>
        <v>0</v>
      </c>
      <c r="AB550" s="24">
        <f t="shared" si="151"/>
        <v>0</v>
      </c>
      <c r="AD550" s="39">
        <v>15</v>
      </c>
      <c r="AE550" s="39">
        <f t="shared" si="152"/>
        <v>0</v>
      </c>
      <c r="AF550" s="39">
        <f t="shared" si="153"/>
        <v>0</v>
      </c>
      <c r="AM550" s="39">
        <f t="shared" si="154"/>
        <v>0</v>
      </c>
      <c r="AN550" s="39">
        <f t="shared" si="155"/>
        <v>0</v>
      </c>
      <c r="AO550" s="40" t="s">
        <v>1570</v>
      </c>
      <c r="AP550" s="40" t="s">
        <v>1609</v>
      </c>
      <c r="AQ550" s="31" t="s">
        <v>1613</v>
      </c>
    </row>
    <row r="551" spans="1:43" ht="12.75">
      <c r="A551" s="6" t="s">
        <v>323</v>
      </c>
      <c r="B551" s="6" t="s">
        <v>596</v>
      </c>
      <c r="C551" s="6" t="s">
        <v>716</v>
      </c>
      <c r="D551" s="6" t="s">
        <v>1326</v>
      </c>
      <c r="E551" s="6" t="s">
        <v>1505</v>
      </c>
      <c r="F551" s="24">
        <v>52</v>
      </c>
      <c r="G551" s="24">
        <v>0</v>
      </c>
      <c r="H551" s="24">
        <f t="shared" si="144"/>
        <v>0</v>
      </c>
      <c r="I551" s="24">
        <f t="shared" si="145"/>
        <v>0</v>
      </c>
      <c r="J551" s="24">
        <f t="shared" si="146"/>
        <v>0</v>
      </c>
      <c r="K551" s="24">
        <v>0.00029</v>
      </c>
      <c r="L551" s="24">
        <f t="shared" si="147"/>
        <v>0.01508</v>
      </c>
      <c r="M551" s="36" t="s">
        <v>1531</v>
      </c>
      <c r="N551" s="36" t="s">
        <v>1533</v>
      </c>
      <c r="O551" s="24">
        <f t="shared" si="148"/>
        <v>0</v>
      </c>
      <c r="Z551" s="24">
        <f t="shared" si="149"/>
        <v>0</v>
      </c>
      <c r="AA551" s="24">
        <f t="shared" si="150"/>
        <v>0</v>
      </c>
      <c r="AB551" s="24">
        <f t="shared" si="151"/>
        <v>0</v>
      </c>
      <c r="AD551" s="39">
        <v>15</v>
      </c>
      <c r="AE551" s="39">
        <f t="shared" si="152"/>
        <v>0</v>
      </c>
      <c r="AF551" s="39">
        <f t="shared" si="153"/>
        <v>0</v>
      </c>
      <c r="AM551" s="39">
        <f t="shared" si="154"/>
        <v>0</v>
      </c>
      <c r="AN551" s="39">
        <f t="shared" si="155"/>
        <v>0</v>
      </c>
      <c r="AO551" s="40" t="s">
        <v>1570</v>
      </c>
      <c r="AP551" s="40" t="s">
        <v>1609</v>
      </c>
      <c r="AQ551" s="31" t="s">
        <v>1613</v>
      </c>
    </row>
    <row r="552" spans="1:43" ht="12.75">
      <c r="A552" s="6" t="s">
        <v>324</v>
      </c>
      <c r="B552" s="6" t="s">
        <v>596</v>
      </c>
      <c r="C552" s="6" t="s">
        <v>717</v>
      </c>
      <c r="D552" s="6" t="s">
        <v>1133</v>
      </c>
      <c r="E552" s="6" t="s">
        <v>1505</v>
      </c>
      <c r="F552" s="24">
        <v>78</v>
      </c>
      <c r="G552" s="24">
        <v>0</v>
      </c>
      <c r="H552" s="24">
        <f t="shared" si="144"/>
        <v>0</v>
      </c>
      <c r="I552" s="24">
        <f t="shared" si="145"/>
        <v>0</v>
      </c>
      <c r="J552" s="24">
        <f t="shared" si="146"/>
        <v>0</v>
      </c>
      <c r="K552" s="24">
        <v>3E-05</v>
      </c>
      <c r="L552" s="24">
        <f t="shared" si="147"/>
        <v>0.00234</v>
      </c>
      <c r="M552" s="36" t="s">
        <v>1531</v>
      </c>
      <c r="N552" s="36" t="s">
        <v>1533</v>
      </c>
      <c r="O552" s="24">
        <f t="shared" si="148"/>
        <v>0</v>
      </c>
      <c r="Z552" s="24">
        <f t="shared" si="149"/>
        <v>0</v>
      </c>
      <c r="AA552" s="24">
        <f t="shared" si="150"/>
        <v>0</v>
      </c>
      <c r="AB552" s="24">
        <f t="shared" si="151"/>
        <v>0</v>
      </c>
      <c r="AD552" s="39">
        <v>15</v>
      </c>
      <c r="AE552" s="39">
        <f t="shared" si="152"/>
        <v>0</v>
      </c>
      <c r="AF552" s="39">
        <f t="shared" si="153"/>
        <v>0</v>
      </c>
      <c r="AM552" s="39">
        <f t="shared" si="154"/>
        <v>0</v>
      </c>
      <c r="AN552" s="39">
        <f t="shared" si="155"/>
        <v>0</v>
      </c>
      <c r="AO552" s="40" t="s">
        <v>1570</v>
      </c>
      <c r="AP552" s="40" t="s">
        <v>1609</v>
      </c>
      <c r="AQ552" s="31" t="s">
        <v>1613</v>
      </c>
    </row>
    <row r="553" spans="1:43" ht="12.75">
      <c r="A553" s="6" t="s">
        <v>325</v>
      </c>
      <c r="B553" s="6" t="s">
        <v>596</v>
      </c>
      <c r="C553" s="6" t="s">
        <v>718</v>
      </c>
      <c r="D553" s="6" t="s">
        <v>1134</v>
      </c>
      <c r="E553" s="6" t="s">
        <v>1505</v>
      </c>
      <c r="F553" s="24">
        <v>52</v>
      </c>
      <c r="G553" s="24">
        <v>0</v>
      </c>
      <c r="H553" s="24">
        <f t="shared" si="144"/>
        <v>0</v>
      </c>
      <c r="I553" s="24">
        <f t="shared" si="145"/>
        <v>0</v>
      </c>
      <c r="J553" s="24">
        <f t="shared" si="146"/>
        <v>0</v>
      </c>
      <c r="K553" s="24">
        <v>4E-05</v>
      </c>
      <c r="L553" s="24">
        <f t="shared" si="147"/>
        <v>0.0020800000000000003</v>
      </c>
      <c r="M553" s="36" t="s">
        <v>1531</v>
      </c>
      <c r="N553" s="36" t="s">
        <v>1533</v>
      </c>
      <c r="O553" s="24">
        <f t="shared" si="148"/>
        <v>0</v>
      </c>
      <c r="Z553" s="24">
        <f t="shared" si="149"/>
        <v>0</v>
      </c>
      <c r="AA553" s="24">
        <f t="shared" si="150"/>
        <v>0</v>
      </c>
      <c r="AB553" s="24">
        <f t="shared" si="151"/>
        <v>0</v>
      </c>
      <c r="AD553" s="39">
        <v>15</v>
      </c>
      <c r="AE553" s="39">
        <f t="shared" si="152"/>
        <v>0</v>
      </c>
      <c r="AF553" s="39">
        <f t="shared" si="153"/>
        <v>0</v>
      </c>
      <c r="AM553" s="39">
        <f t="shared" si="154"/>
        <v>0</v>
      </c>
      <c r="AN553" s="39">
        <f t="shared" si="155"/>
        <v>0</v>
      </c>
      <c r="AO553" s="40" t="s">
        <v>1570</v>
      </c>
      <c r="AP553" s="40" t="s">
        <v>1609</v>
      </c>
      <c r="AQ553" s="31" t="s">
        <v>1613</v>
      </c>
    </row>
    <row r="554" spans="1:43" ht="12.75">
      <c r="A554" s="6" t="s">
        <v>326</v>
      </c>
      <c r="B554" s="6" t="s">
        <v>596</v>
      </c>
      <c r="C554" s="6" t="s">
        <v>719</v>
      </c>
      <c r="D554" s="6" t="s">
        <v>1135</v>
      </c>
      <c r="E554" s="6" t="s">
        <v>1504</v>
      </c>
      <c r="F554" s="24">
        <v>3</v>
      </c>
      <c r="G554" s="24">
        <v>0</v>
      </c>
      <c r="H554" s="24">
        <f t="shared" si="144"/>
        <v>0</v>
      </c>
      <c r="I554" s="24">
        <f t="shared" si="145"/>
        <v>0</v>
      </c>
      <c r="J554" s="24">
        <f t="shared" si="146"/>
        <v>0</v>
      </c>
      <c r="K554" s="24">
        <v>1E-05</v>
      </c>
      <c r="L554" s="24">
        <f t="shared" si="147"/>
        <v>3.0000000000000004E-05</v>
      </c>
      <c r="M554" s="36" t="s">
        <v>1531</v>
      </c>
      <c r="N554" s="36" t="s">
        <v>1533</v>
      </c>
      <c r="O554" s="24">
        <f t="shared" si="148"/>
        <v>0</v>
      </c>
      <c r="Z554" s="24">
        <f t="shared" si="149"/>
        <v>0</v>
      </c>
      <c r="AA554" s="24">
        <f t="shared" si="150"/>
        <v>0</v>
      </c>
      <c r="AB554" s="24">
        <f t="shared" si="151"/>
        <v>0</v>
      </c>
      <c r="AD554" s="39">
        <v>15</v>
      </c>
      <c r="AE554" s="39">
        <f t="shared" si="152"/>
        <v>0</v>
      </c>
      <c r="AF554" s="39">
        <f t="shared" si="153"/>
        <v>0</v>
      </c>
      <c r="AM554" s="39">
        <f t="shared" si="154"/>
        <v>0</v>
      </c>
      <c r="AN554" s="39">
        <f t="shared" si="155"/>
        <v>0</v>
      </c>
      <c r="AO554" s="40" t="s">
        <v>1570</v>
      </c>
      <c r="AP554" s="40" t="s">
        <v>1609</v>
      </c>
      <c r="AQ554" s="31" t="s">
        <v>1613</v>
      </c>
    </row>
    <row r="555" spans="1:43" ht="12.75">
      <c r="A555" s="6" t="s">
        <v>327</v>
      </c>
      <c r="B555" s="6" t="s">
        <v>596</v>
      </c>
      <c r="C555" s="6" t="s">
        <v>720</v>
      </c>
      <c r="D555" s="6" t="s">
        <v>1136</v>
      </c>
      <c r="E555" s="6" t="s">
        <v>1504</v>
      </c>
      <c r="F555" s="24">
        <v>3</v>
      </c>
      <c r="G555" s="24">
        <v>0</v>
      </c>
      <c r="H555" s="24">
        <f t="shared" si="144"/>
        <v>0</v>
      </c>
      <c r="I555" s="24">
        <f t="shared" si="145"/>
        <v>0</v>
      </c>
      <c r="J555" s="24">
        <f t="shared" si="146"/>
        <v>0</v>
      </c>
      <c r="K555" s="24">
        <v>0.0004</v>
      </c>
      <c r="L555" s="24">
        <f t="shared" si="147"/>
        <v>0.0012000000000000001</v>
      </c>
      <c r="M555" s="36" t="s">
        <v>1531</v>
      </c>
      <c r="N555" s="36" t="s">
        <v>1533</v>
      </c>
      <c r="O555" s="24">
        <f t="shared" si="148"/>
        <v>0</v>
      </c>
      <c r="Z555" s="24">
        <f t="shared" si="149"/>
        <v>0</v>
      </c>
      <c r="AA555" s="24">
        <f t="shared" si="150"/>
        <v>0</v>
      </c>
      <c r="AB555" s="24">
        <f t="shared" si="151"/>
        <v>0</v>
      </c>
      <c r="AD555" s="39">
        <v>15</v>
      </c>
      <c r="AE555" s="39">
        <f t="shared" si="152"/>
        <v>0</v>
      </c>
      <c r="AF555" s="39">
        <f t="shared" si="153"/>
        <v>0</v>
      </c>
      <c r="AM555" s="39">
        <f t="shared" si="154"/>
        <v>0</v>
      </c>
      <c r="AN555" s="39">
        <f t="shared" si="155"/>
        <v>0</v>
      </c>
      <c r="AO555" s="40" t="s">
        <v>1570</v>
      </c>
      <c r="AP555" s="40" t="s">
        <v>1609</v>
      </c>
      <c r="AQ555" s="31" t="s">
        <v>1613</v>
      </c>
    </row>
    <row r="556" spans="1:43" ht="12.75">
      <c r="A556" s="6" t="s">
        <v>328</v>
      </c>
      <c r="B556" s="6" t="s">
        <v>596</v>
      </c>
      <c r="C556" s="6" t="s">
        <v>713</v>
      </c>
      <c r="D556" s="6" t="s">
        <v>1129</v>
      </c>
      <c r="E556" s="6" t="s">
        <v>1504</v>
      </c>
      <c r="F556" s="24">
        <v>3</v>
      </c>
      <c r="G556" s="24">
        <v>0</v>
      </c>
      <c r="H556" s="24">
        <f t="shared" si="144"/>
        <v>0</v>
      </c>
      <c r="I556" s="24">
        <f t="shared" si="145"/>
        <v>0</v>
      </c>
      <c r="J556" s="24">
        <f t="shared" si="146"/>
        <v>0</v>
      </c>
      <c r="K556" s="24">
        <v>0.00023</v>
      </c>
      <c r="L556" s="24">
        <f t="shared" si="147"/>
        <v>0.0006900000000000001</v>
      </c>
      <c r="M556" s="36" t="s">
        <v>1531</v>
      </c>
      <c r="N556" s="36" t="s">
        <v>1533</v>
      </c>
      <c r="O556" s="24">
        <f t="shared" si="148"/>
        <v>0</v>
      </c>
      <c r="Z556" s="24">
        <f t="shared" si="149"/>
        <v>0</v>
      </c>
      <c r="AA556" s="24">
        <f t="shared" si="150"/>
        <v>0</v>
      </c>
      <c r="AB556" s="24">
        <f t="shared" si="151"/>
        <v>0</v>
      </c>
      <c r="AD556" s="39">
        <v>15</v>
      </c>
      <c r="AE556" s="39">
        <f t="shared" si="152"/>
        <v>0</v>
      </c>
      <c r="AF556" s="39">
        <f t="shared" si="153"/>
        <v>0</v>
      </c>
      <c r="AM556" s="39">
        <f t="shared" si="154"/>
        <v>0</v>
      </c>
      <c r="AN556" s="39">
        <f t="shared" si="155"/>
        <v>0</v>
      </c>
      <c r="AO556" s="40" t="s">
        <v>1570</v>
      </c>
      <c r="AP556" s="40" t="s">
        <v>1609</v>
      </c>
      <c r="AQ556" s="31" t="s">
        <v>1613</v>
      </c>
    </row>
    <row r="557" spans="1:43" ht="12.75">
      <c r="A557" s="6" t="s">
        <v>329</v>
      </c>
      <c r="B557" s="6" t="s">
        <v>596</v>
      </c>
      <c r="C557" s="6" t="s">
        <v>713</v>
      </c>
      <c r="D557" s="6" t="s">
        <v>1129</v>
      </c>
      <c r="E557" s="6" t="s">
        <v>1504</v>
      </c>
      <c r="F557" s="24">
        <v>3</v>
      </c>
      <c r="G557" s="24">
        <v>0</v>
      </c>
      <c r="H557" s="24">
        <f t="shared" si="144"/>
        <v>0</v>
      </c>
      <c r="I557" s="24">
        <f t="shared" si="145"/>
        <v>0</v>
      </c>
      <c r="J557" s="24">
        <f t="shared" si="146"/>
        <v>0</v>
      </c>
      <c r="K557" s="24">
        <v>0.00023</v>
      </c>
      <c r="L557" s="24">
        <f t="shared" si="147"/>
        <v>0.0006900000000000001</v>
      </c>
      <c r="M557" s="36" t="s">
        <v>1531</v>
      </c>
      <c r="N557" s="36" t="s">
        <v>1533</v>
      </c>
      <c r="O557" s="24">
        <f t="shared" si="148"/>
        <v>0</v>
      </c>
      <c r="Z557" s="24">
        <f t="shared" si="149"/>
        <v>0</v>
      </c>
      <c r="AA557" s="24">
        <f t="shared" si="150"/>
        <v>0</v>
      </c>
      <c r="AB557" s="24">
        <f t="shared" si="151"/>
        <v>0</v>
      </c>
      <c r="AD557" s="39">
        <v>15</v>
      </c>
      <c r="AE557" s="39">
        <f t="shared" si="152"/>
        <v>0</v>
      </c>
      <c r="AF557" s="39">
        <f t="shared" si="153"/>
        <v>0</v>
      </c>
      <c r="AM557" s="39">
        <f t="shared" si="154"/>
        <v>0</v>
      </c>
      <c r="AN557" s="39">
        <f t="shared" si="155"/>
        <v>0</v>
      </c>
      <c r="AO557" s="40" t="s">
        <v>1570</v>
      </c>
      <c r="AP557" s="40" t="s">
        <v>1609</v>
      </c>
      <c r="AQ557" s="31" t="s">
        <v>1613</v>
      </c>
    </row>
    <row r="558" spans="1:43" ht="12.75">
      <c r="A558" s="6" t="s">
        <v>330</v>
      </c>
      <c r="B558" s="6" t="s">
        <v>596</v>
      </c>
      <c r="C558" s="6" t="s">
        <v>723</v>
      </c>
      <c r="D558" s="6" t="s">
        <v>1139</v>
      </c>
      <c r="E558" s="6" t="s">
        <v>1504</v>
      </c>
      <c r="F558" s="24">
        <v>3</v>
      </c>
      <c r="G558" s="24">
        <v>0</v>
      </c>
      <c r="H558" s="24">
        <f t="shared" si="144"/>
        <v>0</v>
      </c>
      <c r="I558" s="24">
        <f t="shared" si="145"/>
        <v>0</v>
      </c>
      <c r="J558" s="24">
        <f t="shared" si="146"/>
        <v>0</v>
      </c>
      <c r="K558" s="24">
        <v>0.00017</v>
      </c>
      <c r="L558" s="24">
        <f t="shared" si="147"/>
        <v>0.00051</v>
      </c>
      <c r="M558" s="36" t="s">
        <v>1531</v>
      </c>
      <c r="N558" s="36" t="s">
        <v>1533</v>
      </c>
      <c r="O558" s="24">
        <f t="shared" si="148"/>
        <v>0</v>
      </c>
      <c r="Z558" s="24">
        <f t="shared" si="149"/>
        <v>0</v>
      </c>
      <c r="AA558" s="24">
        <f t="shared" si="150"/>
        <v>0</v>
      </c>
      <c r="AB558" s="24">
        <f t="shared" si="151"/>
        <v>0</v>
      </c>
      <c r="AD558" s="39">
        <v>15</v>
      </c>
      <c r="AE558" s="39">
        <f t="shared" si="152"/>
        <v>0</v>
      </c>
      <c r="AF558" s="39">
        <f t="shared" si="153"/>
        <v>0</v>
      </c>
      <c r="AM558" s="39">
        <f t="shared" si="154"/>
        <v>0</v>
      </c>
      <c r="AN558" s="39">
        <f t="shared" si="155"/>
        <v>0</v>
      </c>
      <c r="AO558" s="40" t="s">
        <v>1570</v>
      </c>
      <c r="AP558" s="40" t="s">
        <v>1609</v>
      </c>
      <c r="AQ558" s="31" t="s">
        <v>1613</v>
      </c>
    </row>
    <row r="559" spans="1:43" ht="12.75">
      <c r="A559" s="6" t="s">
        <v>331</v>
      </c>
      <c r="B559" s="6" t="s">
        <v>596</v>
      </c>
      <c r="C559" s="6" t="s">
        <v>724</v>
      </c>
      <c r="D559" s="6" t="s">
        <v>1140</v>
      </c>
      <c r="E559" s="6" t="s">
        <v>1504</v>
      </c>
      <c r="F559" s="24">
        <v>3</v>
      </c>
      <c r="G559" s="24">
        <v>0</v>
      </c>
      <c r="H559" s="24">
        <f t="shared" si="144"/>
        <v>0</v>
      </c>
      <c r="I559" s="24">
        <f t="shared" si="145"/>
        <v>0</v>
      </c>
      <c r="J559" s="24">
        <f t="shared" si="146"/>
        <v>0</v>
      </c>
      <c r="K559" s="24">
        <v>0.00039</v>
      </c>
      <c r="L559" s="24">
        <f t="shared" si="147"/>
        <v>0.00117</v>
      </c>
      <c r="M559" s="36" t="s">
        <v>1531</v>
      </c>
      <c r="N559" s="36" t="s">
        <v>1533</v>
      </c>
      <c r="O559" s="24">
        <f t="shared" si="148"/>
        <v>0</v>
      </c>
      <c r="Z559" s="24">
        <f t="shared" si="149"/>
        <v>0</v>
      </c>
      <c r="AA559" s="24">
        <f t="shared" si="150"/>
        <v>0</v>
      </c>
      <c r="AB559" s="24">
        <f t="shared" si="151"/>
        <v>0</v>
      </c>
      <c r="AD559" s="39">
        <v>15</v>
      </c>
      <c r="AE559" s="39">
        <f t="shared" si="152"/>
        <v>0</v>
      </c>
      <c r="AF559" s="39">
        <f t="shared" si="153"/>
        <v>0</v>
      </c>
      <c r="AM559" s="39">
        <f t="shared" si="154"/>
        <v>0</v>
      </c>
      <c r="AN559" s="39">
        <f t="shared" si="155"/>
        <v>0</v>
      </c>
      <c r="AO559" s="40" t="s">
        <v>1570</v>
      </c>
      <c r="AP559" s="40" t="s">
        <v>1609</v>
      </c>
      <c r="AQ559" s="31" t="s">
        <v>1613</v>
      </c>
    </row>
    <row r="560" spans="1:43" ht="12.75">
      <c r="A560" s="6" t="s">
        <v>332</v>
      </c>
      <c r="B560" s="6" t="s">
        <v>596</v>
      </c>
      <c r="C560" s="6" t="s">
        <v>725</v>
      </c>
      <c r="D560" s="6" t="s">
        <v>1141</v>
      </c>
      <c r="E560" s="6" t="s">
        <v>1504</v>
      </c>
      <c r="F560" s="24">
        <v>3</v>
      </c>
      <c r="G560" s="24">
        <v>0</v>
      </c>
      <c r="H560" s="24">
        <f t="shared" si="144"/>
        <v>0</v>
      </c>
      <c r="I560" s="24">
        <f t="shared" si="145"/>
        <v>0</v>
      </c>
      <c r="J560" s="24">
        <f t="shared" si="146"/>
        <v>0</v>
      </c>
      <c r="K560" s="24">
        <v>0.00022</v>
      </c>
      <c r="L560" s="24">
        <f t="shared" si="147"/>
        <v>0.00066</v>
      </c>
      <c r="M560" s="36" t="s">
        <v>1531</v>
      </c>
      <c r="N560" s="36" t="s">
        <v>1533</v>
      </c>
      <c r="O560" s="24">
        <f t="shared" si="148"/>
        <v>0</v>
      </c>
      <c r="Z560" s="24">
        <f t="shared" si="149"/>
        <v>0</v>
      </c>
      <c r="AA560" s="24">
        <f t="shared" si="150"/>
        <v>0</v>
      </c>
      <c r="AB560" s="24">
        <f t="shared" si="151"/>
        <v>0</v>
      </c>
      <c r="AD560" s="39">
        <v>15</v>
      </c>
      <c r="AE560" s="39">
        <f t="shared" si="152"/>
        <v>0</v>
      </c>
      <c r="AF560" s="39">
        <f t="shared" si="153"/>
        <v>0</v>
      </c>
      <c r="AM560" s="39">
        <f t="shared" si="154"/>
        <v>0</v>
      </c>
      <c r="AN560" s="39">
        <f t="shared" si="155"/>
        <v>0</v>
      </c>
      <c r="AO560" s="40" t="s">
        <v>1570</v>
      </c>
      <c r="AP560" s="40" t="s">
        <v>1609</v>
      </c>
      <c r="AQ560" s="31" t="s">
        <v>1613</v>
      </c>
    </row>
    <row r="561" spans="1:37" ht="12.75">
      <c r="A561" s="4"/>
      <c r="B561" s="14" t="s">
        <v>596</v>
      </c>
      <c r="C561" s="14" t="s">
        <v>732</v>
      </c>
      <c r="D561" s="104" t="s">
        <v>1150</v>
      </c>
      <c r="E561" s="105"/>
      <c r="F561" s="105"/>
      <c r="G561" s="105"/>
      <c r="H561" s="42">
        <f>SUM(H562:H595)</f>
        <v>0</v>
      </c>
      <c r="I561" s="42">
        <f>SUM(I562:I595)</f>
        <v>0</v>
      </c>
      <c r="J561" s="42">
        <f>H561+I561</f>
        <v>0</v>
      </c>
      <c r="K561" s="31"/>
      <c r="L561" s="42">
        <f>SUM(L562:L595)</f>
        <v>0.48974999999999996</v>
      </c>
      <c r="M561" s="31"/>
      <c r="P561" s="42">
        <f>IF(Q561="PR",J561,SUM(O562:O595))</f>
        <v>0</v>
      </c>
      <c r="Q561" s="31" t="s">
        <v>1537</v>
      </c>
      <c r="R561" s="42">
        <f>IF(Q561="HS",H561,0)</f>
        <v>0</v>
      </c>
      <c r="S561" s="42">
        <f>IF(Q561="HS",I561-P561,0)</f>
        <v>0</v>
      </c>
      <c r="T561" s="42">
        <f>IF(Q561="PS",H561,0)</f>
        <v>0</v>
      </c>
      <c r="U561" s="42">
        <f>IF(Q561="PS",I561-P561,0)</f>
        <v>0</v>
      </c>
      <c r="V561" s="42">
        <f>IF(Q561="MP",H561,0)</f>
        <v>0</v>
      </c>
      <c r="W561" s="42">
        <f>IF(Q561="MP",I561-P561,0)</f>
        <v>0</v>
      </c>
      <c r="X561" s="42">
        <f>IF(Q561="OM",H561,0)</f>
        <v>0</v>
      </c>
      <c r="Y561" s="31" t="s">
        <v>596</v>
      </c>
      <c r="AI561" s="42">
        <f>SUM(Z562:Z595)</f>
        <v>0</v>
      </c>
      <c r="AJ561" s="42">
        <f>SUM(AA562:AA595)</f>
        <v>0</v>
      </c>
      <c r="AK561" s="42">
        <f>SUM(AB562:AB595)</f>
        <v>0</v>
      </c>
    </row>
    <row r="562" spans="1:43" ht="12.75">
      <c r="A562" s="5" t="s">
        <v>333</v>
      </c>
      <c r="B562" s="5" t="s">
        <v>596</v>
      </c>
      <c r="C562" s="5" t="s">
        <v>733</v>
      </c>
      <c r="D562" s="5" t="s">
        <v>1151</v>
      </c>
      <c r="E562" s="5" t="s">
        <v>1510</v>
      </c>
      <c r="F562" s="22">
        <v>3</v>
      </c>
      <c r="G562" s="22">
        <v>0</v>
      </c>
      <c r="H562" s="22">
        <f>F562*AE562</f>
        <v>0</v>
      </c>
      <c r="I562" s="22">
        <f>J562-H562</f>
        <v>0</v>
      </c>
      <c r="J562" s="22">
        <f>F562*G562</f>
        <v>0</v>
      </c>
      <c r="K562" s="22">
        <v>0.01651</v>
      </c>
      <c r="L562" s="22">
        <f>F562*K562</f>
        <v>0.049530000000000005</v>
      </c>
      <c r="M562" s="35" t="s">
        <v>1531</v>
      </c>
      <c r="N562" s="35" t="s">
        <v>7</v>
      </c>
      <c r="O562" s="22">
        <f>IF(N562="5",I562,0)</f>
        <v>0</v>
      </c>
      <c r="Z562" s="22">
        <f>IF(AD562=0,J562,0)</f>
        <v>0</v>
      </c>
      <c r="AA562" s="22">
        <f>IF(AD562=15,J562,0)</f>
        <v>0</v>
      </c>
      <c r="AB562" s="22">
        <f>IF(AD562=21,J562,0)</f>
        <v>0</v>
      </c>
      <c r="AD562" s="39">
        <v>15</v>
      </c>
      <c r="AE562" s="39">
        <f>G562*1</f>
        <v>0</v>
      </c>
      <c r="AF562" s="39">
        <f>G562*(1-1)</f>
        <v>0</v>
      </c>
      <c r="AM562" s="39">
        <f>F562*AE562</f>
        <v>0</v>
      </c>
      <c r="AN562" s="39">
        <f>F562*AF562</f>
        <v>0</v>
      </c>
      <c r="AO562" s="40" t="s">
        <v>1571</v>
      </c>
      <c r="AP562" s="40" t="s">
        <v>1609</v>
      </c>
      <c r="AQ562" s="31" t="s">
        <v>1613</v>
      </c>
    </row>
    <row r="563" spans="1:43" ht="12.75">
      <c r="A563" s="5" t="s">
        <v>334</v>
      </c>
      <c r="B563" s="5" t="s">
        <v>596</v>
      </c>
      <c r="C563" s="5" t="s">
        <v>734</v>
      </c>
      <c r="D563" s="5" t="s">
        <v>1152</v>
      </c>
      <c r="E563" s="5" t="s">
        <v>1504</v>
      </c>
      <c r="F563" s="22">
        <v>6</v>
      </c>
      <c r="G563" s="22">
        <v>0</v>
      </c>
      <c r="H563" s="22">
        <f>F563*AE563</f>
        <v>0</v>
      </c>
      <c r="I563" s="22">
        <f>J563-H563</f>
        <v>0</v>
      </c>
      <c r="J563" s="22">
        <f>F563*G563</f>
        <v>0</v>
      </c>
      <c r="K563" s="22">
        <v>0.00031</v>
      </c>
      <c r="L563" s="22">
        <f>F563*K563</f>
        <v>0.00186</v>
      </c>
      <c r="M563" s="35" t="s">
        <v>1531</v>
      </c>
      <c r="N563" s="35" t="s">
        <v>7</v>
      </c>
      <c r="O563" s="22">
        <f>IF(N563="5",I563,0)</f>
        <v>0</v>
      </c>
      <c r="Z563" s="22">
        <f>IF(AD563=0,J563,0)</f>
        <v>0</v>
      </c>
      <c r="AA563" s="22">
        <f>IF(AD563=15,J563,0)</f>
        <v>0</v>
      </c>
      <c r="AB563" s="22">
        <f>IF(AD563=21,J563,0)</f>
        <v>0</v>
      </c>
      <c r="AD563" s="39">
        <v>15</v>
      </c>
      <c r="AE563" s="39">
        <f>G563*1</f>
        <v>0</v>
      </c>
      <c r="AF563" s="39">
        <f>G563*(1-1)</f>
        <v>0</v>
      </c>
      <c r="AM563" s="39">
        <f>F563*AE563</f>
        <v>0</v>
      </c>
      <c r="AN563" s="39">
        <f>F563*AF563</f>
        <v>0</v>
      </c>
      <c r="AO563" s="40" t="s">
        <v>1571</v>
      </c>
      <c r="AP563" s="40" t="s">
        <v>1609</v>
      </c>
      <c r="AQ563" s="31" t="s">
        <v>1613</v>
      </c>
    </row>
    <row r="564" spans="1:43" ht="12.75">
      <c r="A564" s="5" t="s">
        <v>335</v>
      </c>
      <c r="B564" s="5" t="s">
        <v>596</v>
      </c>
      <c r="C564" s="5" t="s">
        <v>735</v>
      </c>
      <c r="D564" s="5" t="s">
        <v>1153</v>
      </c>
      <c r="E564" s="5" t="s">
        <v>1504</v>
      </c>
      <c r="F564" s="22">
        <v>3</v>
      </c>
      <c r="G564" s="22">
        <v>0</v>
      </c>
      <c r="H564" s="22">
        <f>F564*AE564</f>
        <v>0</v>
      </c>
      <c r="I564" s="22">
        <f>J564-H564</f>
        <v>0</v>
      </c>
      <c r="J564" s="22">
        <f>F564*G564</f>
        <v>0</v>
      </c>
      <c r="K564" s="22">
        <v>0.0013</v>
      </c>
      <c r="L564" s="22">
        <f>F564*K564</f>
        <v>0.0039</v>
      </c>
      <c r="M564" s="35" t="s">
        <v>1531</v>
      </c>
      <c r="N564" s="35" t="s">
        <v>7</v>
      </c>
      <c r="O564" s="22">
        <f>IF(N564="5",I564,0)</f>
        <v>0</v>
      </c>
      <c r="Z564" s="22">
        <f>IF(AD564=0,J564,0)</f>
        <v>0</v>
      </c>
      <c r="AA564" s="22">
        <f>IF(AD564=15,J564,0)</f>
        <v>0</v>
      </c>
      <c r="AB564" s="22">
        <f>IF(AD564=21,J564,0)</f>
        <v>0</v>
      </c>
      <c r="AD564" s="39">
        <v>15</v>
      </c>
      <c r="AE564" s="39">
        <f>G564*1</f>
        <v>0</v>
      </c>
      <c r="AF564" s="39">
        <f>G564*(1-1)</f>
        <v>0</v>
      </c>
      <c r="AM564" s="39">
        <f>F564*AE564</f>
        <v>0</v>
      </c>
      <c r="AN564" s="39">
        <f>F564*AF564</f>
        <v>0</v>
      </c>
      <c r="AO564" s="40" t="s">
        <v>1571</v>
      </c>
      <c r="AP564" s="40" t="s">
        <v>1609</v>
      </c>
      <c r="AQ564" s="31" t="s">
        <v>1613</v>
      </c>
    </row>
    <row r="565" ht="12.75">
      <c r="D565" s="18" t="s">
        <v>1154</v>
      </c>
    </row>
    <row r="566" spans="1:43" ht="12.75">
      <c r="A566" s="5" t="s">
        <v>336</v>
      </c>
      <c r="B566" s="5" t="s">
        <v>596</v>
      </c>
      <c r="C566" s="5" t="s">
        <v>736</v>
      </c>
      <c r="D566" s="5" t="s">
        <v>1155</v>
      </c>
      <c r="E566" s="5" t="s">
        <v>1504</v>
      </c>
      <c r="F566" s="22">
        <v>3</v>
      </c>
      <c r="G566" s="22">
        <v>0</v>
      </c>
      <c r="H566" s="22">
        <f>F566*AE566</f>
        <v>0</v>
      </c>
      <c r="I566" s="22">
        <f>J566-H566</f>
        <v>0</v>
      </c>
      <c r="J566" s="22">
        <f>F566*G566</f>
        <v>0</v>
      </c>
      <c r="K566" s="22">
        <v>0.001</v>
      </c>
      <c r="L566" s="22">
        <f>F566*K566</f>
        <v>0.003</v>
      </c>
      <c r="M566" s="35" t="s">
        <v>1531</v>
      </c>
      <c r="N566" s="35" t="s">
        <v>7</v>
      </c>
      <c r="O566" s="22">
        <f>IF(N566="5",I566,0)</f>
        <v>0</v>
      </c>
      <c r="Z566" s="22">
        <f>IF(AD566=0,J566,0)</f>
        <v>0</v>
      </c>
      <c r="AA566" s="22">
        <f>IF(AD566=15,J566,0)</f>
        <v>0</v>
      </c>
      <c r="AB566" s="22">
        <f>IF(AD566=21,J566,0)</f>
        <v>0</v>
      </c>
      <c r="AD566" s="39">
        <v>15</v>
      </c>
      <c r="AE566" s="39">
        <f>G566*1</f>
        <v>0</v>
      </c>
      <c r="AF566" s="39">
        <f>G566*(1-1)</f>
        <v>0</v>
      </c>
      <c r="AM566" s="39">
        <f>F566*AE566</f>
        <v>0</v>
      </c>
      <c r="AN566" s="39">
        <f>F566*AF566</f>
        <v>0</v>
      </c>
      <c r="AO566" s="40" t="s">
        <v>1571</v>
      </c>
      <c r="AP566" s="40" t="s">
        <v>1609</v>
      </c>
      <c r="AQ566" s="31" t="s">
        <v>1613</v>
      </c>
    </row>
    <row r="567" ht="12.75">
      <c r="D567" s="18" t="s">
        <v>1154</v>
      </c>
    </row>
    <row r="568" spans="1:43" ht="12.75">
      <c r="A568" s="5" t="s">
        <v>337</v>
      </c>
      <c r="B568" s="5" t="s">
        <v>596</v>
      </c>
      <c r="C568" s="5" t="s">
        <v>737</v>
      </c>
      <c r="D568" s="5" t="s">
        <v>1156</v>
      </c>
      <c r="E568" s="5" t="s">
        <v>1510</v>
      </c>
      <c r="F568" s="22">
        <v>18</v>
      </c>
      <c r="G568" s="22">
        <v>0</v>
      </c>
      <c r="H568" s="22">
        <f>F568*AE568</f>
        <v>0</v>
      </c>
      <c r="I568" s="22">
        <f>J568-H568</f>
        <v>0</v>
      </c>
      <c r="J568" s="22">
        <f>F568*G568</f>
        <v>0</v>
      </c>
      <c r="K568" s="22">
        <v>8E-05</v>
      </c>
      <c r="L568" s="22">
        <f>F568*K568</f>
        <v>0.00144</v>
      </c>
      <c r="M568" s="35" t="s">
        <v>1531</v>
      </c>
      <c r="N568" s="35" t="s">
        <v>7</v>
      </c>
      <c r="O568" s="22">
        <f>IF(N568="5",I568,0)</f>
        <v>0</v>
      </c>
      <c r="Z568" s="22">
        <f>IF(AD568=0,J568,0)</f>
        <v>0</v>
      </c>
      <c r="AA568" s="22">
        <f>IF(AD568=15,J568,0)</f>
        <v>0</v>
      </c>
      <c r="AB568" s="22">
        <f>IF(AD568=21,J568,0)</f>
        <v>0</v>
      </c>
      <c r="AD568" s="39">
        <v>15</v>
      </c>
      <c r="AE568" s="39">
        <f>G568*1</f>
        <v>0</v>
      </c>
      <c r="AF568" s="39">
        <f>G568*(1-1)</f>
        <v>0</v>
      </c>
      <c r="AM568" s="39">
        <f>F568*AE568</f>
        <v>0</v>
      </c>
      <c r="AN568" s="39">
        <f>F568*AF568</f>
        <v>0</v>
      </c>
      <c r="AO568" s="40" t="s">
        <v>1571</v>
      </c>
      <c r="AP568" s="40" t="s">
        <v>1609</v>
      </c>
      <c r="AQ568" s="31" t="s">
        <v>1613</v>
      </c>
    </row>
    <row r="569" spans="1:43" ht="12.75">
      <c r="A569" s="5" t="s">
        <v>338</v>
      </c>
      <c r="B569" s="5" t="s">
        <v>596</v>
      </c>
      <c r="C569" s="5" t="s">
        <v>741</v>
      </c>
      <c r="D569" s="5" t="s">
        <v>1160</v>
      </c>
      <c r="E569" s="5" t="s">
        <v>1504</v>
      </c>
      <c r="F569" s="22">
        <v>6</v>
      </c>
      <c r="G569" s="22">
        <v>0</v>
      </c>
      <c r="H569" s="22">
        <f>F569*AE569</f>
        <v>0</v>
      </c>
      <c r="I569" s="22">
        <f>J569-H569</f>
        <v>0</v>
      </c>
      <c r="J569" s="22">
        <f>F569*G569</f>
        <v>0</v>
      </c>
      <c r="K569" s="22">
        <v>4E-05</v>
      </c>
      <c r="L569" s="22">
        <f>F569*K569</f>
        <v>0.00024000000000000003</v>
      </c>
      <c r="M569" s="35" t="s">
        <v>1531</v>
      </c>
      <c r="N569" s="35" t="s">
        <v>7</v>
      </c>
      <c r="O569" s="22">
        <f>IF(N569="5",I569,0)</f>
        <v>0</v>
      </c>
      <c r="Z569" s="22">
        <f>IF(AD569=0,J569,0)</f>
        <v>0</v>
      </c>
      <c r="AA569" s="22">
        <f>IF(AD569=15,J569,0)</f>
        <v>0</v>
      </c>
      <c r="AB569" s="22">
        <f>IF(AD569=21,J569,0)</f>
        <v>0</v>
      </c>
      <c r="AD569" s="39">
        <v>15</v>
      </c>
      <c r="AE569" s="39">
        <f>G569*0.0407139600026057</f>
        <v>0</v>
      </c>
      <c r="AF569" s="39">
        <f>G569*(1-0.0407139600026057)</f>
        <v>0</v>
      </c>
      <c r="AM569" s="39">
        <f>F569*AE569</f>
        <v>0</v>
      </c>
      <c r="AN569" s="39">
        <f>F569*AF569</f>
        <v>0</v>
      </c>
      <c r="AO569" s="40" t="s">
        <v>1571</v>
      </c>
      <c r="AP569" s="40" t="s">
        <v>1609</v>
      </c>
      <c r="AQ569" s="31" t="s">
        <v>1613</v>
      </c>
    </row>
    <row r="570" spans="1:43" ht="12.75">
      <c r="A570" s="5" t="s">
        <v>339</v>
      </c>
      <c r="B570" s="5" t="s">
        <v>596</v>
      </c>
      <c r="C570" s="5" t="s">
        <v>742</v>
      </c>
      <c r="D570" s="5" t="s">
        <v>1161</v>
      </c>
      <c r="E570" s="5" t="s">
        <v>1510</v>
      </c>
      <c r="F570" s="22">
        <v>3</v>
      </c>
      <c r="G570" s="22">
        <v>0</v>
      </c>
      <c r="H570" s="22">
        <f>F570*AE570</f>
        <v>0</v>
      </c>
      <c r="I570" s="22">
        <f>J570-H570</f>
        <v>0</v>
      </c>
      <c r="J570" s="22">
        <f>F570*G570</f>
        <v>0</v>
      </c>
      <c r="K570" s="22">
        <v>3E-05</v>
      </c>
      <c r="L570" s="22">
        <f>F570*K570</f>
        <v>9E-05</v>
      </c>
      <c r="M570" s="35" t="s">
        <v>1531</v>
      </c>
      <c r="N570" s="35" t="s">
        <v>7</v>
      </c>
      <c r="O570" s="22">
        <f>IF(N570="5",I570,0)</f>
        <v>0</v>
      </c>
      <c r="Z570" s="22">
        <f>IF(AD570=0,J570,0)</f>
        <v>0</v>
      </c>
      <c r="AA570" s="22">
        <f>IF(AD570=15,J570,0)</f>
        <v>0</v>
      </c>
      <c r="AB570" s="22">
        <f>IF(AD570=21,J570,0)</f>
        <v>0</v>
      </c>
      <c r="AD570" s="39">
        <v>15</v>
      </c>
      <c r="AE570" s="39">
        <f>G570*0.901428764591878</f>
        <v>0</v>
      </c>
      <c r="AF570" s="39">
        <f>G570*(1-0.901428764591878)</f>
        <v>0</v>
      </c>
      <c r="AM570" s="39">
        <f>F570*AE570</f>
        <v>0</v>
      </c>
      <c r="AN570" s="39">
        <f>F570*AF570</f>
        <v>0</v>
      </c>
      <c r="AO570" s="40" t="s">
        <v>1571</v>
      </c>
      <c r="AP570" s="40" t="s">
        <v>1609</v>
      </c>
      <c r="AQ570" s="31" t="s">
        <v>1613</v>
      </c>
    </row>
    <row r="571" ht="12.75">
      <c r="D571" s="18" t="s">
        <v>1162</v>
      </c>
    </row>
    <row r="572" spans="1:43" ht="12.75">
      <c r="A572" s="5" t="s">
        <v>340</v>
      </c>
      <c r="B572" s="5" t="s">
        <v>596</v>
      </c>
      <c r="C572" s="5" t="s">
        <v>743</v>
      </c>
      <c r="D572" s="5" t="s">
        <v>1163</v>
      </c>
      <c r="E572" s="5" t="s">
        <v>1504</v>
      </c>
      <c r="F572" s="22">
        <v>3</v>
      </c>
      <c r="G572" s="22">
        <v>0</v>
      </c>
      <c r="H572" s="22">
        <f aca="true" t="shared" si="156" ref="H572:H582">F572*AE572</f>
        <v>0</v>
      </c>
      <c r="I572" s="22">
        <f aca="true" t="shared" si="157" ref="I572:I582">J572-H572</f>
        <v>0</v>
      </c>
      <c r="J572" s="22">
        <f aca="true" t="shared" si="158" ref="J572:J582">F572*G572</f>
        <v>0</v>
      </c>
      <c r="K572" s="22">
        <v>4E-05</v>
      </c>
      <c r="L572" s="22">
        <f aca="true" t="shared" si="159" ref="L572:L582">F572*K572</f>
        <v>0.00012000000000000002</v>
      </c>
      <c r="M572" s="35" t="s">
        <v>1531</v>
      </c>
      <c r="N572" s="35" t="s">
        <v>7</v>
      </c>
      <c r="O572" s="22">
        <f aca="true" t="shared" si="160" ref="O572:O582">IF(N572="5",I572,0)</f>
        <v>0</v>
      </c>
      <c r="Z572" s="22">
        <f aca="true" t="shared" si="161" ref="Z572:Z582">IF(AD572=0,J572,0)</f>
        <v>0</v>
      </c>
      <c r="AA572" s="22">
        <f aca="true" t="shared" si="162" ref="AA572:AA582">IF(AD572=15,J572,0)</f>
        <v>0</v>
      </c>
      <c r="AB572" s="22">
        <f aca="true" t="shared" si="163" ref="AB572:AB582">IF(AD572=21,J572,0)</f>
        <v>0</v>
      </c>
      <c r="AD572" s="39">
        <v>15</v>
      </c>
      <c r="AE572" s="39">
        <f>G572*0.0255212355212355</f>
        <v>0</v>
      </c>
      <c r="AF572" s="39">
        <f>G572*(1-0.0255212355212355)</f>
        <v>0</v>
      </c>
      <c r="AM572" s="39">
        <f aca="true" t="shared" si="164" ref="AM572:AM582">F572*AE572</f>
        <v>0</v>
      </c>
      <c r="AN572" s="39">
        <f aca="true" t="shared" si="165" ref="AN572:AN582">F572*AF572</f>
        <v>0</v>
      </c>
      <c r="AO572" s="40" t="s">
        <v>1571</v>
      </c>
      <c r="AP572" s="40" t="s">
        <v>1609</v>
      </c>
      <c r="AQ572" s="31" t="s">
        <v>1613</v>
      </c>
    </row>
    <row r="573" spans="1:43" ht="12.75">
      <c r="A573" s="5" t="s">
        <v>341</v>
      </c>
      <c r="B573" s="5" t="s">
        <v>596</v>
      </c>
      <c r="C573" s="5" t="s">
        <v>744</v>
      </c>
      <c r="D573" s="5" t="s">
        <v>1164</v>
      </c>
      <c r="E573" s="5" t="s">
        <v>1504</v>
      </c>
      <c r="F573" s="22">
        <v>3</v>
      </c>
      <c r="G573" s="22">
        <v>0</v>
      </c>
      <c r="H573" s="22">
        <f t="shared" si="156"/>
        <v>0</v>
      </c>
      <c r="I573" s="22">
        <f t="shared" si="157"/>
        <v>0</v>
      </c>
      <c r="J573" s="22">
        <f t="shared" si="158"/>
        <v>0</v>
      </c>
      <c r="K573" s="22">
        <v>0.00017</v>
      </c>
      <c r="L573" s="22">
        <f t="shared" si="159"/>
        <v>0.00051</v>
      </c>
      <c r="M573" s="35" t="s">
        <v>1531</v>
      </c>
      <c r="N573" s="35" t="s">
        <v>7</v>
      </c>
      <c r="O573" s="22">
        <f t="shared" si="160"/>
        <v>0</v>
      </c>
      <c r="Z573" s="22">
        <f t="shared" si="161"/>
        <v>0</v>
      </c>
      <c r="AA573" s="22">
        <f t="shared" si="162"/>
        <v>0</v>
      </c>
      <c r="AB573" s="22">
        <f t="shared" si="163"/>
        <v>0</v>
      </c>
      <c r="AD573" s="39">
        <v>15</v>
      </c>
      <c r="AE573" s="39">
        <f>G573*0.0781457153187899</f>
        <v>0</v>
      </c>
      <c r="AF573" s="39">
        <f>G573*(1-0.0781457153187899)</f>
        <v>0</v>
      </c>
      <c r="AM573" s="39">
        <f t="shared" si="164"/>
        <v>0</v>
      </c>
      <c r="AN573" s="39">
        <f t="shared" si="165"/>
        <v>0</v>
      </c>
      <c r="AO573" s="40" t="s">
        <v>1571</v>
      </c>
      <c r="AP573" s="40" t="s">
        <v>1609</v>
      </c>
      <c r="AQ573" s="31" t="s">
        <v>1613</v>
      </c>
    </row>
    <row r="574" spans="1:43" ht="12.75">
      <c r="A574" s="5" t="s">
        <v>342</v>
      </c>
      <c r="B574" s="5" t="s">
        <v>596</v>
      </c>
      <c r="C574" s="5" t="s">
        <v>745</v>
      </c>
      <c r="D574" s="5" t="s">
        <v>1165</v>
      </c>
      <c r="E574" s="5" t="s">
        <v>1510</v>
      </c>
      <c r="F574" s="22">
        <v>3</v>
      </c>
      <c r="G574" s="22">
        <v>0</v>
      </c>
      <c r="H574" s="22">
        <f t="shared" si="156"/>
        <v>0</v>
      </c>
      <c r="I574" s="22">
        <f t="shared" si="157"/>
        <v>0</v>
      </c>
      <c r="J574" s="22">
        <f t="shared" si="158"/>
        <v>0</v>
      </c>
      <c r="K574" s="22">
        <v>0.01772</v>
      </c>
      <c r="L574" s="22">
        <f t="shared" si="159"/>
        <v>0.05316</v>
      </c>
      <c r="M574" s="35" t="s">
        <v>1531</v>
      </c>
      <c r="N574" s="35" t="s">
        <v>7</v>
      </c>
      <c r="O574" s="22">
        <f t="shared" si="160"/>
        <v>0</v>
      </c>
      <c r="Z574" s="22">
        <f t="shared" si="161"/>
        <v>0</v>
      </c>
      <c r="AA574" s="22">
        <f t="shared" si="162"/>
        <v>0</v>
      </c>
      <c r="AB574" s="22">
        <f t="shared" si="163"/>
        <v>0</v>
      </c>
      <c r="AD574" s="39">
        <v>15</v>
      </c>
      <c r="AE574" s="39">
        <f>G574*0.892547864506627</f>
        <v>0</v>
      </c>
      <c r="AF574" s="39">
        <f>G574*(1-0.892547864506627)</f>
        <v>0</v>
      </c>
      <c r="AM574" s="39">
        <f t="shared" si="164"/>
        <v>0</v>
      </c>
      <c r="AN574" s="39">
        <f t="shared" si="165"/>
        <v>0</v>
      </c>
      <c r="AO574" s="40" t="s">
        <v>1571</v>
      </c>
      <c r="AP574" s="40" t="s">
        <v>1609</v>
      </c>
      <c r="AQ574" s="31" t="s">
        <v>1613</v>
      </c>
    </row>
    <row r="575" spans="1:43" ht="12.75">
      <c r="A575" s="5" t="s">
        <v>343</v>
      </c>
      <c r="B575" s="5" t="s">
        <v>596</v>
      </c>
      <c r="C575" s="5" t="s">
        <v>746</v>
      </c>
      <c r="D575" s="5" t="s">
        <v>1166</v>
      </c>
      <c r="E575" s="5" t="s">
        <v>1510</v>
      </c>
      <c r="F575" s="22">
        <v>3</v>
      </c>
      <c r="G575" s="22">
        <v>0</v>
      </c>
      <c r="H575" s="22">
        <f t="shared" si="156"/>
        <v>0</v>
      </c>
      <c r="I575" s="22">
        <f t="shared" si="157"/>
        <v>0</v>
      </c>
      <c r="J575" s="22">
        <f t="shared" si="158"/>
        <v>0</v>
      </c>
      <c r="K575" s="22">
        <v>0.01946</v>
      </c>
      <c r="L575" s="22">
        <f t="shared" si="159"/>
        <v>0.05838</v>
      </c>
      <c r="M575" s="35" t="s">
        <v>1531</v>
      </c>
      <c r="N575" s="35" t="s">
        <v>7</v>
      </c>
      <c r="O575" s="22">
        <f t="shared" si="160"/>
        <v>0</v>
      </c>
      <c r="Z575" s="22">
        <f t="shared" si="161"/>
        <v>0</v>
      </c>
      <c r="AA575" s="22">
        <f t="shared" si="162"/>
        <v>0</v>
      </c>
      <c r="AB575" s="22">
        <f t="shared" si="163"/>
        <v>0</v>
      </c>
      <c r="AD575" s="39">
        <v>15</v>
      </c>
      <c r="AE575" s="39">
        <f>G575*0</f>
        <v>0</v>
      </c>
      <c r="AF575" s="39">
        <f>G575*(1-0)</f>
        <v>0</v>
      </c>
      <c r="AM575" s="39">
        <f t="shared" si="164"/>
        <v>0</v>
      </c>
      <c r="AN575" s="39">
        <f t="shared" si="165"/>
        <v>0</v>
      </c>
      <c r="AO575" s="40" t="s">
        <v>1571</v>
      </c>
      <c r="AP575" s="40" t="s">
        <v>1609</v>
      </c>
      <c r="AQ575" s="31" t="s">
        <v>1613</v>
      </c>
    </row>
    <row r="576" spans="1:43" ht="12.75">
      <c r="A576" s="5" t="s">
        <v>344</v>
      </c>
      <c r="B576" s="5" t="s">
        <v>596</v>
      </c>
      <c r="C576" s="5" t="s">
        <v>747</v>
      </c>
      <c r="D576" s="5" t="s">
        <v>1167</v>
      </c>
      <c r="E576" s="5" t="s">
        <v>1510</v>
      </c>
      <c r="F576" s="22">
        <v>3</v>
      </c>
      <c r="G576" s="22">
        <v>0</v>
      </c>
      <c r="H576" s="22">
        <f t="shared" si="156"/>
        <v>0</v>
      </c>
      <c r="I576" s="22">
        <f t="shared" si="157"/>
        <v>0</v>
      </c>
      <c r="J576" s="22">
        <f t="shared" si="158"/>
        <v>0</v>
      </c>
      <c r="K576" s="22">
        <v>0.0329</v>
      </c>
      <c r="L576" s="22">
        <f t="shared" si="159"/>
        <v>0.0987</v>
      </c>
      <c r="M576" s="35" t="s">
        <v>1531</v>
      </c>
      <c r="N576" s="35" t="s">
        <v>7</v>
      </c>
      <c r="O576" s="22">
        <f t="shared" si="160"/>
        <v>0</v>
      </c>
      <c r="Z576" s="22">
        <f t="shared" si="161"/>
        <v>0</v>
      </c>
      <c r="AA576" s="22">
        <f t="shared" si="162"/>
        <v>0</v>
      </c>
      <c r="AB576" s="22">
        <f t="shared" si="163"/>
        <v>0</v>
      </c>
      <c r="AD576" s="39">
        <v>15</v>
      </c>
      <c r="AE576" s="39">
        <f>G576*0</f>
        <v>0</v>
      </c>
      <c r="AF576" s="39">
        <f>G576*(1-0)</f>
        <v>0</v>
      </c>
      <c r="AM576" s="39">
        <f t="shared" si="164"/>
        <v>0</v>
      </c>
      <c r="AN576" s="39">
        <f t="shared" si="165"/>
        <v>0</v>
      </c>
      <c r="AO576" s="40" t="s">
        <v>1571</v>
      </c>
      <c r="AP576" s="40" t="s">
        <v>1609</v>
      </c>
      <c r="AQ576" s="31" t="s">
        <v>1613</v>
      </c>
    </row>
    <row r="577" spans="1:43" ht="12.75">
      <c r="A577" s="5" t="s">
        <v>345</v>
      </c>
      <c r="B577" s="5" t="s">
        <v>596</v>
      </c>
      <c r="C577" s="5" t="s">
        <v>748</v>
      </c>
      <c r="D577" s="5" t="s">
        <v>1168</v>
      </c>
      <c r="E577" s="5" t="s">
        <v>1510</v>
      </c>
      <c r="F577" s="22">
        <v>3</v>
      </c>
      <c r="G577" s="22">
        <v>0</v>
      </c>
      <c r="H577" s="22">
        <f t="shared" si="156"/>
        <v>0</v>
      </c>
      <c r="I577" s="22">
        <f t="shared" si="157"/>
        <v>0</v>
      </c>
      <c r="J577" s="22">
        <f t="shared" si="158"/>
        <v>0</v>
      </c>
      <c r="K577" s="22">
        <v>0.01933</v>
      </c>
      <c r="L577" s="22">
        <f t="shared" si="159"/>
        <v>0.05799</v>
      </c>
      <c r="M577" s="35" t="s">
        <v>1531</v>
      </c>
      <c r="N577" s="35" t="s">
        <v>7</v>
      </c>
      <c r="O577" s="22">
        <f t="shared" si="160"/>
        <v>0</v>
      </c>
      <c r="Z577" s="22">
        <f t="shared" si="161"/>
        <v>0</v>
      </c>
      <c r="AA577" s="22">
        <f t="shared" si="162"/>
        <v>0</v>
      </c>
      <c r="AB577" s="22">
        <f t="shared" si="163"/>
        <v>0</v>
      </c>
      <c r="AD577" s="39">
        <v>15</v>
      </c>
      <c r="AE577" s="39">
        <f>G577*0</f>
        <v>0</v>
      </c>
      <c r="AF577" s="39">
        <f>G577*(1-0)</f>
        <v>0</v>
      </c>
      <c r="AM577" s="39">
        <f t="shared" si="164"/>
        <v>0</v>
      </c>
      <c r="AN577" s="39">
        <f t="shared" si="165"/>
        <v>0</v>
      </c>
      <c r="AO577" s="40" t="s">
        <v>1571</v>
      </c>
      <c r="AP577" s="40" t="s">
        <v>1609</v>
      </c>
      <c r="AQ577" s="31" t="s">
        <v>1613</v>
      </c>
    </row>
    <row r="578" spans="1:43" ht="12.75">
      <c r="A578" s="5" t="s">
        <v>346</v>
      </c>
      <c r="B578" s="5" t="s">
        <v>596</v>
      </c>
      <c r="C578" s="5" t="s">
        <v>749</v>
      </c>
      <c r="D578" s="5" t="s">
        <v>1169</v>
      </c>
      <c r="E578" s="5" t="s">
        <v>1510</v>
      </c>
      <c r="F578" s="22">
        <v>9</v>
      </c>
      <c r="G578" s="22">
        <v>0</v>
      </c>
      <c r="H578" s="22">
        <f t="shared" si="156"/>
        <v>0</v>
      </c>
      <c r="I578" s="22">
        <f t="shared" si="157"/>
        <v>0</v>
      </c>
      <c r="J578" s="22">
        <f t="shared" si="158"/>
        <v>0</v>
      </c>
      <c r="K578" s="22">
        <v>0.00156</v>
      </c>
      <c r="L578" s="22">
        <f t="shared" si="159"/>
        <v>0.01404</v>
      </c>
      <c r="M578" s="35" t="s">
        <v>1531</v>
      </c>
      <c r="N578" s="35" t="s">
        <v>7</v>
      </c>
      <c r="O578" s="22">
        <f t="shared" si="160"/>
        <v>0</v>
      </c>
      <c r="Z578" s="22">
        <f t="shared" si="161"/>
        <v>0</v>
      </c>
      <c r="AA578" s="22">
        <f t="shared" si="162"/>
        <v>0</v>
      </c>
      <c r="AB578" s="22">
        <f t="shared" si="163"/>
        <v>0</v>
      </c>
      <c r="AD578" s="39">
        <v>15</v>
      </c>
      <c r="AE578" s="39">
        <f>G578*0</f>
        <v>0</v>
      </c>
      <c r="AF578" s="39">
        <f>G578*(1-0)</f>
        <v>0</v>
      </c>
      <c r="AM578" s="39">
        <f t="shared" si="164"/>
        <v>0</v>
      </c>
      <c r="AN578" s="39">
        <f t="shared" si="165"/>
        <v>0</v>
      </c>
      <c r="AO578" s="40" t="s">
        <v>1571</v>
      </c>
      <c r="AP578" s="40" t="s">
        <v>1609</v>
      </c>
      <c r="AQ578" s="31" t="s">
        <v>1613</v>
      </c>
    </row>
    <row r="579" spans="1:43" ht="12.75">
      <c r="A579" s="5" t="s">
        <v>347</v>
      </c>
      <c r="B579" s="5" t="s">
        <v>596</v>
      </c>
      <c r="C579" s="5" t="s">
        <v>750</v>
      </c>
      <c r="D579" s="5" t="s">
        <v>1170</v>
      </c>
      <c r="E579" s="5" t="s">
        <v>1510</v>
      </c>
      <c r="F579" s="22">
        <v>6</v>
      </c>
      <c r="G579" s="22">
        <v>0</v>
      </c>
      <c r="H579" s="22">
        <f t="shared" si="156"/>
        <v>0</v>
      </c>
      <c r="I579" s="22">
        <f t="shared" si="157"/>
        <v>0</v>
      </c>
      <c r="J579" s="22">
        <f t="shared" si="158"/>
        <v>0</v>
      </c>
      <c r="K579" s="22">
        <v>0.00086</v>
      </c>
      <c r="L579" s="22">
        <f t="shared" si="159"/>
        <v>0.00516</v>
      </c>
      <c r="M579" s="35" t="s">
        <v>1531</v>
      </c>
      <c r="N579" s="35" t="s">
        <v>7</v>
      </c>
      <c r="O579" s="22">
        <f t="shared" si="160"/>
        <v>0</v>
      </c>
      <c r="Z579" s="22">
        <f t="shared" si="161"/>
        <v>0</v>
      </c>
      <c r="AA579" s="22">
        <f t="shared" si="162"/>
        <v>0</v>
      </c>
      <c r="AB579" s="22">
        <f t="shared" si="163"/>
        <v>0</v>
      </c>
      <c r="AD579" s="39">
        <v>15</v>
      </c>
      <c r="AE579" s="39">
        <f>G579*0</f>
        <v>0</v>
      </c>
      <c r="AF579" s="39">
        <f>G579*(1-0)</f>
        <v>0</v>
      </c>
      <c r="AM579" s="39">
        <f t="shared" si="164"/>
        <v>0</v>
      </c>
      <c r="AN579" s="39">
        <f t="shared" si="165"/>
        <v>0</v>
      </c>
      <c r="AO579" s="40" t="s">
        <v>1571</v>
      </c>
      <c r="AP579" s="40" t="s">
        <v>1609</v>
      </c>
      <c r="AQ579" s="31" t="s">
        <v>1613</v>
      </c>
    </row>
    <row r="580" spans="1:43" ht="12.75">
      <c r="A580" s="5" t="s">
        <v>348</v>
      </c>
      <c r="B580" s="5" t="s">
        <v>596</v>
      </c>
      <c r="C580" s="5" t="s">
        <v>751</v>
      </c>
      <c r="D580" s="5" t="s">
        <v>1171</v>
      </c>
      <c r="E580" s="5" t="s">
        <v>1510</v>
      </c>
      <c r="F580" s="22">
        <v>3</v>
      </c>
      <c r="G580" s="22">
        <v>0</v>
      </c>
      <c r="H580" s="22">
        <f t="shared" si="156"/>
        <v>0</v>
      </c>
      <c r="I580" s="22">
        <f t="shared" si="157"/>
        <v>0</v>
      </c>
      <c r="J580" s="22">
        <f t="shared" si="158"/>
        <v>0</v>
      </c>
      <c r="K580" s="22">
        <v>0.00089</v>
      </c>
      <c r="L580" s="22">
        <f t="shared" si="159"/>
        <v>0.0026699999999999996</v>
      </c>
      <c r="M580" s="35" t="s">
        <v>1531</v>
      </c>
      <c r="N580" s="35" t="s">
        <v>7</v>
      </c>
      <c r="O580" s="22">
        <f t="shared" si="160"/>
        <v>0</v>
      </c>
      <c r="Z580" s="22">
        <f t="shared" si="161"/>
        <v>0</v>
      </c>
      <c r="AA580" s="22">
        <f t="shared" si="162"/>
        <v>0</v>
      </c>
      <c r="AB580" s="22">
        <f t="shared" si="163"/>
        <v>0</v>
      </c>
      <c r="AD580" s="39">
        <v>15</v>
      </c>
      <c r="AE580" s="39">
        <f>G580*0.25624567811486</f>
        <v>0</v>
      </c>
      <c r="AF580" s="39">
        <f>G580*(1-0.25624567811486)</f>
        <v>0</v>
      </c>
      <c r="AM580" s="39">
        <f t="shared" si="164"/>
        <v>0</v>
      </c>
      <c r="AN580" s="39">
        <f t="shared" si="165"/>
        <v>0</v>
      </c>
      <c r="AO580" s="40" t="s">
        <v>1571</v>
      </c>
      <c r="AP580" s="40" t="s">
        <v>1609</v>
      </c>
      <c r="AQ580" s="31" t="s">
        <v>1613</v>
      </c>
    </row>
    <row r="581" spans="1:43" ht="12.75">
      <c r="A581" s="5" t="s">
        <v>349</v>
      </c>
      <c r="B581" s="5" t="s">
        <v>596</v>
      </c>
      <c r="C581" s="5" t="s">
        <v>752</v>
      </c>
      <c r="D581" s="5" t="s">
        <v>1172</v>
      </c>
      <c r="E581" s="5" t="s">
        <v>1510</v>
      </c>
      <c r="F581" s="22">
        <v>3</v>
      </c>
      <c r="G581" s="22">
        <v>0</v>
      </c>
      <c r="H581" s="22">
        <f t="shared" si="156"/>
        <v>0</v>
      </c>
      <c r="I581" s="22">
        <f t="shared" si="157"/>
        <v>0</v>
      </c>
      <c r="J581" s="22">
        <f t="shared" si="158"/>
        <v>0</v>
      </c>
      <c r="K581" s="22">
        <v>0</v>
      </c>
      <c r="L581" s="22">
        <f t="shared" si="159"/>
        <v>0</v>
      </c>
      <c r="M581" s="35" t="s">
        <v>1531</v>
      </c>
      <c r="N581" s="35" t="s">
        <v>7</v>
      </c>
      <c r="O581" s="22">
        <f t="shared" si="160"/>
        <v>0</v>
      </c>
      <c r="Z581" s="22">
        <f t="shared" si="161"/>
        <v>0</v>
      </c>
      <c r="AA581" s="22">
        <f t="shared" si="162"/>
        <v>0</v>
      </c>
      <c r="AB581" s="22">
        <f t="shared" si="163"/>
        <v>0</v>
      </c>
      <c r="AD581" s="39">
        <v>15</v>
      </c>
      <c r="AE581" s="39">
        <f>G581*0</f>
        <v>0</v>
      </c>
      <c r="AF581" s="39">
        <f>G581*(1-0)</f>
        <v>0</v>
      </c>
      <c r="AM581" s="39">
        <f t="shared" si="164"/>
        <v>0</v>
      </c>
      <c r="AN581" s="39">
        <f t="shared" si="165"/>
        <v>0</v>
      </c>
      <c r="AO581" s="40" t="s">
        <v>1571</v>
      </c>
      <c r="AP581" s="40" t="s">
        <v>1609</v>
      </c>
      <c r="AQ581" s="31" t="s">
        <v>1613</v>
      </c>
    </row>
    <row r="582" spans="1:43" ht="12.75">
      <c r="A582" s="5" t="s">
        <v>350</v>
      </c>
      <c r="B582" s="5" t="s">
        <v>596</v>
      </c>
      <c r="C582" s="5" t="s">
        <v>753</v>
      </c>
      <c r="D582" s="5" t="s">
        <v>1173</v>
      </c>
      <c r="E582" s="5" t="s">
        <v>1510</v>
      </c>
      <c r="F582" s="22">
        <v>3</v>
      </c>
      <c r="G582" s="22">
        <v>0</v>
      </c>
      <c r="H582" s="22">
        <f t="shared" si="156"/>
        <v>0</v>
      </c>
      <c r="I582" s="22">
        <f t="shared" si="157"/>
        <v>0</v>
      </c>
      <c r="J582" s="22">
        <f t="shared" si="158"/>
        <v>0</v>
      </c>
      <c r="K582" s="22">
        <v>0.00142</v>
      </c>
      <c r="L582" s="22">
        <f t="shared" si="159"/>
        <v>0.00426</v>
      </c>
      <c r="M582" s="35" t="s">
        <v>1531</v>
      </c>
      <c r="N582" s="35" t="s">
        <v>7</v>
      </c>
      <c r="O582" s="22">
        <f t="shared" si="160"/>
        <v>0</v>
      </c>
      <c r="Z582" s="22">
        <f t="shared" si="161"/>
        <v>0</v>
      </c>
      <c r="AA582" s="22">
        <f t="shared" si="162"/>
        <v>0</v>
      </c>
      <c r="AB582" s="22">
        <f t="shared" si="163"/>
        <v>0</v>
      </c>
      <c r="AD582" s="39">
        <v>15</v>
      </c>
      <c r="AE582" s="39">
        <f>G582*0.868306488195587</f>
        <v>0</v>
      </c>
      <c r="AF582" s="39">
        <f>G582*(1-0.868306488195587)</f>
        <v>0</v>
      </c>
      <c r="AM582" s="39">
        <f t="shared" si="164"/>
        <v>0</v>
      </c>
      <c r="AN582" s="39">
        <f t="shared" si="165"/>
        <v>0</v>
      </c>
      <c r="AO582" s="40" t="s">
        <v>1571</v>
      </c>
      <c r="AP582" s="40" t="s">
        <v>1609</v>
      </c>
      <c r="AQ582" s="31" t="s">
        <v>1613</v>
      </c>
    </row>
    <row r="583" ht="12.75">
      <c r="D583" s="18" t="s">
        <v>1154</v>
      </c>
    </row>
    <row r="584" spans="1:43" ht="12.75">
      <c r="A584" s="5" t="s">
        <v>351</v>
      </c>
      <c r="B584" s="5" t="s">
        <v>596</v>
      </c>
      <c r="C584" s="5" t="s">
        <v>759</v>
      </c>
      <c r="D584" s="5" t="s">
        <v>1179</v>
      </c>
      <c r="E584" s="5" t="s">
        <v>1504</v>
      </c>
      <c r="F584" s="22">
        <v>6</v>
      </c>
      <c r="G584" s="22">
        <v>0</v>
      </c>
      <c r="H584" s="22">
        <f>F584*AE584</f>
        <v>0</v>
      </c>
      <c r="I584" s="22">
        <f>J584-H584</f>
        <v>0</v>
      </c>
      <c r="J584" s="22">
        <f>F584*G584</f>
        <v>0</v>
      </c>
      <c r="K584" s="22">
        <v>0.0002</v>
      </c>
      <c r="L584" s="22">
        <f>F584*K584</f>
        <v>0.0012000000000000001</v>
      </c>
      <c r="M584" s="35" t="s">
        <v>1531</v>
      </c>
      <c r="N584" s="35" t="s">
        <v>7</v>
      </c>
      <c r="O584" s="22">
        <f>IF(N584="5",I584,0)</f>
        <v>0</v>
      </c>
      <c r="Z584" s="22">
        <f>IF(AD584=0,J584,0)</f>
        <v>0</v>
      </c>
      <c r="AA584" s="22">
        <f>IF(AD584=15,J584,0)</f>
        <v>0</v>
      </c>
      <c r="AB584" s="22">
        <f>IF(AD584=21,J584,0)</f>
        <v>0</v>
      </c>
      <c r="AD584" s="39">
        <v>15</v>
      </c>
      <c r="AE584" s="39">
        <f>G584*0.767446504992867</f>
        <v>0</v>
      </c>
      <c r="AF584" s="39">
        <f>G584*(1-0.767446504992867)</f>
        <v>0</v>
      </c>
      <c r="AM584" s="39">
        <f>F584*AE584</f>
        <v>0</v>
      </c>
      <c r="AN584" s="39">
        <f>F584*AF584</f>
        <v>0</v>
      </c>
      <c r="AO584" s="40" t="s">
        <v>1571</v>
      </c>
      <c r="AP584" s="40" t="s">
        <v>1609</v>
      </c>
      <c r="AQ584" s="31" t="s">
        <v>1613</v>
      </c>
    </row>
    <row r="585" ht="12.75">
      <c r="D585" s="18" t="s">
        <v>1180</v>
      </c>
    </row>
    <row r="586" spans="1:43" ht="12.75">
      <c r="A586" s="5" t="s">
        <v>352</v>
      </c>
      <c r="B586" s="5" t="s">
        <v>596</v>
      </c>
      <c r="C586" s="5" t="s">
        <v>760</v>
      </c>
      <c r="D586" s="5" t="s">
        <v>1181</v>
      </c>
      <c r="E586" s="5" t="s">
        <v>1510</v>
      </c>
      <c r="F586" s="22">
        <v>6</v>
      </c>
      <c r="G586" s="22">
        <v>0</v>
      </c>
      <c r="H586" s="22">
        <f aca="true" t="shared" si="166" ref="H586:H595">F586*AE586</f>
        <v>0</v>
      </c>
      <c r="I586" s="22">
        <f aca="true" t="shared" si="167" ref="I586:I595">J586-H586</f>
        <v>0</v>
      </c>
      <c r="J586" s="22">
        <f aca="true" t="shared" si="168" ref="J586:J595">F586*G586</f>
        <v>0</v>
      </c>
      <c r="K586" s="22">
        <v>0.00024</v>
      </c>
      <c r="L586" s="22">
        <f aca="true" t="shared" si="169" ref="L586:L595">F586*K586</f>
        <v>0.00144</v>
      </c>
      <c r="M586" s="35" t="s">
        <v>1531</v>
      </c>
      <c r="N586" s="35" t="s">
        <v>7</v>
      </c>
      <c r="O586" s="22">
        <f aca="true" t="shared" si="170" ref="O586:O595">IF(N586="5",I586,0)</f>
        <v>0</v>
      </c>
      <c r="Z586" s="22">
        <f aca="true" t="shared" si="171" ref="Z586:Z595">IF(AD586=0,J586,0)</f>
        <v>0</v>
      </c>
      <c r="AA586" s="22">
        <f aca="true" t="shared" si="172" ref="AA586:AA595">IF(AD586=15,J586,0)</f>
        <v>0</v>
      </c>
      <c r="AB586" s="22">
        <f aca="true" t="shared" si="173" ref="AB586:AB595">IF(AD586=21,J586,0)</f>
        <v>0</v>
      </c>
      <c r="AD586" s="39">
        <v>15</v>
      </c>
      <c r="AE586" s="39">
        <f>G586*0.900987951807229</f>
        <v>0</v>
      </c>
      <c r="AF586" s="39">
        <f>G586*(1-0.900987951807229)</f>
        <v>0</v>
      </c>
      <c r="AM586" s="39">
        <f aca="true" t="shared" si="174" ref="AM586:AM595">F586*AE586</f>
        <v>0</v>
      </c>
      <c r="AN586" s="39">
        <f aca="true" t="shared" si="175" ref="AN586:AN595">F586*AF586</f>
        <v>0</v>
      </c>
      <c r="AO586" s="40" t="s">
        <v>1571</v>
      </c>
      <c r="AP586" s="40" t="s">
        <v>1609</v>
      </c>
      <c r="AQ586" s="31" t="s">
        <v>1613</v>
      </c>
    </row>
    <row r="587" spans="1:43" ht="12.75">
      <c r="A587" s="6" t="s">
        <v>353</v>
      </c>
      <c r="B587" s="6" t="s">
        <v>596</v>
      </c>
      <c r="C587" s="6" t="s">
        <v>738</v>
      </c>
      <c r="D587" s="6" t="s">
        <v>1157</v>
      </c>
      <c r="E587" s="6" t="s">
        <v>1504</v>
      </c>
      <c r="F587" s="24">
        <v>3</v>
      </c>
      <c r="G587" s="24">
        <v>0</v>
      </c>
      <c r="H587" s="24">
        <f t="shared" si="166"/>
        <v>0</v>
      </c>
      <c r="I587" s="24">
        <f t="shared" si="167"/>
        <v>0</v>
      </c>
      <c r="J587" s="24">
        <f t="shared" si="168"/>
        <v>0</v>
      </c>
      <c r="K587" s="24">
        <v>0</v>
      </c>
      <c r="L587" s="24">
        <f t="shared" si="169"/>
        <v>0</v>
      </c>
      <c r="M587" s="36" t="s">
        <v>1531</v>
      </c>
      <c r="N587" s="36" t="s">
        <v>1533</v>
      </c>
      <c r="O587" s="24">
        <f t="shared" si="170"/>
        <v>0</v>
      </c>
      <c r="Z587" s="24">
        <f t="shared" si="171"/>
        <v>0</v>
      </c>
      <c r="AA587" s="24">
        <f t="shared" si="172"/>
        <v>0</v>
      </c>
      <c r="AB587" s="24">
        <f t="shared" si="173"/>
        <v>0</v>
      </c>
      <c r="AD587" s="39">
        <v>15</v>
      </c>
      <c r="AE587" s="39">
        <f aca="true" t="shared" si="176" ref="AE587:AE595">G587*1</f>
        <v>0</v>
      </c>
      <c r="AF587" s="39">
        <f aca="true" t="shared" si="177" ref="AF587:AF595">G587*(1-1)</f>
        <v>0</v>
      </c>
      <c r="AM587" s="39">
        <f t="shared" si="174"/>
        <v>0</v>
      </c>
      <c r="AN587" s="39">
        <f t="shared" si="175"/>
        <v>0</v>
      </c>
      <c r="AO587" s="40" t="s">
        <v>1571</v>
      </c>
      <c r="AP587" s="40" t="s">
        <v>1609</v>
      </c>
      <c r="AQ587" s="31" t="s">
        <v>1613</v>
      </c>
    </row>
    <row r="588" spans="1:43" ht="12.75">
      <c r="A588" s="6" t="s">
        <v>354</v>
      </c>
      <c r="B588" s="6" t="s">
        <v>596</v>
      </c>
      <c r="C588" s="6" t="s">
        <v>739</v>
      </c>
      <c r="D588" s="6" t="s">
        <v>1158</v>
      </c>
      <c r="E588" s="6" t="s">
        <v>1504</v>
      </c>
      <c r="F588" s="24">
        <v>3</v>
      </c>
      <c r="G588" s="24">
        <v>0</v>
      </c>
      <c r="H588" s="24">
        <f t="shared" si="166"/>
        <v>0</v>
      </c>
      <c r="I588" s="24">
        <f t="shared" si="167"/>
        <v>0</v>
      </c>
      <c r="J588" s="24">
        <f t="shared" si="168"/>
        <v>0</v>
      </c>
      <c r="K588" s="24">
        <v>0.006</v>
      </c>
      <c r="L588" s="24">
        <f t="shared" si="169"/>
        <v>0.018000000000000002</v>
      </c>
      <c r="M588" s="36" t="s">
        <v>1531</v>
      </c>
      <c r="N588" s="36" t="s">
        <v>1533</v>
      </c>
      <c r="O588" s="24">
        <f t="shared" si="170"/>
        <v>0</v>
      </c>
      <c r="Z588" s="24">
        <f t="shared" si="171"/>
        <v>0</v>
      </c>
      <c r="AA588" s="24">
        <f t="shared" si="172"/>
        <v>0</v>
      </c>
      <c r="AB588" s="24">
        <f t="shared" si="173"/>
        <v>0</v>
      </c>
      <c r="AD588" s="39">
        <v>15</v>
      </c>
      <c r="AE588" s="39">
        <f t="shared" si="176"/>
        <v>0</v>
      </c>
      <c r="AF588" s="39">
        <f t="shared" si="177"/>
        <v>0</v>
      </c>
      <c r="AM588" s="39">
        <f t="shared" si="174"/>
        <v>0</v>
      </c>
      <c r="AN588" s="39">
        <f t="shared" si="175"/>
        <v>0</v>
      </c>
      <c r="AO588" s="40" t="s">
        <v>1571</v>
      </c>
      <c r="AP588" s="40" t="s">
        <v>1609</v>
      </c>
      <c r="AQ588" s="31" t="s">
        <v>1613</v>
      </c>
    </row>
    <row r="589" spans="1:43" ht="12.75">
      <c r="A589" s="6" t="s">
        <v>355</v>
      </c>
      <c r="B589" s="6" t="s">
        <v>596</v>
      </c>
      <c r="C589" s="6" t="s">
        <v>740</v>
      </c>
      <c r="D589" s="6" t="s">
        <v>1159</v>
      </c>
      <c r="E589" s="6" t="s">
        <v>1504</v>
      </c>
      <c r="F589" s="24">
        <v>3</v>
      </c>
      <c r="G589" s="24">
        <v>0</v>
      </c>
      <c r="H589" s="24">
        <f t="shared" si="166"/>
        <v>0</v>
      </c>
      <c r="I589" s="24">
        <f t="shared" si="167"/>
        <v>0</v>
      </c>
      <c r="J589" s="24">
        <f t="shared" si="168"/>
        <v>0</v>
      </c>
      <c r="K589" s="24">
        <v>0.00032</v>
      </c>
      <c r="L589" s="24">
        <f t="shared" si="169"/>
        <v>0.0009600000000000001</v>
      </c>
      <c r="M589" s="36" t="s">
        <v>1531</v>
      </c>
      <c r="N589" s="36" t="s">
        <v>1533</v>
      </c>
      <c r="O589" s="24">
        <f t="shared" si="170"/>
        <v>0</v>
      </c>
      <c r="Z589" s="24">
        <f t="shared" si="171"/>
        <v>0</v>
      </c>
      <c r="AA589" s="24">
        <f t="shared" si="172"/>
        <v>0</v>
      </c>
      <c r="AB589" s="24">
        <f t="shared" si="173"/>
        <v>0</v>
      </c>
      <c r="AD589" s="39">
        <v>15</v>
      </c>
      <c r="AE589" s="39">
        <f t="shared" si="176"/>
        <v>0</v>
      </c>
      <c r="AF589" s="39">
        <f t="shared" si="177"/>
        <v>0</v>
      </c>
      <c r="AM589" s="39">
        <f t="shared" si="174"/>
        <v>0</v>
      </c>
      <c r="AN589" s="39">
        <f t="shared" si="175"/>
        <v>0</v>
      </c>
      <c r="AO589" s="40" t="s">
        <v>1571</v>
      </c>
      <c r="AP589" s="40" t="s">
        <v>1609</v>
      </c>
      <c r="AQ589" s="31" t="s">
        <v>1613</v>
      </c>
    </row>
    <row r="590" spans="1:43" ht="12.75">
      <c r="A590" s="6" t="s">
        <v>356</v>
      </c>
      <c r="B590" s="6" t="s">
        <v>596</v>
      </c>
      <c r="C590" s="6" t="s">
        <v>754</v>
      </c>
      <c r="D590" s="6" t="s">
        <v>1174</v>
      </c>
      <c r="E590" s="6" t="s">
        <v>1504</v>
      </c>
      <c r="F590" s="24">
        <v>3</v>
      </c>
      <c r="G590" s="24">
        <v>0</v>
      </c>
      <c r="H590" s="24">
        <f t="shared" si="166"/>
        <v>0</v>
      </c>
      <c r="I590" s="24">
        <f t="shared" si="167"/>
        <v>0</v>
      </c>
      <c r="J590" s="24">
        <f t="shared" si="168"/>
        <v>0</v>
      </c>
      <c r="K590" s="24">
        <v>0.0014</v>
      </c>
      <c r="L590" s="24">
        <f t="shared" si="169"/>
        <v>0.0042</v>
      </c>
      <c r="M590" s="36" t="s">
        <v>1531</v>
      </c>
      <c r="N590" s="36" t="s">
        <v>1533</v>
      </c>
      <c r="O590" s="24">
        <f t="shared" si="170"/>
        <v>0</v>
      </c>
      <c r="Z590" s="24">
        <f t="shared" si="171"/>
        <v>0</v>
      </c>
      <c r="AA590" s="24">
        <f t="shared" si="172"/>
        <v>0</v>
      </c>
      <c r="AB590" s="24">
        <f t="shared" si="173"/>
        <v>0</v>
      </c>
      <c r="AD590" s="39">
        <v>15</v>
      </c>
      <c r="AE590" s="39">
        <f t="shared" si="176"/>
        <v>0</v>
      </c>
      <c r="AF590" s="39">
        <f t="shared" si="177"/>
        <v>0</v>
      </c>
      <c r="AM590" s="39">
        <f t="shared" si="174"/>
        <v>0</v>
      </c>
      <c r="AN590" s="39">
        <f t="shared" si="175"/>
        <v>0</v>
      </c>
      <c r="AO590" s="40" t="s">
        <v>1571</v>
      </c>
      <c r="AP590" s="40" t="s">
        <v>1609</v>
      </c>
      <c r="AQ590" s="31" t="s">
        <v>1613</v>
      </c>
    </row>
    <row r="591" spans="1:43" ht="12.75">
      <c r="A591" s="6" t="s">
        <v>357</v>
      </c>
      <c r="B591" s="6" t="s">
        <v>596</v>
      </c>
      <c r="C591" s="6" t="s">
        <v>755</v>
      </c>
      <c r="D591" s="6" t="s">
        <v>1175</v>
      </c>
      <c r="E591" s="6" t="s">
        <v>1504</v>
      </c>
      <c r="F591" s="24">
        <v>3</v>
      </c>
      <c r="G591" s="24">
        <v>0</v>
      </c>
      <c r="H591" s="24">
        <f t="shared" si="166"/>
        <v>0</v>
      </c>
      <c r="I591" s="24">
        <f t="shared" si="167"/>
        <v>0</v>
      </c>
      <c r="J591" s="24">
        <f t="shared" si="168"/>
        <v>0</v>
      </c>
      <c r="K591" s="24">
        <v>0.0008</v>
      </c>
      <c r="L591" s="24">
        <f t="shared" si="169"/>
        <v>0.0024000000000000002</v>
      </c>
      <c r="M591" s="36" t="s">
        <v>1531</v>
      </c>
      <c r="N591" s="36" t="s">
        <v>1533</v>
      </c>
      <c r="O591" s="24">
        <f t="shared" si="170"/>
        <v>0</v>
      </c>
      <c r="Z591" s="24">
        <f t="shared" si="171"/>
        <v>0</v>
      </c>
      <c r="AA591" s="24">
        <f t="shared" si="172"/>
        <v>0</v>
      </c>
      <c r="AB591" s="24">
        <f t="shared" si="173"/>
        <v>0</v>
      </c>
      <c r="AD591" s="39">
        <v>15</v>
      </c>
      <c r="AE591" s="39">
        <f t="shared" si="176"/>
        <v>0</v>
      </c>
      <c r="AF591" s="39">
        <f t="shared" si="177"/>
        <v>0</v>
      </c>
      <c r="AM591" s="39">
        <f t="shared" si="174"/>
        <v>0</v>
      </c>
      <c r="AN591" s="39">
        <f t="shared" si="175"/>
        <v>0</v>
      </c>
      <c r="AO591" s="40" t="s">
        <v>1571</v>
      </c>
      <c r="AP591" s="40" t="s">
        <v>1609</v>
      </c>
      <c r="AQ591" s="31" t="s">
        <v>1613</v>
      </c>
    </row>
    <row r="592" spans="1:43" ht="12.75">
      <c r="A592" s="6" t="s">
        <v>358</v>
      </c>
      <c r="B592" s="6" t="s">
        <v>596</v>
      </c>
      <c r="C592" s="6" t="s">
        <v>756</v>
      </c>
      <c r="D592" s="6" t="s">
        <v>1176</v>
      </c>
      <c r="E592" s="6" t="s">
        <v>1504</v>
      </c>
      <c r="F592" s="24">
        <v>3</v>
      </c>
      <c r="G592" s="24">
        <v>0</v>
      </c>
      <c r="H592" s="24">
        <f t="shared" si="166"/>
        <v>0</v>
      </c>
      <c r="I592" s="24">
        <f t="shared" si="167"/>
        <v>0</v>
      </c>
      <c r="J592" s="24">
        <f t="shared" si="168"/>
        <v>0</v>
      </c>
      <c r="K592" s="24">
        <v>0.0009</v>
      </c>
      <c r="L592" s="24">
        <f t="shared" si="169"/>
        <v>0.0027</v>
      </c>
      <c r="M592" s="36" t="s">
        <v>1531</v>
      </c>
      <c r="N592" s="36" t="s">
        <v>1533</v>
      </c>
      <c r="O592" s="24">
        <f t="shared" si="170"/>
        <v>0</v>
      </c>
      <c r="Z592" s="24">
        <f t="shared" si="171"/>
        <v>0</v>
      </c>
      <c r="AA592" s="24">
        <f t="shared" si="172"/>
        <v>0</v>
      </c>
      <c r="AB592" s="24">
        <f t="shared" si="173"/>
        <v>0</v>
      </c>
      <c r="AD592" s="39">
        <v>15</v>
      </c>
      <c r="AE592" s="39">
        <f t="shared" si="176"/>
        <v>0</v>
      </c>
      <c r="AF592" s="39">
        <f t="shared" si="177"/>
        <v>0</v>
      </c>
      <c r="AM592" s="39">
        <f t="shared" si="174"/>
        <v>0</v>
      </c>
      <c r="AN592" s="39">
        <f t="shared" si="175"/>
        <v>0</v>
      </c>
      <c r="AO592" s="40" t="s">
        <v>1571</v>
      </c>
      <c r="AP592" s="40" t="s">
        <v>1609</v>
      </c>
      <c r="AQ592" s="31" t="s">
        <v>1613</v>
      </c>
    </row>
    <row r="593" spans="1:43" ht="12.75">
      <c r="A593" s="6" t="s">
        <v>359</v>
      </c>
      <c r="B593" s="6" t="s">
        <v>596</v>
      </c>
      <c r="C593" s="6" t="s">
        <v>757</v>
      </c>
      <c r="D593" s="6" t="s">
        <v>1177</v>
      </c>
      <c r="E593" s="6" t="s">
        <v>1504</v>
      </c>
      <c r="F593" s="24">
        <v>3</v>
      </c>
      <c r="G593" s="24">
        <v>0</v>
      </c>
      <c r="H593" s="24">
        <f t="shared" si="166"/>
        <v>0</v>
      </c>
      <c r="I593" s="24">
        <f t="shared" si="167"/>
        <v>0</v>
      </c>
      <c r="J593" s="24">
        <f t="shared" si="168"/>
        <v>0</v>
      </c>
      <c r="K593" s="24">
        <v>0.016</v>
      </c>
      <c r="L593" s="24">
        <f t="shared" si="169"/>
        <v>0.048</v>
      </c>
      <c r="M593" s="36" t="s">
        <v>1531</v>
      </c>
      <c r="N593" s="36" t="s">
        <v>1533</v>
      </c>
      <c r="O593" s="24">
        <f t="shared" si="170"/>
        <v>0</v>
      </c>
      <c r="Z593" s="24">
        <f t="shared" si="171"/>
        <v>0</v>
      </c>
      <c r="AA593" s="24">
        <f t="shared" si="172"/>
        <v>0</v>
      </c>
      <c r="AB593" s="24">
        <f t="shared" si="173"/>
        <v>0</v>
      </c>
      <c r="AD593" s="39">
        <v>15</v>
      </c>
      <c r="AE593" s="39">
        <f t="shared" si="176"/>
        <v>0</v>
      </c>
      <c r="AF593" s="39">
        <f t="shared" si="177"/>
        <v>0</v>
      </c>
      <c r="AM593" s="39">
        <f t="shared" si="174"/>
        <v>0</v>
      </c>
      <c r="AN593" s="39">
        <f t="shared" si="175"/>
        <v>0</v>
      </c>
      <c r="AO593" s="40" t="s">
        <v>1571</v>
      </c>
      <c r="AP593" s="40" t="s">
        <v>1609</v>
      </c>
      <c r="AQ593" s="31" t="s">
        <v>1613</v>
      </c>
    </row>
    <row r="594" spans="1:43" ht="12.75">
      <c r="A594" s="6" t="s">
        <v>360</v>
      </c>
      <c r="B594" s="6" t="s">
        <v>596</v>
      </c>
      <c r="C594" s="6" t="s">
        <v>758</v>
      </c>
      <c r="D594" s="6" t="s">
        <v>1327</v>
      </c>
      <c r="E594" s="6" t="s">
        <v>1504</v>
      </c>
      <c r="F594" s="24">
        <v>3</v>
      </c>
      <c r="G594" s="24">
        <v>0</v>
      </c>
      <c r="H594" s="24">
        <f t="shared" si="166"/>
        <v>0</v>
      </c>
      <c r="I594" s="24">
        <f t="shared" si="167"/>
        <v>0</v>
      </c>
      <c r="J594" s="24">
        <f t="shared" si="168"/>
        <v>0</v>
      </c>
      <c r="K594" s="24">
        <v>0.018</v>
      </c>
      <c r="L594" s="24">
        <f t="shared" si="169"/>
        <v>0.05399999999999999</v>
      </c>
      <c r="M594" s="36" t="s">
        <v>1531</v>
      </c>
      <c r="N594" s="36" t="s">
        <v>1533</v>
      </c>
      <c r="O594" s="24">
        <f t="shared" si="170"/>
        <v>0</v>
      </c>
      <c r="Z594" s="24">
        <f t="shared" si="171"/>
        <v>0</v>
      </c>
      <c r="AA594" s="24">
        <f t="shared" si="172"/>
        <v>0</v>
      </c>
      <c r="AB594" s="24">
        <f t="shared" si="173"/>
        <v>0</v>
      </c>
      <c r="AD594" s="39">
        <v>15</v>
      </c>
      <c r="AE594" s="39">
        <f t="shared" si="176"/>
        <v>0</v>
      </c>
      <c r="AF594" s="39">
        <f t="shared" si="177"/>
        <v>0</v>
      </c>
      <c r="AM594" s="39">
        <f t="shared" si="174"/>
        <v>0</v>
      </c>
      <c r="AN594" s="39">
        <f t="shared" si="175"/>
        <v>0</v>
      </c>
      <c r="AO594" s="40" t="s">
        <v>1571</v>
      </c>
      <c r="AP594" s="40" t="s">
        <v>1609</v>
      </c>
      <c r="AQ594" s="31" t="s">
        <v>1613</v>
      </c>
    </row>
    <row r="595" spans="1:43" ht="12.75">
      <c r="A595" s="6" t="s">
        <v>361</v>
      </c>
      <c r="B595" s="6" t="s">
        <v>596</v>
      </c>
      <c r="C595" s="6" t="s">
        <v>761</v>
      </c>
      <c r="D595" s="6" t="s">
        <v>1182</v>
      </c>
      <c r="E595" s="6" t="s">
        <v>1504</v>
      </c>
      <c r="F595" s="24">
        <v>3</v>
      </c>
      <c r="G595" s="24">
        <v>0</v>
      </c>
      <c r="H595" s="24">
        <f t="shared" si="166"/>
        <v>0</v>
      </c>
      <c r="I595" s="24">
        <f t="shared" si="167"/>
        <v>0</v>
      </c>
      <c r="J595" s="24">
        <f t="shared" si="168"/>
        <v>0</v>
      </c>
      <c r="K595" s="24">
        <v>0.0006</v>
      </c>
      <c r="L595" s="24">
        <f t="shared" si="169"/>
        <v>0.0018</v>
      </c>
      <c r="M595" s="36" t="s">
        <v>1531</v>
      </c>
      <c r="N595" s="36" t="s">
        <v>1533</v>
      </c>
      <c r="O595" s="24">
        <f t="shared" si="170"/>
        <v>0</v>
      </c>
      <c r="Z595" s="24">
        <f t="shared" si="171"/>
        <v>0</v>
      </c>
      <c r="AA595" s="24">
        <f t="shared" si="172"/>
        <v>0</v>
      </c>
      <c r="AB595" s="24">
        <f t="shared" si="173"/>
        <v>0</v>
      </c>
      <c r="AD595" s="39">
        <v>15</v>
      </c>
      <c r="AE595" s="39">
        <f t="shared" si="176"/>
        <v>0</v>
      </c>
      <c r="AF595" s="39">
        <f t="shared" si="177"/>
        <v>0</v>
      </c>
      <c r="AM595" s="39">
        <f t="shared" si="174"/>
        <v>0</v>
      </c>
      <c r="AN595" s="39">
        <f t="shared" si="175"/>
        <v>0</v>
      </c>
      <c r="AO595" s="40" t="s">
        <v>1571</v>
      </c>
      <c r="AP595" s="40" t="s">
        <v>1609</v>
      </c>
      <c r="AQ595" s="31" t="s">
        <v>1613</v>
      </c>
    </row>
    <row r="596" spans="1:37" ht="12.75">
      <c r="A596" s="4"/>
      <c r="B596" s="14" t="s">
        <v>596</v>
      </c>
      <c r="C596" s="14" t="s">
        <v>762</v>
      </c>
      <c r="D596" s="104" t="s">
        <v>1183</v>
      </c>
      <c r="E596" s="105"/>
      <c r="F596" s="105"/>
      <c r="G596" s="105"/>
      <c r="H596" s="42">
        <f>SUM(H597:H605)</f>
        <v>0</v>
      </c>
      <c r="I596" s="42">
        <f>SUM(I597:I605)</f>
        <v>0</v>
      </c>
      <c r="J596" s="42">
        <f>H596+I596</f>
        <v>0</v>
      </c>
      <c r="K596" s="31"/>
      <c r="L596" s="42">
        <f>SUM(L597:L605)</f>
        <v>0.08504</v>
      </c>
      <c r="M596" s="31"/>
      <c r="P596" s="42">
        <f>IF(Q596="PR",J596,SUM(O597:O605))</f>
        <v>0</v>
      </c>
      <c r="Q596" s="31" t="s">
        <v>1537</v>
      </c>
      <c r="R596" s="42">
        <f>IF(Q596="HS",H596,0)</f>
        <v>0</v>
      </c>
      <c r="S596" s="42">
        <f>IF(Q596="HS",I596-P596,0)</f>
        <v>0</v>
      </c>
      <c r="T596" s="42">
        <f>IF(Q596="PS",H596,0)</f>
        <v>0</v>
      </c>
      <c r="U596" s="42">
        <f>IF(Q596="PS",I596-P596,0)</f>
        <v>0</v>
      </c>
      <c r="V596" s="42">
        <f>IF(Q596="MP",H596,0)</f>
        <v>0</v>
      </c>
      <c r="W596" s="42">
        <f>IF(Q596="MP",I596-P596,0)</f>
        <v>0</v>
      </c>
      <c r="X596" s="42">
        <f>IF(Q596="OM",H596,0)</f>
        <v>0</v>
      </c>
      <c r="Y596" s="31" t="s">
        <v>596</v>
      </c>
      <c r="AI596" s="42">
        <f>SUM(Z597:Z605)</f>
        <v>0</v>
      </c>
      <c r="AJ596" s="42">
        <f>SUM(AA597:AA605)</f>
        <v>0</v>
      </c>
      <c r="AK596" s="42">
        <f>SUM(AB597:AB605)</f>
        <v>0</v>
      </c>
    </row>
    <row r="597" spans="1:43" ht="12.75">
      <c r="A597" s="6" t="s">
        <v>362</v>
      </c>
      <c r="B597" s="6" t="s">
        <v>596</v>
      </c>
      <c r="C597" s="6" t="s">
        <v>864</v>
      </c>
      <c r="D597" s="6" t="s">
        <v>1328</v>
      </c>
      <c r="E597" s="6" t="s">
        <v>1504</v>
      </c>
      <c r="F597" s="24">
        <v>1</v>
      </c>
      <c r="G597" s="24">
        <v>0</v>
      </c>
      <c r="H597" s="24">
        <f>F597*AE597</f>
        <v>0</v>
      </c>
      <c r="I597" s="24">
        <f>J597-H597</f>
        <v>0</v>
      </c>
      <c r="J597" s="24">
        <f>F597*G597</f>
        <v>0</v>
      </c>
      <c r="K597" s="24">
        <v>0.00044</v>
      </c>
      <c r="L597" s="24">
        <f>F597*K597</f>
        <v>0.00044</v>
      </c>
      <c r="M597" s="36" t="s">
        <v>1531</v>
      </c>
      <c r="N597" s="36" t="s">
        <v>1533</v>
      </c>
      <c r="O597" s="24">
        <f>IF(N597="5",I597,0)</f>
        <v>0</v>
      </c>
      <c r="Z597" s="24">
        <f>IF(AD597=0,J597,0)</f>
        <v>0</v>
      </c>
      <c r="AA597" s="24">
        <f>IF(AD597=15,J597,0)</f>
        <v>0</v>
      </c>
      <c r="AB597" s="24">
        <f>IF(AD597=21,J597,0)</f>
        <v>0</v>
      </c>
      <c r="AD597" s="39">
        <v>15</v>
      </c>
      <c r="AE597" s="39">
        <f>G597*1</f>
        <v>0</v>
      </c>
      <c r="AF597" s="39">
        <f>G597*(1-1)</f>
        <v>0</v>
      </c>
      <c r="AM597" s="39">
        <f>F597*AE597</f>
        <v>0</v>
      </c>
      <c r="AN597" s="39">
        <f>F597*AF597</f>
        <v>0</v>
      </c>
      <c r="AO597" s="40" t="s">
        <v>1572</v>
      </c>
      <c r="AP597" s="40" t="s">
        <v>1609</v>
      </c>
      <c r="AQ597" s="31" t="s">
        <v>1613</v>
      </c>
    </row>
    <row r="598" spans="1:43" ht="12.75">
      <c r="A598" s="5" t="s">
        <v>363</v>
      </c>
      <c r="B598" s="5" t="s">
        <v>596</v>
      </c>
      <c r="C598" s="5" t="s">
        <v>763</v>
      </c>
      <c r="D598" s="5" t="s">
        <v>1184</v>
      </c>
      <c r="E598" s="5" t="s">
        <v>1505</v>
      </c>
      <c r="F598" s="22">
        <v>30</v>
      </c>
      <c r="G598" s="22">
        <v>0</v>
      </c>
      <c r="H598" s="22">
        <f>F598*AE598</f>
        <v>0</v>
      </c>
      <c r="I598" s="22">
        <f>J598-H598</f>
        <v>0</v>
      </c>
      <c r="J598" s="22">
        <f>F598*G598</f>
        <v>0</v>
      </c>
      <c r="K598" s="22">
        <v>0</v>
      </c>
      <c r="L598" s="22">
        <f>F598*K598</f>
        <v>0</v>
      </c>
      <c r="M598" s="35" t="s">
        <v>1531</v>
      </c>
      <c r="N598" s="35" t="s">
        <v>7</v>
      </c>
      <c r="O598" s="22">
        <f>IF(N598="5",I598,0)</f>
        <v>0</v>
      </c>
      <c r="Z598" s="22">
        <f>IF(AD598=0,J598,0)</f>
        <v>0</v>
      </c>
      <c r="AA598" s="22">
        <f>IF(AD598=15,J598,0)</f>
        <v>0</v>
      </c>
      <c r="AB598" s="22">
        <f>IF(AD598=21,J598,0)</f>
        <v>0</v>
      </c>
      <c r="AD598" s="39">
        <v>15</v>
      </c>
      <c r="AE598" s="39">
        <f>G598*0</f>
        <v>0</v>
      </c>
      <c r="AF598" s="39">
        <f>G598*(1-0)</f>
        <v>0</v>
      </c>
      <c r="AM598" s="39">
        <f>F598*AE598</f>
        <v>0</v>
      </c>
      <c r="AN598" s="39">
        <f>F598*AF598</f>
        <v>0</v>
      </c>
      <c r="AO598" s="40" t="s">
        <v>1572</v>
      </c>
      <c r="AP598" s="40" t="s">
        <v>1609</v>
      </c>
      <c r="AQ598" s="31" t="s">
        <v>1613</v>
      </c>
    </row>
    <row r="599" spans="1:43" ht="12.75">
      <c r="A599" s="5" t="s">
        <v>364</v>
      </c>
      <c r="B599" s="5" t="s">
        <v>596</v>
      </c>
      <c r="C599" s="5" t="s">
        <v>650</v>
      </c>
      <c r="D599" s="5" t="s">
        <v>1054</v>
      </c>
      <c r="E599" s="5" t="s">
        <v>1507</v>
      </c>
      <c r="F599" s="22">
        <v>5</v>
      </c>
      <c r="G599" s="22">
        <v>0</v>
      </c>
      <c r="H599" s="22">
        <f>F599*AE599</f>
        <v>0</v>
      </c>
      <c r="I599" s="22">
        <f>J599-H599</f>
        <v>0</v>
      </c>
      <c r="J599" s="22">
        <f>F599*G599</f>
        <v>0</v>
      </c>
      <c r="K599" s="22">
        <v>0</v>
      </c>
      <c r="L599" s="22">
        <f>F599*K599</f>
        <v>0</v>
      </c>
      <c r="M599" s="35" t="s">
        <v>1531</v>
      </c>
      <c r="N599" s="35" t="s">
        <v>7</v>
      </c>
      <c r="O599" s="22">
        <f>IF(N599="5",I599,0)</f>
        <v>0</v>
      </c>
      <c r="Z599" s="22">
        <f>IF(AD599=0,J599,0)</f>
        <v>0</v>
      </c>
      <c r="AA599" s="22">
        <f>IF(AD599=15,J599,0)</f>
        <v>0</v>
      </c>
      <c r="AB599" s="22">
        <f>IF(AD599=21,J599,0)</f>
        <v>0</v>
      </c>
      <c r="AD599" s="39">
        <v>15</v>
      </c>
      <c r="AE599" s="39">
        <f>G599*0</f>
        <v>0</v>
      </c>
      <c r="AF599" s="39">
        <f>G599*(1-0)</f>
        <v>0</v>
      </c>
      <c r="AM599" s="39">
        <f>F599*AE599</f>
        <v>0</v>
      </c>
      <c r="AN599" s="39">
        <f>F599*AF599</f>
        <v>0</v>
      </c>
      <c r="AO599" s="40" t="s">
        <v>1572</v>
      </c>
      <c r="AP599" s="40" t="s">
        <v>1609</v>
      </c>
      <c r="AQ599" s="31" t="s">
        <v>1613</v>
      </c>
    </row>
    <row r="600" ht="12.75">
      <c r="D600" s="18" t="s">
        <v>1329</v>
      </c>
    </row>
    <row r="601" spans="1:43" ht="12.75">
      <c r="A601" s="6" t="s">
        <v>365</v>
      </c>
      <c r="B601" s="6" t="s">
        <v>596</v>
      </c>
      <c r="C601" s="6" t="s">
        <v>764</v>
      </c>
      <c r="D601" s="6" t="s">
        <v>1185</v>
      </c>
      <c r="E601" s="6" t="s">
        <v>1504</v>
      </c>
      <c r="F601" s="24">
        <v>10</v>
      </c>
      <c r="G601" s="24">
        <v>0</v>
      </c>
      <c r="H601" s="24">
        <f>F601*AE601</f>
        <v>0</v>
      </c>
      <c r="I601" s="24">
        <f>J601-H601</f>
        <v>0</v>
      </c>
      <c r="J601" s="24">
        <f>F601*G601</f>
        <v>0</v>
      </c>
      <c r="K601" s="24">
        <v>0.00381</v>
      </c>
      <c r="L601" s="24">
        <f>F601*K601</f>
        <v>0.0381</v>
      </c>
      <c r="M601" s="36" t="s">
        <v>1531</v>
      </c>
      <c r="N601" s="36" t="s">
        <v>1533</v>
      </c>
      <c r="O601" s="24">
        <f>IF(N601="5",I601,0)</f>
        <v>0</v>
      </c>
      <c r="Z601" s="24">
        <f>IF(AD601=0,J601,0)</f>
        <v>0</v>
      </c>
      <c r="AA601" s="24">
        <f>IF(AD601=15,J601,0)</f>
        <v>0</v>
      </c>
      <c r="AB601" s="24">
        <f>IF(AD601=21,J601,0)</f>
        <v>0</v>
      </c>
      <c r="AD601" s="39">
        <v>15</v>
      </c>
      <c r="AE601" s="39">
        <f>G601*1</f>
        <v>0</v>
      </c>
      <c r="AF601" s="39">
        <f>G601*(1-1)</f>
        <v>0</v>
      </c>
      <c r="AM601" s="39">
        <f>F601*AE601</f>
        <v>0</v>
      </c>
      <c r="AN601" s="39">
        <f>F601*AF601</f>
        <v>0</v>
      </c>
      <c r="AO601" s="40" t="s">
        <v>1572</v>
      </c>
      <c r="AP601" s="40" t="s">
        <v>1609</v>
      </c>
      <c r="AQ601" s="31" t="s">
        <v>1613</v>
      </c>
    </row>
    <row r="602" spans="1:43" ht="12.75">
      <c r="A602" s="6" t="s">
        <v>366</v>
      </c>
      <c r="B602" s="6" t="s">
        <v>596</v>
      </c>
      <c r="C602" s="6" t="s">
        <v>765</v>
      </c>
      <c r="D602" s="6" t="s">
        <v>1330</v>
      </c>
      <c r="E602" s="6" t="s">
        <v>1504</v>
      </c>
      <c r="F602" s="24">
        <v>3</v>
      </c>
      <c r="G602" s="24">
        <v>0</v>
      </c>
      <c r="H602" s="24">
        <f>F602*AE602</f>
        <v>0</v>
      </c>
      <c r="I602" s="24">
        <f>J602-H602</f>
        <v>0</v>
      </c>
      <c r="J602" s="24">
        <f>F602*G602</f>
        <v>0</v>
      </c>
      <c r="K602" s="24">
        <v>0.0005</v>
      </c>
      <c r="L602" s="24">
        <f>F602*K602</f>
        <v>0.0015</v>
      </c>
      <c r="M602" s="36" t="s">
        <v>1531</v>
      </c>
      <c r="N602" s="36" t="s">
        <v>1533</v>
      </c>
      <c r="O602" s="24">
        <f>IF(N602="5",I602,0)</f>
        <v>0</v>
      </c>
      <c r="Z602" s="24">
        <f>IF(AD602=0,J602,0)</f>
        <v>0</v>
      </c>
      <c r="AA602" s="24">
        <f>IF(AD602=15,J602,0)</f>
        <v>0</v>
      </c>
      <c r="AB602" s="24">
        <f>IF(AD602=21,J602,0)</f>
        <v>0</v>
      </c>
      <c r="AD602" s="39">
        <v>15</v>
      </c>
      <c r="AE602" s="39">
        <f>G602*1</f>
        <v>0</v>
      </c>
      <c r="AF602" s="39">
        <f>G602*(1-1)</f>
        <v>0</v>
      </c>
      <c r="AM602" s="39">
        <f>F602*AE602</f>
        <v>0</v>
      </c>
      <c r="AN602" s="39">
        <f>F602*AF602</f>
        <v>0</v>
      </c>
      <c r="AO602" s="40" t="s">
        <v>1572</v>
      </c>
      <c r="AP602" s="40" t="s">
        <v>1609</v>
      </c>
      <c r="AQ602" s="31" t="s">
        <v>1613</v>
      </c>
    </row>
    <row r="603" spans="1:43" ht="12.75">
      <c r="A603" s="5" t="s">
        <v>367</v>
      </c>
      <c r="B603" s="5" t="s">
        <v>596</v>
      </c>
      <c r="C603" s="5" t="s">
        <v>768</v>
      </c>
      <c r="D603" s="5" t="s">
        <v>1190</v>
      </c>
      <c r="E603" s="5" t="s">
        <v>1504</v>
      </c>
      <c r="F603" s="22">
        <v>3</v>
      </c>
      <c r="G603" s="22">
        <v>0</v>
      </c>
      <c r="H603" s="22">
        <f>F603*AE603</f>
        <v>0</v>
      </c>
      <c r="I603" s="22">
        <f>J603-H603</f>
        <v>0</v>
      </c>
      <c r="J603" s="22">
        <f>F603*G603</f>
        <v>0</v>
      </c>
      <c r="K603" s="22">
        <v>0</v>
      </c>
      <c r="L603" s="22">
        <f>F603*K603</f>
        <v>0</v>
      </c>
      <c r="M603" s="35" t="s">
        <v>1531</v>
      </c>
      <c r="N603" s="35" t="s">
        <v>7</v>
      </c>
      <c r="O603" s="22">
        <f>IF(N603="5",I603,0)</f>
        <v>0</v>
      </c>
      <c r="Z603" s="22">
        <f>IF(AD603=0,J603,0)</f>
        <v>0</v>
      </c>
      <c r="AA603" s="22">
        <f>IF(AD603=15,J603,0)</f>
        <v>0</v>
      </c>
      <c r="AB603" s="22">
        <f>IF(AD603=21,J603,0)</f>
        <v>0</v>
      </c>
      <c r="AD603" s="39">
        <v>15</v>
      </c>
      <c r="AE603" s="39">
        <f>G603*0</f>
        <v>0</v>
      </c>
      <c r="AF603" s="39">
        <f>G603*(1-0)</f>
        <v>0</v>
      </c>
      <c r="AM603" s="39">
        <f>F603*AE603</f>
        <v>0</v>
      </c>
      <c r="AN603" s="39">
        <f>F603*AF603</f>
        <v>0</v>
      </c>
      <c r="AO603" s="40" t="s">
        <v>1572</v>
      </c>
      <c r="AP603" s="40" t="s">
        <v>1609</v>
      </c>
      <c r="AQ603" s="31" t="s">
        <v>1613</v>
      </c>
    </row>
    <row r="604" ht="39.6">
      <c r="D604" s="18" t="s">
        <v>1191</v>
      </c>
    </row>
    <row r="605" spans="1:43" ht="12.75">
      <c r="A605" s="6" t="s">
        <v>368</v>
      </c>
      <c r="B605" s="6" t="s">
        <v>596</v>
      </c>
      <c r="C605" s="6" t="s">
        <v>767</v>
      </c>
      <c r="D605" s="6" t="s">
        <v>1189</v>
      </c>
      <c r="E605" s="6" t="s">
        <v>1504</v>
      </c>
      <c r="F605" s="24">
        <v>3</v>
      </c>
      <c r="G605" s="24">
        <v>0</v>
      </c>
      <c r="H605" s="24">
        <f>F605*AE605</f>
        <v>0</v>
      </c>
      <c r="I605" s="24">
        <f>J605-H605</f>
        <v>0</v>
      </c>
      <c r="J605" s="24">
        <f>F605*G605</f>
        <v>0</v>
      </c>
      <c r="K605" s="24">
        <v>0.015</v>
      </c>
      <c r="L605" s="24">
        <f>F605*K605</f>
        <v>0.045</v>
      </c>
      <c r="M605" s="36" t="s">
        <v>1531</v>
      </c>
      <c r="N605" s="36" t="s">
        <v>1533</v>
      </c>
      <c r="O605" s="24">
        <f>IF(N605="5",I605,0)</f>
        <v>0</v>
      </c>
      <c r="Z605" s="24">
        <f>IF(AD605=0,J605,0)</f>
        <v>0</v>
      </c>
      <c r="AA605" s="24">
        <f>IF(AD605=15,J605,0)</f>
        <v>0</v>
      </c>
      <c r="AB605" s="24">
        <f>IF(AD605=21,J605,0)</f>
        <v>0</v>
      </c>
      <c r="AD605" s="39">
        <v>15</v>
      </c>
      <c r="AE605" s="39">
        <f>G605*1</f>
        <v>0</v>
      </c>
      <c r="AF605" s="39">
        <f>G605*(1-1)</f>
        <v>0</v>
      </c>
      <c r="AM605" s="39">
        <f>F605*AE605</f>
        <v>0</v>
      </c>
      <c r="AN605" s="39">
        <f>F605*AF605</f>
        <v>0</v>
      </c>
      <c r="AO605" s="40" t="s">
        <v>1572</v>
      </c>
      <c r="AP605" s="40" t="s">
        <v>1609</v>
      </c>
      <c r="AQ605" s="31" t="s">
        <v>1613</v>
      </c>
    </row>
    <row r="606" spans="1:37" ht="12.75">
      <c r="A606" s="4"/>
      <c r="B606" s="14" t="s">
        <v>596</v>
      </c>
      <c r="C606" s="14" t="s">
        <v>615</v>
      </c>
      <c r="D606" s="104" t="s">
        <v>991</v>
      </c>
      <c r="E606" s="105"/>
      <c r="F606" s="105"/>
      <c r="G606" s="105"/>
      <c r="H606" s="42">
        <f>SUM(H607:H609)</f>
        <v>0</v>
      </c>
      <c r="I606" s="42">
        <f>SUM(I607:I609)</f>
        <v>0</v>
      </c>
      <c r="J606" s="42">
        <f>H606+I606</f>
        <v>0</v>
      </c>
      <c r="K606" s="31"/>
      <c r="L606" s="42">
        <f>SUM(L607:L609)</f>
        <v>0.11105999999999998</v>
      </c>
      <c r="M606" s="31"/>
      <c r="P606" s="42">
        <f>IF(Q606="PR",J606,SUM(O607:O609))</f>
        <v>0</v>
      </c>
      <c r="Q606" s="31" t="s">
        <v>1537</v>
      </c>
      <c r="R606" s="42">
        <f>IF(Q606="HS",H606,0)</f>
        <v>0</v>
      </c>
      <c r="S606" s="42">
        <f>IF(Q606="HS",I606-P606,0)</f>
        <v>0</v>
      </c>
      <c r="T606" s="42">
        <f>IF(Q606="PS",H606,0)</f>
        <v>0</v>
      </c>
      <c r="U606" s="42">
        <f>IF(Q606="PS",I606-P606,0)</f>
        <v>0</v>
      </c>
      <c r="V606" s="42">
        <f>IF(Q606="MP",H606,0)</f>
        <v>0</v>
      </c>
      <c r="W606" s="42">
        <f>IF(Q606="MP",I606-P606,0)</f>
        <v>0</v>
      </c>
      <c r="X606" s="42">
        <f>IF(Q606="OM",H606,0)</f>
        <v>0</v>
      </c>
      <c r="Y606" s="31" t="s">
        <v>596</v>
      </c>
      <c r="AI606" s="42">
        <f>SUM(Z607:Z609)</f>
        <v>0</v>
      </c>
      <c r="AJ606" s="42">
        <f>SUM(AA607:AA609)</f>
        <v>0</v>
      </c>
      <c r="AK606" s="42">
        <f>SUM(AB607:AB609)</f>
        <v>0</v>
      </c>
    </row>
    <row r="607" spans="1:43" ht="12.75">
      <c r="A607" s="5" t="s">
        <v>369</v>
      </c>
      <c r="B607" s="5" t="s">
        <v>596</v>
      </c>
      <c r="C607" s="5" t="s">
        <v>770</v>
      </c>
      <c r="D607" s="5" t="s">
        <v>1193</v>
      </c>
      <c r="E607" s="5" t="s">
        <v>1504</v>
      </c>
      <c r="F607" s="22">
        <v>3</v>
      </c>
      <c r="G607" s="22">
        <v>0</v>
      </c>
      <c r="H607" s="22">
        <f>F607*AE607</f>
        <v>0</v>
      </c>
      <c r="I607" s="22">
        <f>J607-H607</f>
        <v>0</v>
      </c>
      <c r="J607" s="22">
        <f>F607*G607</f>
        <v>0</v>
      </c>
      <c r="K607" s="22">
        <v>0.00012</v>
      </c>
      <c r="L607" s="22">
        <f>F607*K607</f>
        <v>0.00036</v>
      </c>
      <c r="M607" s="35" t="s">
        <v>1531</v>
      </c>
      <c r="N607" s="35" t="s">
        <v>7</v>
      </c>
      <c r="O607" s="22">
        <f>IF(N607="5",I607,0)</f>
        <v>0</v>
      </c>
      <c r="Z607" s="22">
        <f>IF(AD607=0,J607,0)</f>
        <v>0</v>
      </c>
      <c r="AA607" s="22">
        <f>IF(AD607=15,J607,0)</f>
        <v>0</v>
      </c>
      <c r="AB607" s="22">
        <f>IF(AD607=21,J607,0)</f>
        <v>0</v>
      </c>
      <c r="AD607" s="39">
        <v>15</v>
      </c>
      <c r="AE607" s="39">
        <f>G607*0.0104718875502008</f>
        <v>0</v>
      </c>
      <c r="AF607" s="39">
        <f>G607*(1-0.0104718875502008)</f>
        <v>0</v>
      </c>
      <c r="AM607" s="39">
        <f>F607*AE607</f>
        <v>0</v>
      </c>
      <c r="AN607" s="39">
        <f>F607*AF607</f>
        <v>0</v>
      </c>
      <c r="AO607" s="40" t="s">
        <v>1549</v>
      </c>
      <c r="AP607" s="40" t="s">
        <v>1603</v>
      </c>
      <c r="AQ607" s="31" t="s">
        <v>1613</v>
      </c>
    </row>
    <row r="608" spans="1:43" ht="12.75">
      <c r="A608" s="6" t="s">
        <v>370</v>
      </c>
      <c r="B608" s="6" t="s">
        <v>596</v>
      </c>
      <c r="C608" s="6" t="s">
        <v>771</v>
      </c>
      <c r="D608" s="6" t="s">
        <v>1194</v>
      </c>
      <c r="E608" s="6" t="s">
        <v>1504</v>
      </c>
      <c r="F608" s="24">
        <v>3</v>
      </c>
      <c r="G608" s="24">
        <v>0</v>
      </c>
      <c r="H608" s="24">
        <f>F608*AE608</f>
        <v>0</v>
      </c>
      <c r="I608" s="24">
        <f>J608-H608</f>
        <v>0</v>
      </c>
      <c r="J608" s="24">
        <f>F608*G608</f>
        <v>0</v>
      </c>
      <c r="K608" s="24">
        <v>0.036</v>
      </c>
      <c r="L608" s="24">
        <f>F608*K608</f>
        <v>0.10799999999999998</v>
      </c>
      <c r="M608" s="36" t="s">
        <v>1531</v>
      </c>
      <c r="N608" s="36" t="s">
        <v>1533</v>
      </c>
      <c r="O608" s="24">
        <f>IF(N608="5",I608,0)</f>
        <v>0</v>
      </c>
      <c r="Z608" s="24">
        <f>IF(AD608=0,J608,0)</f>
        <v>0</v>
      </c>
      <c r="AA608" s="24">
        <f>IF(AD608=15,J608,0)</f>
        <v>0</v>
      </c>
      <c r="AB608" s="24">
        <f>IF(AD608=21,J608,0)</f>
        <v>0</v>
      </c>
      <c r="AD608" s="39">
        <v>15</v>
      </c>
      <c r="AE608" s="39">
        <f>G608*1</f>
        <v>0</v>
      </c>
      <c r="AF608" s="39">
        <f>G608*(1-1)</f>
        <v>0</v>
      </c>
      <c r="AM608" s="39">
        <f>F608*AE608</f>
        <v>0</v>
      </c>
      <c r="AN608" s="39">
        <f>F608*AF608</f>
        <v>0</v>
      </c>
      <c r="AO608" s="40" t="s">
        <v>1549</v>
      </c>
      <c r="AP608" s="40" t="s">
        <v>1603</v>
      </c>
      <c r="AQ608" s="31" t="s">
        <v>1613</v>
      </c>
    </row>
    <row r="609" spans="1:43" ht="12.75">
      <c r="A609" s="6" t="s">
        <v>371</v>
      </c>
      <c r="B609" s="6" t="s">
        <v>596</v>
      </c>
      <c r="C609" s="6" t="s">
        <v>769</v>
      </c>
      <c r="D609" s="6" t="s">
        <v>1192</v>
      </c>
      <c r="E609" s="6" t="s">
        <v>1504</v>
      </c>
      <c r="F609" s="24">
        <v>18</v>
      </c>
      <c r="G609" s="24">
        <v>0</v>
      </c>
      <c r="H609" s="24">
        <f>F609*AE609</f>
        <v>0</v>
      </c>
      <c r="I609" s="24">
        <f>J609-H609</f>
        <v>0</v>
      </c>
      <c r="J609" s="24">
        <f>F609*G609</f>
        <v>0</v>
      </c>
      <c r="K609" s="24">
        <v>0.00015</v>
      </c>
      <c r="L609" s="24">
        <f>F609*K609</f>
        <v>0.0026999999999999997</v>
      </c>
      <c r="M609" s="36" t="s">
        <v>1531</v>
      </c>
      <c r="N609" s="36" t="s">
        <v>1533</v>
      </c>
      <c r="O609" s="24">
        <f>IF(N609="5",I609,0)</f>
        <v>0</v>
      </c>
      <c r="Z609" s="24">
        <f>IF(AD609=0,J609,0)</f>
        <v>0</v>
      </c>
      <c r="AA609" s="24">
        <f>IF(AD609=15,J609,0)</f>
        <v>0</v>
      </c>
      <c r="AB609" s="24">
        <f>IF(AD609=21,J609,0)</f>
        <v>0</v>
      </c>
      <c r="AD609" s="39">
        <v>15</v>
      </c>
      <c r="AE609" s="39">
        <f>G609*1</f>
        <v>0</v>
      </c>
      <c r="AF609" s="39">
        <f>G609*(1-1)</f>
        <v>0</v>
      </c>
      <c r="AM609" s="39">
        <f>F609*AE609</f>
        <v>0</v>
      </c>
      <c r="AN609" s="39">
        <f>F609*AF609</f>
        <v>0</v>
      </c>
      <c r="AO609" s="40" t="s">
        <v>1549</v>
      </c>
      <c r="AP609" s="40" t="s">
        <v>1603</v>
      </c>
      <c r="AQ609" s="31" t="s">
        <v>1613</v>
      </c>
    </row>
    <row r="610" spans="1:37" ht="12.75">
      <c r="A610" s="4"/>
      <c r="B610" s="14" t="s">
        <v>596</v>
      </c>
      <c r="C610" s="14" t="s">
        <v>772</v>
      </c>
      <c r="D610" s="104" t="s">
        <v>1195</v>
      </c>
      <c r="E610" s="105"/>
      <c r="F610" s="105"/>
      <c r="G610" s="105"/>
      <c r="H610" s="42">
        <f>SUM(H611:H611)</f>
        <v>0</v>
      </c>
      <c r="I610" s="42">
        <f>SUM(I611:I611)</f>
        <v>0</v>
      </c>
      <c r="J610" s="42">
        <f>H610+I610</f>
        <v>0</v>
      </c>
      <c r="K610" s="31"/>
      <c r="L610" s="42">
        <f>SUM(L611:L611)</f>
        <v>0.02118</v>
      </c>
      <c r="M610" s="31"/>
      <c r="P610" s="42">
        <f>IF(Q610="PR",J610,SUM(O611:O611))</f>
        <v>0</v>
      </c>
      <c r="Q610" s="31" t="s">
        <v>1537</v>
      </c>
      <c r="R610" s="42">
        <f>IF(Q610="HS",H610,0)</f>
        <v>0</v>
      </c>
      <c r="S610" s="42">
        <f>IF(Q610="HS",I610-P610,0)</f>
        <v>0</v>
      </c>
      <c r="T610" s="42">
        <f>IF(Q610="PS",H610,0)</f>
        <v>0</v>
      </c>
      <c r="U610" s="42">
        <f>IF(Q610="PS",I610-P610,0)</f>
        <v>0</v>
      </c>
      <c r="V610" s="42">
        <f>IF(Q610="MP",H610,0)</f>
        <v>0</v>
      </c>
      <c r="W610" s="42">
        <f>IF(Q610="MP",I610-P610,0)</f>
        <v>0</v>
      </c>
      <c r="X610" s="42">
        <f>IF(Q610="OM",H610,0)</f>
        <v>0</v>
      </c>
      <c r="Y610" s="31" t="s">
        <v>596</v>
      </c>
      <c r="AI610" s="42">
        <f>SUM(Z611:Z611)</f>
        <v>0</v>
      </c>
      <c r="AJ610" s="42">
        <f>SUM(AA611:AA611)</f>
        <v>0</v>
      </c>
      <c r="AK610" s="42">
        <f>SUM(AB611:AB611)</f>
        <v>0</v>
      </c>
    </row>
    <row r="611" spans="1:43" ht="12.75">
      <c r="A611" s="5" t="s">
        <v>372</v>
      </c>
      <c r="B611" s="5" t="s">
        <v>596</v>
      </c>
      <c r="C611" s="5" t="s">
        <v>773</v>
      </c>
      <c r="D611" s="5" t="s">
        <v>1196</v>
      </c>
      <c r="E611" s="5" t="s">
        <v>1504</v>
      </c>
      <c r="F611" s="22">
        <v>3</v>
      </c>
      <c r="G611" s="22">
        <v>0</v>
      </c>
      <c r="H611" s="22">
        <f>F611*AE611</f>
        <v>0</v>
      </c>
      <c r="I611" s="22">
        <f>J611-H611</f>
        <v>0</v>
      </c>
      <c r="J611" s="22">
        <f>F611*G611</f>
        <v>0</v>
      </c>
      <c r="K611" s="22">
        <v>0.00706</v>
      </c>
      <c r="L611" s="22">
        <f>F611*K611</f>
        <v>0.02118</v>
      </c>
      <c r="M611" s="35" t="s">
        <v>1531</v>
      </c>
      <c r="N611" s="35" t="s">
        <v>7</v>
      </c>
      <c r="O611" s="22">
        <f>IF(N611="5",I611,0)</f>
        <v>0</v>
      </c>
      <c r="Z611" s="22">
        <f>IF(AD611=0,J611,0)</f>
        <v>0</v>
      </c>
      <c r="AA611" s="22">
        <f>IF(AD611=15,J611,0)</f>
        <v>0</v>
      </c>
      <c r="AB611" s="22">
        <f>IF(AD611=21,J611,0)</f>
        <v>0</v>
      </c>
      <c r="AD611" s="39">
        <v>15</v>
      </c>
      <c r="AE611" s="39">
        <f>G611*0</f>
        <v>0</v>
      </c>
      <c r="AF611" s="39">
        <f>G611*(1-0)</f>
        <v>0</v>
      </c>
      <c r="AM611" s="39">
        <f>F611*AE611</f>
        <v>0</v>
      </c>
      <c r="AN611" s="39">
        <f>F611*AF611</f>
        <v>0</v>
      </c>
      <c r="AO611" s="40" t="s">
        <v>1573</v>
      </c>
      <c r="AP611" s="40" t="s">
        <v>1603</v>
      </c>
      <c r="AQ611" s="31" t="s">
        <v>1613</v>
      </c>
    </row>
    <row r="612" spans="1:37" ht="12.75">
      <c r="A612" s="4"/>
      <c r="B612" s="14" t="s">
        <v>596</v>
      </c>
      <c r="C612" s="14" t="s">
        <v>774</v>
      </c>
      <c r="D612" s="104" t="s">
        <v>1198</v>
      </c>
      <c r="E612" s="105"/>
      <c r="F612" s="105"/>
      <c r="G612" s="105"/>
      <c r="H612" s="42">
        <f>SUM(H613:H616)</f>
        <v>0</v>
      </c>
      <c r="I612" s="42">
        <f>SUM(I613:I616)</f>
        <v>0</v>
      </c>
      <c r="J612" s="42">
        <f>H612+I612</f>
        <v>0</v>
      </c>
      <c r="K612" s="31"/>
      <c r="L612" s="42">
        <f>SUM(L613:L616)</f>
        <v>0.46298999999999996</v>
      </c>
      <c r="M612" s="31"/>
      <c r="P612" s="42">
        <f>IF(Q612="PR",J612,SUM(O613:O616))</f>
        <v>0</v>
      </c>
      <c r="Q612" s="31" t="s">
        <v>1537</v>
      </c>
      <c r="R612" s="42">
        <f>IF(Q612="HS",H612,0)</f>
        <v>0</v>
      </c>
      <c r="S612" s="42">
        <f>IF(Q612="HS",I612-P612,0)</f>
        <v>0</v>
      </c>
      <c r="T612" s="42">
        <f>IF(Q612="PS",H612,0)</f>
        <v>0</v>
      </c>
      <c r="U612" s="42">
        <f>IF(Q612="PS",I612-P612,0)</f>
        <v>0</v>
      </c>
      <c r="V612" s="42">
        <f>IF(Q612="MP",H612,0)</f>
        <v>0</v>
      </c>
      <c r="W612" s="42">
        <f>IF(Q612="MP",I612-P612,0)</f>
        <v>0</v>
      </c>
      <c r="X612" s="42">
        <f>IF(Q612="OM",H612,0)</f>
        <v>0</v>
      </c>
      <c r="Y612" s="31" t="s">
        <v>596</v>
      </c>
      <c r="AI612" s="42">
        <f>SUM(Z613:Z616)</f>
        <v>0</v>
      </c>
      <c r="AJ612" s="42">
        <f>SUM(AA613:AA616)</f>
        <v>0</v>
      </c>
      <c r="AK612" s="42">
        <f>SUM(AB613:AB616)</f>
        <v>0</v>
      </c>
    </row>
    <row r="613" spans="1:43" ht="12.75">
      <c r="A613" s="5" t="s">
        <v>373</v>
      </c>
      <c r="B613" s="5" t="s">
        <v>596</v>
      </c>
      <c r="C613" s="5" t="s">
        <v>775</v>
      </c>
      <c r="D613" s="5" t="s">
        <v>1199</v>
      </c>
      <c r="E613" s="5" t="s">
        <v>1503</v>
      </c>
      <c r="F613" s="22">
        <v>18</v>
      </c>
      <c r="G613" s="22">
        <v>0</v>
      </c>
      <c r="H613" s="22">
        <f>F613*AE613</f>
        <v>0</v>
      </c>
      <c r="I613" s="22">
        <f>J613-H613</f>
        <v>0</v>
      </c>
      <c r="J613" s="22">
        <f>F613*G613</f>
        <v>0</v>
      </c>
      <c r="K613" s="22">
        <v>0.02395</v>
      </c>
      <c r="L613" s="22">
        <f>F613*K613</f>
        <v>0.4311</v>
      </c>
      <c r="M613" s="35" t="s">
        <v>1531</v>
      </c>
      <c r="N613" s="35" t="s">
        <v>9</v>
      </c>
      <c r="O613" s="22">
        <f>IF(N613="5",I613,0)</f>
        <v>0</v>
      </c>
      <c r="Z613" s="22">
        <f>IF(AD613=0,J613,0)</f>
        <v>0</v>
      </c>
      <c r="AA613" s="22">
        <f>IF(AD613=15,J613,0)</f>
        <v>0</v>
      </c>
      <c r="AB613" s="22">
        <f>IF(AD613=21,J613,0)</f>
        <v>0</v>
      </c>
      <c r="AD613" s="39">
        <v>15</v>
      </c>
      <c r="AE613" s="39">
        <f>G613*0.0013986013986014</f>
        <v>0</v>
      </c>
      <c r="AF613" s="39">
        <f>G613*(1-0.0013986013986014)</f>
        <v>0</v>
      </c>
      <c r="AM613" s="39">
        <f>F613*AE613</f>
        <v>0</v>
      </c>
      <c r="AN613" s="39">
        <f>F613*AF613</f>
        <v>0</v>
      </c>
      <c r="AO613" s="40" t="s">
        <v>1574</v>
      </c>
      <c r="AP613" s="40" t="s">
        <v>1603</v>
      </c>
      <c r="AQ613" s="31" t="s">
        <v>1613</v>
      </c>
    </row>
    <row r="614" spans="4:6" ht="10.8" customHeight="1">
      <c r="D614" s="17" t="s">
        <v>1200</v>
      </c>
      <c r="F614" s="23">
        <v>18</v>
      </c>
    </row>
    <row r="615" spans="1:43" ht="12.75">
      <c r="A615" s="5" t="s">
        <v>374</v>
      </c>
      <c r="B615" s="5" t="s">
        <v>596</v>
      </c>
      <c r="C615" s="5" t="s">
        <v>776</v>
      </c>
      <c r="D615" s="5" t="s">
        <v>1201</v>
      </c>
      <c r="E615" s="5" t="s">
        <v>1504</v>
      </c>
      <c r="F615" s="22">
        <v>3</v>
      </c>
      <c r="G615" s="22">
        <v>0</v>
      </c>
      <c r="H615" s="22">
        <f>F615*AE615</f>
        <v>0</v>
      </c>
      <c r="I615" s="22">
        <f>J615-H615</f>
        <v>0</v>
      </c>
      <c r="J615" s="22">
        <f>F615*G615</f>
        <v>0</v>
      </c>
      <c r="K615" s="22">
        <v>0.0086</v>
      </c>
      <c r="L615" s="22">
        <f>F615*K615</f>
        <v>0.0258</v>
      </c>
      <c r="M615" s="35" t="s">
        <v>1531</v>
      </c>
      <c r="N615" s="35" t="s">
        <v>7</v>
      </c>
      <c r="O615" s="22">
        <f>IF(N615="5",I615,0)</f>
        <v>0</v>
      </c>
      <c r="Z615" s="22">
        <f>IF(AD615=0,J615,0)</f>
        <v>0</v>
      </c>
      <c r="AA615" s="22">
        <f>IF(AD615=15,J615,0)</f>
        <v>0</v>
      </c>
      <c r="AB615" s="22">
        <f>IF(AD615=21,J615,0)</f>
        <v>0</v>
      </c>
      <c r="AD615" s="39">
        <v>15</v>
      </c>
      <c r="AE615" s="39">
        <f>G615*0.866242952332137</f>
        <v>0</v>
      </c>
      <c r="AF615" s="39">
        <f>G615*(1-0.866242952332137)</f>
        <v>0</v>
      </c>
      <c r="AM615" s="39">
        <f>F615*AE615</f>
        <v>0</v>
      </c>
      <c r="AN615" s="39">
        <f>F615*AF615</f>
        <v>0</v>
      </c>
      <c r="AO615" s="40" t="s">
        <v>1574</v>
      </c>
      <c r="AP615" s="40" t="s">
        <v>1603</v>
      </c>
      <c r="AQ615" s="31" t="s">
        <v>1613</v>
      </c>
    </row>
    <row r="616" spans="1:43" ht="12.75">
      <c r="A616" s="5" t="s">
        <v>375</v>
      </c>
      <c r="B616" s="5" t="s">
        <v>596</v>
      </c>
      <c r="C616" s="5" t="s">
        <v>777</v>
      </c>
      <c r="D616" s="5" t="s">
        <v>1202</v>
      </c>
      <c r="E616" s="5" t="s">
        <v>1504</v>
      </c>
      <c r="F616" s="22">
        <v>3</v>
      </c>
      <c r="G616" s="22">
        <v>0</v>
      </c>
      <c r="H616" s="22">
        <f>F616*AE616</f>
        <v>0</v>
      </c>
      <c r="I616" s="22">
        <f>J616-H616</f>
        <v>0</v>
      </c>
      <c r="J616" s="22">
        <f>F616*G616</f>
        <v>0</v>
      </c>
      <c r="K616" s="22">
        <v>0.00203</v>
      </c>
      <c r="L616" s="22">
        <f>F616*K616</f>
        <v>0.00609</v>
      </c>
      <c r="M616" s="35" t="s">
        <v>1531</v>
      </c>
      <c r="N616" s="35" t="s">
        <v>7</v>
      </c>
      <c r="O616" s="22">
        <f>IF(N616="5",I616,0)</f>
        <v>0</v>
      </c>
      <c r="Z616" s="22">
        <f>IF(AD616=0,J616,0)</f>
        <v>0</v>
      </c>
      <c r="AA616" s="22">
        <f>IF(AD616=15,J616,0)</f>
        <v>0</v>
      </c>
      <c r="AB616" s="22">
        <f>IF(AD616=21,J616,0)</f>
        <v>0</v>
      </c>
      <c r="AD616" s="39">
        <v>15</v>
      </c>
      <c r="AE616" s="39">
        <f>G616*1</f>
        <v>0</v>
      </c>
      <c r="AF616" s="39">
        <f>G616*(1-1)</f>
        <v>0</v>
      </c>
      <c r="AM616" s="39">
        <f>F616*AE616</f>
        <v>0</v>
      </c>
      <c r="AN616" s="39">
        <f>F616*AF616</f>
        <v>0</v>
      </c>
      <c r="AO616" s="40" t="s">
        <v>1574</v>
      </c>
      <c r="AP616" s="40" t="s">
        <v>1603</v>
      </c>
      <c r="AQ616" s="31" t="s">
        <v>1613</v>
      </c>
    </row>
    <row r="617" spans="1:37" ht="12.75">
      <c r="A617" s="4"/>
      <c r="B617" s="14" t="s">
        <v>596</v>
      </c>
      <c r="C617" s="14" t="s">
        <v>778</v>
      </c>
      <c r="D617" s="104" t="s">
        <v>1203</v>
      </c>
      <c r="E617" s="105"/>
      <c r="F617" s="105"/>
      <c r="G617" s="105"/>
      <c r="H617" s="42">
        <f>SUM(H618:H619)</f>
        <v>0</v>
      </c>
      <c r="I617" s="42">
        <f>SUM(I618:I619)</f>
        <v>0</v>
      </c>
      <c r="J617" s="42">
        <f>H617+I617</f>
        <v>0</v>
      </c>
      <c r="K617" s="31"/>
      <c r="L617" s="42">
        <f>SUM(L618:L619)</f>
        <v>0.942464</v>
      </c>
      <c r="M617" s="31"/>
      <c r="P617" s="42">
        <f>IF(Q617="PR",J617,SUM(O618:O619))</f>
        <v>0</v>
      </c>
      <c r="Q617" s="31" t="s">
        <v>1537</v>
      </c>
      <c r="R617" s="42">
        <f>IF(Q617="HS",H617,0)</f>
        <v>0</v>
      </c>
      <c r="S617" s="42">
        <f>IF(Q617="HS",I617-P617,0)</f>
        <v>0</v>
      </c>
      <c r="T617" s="42">
        <f>IF(Q617="PS",H617,0)</f>
        <v>0</v>
      </c>
      <c r="U617" s="42">
        <f>IF(Q617="PS",I617-P617,0)</f>
        <v>0</v>
      </c>
      <c r="V617" s="42">
        <f>IF(Q617="MP",H617,0)</f>
        <v>0</v>
      </c>
      <c r="W617" s="42">
        <f>IF(Q617="MP",I617-P617,0)</f>
        <v>0</v>
      </c>
      <c r="X617" s="42">
        <f>IF(Q617="OM",H617,0)</f>
        <v>0</v>
      </c>
      <c r="Y617" s="31" t="s">
        <v>596</v>
      </c>
      <c r="AI617" s="42">
        <f>SUM(Z618:Z619)</f>
        <v>0</v>
      </c>
      <c r="AJ617" s="42">
        <f>SUM(AA618:AA619)</f>
        <v>0</v>
      </c>
      <c r="AK617" s="42">
        <f>SUM(AB618:AB619)</f>
        <v>0</v>
      </c>
    </row>
    <row r="618" spans="1:43" ht="12.75">
      <c r="A618" s="5" t="s">
        <v>376</v>
      </c>
      <c r="B618" s="5" t="s">
        <v>596</v>
      </c>
      <c r="C618" s="5" t="s">
        <v>779</v>
      </c>
      <c r="D618" s="5" t="s">
        <v>1204</v>
      </c>
      <c r="E618" s="5" t="s">
        <v>1503</v>
      </c>
      <c r="F618" s="22">
        <v>159.2</v>
      </c>
      <c r="G618" s="22">
        <v>0</v>
      </c>
      <c r="H618" s="22">
        <f>F618*AE618</f>
        <v>0</v>
      </c>
      <c r="I618" s="22">
        <f>J618-H618</f>
        <v>0</v>
      </c>
      <c r="J618" s="22">
        <f>F618*G618</f>
        <v>0</v>
      </c>
      <c r="K618" s="22">
        <v>0.00449</v>
      </c>
      <c r="L618" s="22">
        <f>F618*K618</f>
        <v>0.714808</v>
      </c>
      <c r="M618" s="35" t="s">
        <v>1531</v>
      </c>
      <c r="N618" s="35" t="s">
        <v>7</v>
      </c>
      <c r="O618" s="22">
        <f>IF(N618="5",I618,0)</f>
        <v>0</v>
      </c>
      <c r="Z618" s="22">
        <f>IF(AD618=0,J618,0)</f>
        <v>0</v>
      </c>
      <c r="AA618" s="22">
        <f>IF(AD618=15,J618,0)</f>
        <v>0</v>
      </c>
      <c r="AB618" s="22">
        <f>IF(AD618=21,J618,0)</f>
        <v>0</v>
      </c>
      <c r="AD618" s="39">
        <v>15</v>
      </c>
      <c r="AE618" s="39">
        <f>G618*0.568561690524881</f>
        <v>0</v>
      </c>
      <c r="AF618" s="39">
        <f>G618*(1-0.568561690524881)</f>
        <v>0</v>
      </c>
      <c r="AM618" s="39">
        <f>F618*AE618</f>
        <v>0</v>
      </c>
      <c r="AN618" s="39">
        <f>F618*AF618</f>
        <v>0</v>
      </c>
      <c r="AO618" s="40" t="s">
        <v>1575</v>
      </c>
      <c r="AP618" s="40" t="s">
        <v>1603</v>
      </c>
      <c r="AQ618" s="31" t="s">
        <v>1613</v>
      </c>
    </row>
    <row r="619" spans="1:43" ht="12.75">
      <c r="A619" s="6" t="s">
        <v>377</v>
      </c>
      <c r="B619" s="6" t="s">
        <v>596</v>
      </c>
      <c r="C619" s="6" t="s">
        <v>780</v>
      </c>
      <c r="D619" s="6" t="s">
        <v>1205</v>
      </c>
      <c r="E619" s="6" t="s">
        <v>1503</v>
      </c>
      <c r="F619" s="24">
        <v>175.12</v>
      </c>
      <c r="G619" s="24">
        <v>0</v>
      </c>
      <c r="H619" s="24">
        <f>F619*AE619</f>
        <v>0</v>
      </c>
      <c r="I619" s="24">
        <f>J619-H619</f>
        <v>0</v>
      </c>
      <c r="J619" s="24">
        <f>F619*G619</f>
        <v>0</v>
      </c>
      <c r="K619" s="24">
        <v>0.0013</v>
      </c>
      <c r="L619" s="24">
        <f>F619*K619</f>
        <v>0.227656</v>
      </c>
      <c r="M619" s="36" t="s">
        <v>1531</v>
      </c>
      <c r="N619" s="36" t="s">
        <v>1533</v>
      </c>
      <c r="O619" s="24">
        <f>IF(N619="5",I619,0)</f>
        <v>0</v>
      </c>
      <c r="Z619" s="24">
        <f>IF(AD619=0,J619,0)</f>
        <v>0</v>
      </c>
      <c r="AA619" s="24">
        <f>IF(AD619=15,J619,0)</f>
        <v>0</v>
      </c>
      <c r="AB619" s="24">
        <f>IF(AD619=21,J619,0)</f>
        <v>0</v>
      </c>
      <c r="AD619" s="39">
        <v>15</v>
      </c>
      <c r="AE619" s="39">
        <f>G619*1</f>
        <v>0</v>
      </c>
      <c r="AF619" s="39">
        <f>G619*(1-1)</f>
        <v>0</v>
      </c>
      <c r="AM619" s="39">
        <f>F619*AE619</f>
        <v>0</v>
      </c>
      <c r="AN619" s="39">
        <f>F619*AF619</f>
        <v>0</v>
      </c>
      <c r="AO619" s="40" t="s">
        <v>1575</v>
      </c>
      <c r="AP619" s="40" t="s">
        <v>1603</v>
      </c>
      <c r="AQ619" s="31" t="s">
        <v>1613</v>
      </c>
    </row>
    <row r="620" spans="4:6" ht="10.8" customHeight="1">
      <c r="D620" s="17" t="s">
        <v>1331</v>
      </c>
      <c r="F620" s="23">
        <v>175.12</v>
      </c>
    </row>
    <row r="621" spans="1:37" ht="12.75">
      <c r="A621" s="4"/>
      <c r="B621" s="14" t="s">
        <v>596</v>
      </c>
      <c r="C621" s="14" t="s">
        <v>628</v>
      </c>
      <c r="D621" s="104" t="s">
        <v>1004</v>
      </c>
      <c r="E621" s="105"/>
      <c r="F621" s="105"/>
      <c r="G621" s="105"/>
      <c r="H621" s="42">
        <f>SUM(H622:H640)</f>
        <v>0</v>
      </c>
      <c r="I621" s="42">
        <f>SUM(I622:I640)</f>
        <v>0</v>
      </c>
      <c r="J621" s="42">
        <f>H621+I621</f>
        <v>0</v>
      </c>
      <c r="K621" s="31"/>
      <c r="L621" s="42">
        <f>SUM(L622:L640)</f>
        <v>1.3689719999999996</v>
      </c>
      <c r="M621" s="31"/>
      <c r="P621" s="42">
        <f>IF(Q621="PR",J621,SUM(O622:O640))</f>
        <v>0</v>
      </c>
      <c r="Q621" s="31" t="s">
        <v>1537</v>
      </c>
      <c r="R621" s="42">
        <f>IF(Q621="HS",H621,0)</f>
        <v>0</v>
      </c>
      <c r="S621" s="42">
        <f>IF(Q621="HS",I621-P621,0)</f>
        <v>0</v>
      </c>
      <c r="T621" s="42">
        <f>IF(Q621="PS",H621,0)</f>
        <v>0</v>
      </c>
      <c r="U621" s="42">
        <f>IF(Q621="PS",I621-P621,0)</f>
        <v>0</v>
      </c>
      <c r="V621" s="42">
        <f>IF(Q621="MP",H621,0)</f>
        <v>0</v>
      </c>
      <c r="W621" s="42">
        <f>IF(Q621="MP",I621-P621,0)</f>
        <v>0</v>
      </c>
      <c r="X621" s="42">
        <f>IF(Q621="OM",H621,0)</f>
        <v>0</v>
      </c>
      <c r="Y621" s="31" t="s">
        <v>596</v>
      </c>
      <c r="AI621" s="42">
        <f>SUM(Z622:Z640)</f>
        <v>0</v>
      </c>
      <c r="AJ621" s="42">
        <f>SUM(AA622:AA640)</f>
        <v>0</v>
      </c>
      <c r="AK621" s="42">
        <f>SUM(AB622:AB640)</f>
        <v>0</v>
      </c>
    </row>
    <row r="622" spans="1:43" ht="12.75">
      <c r="A622" s="5" t="s">
        <v>378</v>
      </c>
      <c r="B622" s="5" t="s">
        <v>596</v>
      </c>
      <c r="C622" s="5" t="s">
        <v>631</v>
      </c>
      <c r="D622" s="5" t="s">
        <v>1007</v>
      </c>
      <c r="E622" s="5" t="s">
        <v>1504</v>
      </c>
      <c r="F622" s="22">
        <v>3</v>
      </c>
      <c r="G622" s="22">
        <v>0</v>
      </c>
      <c r="H622" s="22">
        <f aca="true" t="shared" si="178" ref="H622:H627">F622*AE622</f>
        <v>0</v>
      </c>
      <c r="I622" s="22">
        <f aca="true" t="shared" si="179" ref="I622:I627">J622-H622</f>
        <v>0</v>
      </c>
      <c r="J622" s="22">
        <f aca="true" t="shared" si="180" ref="J622:J627">F622*G622</f>
        <v>0</v>
      </c>
      <c r="K622" s="22">
        <v>0</v>
      </c>
      <c r="L622" s="22">
        <f aca="true" t="shared" si="181" ref="L622:L627">F622*K622</f>
        <v>0</v>
      </c>
      <c r="M622" s="35" t="s">
        <v>1531</v>
      </c>
      <c r="N622" s="35" t="s">
        <v>7</v>
      </c>
      <c r="O622" s="22">
        <f aca="true" t="shared" si="182" ref="O622:O627">IF(N622="5",I622,0)</f>
        <v>0</v>
      </c>
      <c r="Z622" s="22">
        <f aca="true" t="shared" si="183" ref="Z622:Z627">IF(AD622=0,J622,0)</f>
        <v>0</v>
      </c>
      <c r="AA622" s="22">
        <f aca="true" t="shared" si="184" ref="AA622:AA627">IF(AD622=15,J622,0)</f>
        <v>0</v>
      </c>
      <c r="AB622" s="22">
        <f aca="true" t="shared" si="185" ref="AB622:AB627">IF(AD622=21,J622,0)</f>
        <v>0</v>
      </c>
      <c r="AD622" s="39">
        <v>15</v>
      </c>
      <c r="AE622" s="39">
        <f>G622*0</f>
        <v>0</v>
      </c>
      <c r="AF622" s="39">
        <f>G622*(1-0)</f>
        <v>0</v>
      </c>
      <c r="AM622" s="39">
        <f aca="true" t="shared" si="186" ref="AM622:AM627">F622*AE622</f>
        <v>0</v>
      </c>
      <c r="AN622" s="39">
        <f aca="true" t="shared" si="187" ref="AN622:AN627">F622*AF622</f>
        <v>0</v>
      </c>
      <c r="AO622" s="40" t="s">
        <v>1550</v>
      </c>
      <c r="AP622" s="40" t="s">
        <v>1604</v>
      </c>
      <c r="AQ622" s="31" t="s">
        <v>1613</v>
      </c>
    </row>
    <row r="623" spans="1:43" ht="12.75">
      <c r="A623" s="5" t="s">
        <v>379</v>
      </c>
      <c r="B623" s="5" t="s">
        <v>596</v>
      </c>
      <c r="C623" s="5" t="s">
        <v>632</v>
      </c>
      <c r="D623" s="5" t="s">
        <v>1008</v>
      </c>
      <c r="E623" s="5" t="s">
        <v>1504</v>
      </c>
      <c r="F623" s="22">
        <v>3</v>
      </c>
      <c r="G623" s="22">
        <v>0</v>
      </c>
      <c r="H623" s="22">
        <f t="shared" si="178"/>
        <v>0</v>
      </c>
      <c r="I623" s="22">
        <f t="shared" si="179"/>
        <v>0</v>
      </c>
      <c r="J623" s="22">
        <f t="shared" si="180"/>
        <v>0</v>
      </c>
      <c r="K623" s="22">
        <v>1E-05</v>
      </c>
      <c r="L623" s="22">
        <f t="shared" si="181"/>
        <v>3.0000000000000004E-05</v>
      </c>
      <c r="M623" s="35" t="s">
        <v>1531</v>
      </c>
      <c r="N623" s="35" t="s">
        <v>7</v>
      </c>
      <c r="O623" s="22">
        <f t="shared" si="182"/>
        <v>0</v>
      </c>
      <c r="Z623" s="22">
        <f t="shared" si="183"/>
        <v>0</v>
      </c>
      <c r="AA623" s="22">
        <f t="shared" si="184"/>
        <v>0</v>
      </c>
      <c r="AB623" s="22">
        <f t="shared" si="185"/>
        <v>0</v>
      </c>
      <c r="AD623" s="39">
        <v>15</v>
      </c>
      <c r="AE623" s="39">
        <f>G623*0.0277644230769231</f>
        <v>0</v>
      </c>
      <c r="AF623" s="39">
        <f>G623*(1-0.0277644230769231)</f>
        <v>0</v>
      </c>
      <c r="AM623" s="39">
        <f t="shared" si="186"/>
        <v>0</v>
      </c>
      <c r="AN623" s="39">
        <f t="shared" si="187"/>
        <v>0</v>
      </c>
      <c r="AO623" s="40" t="s">
        <v>1550</v>
      </c>
      <c r="AP623" s="40" t="s">
        <v>1604</v>
      </c>
      <c r="AQ623" s="31" t="s">
        <v>1613</v>
      </c>
    </row>
    <row r="624" spans="1:43" ht="12.75">
      <c r="A624" s="5" t="s">
        <v>380</v>
      </c>
      <c r="B624" s="5" t="s">
        <v>596</v>
      </c>
      <c r="C624" s="5" t="s">
        <v>786</v>
      </c>
      <c r="D624" s="5" t="s">
        <v>1213</v>
      </c>
      <c r="E624" s="5" t="s">
        <v>1504</v>
      </c>
      <c r="F624" s="22">
        <v>10</v>
      </c>
      <c r="G624" s="22">
        <v>0</v>
      </c>
      <c r="H624" s="22">
        <f t="shared" si="178"/>
        <v>0</v>
      </c>
      <c r="I624" s="22">
        <f t="shared" si="179"/>
        <v>0</v>
      </c>
      <c r="J624" s="22">
        <f t="shared" si="180"/>
        <v>0</v>
      </c>
      <c r="K624" s="22">
        <v>0.00162</v>
      </c>
      <c r="L624" s="22">
        <f t="shared" si="181"/>
        <v>0.0162</v>
      </c>
      <c r="M624" s="35" t="s">
        <v>1531</v>
      </c>
      <c r="N624" s="35" t="s">
        <v>9</v>
      </c>
      <c r="O624" s="22">
        <f t="shared" si="182"/>
        <v>0</v>
      </c>
      <c r="Z624" s="22">
        <f t="shared" si="183"/>
        <v>0</v>
      </c>
      <c r="AA624" s="22">
        <f t="shared" si="184"/>
        <v>0</v>
      </c>
      <c r="AB624" s="22">
        <f t="shared" si="185"/>
        <v>0</v>
      </c>
      <c r="AD624" s="39">
        <v>15</v>
      </c>
      <c r="AE624" s="39">
        <f>G624*0.0866294925912415</f>
        <v>0</v>
      </c>
      <c r="AF624" s="39">
        <f>G624*(1-0.0866294925912415)</f>
        <v>0</v>
      </c>
      <c r="AM624" s="39">
        <f t="shared" si="186"/>
        <v>0</v>
      </c>
      <c r="AN624" s="39">
        <f t="shared" si="187"/>
        <v>0</v>
      </c>
      <c r="AO624" s="40" t="s">
        <v>1550</v>
      </c>
      <c r="AP624" s="40" t="s">
        <v>1604</v>
      </c>
      <c r="AQ624" s="31" t="s">
        <v>1613</v>
      </c>
    </row>
    <row r="625" spans="1:43" ht="12.75">
      <c r="A625" s="5" t="s">
        <v>381</v>
      </c>
      <c r="B625" s="5" t="s">
        <v>596</v>
      </c>
      <c r="C625" s="5" t="s">
        <v>787</v>
      </c>
      <c r="D625" s="5" t="s">
        <v>1214</v>
      </c>
      <c r="E625" s="5" t="s">
        <v>1504</v>
      </c>
      <c r="F625" s="22">
        <v>11</v>
      </c>
      <c r="G625" s="22">
        <v>0</v>
      </c>
      <c r="H625" s="22">
        <f t="shared" si="178"/>
        <v>0</v>
      </c>
      <c r="I625" s="22">
        <f t="shared" si="179"/>
        <v>0</v>
      </c>
      <c r="J625" s="22">
        <f t="shared" si="180"/>
        <v>0</v>
      </c>
      <c r="K625" s="22">
        <v>0.00202</v>
      </c>
      <c r="L625" s="22">
        <f t="shared" si="181"/>
        <v>0.02222</v>
      </c>
      <c r="M625" s="35" t="s">
        <v>1531</v>
      </c>
      <c r="N625" s="35" t="s">
        <v>9</v>
      </c>
      <c r="O625" s="22">
        <f t="shared" si="182"/>
        <v>0</v>
      </c>
      <c r="Z625" s="22">
        <f t="shared" si="183"/>
        <v>0</v>
      </c>
      <c r="AA625" s="22">
        <f t="shared" si="184"/>
        <v>0</v>
      </c>
      <c r="AB625" s="22">
        <f t="shared" si="185"/>
        <v>0</v>
      </c>
      <c r="AD625" s="39">
        <v>15</v>
      </c>
      <c r="AE625" s="39">
        <f>G625*0.0979411209770099</f>
        <v>0</v>
      </c>
      <c r="AF625" s="39">
        <f>G625*(1-0.0979411209770099)</f>
        <v>0</v>
      </c>
      <c r="AM625" s="39">
        <f t="shared" si="186"/>
        <v>0</v>
      </c>
      <c r="AN625" s="39">
        <f t="shared" si="187"/>
        <v>0</v>
      </c>
      <c r="AO625" s="40" t="s">
        <v>1550</v>
      </c>
      <c r="AP625" s="40" t="s">
        <v>1604</v>
      </c>
      <c r="AQ625" s="31" t="s">
        <v>1613</v>
      </c>
    </row>
    <row r="626" spans="1:43" ht="12.75">
      <c r="A626" s="5" t="s">
        <v>382</v>
      </c>
      <c r="B626" s="5" t="s">
        <v>596</v>
      </c>
      <c r="C626" s="5" t="s">
        <v>633</v>
      </c>
      <c r="D626" s="5" t="s">
        <v>1009</v>
      </c>
      <c r="E626" s="5" t="s">
        <v>1504</v>
      </c>
      <c r="F626" s="22">
        <v>21</v>
      </c>
      <c r="G626" s="22">
        <v>0</v>
      </c>
      <c r="H626" s="22">
        <f t="shared" si="178"/>
        <v>0</v>
      </c>
      <c r="I626" s="22">
        <f t="shared" si="179"/>
        <v>0</v>
      </c>
      <c r="J626" s="22">
        <f t="shared" si="180"/>
        <v>0</v>
      </c>
      <c r="K626" s="22">
        <v>0</v>
      </c>
      <c r="L626" s="22">
        <f t="shared" si="181"/>
        <v>0</v>
      </c>
      <c r="M626" s="35" t="s">
        <v>1531</v>
      </c>
      <c r="N626" s="35" t="s">
        <v>7</v>
      </c>
      <c r="O626" s="22">
        <f t="shared" si="182"/>
        <v>0</v>
      </c>
      <c r="Z626" s="22">
        <f t="shared" si="183"/>
        <v>0</v>
      </c>
      <c r="AA626" s="22">
        <f t="shared" si="184"/>
        <v>0</v>
      </c>
      <c r="AB626" s="22">
        <f t="shared" si="185"/>
        <v>0</v>
      </c>
      <c r="AD626" s="39">
        <v>15</v>
      </c>
      <c r="AE626" s="39">
        <f>G626*0</f>
        <v>0</v>
      </c>
      <c r="AF626" s="39">
        <f>G626*(1-0)</f>
        <v>0</v>
      </c>
      <c r="AM626" s="39">
        <f t="shared" si="186"/>
        <v>0</v>
      </c>
      <c r="AN626" s="39">
        <f t="shared" si="187"/>
        <v>0</v>
      </c>
      <c r="AO626" s="40" t="s">
        <v>1550</v>
      </c>
      <c r="AP626" s="40" t="s">
        <v>1604</v>
      </c>
      <c r="AQ626" s="31" t="s">
        <v>1613</v>
      </c>
    </row>
    <row r="627" spans="1:43" ht="12.75">
      <c r="A627" s="5" t="s">
        <v>383</v>
      </c>
      <c r="B627" s="5" t="s">
        <v>596</v>
      </c>
      <c r="C627" s="5" t="s">
        <v>790</v>
      </c>
      <c r="D627" s="5" t="s">
        <v>1217</v>
      </c>
      <c r="E627" s="5" t="s">
        <v>1504</v>
      </c>
      <c r="F627" s="22">
        <v>3</v>
      </c>
      <c r="G627" s="22">
        <v>0</v>
      </c>
      <c r="H627" s="22">
        <f t="shared" si="178"/>
        <v>0</v>
      </c>
      <c r="I627" s="22">
        <f t="shared" si="179"/>
        <v>0</v>
      </c>
      <c r="J627" s="22">
        <f t="shared" si="180"/>
        <v>0</v>
      </c>
      <c r="K627" s="22">
        <v>0</v>
      </c>
      <c r="L627" s="22">
        <f t="shared" si="181"/>
        <v>0</v>
      </c>
      <c r="M627" s="35" t="s">
        <v>1531</v>
      </c>
      <c r="N627" s="35" t="s">
        <v>7</v>
      </c>
      <c r="O627" s="22">
        <f t="shared" si="182"/>
        <v>0</v>
      </c>
      <c r="Z627" s="22">
        <f t="shared" si="183"/>
        <v>0</v>
      </c>
      <c r="AA627" s="22">
        <f t="shared" si="184"/>
        <v>0</v>
      </c>
      <c r="AB627" s="22">
        <f t="shared" si="185"/>
        <v>0</v>
      </c>
      <c r="AD627" s="39">
        <v>15</v>
      </c>
      <c r="AE627" s="39">
        <f>G627*0.674124009185866</f>
        <v>0</v>
      </c>
      <c r="AF627" s="39">
        <f>G627*(1-0.674124009185866)</f>
        <v>0</v>
      </c>
      <c r="AM627" s="39">
        <f t="shared" si="186"/>
        <v>0</v>
      </c>
      <c r="AN627" s="39">
        <f t="shared" si="187"/>
        <v>0</v>
      </c>
      <c r="AO627" s="40" t="s">
        <v>1550</v>
      </c>
      <c r="AP627" s="40" t="s">
        <v>1604</v>
      </c>
      <c r="AQ627" s="31" t="s">
        <v>1613</v>
      </c>
    </row>
    <row r="628" ht="12.75">
      <c r="D628" s="18" t="s">
        <v>1218</v>
      </c>
    </row>
    <row r="629" spans="1:43" ht="12.75">
      <c r="A629" s="5" t="s">
        <v>384</v>
      </c>
      <c r="B629" s="5" t="s">
        <v>596</v>
      </c>
      <c r="C629" s="5" t="s">
        <v>791</v>
      </c>
      <c r="D629" s="5" t="s">
        <v>1219</v>
      </c>
      <c r="E629" s="5" t="s">
        <v>1504</v>
      </c>
      <c r="F629" s="22">
        <v>3</v>
      </c>
      <c r="G629" s="22">
        <v>0</v>
      </c>
      <c r="H629" s="22">
        <f>F629*AE629</f>
        <v>0</v>
      </c>
      <c r="I629" s="22">
        <f>J629-H629</f>
        <v>0</v>
      </c>
      <c r="J629" s="22">
        <f>F629*G629</f>
        <v>0</v>
      </c>
      <c r="K629" s="22">
        <v>0.174</v>
      </c>
      <c r="L629" s="22">
        <f>F629*K629</f>
        <v>0.522</v>
      </c>
      <c r="M629" s="35" t="s">
        <v>1531</v>
      </c>
      <c r="N629" s="35" t="s">
        <v>7</v>
      </c>
      <c r="O629" s="22">
        <f>IF(N629="5",I629,0)</f>
        <v>0</v>
      </c>
      <c r="Z629" s="22">
        <f>IF(AD629=0,J629,0)</f>
        <v>0</v>
      </c>
      <c r="AA629" s="22">
        <f>IF(AD629=15,J629,0)</f>
        <v>0</v>
      </c>
      <c r="AB629" s="22">
        <f>IF(AD629=21,J629,0)</f>
        <v>0</v>
      </c>
      <c r="AD629" s="39">
        <v>15</v>
      </c>
      <c r="AE629" s="39">
        <f>G629*0</f>
        <v>0</v>
      </c>
      <c r="AF629" s="39">
        <f>G629*(1-0)</f>
        <v>0</v>
      </c>
      <c r="AM629" s="39">
        <f>F629*AE629</f>
        <v>0</v>
      </c>
      <c r="AN629" s="39">
        <f>F629*AF629</f>
        <v>0</v>
      </c>
      <c r="AO629" s="40" t="s">
        <v>1550</v>
      </c>
      <c r="AP629" s="40" t="s">
        <v>1604</v>
      </c>
      <c r="AQ629" s="31" t="s">
        <v>1613</v>
      </c>
    </row>
    <row r="630" spans="1:43" ht="12.75">
      <c r="A630" s="5" t="s">
        <v>385</v>
      </c>
      <c r="B630" s="5" t="s">
        <v>596</v>
      </c>
      <c r="C630" s="5" t="s">
        <v>792</v>
      </c>
      <c r="D630" s="5" t="s">
        <v>1220</v>
      </c>
      <c r="E630" s="5" t="s">
        <v>1504</v>
      </c>
      <c r="F630" s="22">
        <v>10</v>
      </c>
      <c r="G630" s="22">
        <v>0</v>
      </c>
      <c r="H630" s="22">
        <f>F630*AE630</f>
        <v>0</v>
      </c>
      <c r="I630" s="22">
        <f>J630-H630</f>
        <v>0</v>
      </c>
      <c r="J630" s="22">
        <f>F630*G630</f>
        <v>0</v>
      </c>
      <c r="K630" s="22">
        <v>2E-05</v>
      </c>
      <c r="L630" s="22">
        <f>F630*K630</f>
        <v>0.0002</v>
      </c>
      <c r="M630" s="35" t="s">
        <v>1531</v>
      </c>
      <c r="N630" s="35" t="s">
        <v>7</v>
      </c>
      <c r="O630" s="22">
        <f>IF(N630="5",I630,0)</f>
        <v>0</v>
      </c>
      <c r="Z630" s="22">
        <f>IF(AD630=0,J630,0)</f>
        <v>0</v>
      </c>
      <c r="AA630" s="22">
        <f>IF(AD630=15,J630,0)</f>
        <v>0</v>
      </c>
      <c r="AB630" s="22">
        <f>IF(AD630=21,J630,0)</f>
        <v>0</v>
      </c>
      <c r="AD630" s="39">
        <v>15</v>
      </c>
      <c r="AE630" s="39">
        <f>G630*0.0210983981693364</f>
        <v>0</v>
      </c>
      <c r="AF630" s="39">
        <f>G630*(1-0.0210983981693364)</f>
        <v>0</v>
      </c>
      <c r="AM630" s="39">
        <f>F630*AE630</f>
        <v>0</v>
      </c>
      <c r="AN630" s="39">
        <f>F630*AF630</f>
        <v>0</v>
      </c>
      <c r="AO630" s="40" t="s">
        <v>1550</v>
      </c>
      <c r="AP630" s="40" t="s">
        <v>1604</v>
      </c>
      <c r="AQ630" s="31" t="s">
        <v>1613</v>
      </c>
    </row>
    <row r="631" spans="1:43" ht="12.75">
      <c r="A631" s="5" t="s">
        <v>386</v>
      </c>
      <c r="B631" s="5" t="s">
        <v>596</v>
      </c>
      <c r="C631" s="5" t="s">
        <v>793</v>
      </c>
      <c r="D631" s="5" t="s">
        <v>1221</v>
      </c>
      <c r="E631" s="5" t="s">
        <v>1505</v>
      </c>
      <c r="F631" s="22">
        <v>23.1</v>
      </c>
      <c r="G631" s="22">
        <v>0</v>
      </c>
      <c r="H631" s="22">
        <f>F631*AE631</f>
        <v>0</v>
      </c>
      <c r="I631" s="22">
        <f>J631-H631</f>
        <v>0</v>
      </c>
      <c r="J631" s="22">
        <f>F631*G631</f>
        <v>0</v>
      </c>
      <c r="K631" s="22">
        <v>0.00372</v>
      </c>
      <c r="L631" s="22">
        <f>F631*K631</f>
        <v>0.08593200000000001</v>
      </c>
      <c r="M631" s="35" t="s">
        <v>1531</v>
      </c>
      <c r="N631" s="35" t="s">
        <v>9</v>
      </c>
      <c r="O631" s="22">
        <f>IF(N631="5",I631,0)</f>
        <v>0</v>
      </c>
      <c r="Z631" s="22">
        <f>IF(AD631=0,J631,0)</f>
        <v>0</v>
      </c>
      <c r="AA631" s="22">
        <f>IF(AD631=15,J631,0)</f>
        <v>0</v>
      </c>
      <c r="AB631" s="22">
        <f>IF(AD631=21,J631,0)</f>
        <v>0</v>
      </c>
      <c r="AD631" s="39">
        <v>15</v>
      </c>
      <c r="AE631" s="39">
        <f>G631*0.647173658409614</f>
        <v>0</v>
      </c>
      <c r="AF631" s="39">
        <f>G631*(1-0.647173658409614)</f>
        <v>0</v>
      </c>
      <c r="AM631" s="39">
        <f>F631*AE631</f>
        <v>0</v>
      </c>
      <c r="AN631" s="39">
        <f>F631*AF631</f>
        <v>0</v>
      </c>
      <c r="AO631" s="40" t="s">
        <v>1550</v>
      </c>
      <c r="AP631" s="40" t="s">
        <v>1604</v>
      </c>
      <c r="AQ631" s="31" t="s">
        <v>1613</v>
      </c>
    </row>
    <row r="632" ht="12.75">
      <c r="D632" s="18" t="s">
        <v>1222</v>
      </c>
    </row>
    <row r="633" spans="4:6" ht="10.8" customHeight="1">
      <c r="D633" s="17" t="s">
        <v>1223</v>
      </c>
      <c r="F633" s="23">
        <v>23.1</v>
      </c>
    </row>
    <row r="634" spans="1:43" ht="12.75">
      <c r="A634" s="6" t="s">
        <v>387</v>
      </c>
      <c r="B634" s="6" t="s">
        <v>596</v>
      </c>
      <c r="C634" s="6" t="s">
        <v>781</v>
      </c>
      <c r="D634" s="6" t="s">
        <v>1332</v>
      </c>
      <c r="E634" s="6" t="s">
        <v>1504</v>
      </c>
      <c r="F634" s="24">
        <v>10</v>
      </c>
      <c r="G634" s="24">
        <v>0</v>
      </c>
      <c r="H634" s="24">
        <f aca="true" t="shared" si="188" ref="H634:H640">F634*AE634</f>
        <v>0</v>
      </c>
      <c r="I634" s="24">
        <f aca="true" t="shared" si="189" ref="I634:I640">J634-H634</f>
        <v>0</v>
      </c>
      <c r="J634" s="24">
        <f aca="true" t="shared" si="190" ref="J634:J640">F634*G634</f>
        <v>0</v>
      </c>
      <c r="K634" s="24">
        <v>0.0138</v>
      </c>
      <c r="L634" s="24">
        <f aca="true" t="shared" si="191" ref="L634:L640">F634*K634</f>
        <v>0.138</v>
      </c>
      <c r="M634" s="36" t="s">
        <v>1531</v>
      </c>
      <c r="N634" s="36" t="s">
        <v>1533</v>
      </c>
      <c r="O634" s="24">
        <f aca="true" t="shared" si="192" ref="O634:O640">IF(N634="5",I634,0)</f>
        <v>0</v>
      </c>
      <c r="Z634" s="24">
        <f aca="true" t="shared" si="193" ref="Z634:Z640">IF(AD634=0,J634,0)</f>
        <v>0</v>
      </c>
      <c r="AA634" s="24">
        <f aca="true" t="shared" si="194" ref="AA634:AA640">IF(AD634=15,J634,0)</f>
        <v>0</v>
      </c>
      <c r="AB634" s="24">
        <f aca="true" t="shared" si="195" ref="AB634:AB640">IF(AD634=21,J634,0)</f>
        <v>0</v>
      </c>
      <c r="AD634" s="39">
        <v>15</v>
      </c>
      <c r="AE634" s="39">
        <f aca="true" t="shared" si="196" ref="AE634:AE640">G634*1</f>
        <v>0</v>
      </c>
      <c r="AF634" s="39">
        <f aca="true" t="shared" si="197" ref="AF634:AF640">G634*(1-1)</f>
        <v>0</v>
      </c>
      <c r="AM634" s="39">
        <f aca="true" t="shared" si="198" ref="AM634:AM640">F634*AE634</f>
        <v>0</v>
      </c>
      <c r="AN634" s="39">
        <f aca="true" t="shared" si="199" ref="AN634:AN640">F634*AF634</f>
        <v>0</v>
      </c>
      <c r="AO634" s="40" t="s">
        <v>1550</v>
      </c>
      <c r="AP634" s="40" t="s">
        <v>1604</v>
      </c>
      <c r="AQ634" s="31" t="s">
        <v>1613</v>
      </c>
    </row>
    <row r="635" spans="1:43" ht="12.75">
      <c r="A635" s="6" t="s">
        <v>388</v>
      </c>
      <c r="B635" s="6" t="s">
        <v>596</v>
      </c>
      <c r="C635" s="6" t="s">
        <v>782</v>
      </c>
      <c r="D635" s="6" t="s">
        <v>1209</v>
      </c>
      <c r="E635" s="6" t="s">
        <v>1504</v>
      </c>
      <c r="F635" s="24">
        <v>11</v>
      </c>
      <c r="G635" s="24">
        <v>0</v>
      </c>
      <c r="H635" s="24">
        <f t="shared" si="188"/>
        <v>0</v>
      </c>
      <c r="I635" s="24">
        <f t="shared" si="189"/>
        <v>0</v>
      </c>
      <c r="J635" s="24">
        <f t="shared" si="190"/>
        <v>0</v>
      </c>
      <c r="K635" s="24">
        <v>0.0205</v>
      </c>
      <c r="L635" s="24">
        <f t="shared" si="191"/>
        <v>0.2255</v>
      </c>
      <c r="M635" s="36" t="s">
        <v>1531</v>
      </c>
      <c r="N635" s="36" t="s">
        <v>1533</v>
      </c>
      <c r="O635" s="24">
        <f t="shared" si="192"/>
        <v>0</v>
      </c>
      <c r="Z635" s="24">
        <f t="shared" si="193"/>
        <v>0</v>
      </c>
      <c r="AA635" s="24">
        <f t="shared" si="194"/>
        <v>0</v>
      </c>
      <c r="AB635" s="24">
        <f t="shared" si="195"/>
        <v>0</v>
      </c>
      <c r="AD635" s="39">
        <v>15</v>
      </c>
      <c r="AE635" s="39">
        <f t="shared" si="196"/>
        <v>0</v>
      </c>
      <c r="AF635" s="39">
        <f t="shared" si="197"/>
        <v>0</v>
      </c>
      <c r="AM635" s="39">
        <f t="shared" si="198"/>
        <v>0</v>
      </c>
      <c r="AN635" s="39">
        <f t="shared" si="199"/>
        <v>0</v>
      </c>
      <c r="AO635" s="40" t="s">
        <v>1550</v>
      </c>
      <c r="AP635" s="40" t="s">
        <v>1604</v>
      </c>
      <c r="AQ635" s="31" t="s">
        <v>1613</v>
      </c>
    </row>
    <row r="636" spans="1:43" ht="12.75">
      <c r="A636" s="6" t="s">
        <v>389</v>
      </c>
      <c r="B636" s="6" t="s">
        <v>596</v>
      </c>
      <c r="C636" s="6" t="s">
        <v>783</v>
      </c>
      <c r="D636" s="6" t="s">
        <v>1210</v>
      </c>
      <c r="E636" s="6" t="s">
        <v>1504</v>
      </c>
      <c r="F636" s="24">
        <v>10</v>
      </c>
      <c r="G636" s="24">
        <v>0</v>
      </c>
      <c r="H636" s="24">
        <f t="shared" si="188"/>
        <v>0</v>
      </c>
      <c r="I636" s="24">
        <f t="shared" si="189"/>
        <v>0</v>
      </c>
      <c r="J636" s="24">
        <f t="shared" si="190"/>
        <v>0</v>
      </c>
      <c r="K636" s="24">
        <v>0.0008</v>
      </c>
      <c r="L636" s="24">
        <f t="shared" si="191"/>
        <v>0.008</v>
      </c>
      <c r="M636" s="36" t="s">
        <v>1531</v>
      </c>
      <c r="N636" s="36" t="s">
        <v>1533</v>
      </c>
      <c r="O636" s="24">
        <f t="shared" si="192"/>
        <v>0</v>
      </c>
      <c r="Z636" s="24">
        <f t="shared" si="193"/>
        <v>0</v>
      </c>
      <c r="AA636" s="24">
        <f t="shared" si="194"/>
        <v>0</v>
      </c>
      <c r="AB636" s="24">
        <f t="shared" si="195"/>
        <v>0</v>
      </c>
      <c r="AD636" s="39">
        <v>15</v>
      </c>
      <c r="AE636" s="39">
        <f t="shared" si="196"/>
        <v>0</v>
      </c>
      <c r="AF636" s="39">
        <f t="shared" si="197"/>
        <v>0</v>
      </c>
      <c r="AM636" s="39">
        <f t="shared" si="198"/>
        <v>0</v>
      </c>
      <c r="AN636" s="39">
        <f t="shared" si="199"/>
        <v>0</v>
      </c>
      <c r="AO636" s="40" t="s">
        <v>1550</v>
      </c>
      <c r="AP636" s="40" t="s">
        <v>1604</v>
      </c>
      <c r="AQ636" s="31" t="s">
        <v>1613</v>
      </c>
    </row>
    <row r="637" spans="1:43" ht="12.75">
      <c r="A637" s="6" t="s">
        <v>390</v>
      </c>
      <c r="B637" s="6" t="s">
        <v>596</v>
      </c>
      <c r="C637" s="6" t="s">
        <v>784</v>
      </c>
      <c r="D637" s="6" t="s">
        <v>1211</v>
      </c>
      <c r="E637" s="6" t="s">
        <v>1504</v>
      </c>
      <c r="F637" s="24">
        <v>11</v>
      </c>
      <c r="G637" s="24">
        <v>0</v>
      </c>
      <c r="H637" s="24">
        <f t="shared" si="188"/>
        <v>0</v>
      </c>
      <c r="I637" s="24">
        <f t="shared" si="189"/>
        <v>0</v>
      </c>
      <c r="J637" s="24">
        <f t="shared" si="190"/>
        <v>0</v>
      </c>
      <c r="K637" s="24">
        <v>0.0008</v>
      </c>
      <c r="L637" s="24">
        <f t="shared" si="191"/>
        <v>0.0088</v>
      </c>
      <c r="M637" s="36" t="s">
        <v>1531</v>
      </c>
      <c r="N637" s="36" t="s">
        <v>1533</v>
      </c>
      <c r="O637" s="24">
        <f t="shared" si="192"/>
        <v>0</v>
      </c>
      <c r="Z637" s="24">
        <f t="shared" si="193"/>
        <v>0</v>
      </c>
      <c r="AA637" s="24">
        <f t="shared" si="194"/>
        <v>0</v>
      </c>
      <c r="AB637" s="24">
        <f t="shared" si="195"/>
        <v>0</v>
      </c>
      <c r="AD637" s="39">
        <v>15</v>
      </c>
      <c r="AE637" s="39">
        <f t="shared" si="196"/>
        <v>0</v>
      </c>
      <c r="AF637" s="39">
        <f t="shared" si="197"/>
        <v>0</v>
      </c>
      <c r="AM637" s="39">
        <f t="shared" si="198"/>
        <v>0</v>
      </c>
      <c r="AN637" s="39">
        <f t="shared" si="199"/>
        <v>0</v>
      </c>
      <c r="AO637" s="40" t="s">
        <v>1550</v>
      </c>
      <c r="AP637" s="40" t="s">
        <v>1604</v>
      </c>
      <c r="AQ637" s="31" t="s">
        <v>1613</v>
      </c>
    </row>
    <row r="638" spans="1:43" ht="12.75">
      <c r="A638" s="6" t="s">
        <v>391</v>
      </c>
      <c r="B638" s="6" t="s">
        <v>596</v>
      </c>
      <c r="C638" s="6" t="s">
        <v>785</v>
      </c>
      <c r="D638" s="6" t="s">
        <v>1212</v>
      </c>
      <c r="E638" s="6" t="s">
        <v>1504</v>
      </c>
      <c r="F638" s="24">
        <v>3</v>
      </c>
      <c r="G638" s="24">
        <v>0</v>
      </c>
      <c r="H638" s="24">
        <f t="shared" si="188"/>
        <v>0</v>
      </c>
      <c r="I638" s="24">
        <f t="shared" si="189"/>
        <v>0</v>
      </c>
      <c r="J638" s="24">
        <f t="shared" si="190"/>
        <v>0</v>
      </c>
      <c r="K638" s="24">
        <v>0.00203</v>
      </c>
      <c r="L638" s="24">
        <f t="shared" si="191"/>
        <v>0.00609</v>
      </c>
      <c r="M638" s="36" t="s">
        <v>1531</v>
      </c>
      <c r="N638" s="36" t="s">
        <v>1533</v>
      </c>
      <c r="O638" s="24">
        <f t="shared" si="192"/>
        <v>0</v>
      </c>
      <c r="Z638" s="24">
        <f t="shared" si="193"/>
        <v>0</v>
      </c>
      <c r="AA638" s="24">
        <f t="shared" si="194"/>
        <v>0</v>
      </c>
      <c r="AB638" s="24">
        <f t="shared" si="195"/>
        <v>0</v>
      </c>
      <c r="AD638" s="39">
        <v>15</v>
      </c>
      <c r="AE638" s="39">
        <f t="shared" si="196"/>
        <v>0</v>
      </c>
      <c r="AF638" s="39">
        <f t="shared" si="197"/>
        <v>0</v>
      </c>
      <c r="AM638" s="39">
        <f t="shared" si="198"/>
        <v>0</v>
      </c>
      <c r="AN638" s="39">
        <f t="shared" si="199"/>
        <v>0</v>
      </c>
      <c r="AO638" s="40" t="s">
        <v>1550</v>
      </c>
      <c r="AP638" s="40" t="s">
        <v>1604</v>
      </c>
      <c r="AQ638" s="31" t="s">
        <v>1613</v>
      </c>
    </row>
    <row r="639" spans="1:43" ht="12.75">
      <c r="A639" s="6" t="s">
        <v>392</v>
      </c>
      <c r="B639" s="6" t="s">
        <v>596</v>
      </c>
      <c r="C639" s="6" t="s">
        <v>788</v>
      </c>
      <c r="D639" s="6" t="s">
        <v>1215</v>
      </c>
      <c r="E639" s="6" t="s">
        <v>1504</v>
      </c>
      <c r="F639" s="24">
        <v>10</v>
      </c>
      <c r="G639" s="24">
        <v>0</v>
      </c>
      <c r="H639" s="24">
        <f t="shared" si="188"/>
        <v>0</v>
      </c>
      <c r="I639" s="24">
        <f t="shared" si="189"/>
        <v>0</v>
      </c>
      <c r="J639" s="24">
        <f t="shared" si="190"/>
        <v>0</v>
      </c>
      <c r="K639" s="24">
        <v>0.016</v>
      </c>
      <c r="L639" s="24">
        <f t="shared" si="191"/>
        <v>0.16</v>
      </c>
      <c r="M639" s="36" t="s">
        <v>1531</v>
      </c>
      <c r="N639" s="36" t="s">
        <v>1533</v>
      </c>
      <c r="O639" s="24">
        <f t="shared" si="192"/>
        <v>0</v>
      </c>
      <c r="Z639" s="24">
        <f t="shared" si="193"/>
        <v>0</v>
      </c>
      <c r="AA639" s="24">
        <f t="shared" si="194"/>
        <v>0</v>
      </c>
      <c r="AB639" s="24">
        <f t="shared" si="195"/>
        <v>0</v>
      </c>
      <c r="AD639" s="39">
        <v>15</v>
      </c>
      <c r="AE639" s="39">
        <f t="shared" si="196"/>
        <v>0</v>
      </c>
      <c r="AF639" s="39">
        <f t="shared" si="197"/>
        <v>0</v>
      </c>
      <c r="AM639" s="39">
        <f t="shared" si="198"/>
        <v>0</v>
      </c>
      <c r="AN639" s="39">
        <f t="shared" si="199"/>
        <v>0</v>
      </c>
      <c r="AO639" s="40" t="s">
        <v>1550</v>
      </c>
      <c r="AP639" s="40" t="s">
        <v>1604</v>
      </c>
      <c r="AQ639" s="31" t="s">
        <v>1613</v>
      </c>
    </row>
    <row r="640" spans="1:43" ht="12.75">
      <c r="A640" s="6" t="s">
        <v>393</v>
      </c>
      <c r="B640" s="6" t="s">
        <v>596</v>
      </c>
      <c r="C640" s="6" t="s">
        <v>789</v>
      </c>
      <c r="D640" s="6" t="s">
        <v>1216</v>
      </c>
      <c r="E640" s="6" t="s">
        <v>1504</v>
      </c>
      <c r="F640" s="24">
        <v>11</v>
      </c>
      <c r="G640" s="24">
        <v>0</v>
      </c>
      <c r="H640" s="24">
        <f t="shared" si="188"/>
        <v>0</v>
      </c>
      <c r="I640" s="24">
        <f t="shared" si="189"/>
        <v>0</v>
      </c>
      <c r="J640" s="24">
        <f t="shared" si="190"/>
        <v>0</v>
      </c>
      <c r="K640" s="24">
        <v>0.016</v>
      </c>
      <c r="L640" s="24">
        <f t="shared" si="191"/>
        <v>0.176</v>
      </c>
      <c r="M640" s="36" t="s">
        <v>1531</v>
      </c>
      <c r="N640" s="36" t="s">
        <v>1533</v>
      </c>
      <c r="O640" s="24">
        <f t="shared" si="192"/>
        <v>0</v>
      </c>
      <c r="Z640" s="24">
        <f t="shared" si="193"/>
        <v>0</v>
      </c>
      <c r="AA640" s="24">
        <f t="shared" si="194"/>
        <v>0</v>
      </c>
      <c r="AB640" s="24">
        <f t="shared" si="195"/>
        <v>0</v>
      </c>
      <c r="AD640" s="39">
        <v>15</v>
      </c>
      <c r="AE640" s="39">
        <f t="shared" si="196"/>
        <v>0</v>
      </c>
      <c r="AF640" s="39">
        <f t="shared" si="197"/>
        <v>0</v>
      </c>
      <c r="AM640" s="39">
        <f t="shared" si="198"/>
        <v>0</v>
      </c>
      <c r="AN640" s="39">
        <f t="shared" si="199"/>
        <v>0</v>
      </c>
      <c r="AO640" s="40" t="s">
        <v>1550</v>
      </c>
      <c r="AP640" s="40" t="s">
        <v>1604</v>
      </c>
      <c r="AQ640" s="31" t="s">
        <v>1613</v>
      </c>
    </row>
    <row r="641" spans="1:37" ht="12.75">
      <c r="A641" s="4"/>
      <c r="B641" s="14" t="s">
        <v>596</v>
      </c>
      <c r="C641" s="14" t="s">
        <v>794</v>
      </c>
      <c r="D641" s="104" t="s">
        <v>1224</v>
      </c>
      <c r="E641" s="105"/>
      <c r="F641" s="105"/>
      <c r="G641" s="105"/>
      <c r="H641" s="42">
        <f>SUM(H642:H644)</f>
        <v>0</v>
      </c>
      <c r="I641" s="42">
        <f>SUM(I642:I644)</f>
        <v>0</v>
      </c>
      <c r="J641" s="42">
        <f>H641+I641</f>
        <v>0</v>
      </c>
      <c r="K641" s="31"/>
      <c r="L641" s="42">
        <f>SUM(L642:L644)</f>
        <v>0.17241</v>
      </c>
      <c r="M641" s="31"/>
      <c r="P641" s="42">
        <f>IF(Q641="PR",J641,SUM(O642:O644))</f>
        <v>0</v>
      </c>
      <c r="Q641" s="31" t="s">
        <v>1537</v>
      </c>
      <c r="R641" s="42">
        <f>IF(Q641="HS",H641,0)</f>
        <v>0</v>
      </c>
      <c r="S641" s="42">
        <f>IF(Q641="HS",I641-P641,0)</f>
        <v>0</v>
      </c>
      <c r="T641" s="42">
        <f>IF(Q641="PS",H641,0)</f>
        <v>0</v>
      </c>
      <c r="U641" s="42">
        <f>IF(Q641="PS",I641-P641,0)</f>
        <v>0</v>
      </c>
      <c r="V641" s="42">
        <f>IF(Q641="MP",H641,0)</f>
        <v>0</v>
      </c>
      <c r="W641" s="42">
        <f>IF(Q641="MP",I641-P641,0)</f>
        <v>0</v>
      </c>
      <c r="X641" s="42">
        <f>IF(Q641="OM",H641,0)</f>
        <v>0</v>
      </c>
      <c r="Y641" s="31" t="s">
        <v>596</v>
      </c>
      <c r="AI641" s="42">
        <f>SUM(Z642:Z644)</f>
        <v>0</v>
      </c>
      <c r="AJ641" s="42">
        <f>SUM(AA642:AA644)</f>
        <v>0</v>
      </c>
      <c r="AK641" s="42">
        <f>SUM(AB642:AB644)</f>
        <v>0</v>
      </c>
    </row>
    <row r="642" spans="1:43" ht="12.75">
      <c r="A642" s="5" t="s">
        <v>394</v>
      </c>
      <c r="B642" s="5" t="s">
        <v>596</v>
      </c>
      <c r="C642" s="5" t="s">
        <v>795</v>
      </c>
      <c r="D642" s="5" t="s">
        <v>1225</v>
      </c>
      <c r="E642" s="5" t="s">
        <v>1504</v>
      </c>
      <c r="F642" s="22">
        <v>3</v>
      </c>
      <c r="G642" s="22">
        <v>0</v>
      </c>
      <c r="H642" s="22">
        <f>F642*AE642</f>
        <v>0</v>
      </c>
      <c r="I642" s="22">
        <f>J642-H642</f>
        <v>0</v>
      </c>
      <c r="J642" s="22">
        <f>F642*G642</f>
        <v>0</v>
      </c>
      <c r="K642" s="22">
        <v>0.05747</v>
      </c>
      <c r="L642" s="22">
        <f>F642*K642</f>
        <v>0.17241</v>
      </c>
      <c r="M642" s="35" t="s">
        <v>1531</v>
      </c>
      <c r="N642" s="35" t="s">
        <v>9</v>
      </c>
      <c r="O642" s="22">
        <f>IF(N642="5",I642,0)</f>
        <v>0</v>
      </c>
      <c r="Z642" s="22">
        <f>IF(AD642=0,J642,0)</f>
        <v>0</v>
      </c>
      <c r="AA642" s="22">
        <f>IF(AD642=15,J642,0)</f>
        <v>0</v>
      </c>
      <c r="AB642" s="22">
        <f>IF(AD642=21,J642,0)</f>
        <v>0</v>
      </c>
      <c r="AD642" s="39">
        <v>15</v>
      </c>
      <c r="AE642" s="39">
        <f>G642*0.877927065026362</f>
        <v>0</v>
      </c>
      <c r="AF642" s="39">
        <f>G642*(1-0.877927065026362)</f>
        <v>0</v>
      </c>
      <c r="AM642" s="39">
        <f>F642*AE642</f>
        <v>0</v>
      </c>
      <c r="AN642" s="39">
        <f>F642*AF642</f>
        <v>0</v>
      </c>
      <c r="AO642" s="40" t="s">
        <v>1576</v>
      </c>
      <c r="AP642" s="40" t="s">
        <v>1604</v>
      </c>
      <c r="AQ642" s="31" t="s">
        <v>1613</v>
      </c>
    </row>
    <row r="643" spans="1:43" ht="12.75">
      <c r="A643" s="6" t="s">
        <v>395</v>
      </c>
      <c r="B643" s="6" t="s">
        <v>596</v>
      </c>
      <c r="C643" s="6" t="s">
        <v>796</v>
      </c>
      <c r="D643" s="6" t="s">
        <v>1226</v>
      </c>
      <c r="E643" s="6" t="s">
        <v>1504</v>
      </c>
      <c r="F643" s="24">
        <v>3</v>
      </c>
      <c r="G643" s="24">
        <v>0</v>
      </c>
      <c r="H643" s="24">
        <f>F643*AE643</f>
        <v>0</v>
      </c>
      <c r="I643" s="24">
        <f>J643-H643</f>
        <v>0</v>
      </c>
      <c r="J643" s="24">
        <f>F643*G643</f>
        <v>0</v>
      </c>
      <c r="K643" s="24">
        <v>0</v>
      </c>
      <c r="L643" s="24">
        <f>F643*K643</f>
        <v>0</v>
      </c>
      <c r="M643" s="36" t="s">
        <v>1531</v>
      </c>
      <c r="N643" s="36" t="s">
        <v>1533</v>
      </c>
      <c r="O643" s="24">
        <f>IF(N643="5",I643,0)</f>
        <v>0</v>
      </c>
      <c r="Z643" s="24">
        <f>IF(AD643=0,J643,0)</f>
        <v>0</v>
      </c>
      <c r="AA643" s="24">
        <f>IF(AD643=15,J643,0)</f>
        <v>0</v>
      </c>
      <c r="AB643" s="24">
        <f>IF(AD643=21,J643,0)</f>
        <v>0</v>
      </c>
      <c r="AD643" s="39">
        <v>15</v>
      </c>
      <c r="AE643" s="39">
        <f>G643*1</f>
        <v>0</v>
      </c>
      <c r="AF643" s="39">
        <f>G643*(1-1)</f>
        <v>0</v>
      </c>
      <c r="AM643" s="39">
        <f>F643*AE643</f>
        <v>0</v>
      </c>
      <c r="AN643" s="39">
        <f>F643*AF643</f>
        <v>0</v>
      </c>
      <c r="AO643" s="40" t="s">
        <v>1576</v>
      </c>
      <c r="AP643" s="40" t="s">
        <v>1604</v>
      </c>
      <c r="AQ643" s="31" t="s">
        <v>1613</v>
      </c>
    </row>
    <row r="644" spans="1:43" ht="12.75">
      <c r="A644" s="6" t="s">
        <v>396</v>
      </c>
      <c r="B644" s="6" t="s">
        <v>596</v>
      </c>
      <c r="C644" s="6" t="s">
        <v>797</v>
      </c>
      <c r="D644" s="6" t="s">
        <v>1227</v>
      </c>
      <c r="E644" s="6" t="s">
        <v>1504</v>
      </c>
      <c r="F644" s="24">
        <v>3</v>
      </c>
      <c r="G644" s="24">
        <v>0</v>
      </c>
      <c r="H644" s="24">
        <f>F644*AE644</f>
        <v>0</v>
      </c>
      <c r="I644" s="24">
        <f>J644-H644</f>
        <v>0</v>
      </c>
      <c r="J644" s="24">
        <f>F644*G644</f>
        <v>0</v>
      </c>
      <c r="K644" s="24">
        <v>0</v>
      </c>
      <c r="L644" s="24">
        <f>F644*K644</f>
        <v>0</v>
      </c>
      <c r="M644" s="36" t="s">
        <v>1531</v>
      </c>
      <c r="N644" s="36" t="s">
        <v>1533</v>
      </c>
      <c r="O644" s="24">
        <f>IF(N644="5",I644,0)</f>
        <v>0</v>
      </c>
      <c r="Z644" s="24">
        <f>IF(AD644=0,J644,0)</f>
        <v>0</v>
      </c>
      <c r="AA644" s="24">
        <f>IF(AD644=15,J644,0)</f>
        <v>0</v>
      </c>
      <c r="AB644" s="24">
        <f>IF(AD644=21,J644,0)</f>
        <v>0</v>
      </c>
      <c r="AD644" s="39">
        <v>15</v>
      </c>
      <c r="AE644" s="39">
        <f>G644*1</f>
        <v>0</v>
      </c>
      <c r="AF644" s="39">
        <f>G644*(1-1)</f>
        <v>0</v>
      </c>
      <c r="AM644" s="39">
        <f>F644*AE644</f>
        <v>0</v>
      </c>
      <c r="AN644" s="39">
        <f>F644*AF644</f>
        <v>0</v>
      </c>
      <c r="AO644" s="40" t="s">
        <v>1576</v>
      </c>
      <c r="AP644" s="40" t="s">
        <v>1604</v>
      </c>
      <c r="AQ644" s="31" t="s">
        <v>1613</v>
      </c>
    </row>
    <row r="645" spans="1:37" ht="12.75">
      <c r="A645" s="4"/>
      <c r="B645" s="14" t="s">
        <v>596</v>
      </c>
      <c r="C645" s="14" t="s">
        <v>636</v>
      </c>
      <c r="D645" s="104" t="s">
        <v>1012</v>
      </c>
      <c r="E645" s="105"/>
      <c r="F645" s="105"/>
      <c r="G645" s="105"/>
      <c r="H645" s="42">
        <f>SUM(H646:H659)</f>
        <v>0</v>
      </c>
      <c r="I645" s="42">
        <f>SUM(I646:I659)</f>
        <v>0</v>
      </c>
      <c r="J645" s="42">
        <f>H645+I645</f>
        <v>0</v>
      </c>
      <c r="K645" s="31"/>
      <c r="L645" s="42">
        <f>SUM(L646:L659)</f>
        <v>1.1628817999999999</v>
      </c>
      <c r="M645" s="31"/>
      <c r="P645" s="42">
        <f>IF(Q645="PR",J645,SUM(O646:O659))</f>
        <v>0</v>
      </c>
      <c r="Q645" s="31" t="s">
        <v>1537</v>
      </c>
      <c r="R645" s="42">
        <f>IF(Q645="HS",H645,0)</f>
        <v>0</v>
      </c>
      <c r="S645" s="42">
        <f>IF(Q645="HS",I645-P645,0)</f>
        <v>0</v>
      </c>
      <c r="T645" s="42">
        <f>IF(Q645="PS",H645,0)</f>
        <v>0</v>
      </c>
      <c r="U645" s="42">
        <f>IF(Q645="PS",I645-P645,0)</f>
        <v>0</v>
      </c>
      <c r="V645" s="42">
        <f>IF(Q645="MP",H645,0)</f>
        <v>0</v>
      </c>
      <c r="W645" s="42">
        <f>IF(Q645="MP",I645-P645,0)</f>
        <v>0</v>
      </c>
      <c r="X645" s="42">
        <f>IF(Q645="OM",H645,0)</f>
        <v>0</v>
      </c>
      <c r="Y645" s="31" t="s">
        <v>596</v>
      </c>
      <c r="AI645" s="42">
        <f>SUM(Z646:Z659)</f>
        <v>0</v>
      </c>
      <c r="AJ645" s="42">
        <f>SUM(AA646:AA659)</f>
        <v>0</v>
      </c>
      <c r="AK645" s="42">
        <f>SUM(AB646:AB659)</f>
        <v>0</v>
      </c>
    </row>
    <row r="646" spans="1:43" ht="12.75">
      <c r="A646" s="5" t="s">
        <v>397</v>
      </c>
      <c r="B646" s="5" t="s">
        <v>596</v>
      </c>
      <c r="C646" s="5" t="s">
        <v>637</v>
      </c>
      <c r="D646" s="5" t="s">
        <v>1013</v>
      </c>
      <c r="E646" s="5" t="s">
        <v>1503</v>
      </c>
      <c r="F646" s="22">
        <v>11.07</v>
      </c>
      <c r="G646" s="22">
        <v>0</v>
      </c>
      <c r="H646" s="22">
        <f>F646*AE646</f>
        <v>0</v>
      </c>
      <c r="I646" s="22">
        <f>J646-H646</f>
        <v>0</v>
      </c>
      <c r="J646" s="22">
        <f>F646*G646</f>
        <v>0</v>
      </c>
      <c r="K646" s="22">
        <v>0</v>
      </c>
      <c r="L646" s="22">
        <f>F646*K646</f>
        <v>0</v>
      </c>
      <c r="M646" s="35" t="s">
        <v>1531</v>
      </c>
      <c r="N646" s="35" t="s">
        <v>7</v>
      </c>
      <c r="O646" s="22">
        <f>IF(N646="5",I646,0)</f>
        <v>0</v>
      </c>
      <c r="Z646" s="22">
        <f>IF(AD646=0,J646,0)</f>
        <v>0</v>
      </c>
      <c r="AA646" s="22">
        <f>IF(AD646=15,J646,0)</f>
        <v>0</v>
      </c>
      <c r="AB646" s="22">
        <f>IF(AD646=21,J646,0)</f>
        <v>0</v>
      </c>
      <c r="AD646" s="39">
        <v>15</v>
      </c>
      <c r="AE646" s="39">
        <f>G646*0</f>
        <v>0</v>
      </c>
      <c r="AF646" s="39">
        <f>G646*(1-0)</f>
        <v>0</v>
      </c>
      <c r="AM646" s="39">
        <f>F646*AE646</f>
        <v>0</v>
      </c>
      <c r="AN646" s="39">
        <f>F646*AF646</f>
        <v>0</v>
      </c>
      <c r="AO646" s="40" t="s">
        <v>1551</v>
      </c>
      <c r="AP646" s="40" t="s">
        <v>1605</v>
      </c>
      <c r="AQ646" s="31" t="s">
        <v>1613</v>
      </c>
    </row>
    <row r="647" ht="12.75">
      <c r="D647" s="18" t="s">
        <v>1228</v>
      </c>
    </row>
    <row r="648" spans="1:43" ht="12.75">
      <c r="A648" s="5" t="s">
        <v>398</v>
      </c>
      <c r="B648" s="5" t="s">
        <v>596</v>
      </c>
      <c r="C648" s="5" t="s">
        <v>637</v>
      </c>
      <c r="D648" s="5" t="s">
        <v>1013</v>
      </c>
      <c r="E648" s="5" t="s">
        <v>1503</v>
      </c>
      <c r="F648" s="22">
        <v>19.04</v>
      </c>
      <c r="G648" s="22">
        <v>0</v>
      </c>
      <c r="H648" s="22">
        <f>F648*AE648</f>
        <v>0</v>
      </c>
      <c r="I648" s="22">
        <f>J648-H648</f>
        <v>0</v>
      </c>
      <c r="J648" s="22">
        <f>F648*G648</f>
        <v>0</v>
      </c>
      <c r="K648" s="22">
        <v>0</v>
      </c>
      <c r="L648" s="22">
        <f>F648*K648</f>
        <v>0</v>
      </c>
      <c r="M648" s="35" t="s">
        <v>1531</v>
      </c>
      <c r="N648" s="35" t="s">
        <v>7</v>
      </c>
      <c r="O648" s="22">
        <f>IF(N648="5",I648,0)</f>
        <v>0</v>
      </c>
      <c r="Z648" s="22">
        <f>IF(AD648=0,J648,0)</f>
        <v>0</v>
      </c>
      <c r="AA648" s="22">
        <f>IF(AD648=15,J648,0)</f>
        <v>0</v>
      </c>
      <c r="AB648" s="22">
        <f>IF(AD648=21,J648,0)</f>
        <v>0</v>
      </c>
      <c r="AD648" s="39">
        <v>15</v>
      </c>
      <c r="AE648" s="39">
        <f>G648*0</f>
        <v>0</v>
      </c>
      <c r="AF648" s="39">
        <f>G648*(1-0)</f>
        <v>0</v>
      </c>
      <c r="AM648" s="39">
        <f>F648*AE648</f>
        <v>0</v>
      </c>
      <c r="AN648" s="39">
        <f>F648*AF648</f>
        <v>0</v>
      </c>
      <c r="AO648" s="40" t="s">
        <v>1551</v>
      </c>
      <c r="AP648" s="40" t="s">
        <v>1605</v>
      </c>
      <c r="AQ648" s="31" t="s">
        <v>1613</v>
      </c>
    </row>
    <row r="649" ht="12.75">
      <c r="D649" s="18" t="s">
        <v>1231</v>
      </c>
    </row>
    <row r="650" spans="4:6" ht="10.8" customHeight="1">
      <c r="D650" s="17" t="s">
        <v>1232</v>
      </c>
      <c r="F650" s="23">
        <v>19.04</v>
      </c>
    </row>
    <row r="651" spans="1:43" ht="12.75">
      <c r="A651" s="5" t="s">
        <v>399</v>
      </c>
      <c r="B651" s="5" t="s">
        <v>596</v>
      </c>
      <c r="C651" s="5" t="s">
        <v>638</v>
      </c>
      <c r="D651" s="5" t="s">
        <v>1014</v>
      </c>
      <c r="E651" s="5" t="s">
        <v>1505</v>
      </c>
      <c r="F651" s="22">
        <v>34</v>
      </c>
      <c r="G651" s="22">
        <v>0</v>
      </c>
      <c r="H651" s="22">
        <f>F651*AE651</f>
        <v>0</v>
      </c>
      <c r="I651" s="22">
        <f>J651-H651</f>
        <v>0</v>
      </c>
      <c r="J651" s="22">
        <f>F651*G651</f>
        <v>0</v>
      </c>
      <c r="K651" s="22">
        <v>0.00518</v>
      </c>
      <c r="L651" s="22">
        <f>F651*K651</f>
        <v>0.17612</v>
      </c>
      <c r="M651" s="35" t="s">
        <v>1531</v>
      </c>
      <c r="N651" s="35" t="s">
        <v>7</v>
      </c>
      <c r="O651" s="22">
        <f>IF(N651="5",I651,0)</f>
        <v>0</v>
      </c>
      <c r="Z651" s="22">
        <f>IF(AD651=0,J651,0)</f>
        <v>0</v>
      </c>
      <c r="AA651" s="22">
        <f>IF(AD651=15,J651,0)</f>
        <v>0</v>
      </c>
      <c r="AB651" s="22">
        <f>IF(AD651=21,J651,0)</f>
        <v>0</v>
      </c>
      <c r="AD651" s="39">
        <v>15</v>
      </c>
      <c r="AE651" s="39">
        <f>G651*0.0526060606060606</f>
        <v>0</v>
      </c>
      <c r="AF651" s="39">
        <f>G651*(1-0.0526060606060606)</f>
        <v>0</v>
      </c>
      <c r="AM651" s="39">
        <f>F651*AE651</f>
        <v>0</v>
      </c>
      <c r="AN651" s="39">
        <f>F651*AF651</f>
        <v>0</v>
      </c>
      <c r="AO651" s="40" t="s">
        <v>1551</v>
      </c>
      <c r="AP651" s="40" t="s">
        <v>1605</v>
      </c>
      <c r="AQ651" s="31" t="s">
        <v>1613</v>
      </c>
    </row>
    <row r="652" spans="1:43" ht="12.75">
      <c r="A652" s="5" t="s">
        <v>400</v>
      </c>
      <c r="B652" s="5" t="s">
        <v>596</v>
      </c>
      <c r="C652" s="5" t="s">
        <v>798</v>
      </c>
      <c r="D652" s="5" t="s">
        <v>1235</v>
      </c>
      <c r="E652" s="5" t="s">
        <v>1503</v>
      </c>
      <c r="F652" s="22">
        <v>6.54</v>
      </c>
      <c r="G652" s="22">
        <v>0</v>
      </c>
      <c r="H652" s="22">
        <f>F652*AE652</f>
        <v>0</v>
      </c>
      <c r="I652" s="22">
        <f>J652-H652</f>
        <v>0</v>
      </c>
      <c r="J652" s="22">
        <f>F652*G652</f>
        <v>0</v>
      </c>
      <c r="K652" s="22">
        <v>0.00359</v>
      </c>
      <c r="L652" s="22">
        <f>F652*K652</f>
        <v>0.0234786</v>
      </c>
      <c r="M652" s="35" t="s">
        <v>1531</v>
      </c>
      <c r="N652" s="35" t="s">
        <v>9</v>
      </c>
      <c r="O652" s="22">
        <f>IF(N652="5",I652,0)</f>
        <v>0</v>
      </c>
      <c r="Z652" s="22">
        <f>IF(AD652=0,J652,0)</f>
        <v>0</v>
      </c>
      <c r="AA652" s="22">
        <f>IF(AD652=15,J652,0)</f>
        <v>0</v>
      </c>
      <c r="AB652" s="22">
        <f>IF(AD652=21,J652,0)</f>
        <v>0</v>
      </c>
      <c r="AD652" s="39">
        <v>15</v>
      </c>
      <c r="AE652" s="39">
        <f>G652*0.254545857234613</f>
        <v>0</v>
      </c>
      <c r="AF652" s="39">
        <f>G652*(1-0.254545857234613)</f>
        <v>0</v>
      </c>
      <c r="AM652" s="39">
        <f>F652*AE652</f>
        <v>0</v>
      </c>
      <c r="AN652" s="39">
        <f>F652*AF652</f>
        <v>0</v>
      </c>
      <c r="AO652" s="40" t="s">
        <v>1551</v>
      </c>
      <c r="AP652" s="40" t="s">
        <v>1605</v>
      </c>
      <c r="AQ652" s="31" t="s">
        <v>1613</v>
      </c>
    </row>
    <row r="653" ht="12.75">
      <c r="D653" s="18" t="s">
        <v>1236</v>
      </c>
    </row>
    <row r="654" spans="4:6" ht="10.8" customHeight="1">
      <c r="D654" s="17" t="s">
        <v>1237</v>
      </c>
      <c r="F654" s="23">
        <v>6.54</v>
      </c>
    </row>
    <row r="655" spans="1:43" ht="12.75">
      <c r="A655" s="6" t="s">
        <v>401</v>
      </c>
      <c r="B655" s="6" t="s">
        <v>596</v>
      </c>
      <c r="C655" s="6" t="s">
        <v>639</v>
      </c>
      <c r="D655" s="6" t="s">
        <v>1229</v>
      </c>
      <c r="E655" s="6" t="s">
        <v>1503</v>
      </c>
      <c r="F655" s="24">
        <v>12.177</v>
      </c>
      <c r="G655" s="24">
        <v>0</v>
      </c>
      <c r="H655" s="24">
        <f>F655*AE655</f>
        <v>0</v>
      </c>
      <c r="I655" s="24">
        <f>J655-H655</f>
        <v>0</v>
      </c>
      <c r="J655" s="24">
        <f>F655*G655</f>
        <v>0</v>
      </c>
      <c r="K655" s="24">
        <v>0.0192</v>
      </c>
      <c r="L655" s="24">
        <f>F655*K655</f>
        <v>0.23379839999999996</v>
      </c>
      <c r="M655" s="36" t="s">
        <v>1531</v>
      </c>
      <c r="N655" s="36" t="s">
        <v>1533</v>
      </c>
      <c r="O655" s="24">
        <f>IF(N655="5",I655,0)</f>
        <v>0</v>
      </c>
      <c r="Z655" s="24">
        <f>IF(AD655=0,J655,0)</f>
        <v>0</v>
      </c>
      <c r="AA655" s="24">
        <f>IF(AD655=15,J655,0)</f>
        <v>0</v>
      </c>
      <c r="AB655" s="24">
        <f>IF(AD655=21,J655,0)</f>
        <v>0</v>
      </c>
      <c r="AD655" s="39">
        <v>15</v>
      </c>
      <c r="AE655" s="39">
        <f>G655*1</f>
        <v>0</v>
      </c>
      <c r="AF655" s="39">
        <f>G655*(1-1)</f>
        <v>0</v>
      </c>
      <c r="AM655" s="39">
        <f>F655*AE655</f>
        <v>0</v>
      </c>
      <c r="AN655" s="39">
        <f>F655*AF655</f>
        <v>0</v>
      </c>
      <c r="AO655" s="40" t="s">
        <v>1551</v>
      </c>
      <c r="AP655" s="40" t="s">
        <v>1605</v>
      </c>
      <c r="AQ655" s="31" t="s">
        <v>1613</v>
      </c>
    </row>
    <row r="656" spans="4:6" ht="10.8" customHeight="1">
      <c r="D656" s="17" t="s">
        <v>1230</v>
      </c>
      <c r="F656" s="23">
        <v>12.177</v>
      </c>
    </row>
    <row r="657" spans="1:43" ht="12.75">
      <c r="A657" s="6" t="s">
        <v>402</v>
      </c>
      <c r="B657" s="6" t="s">
        <v>596</v>
      </c>
      <c r="C657" s="6" t="s">
        <v>639</v>
      </c>
      <c r="D657" s="6" t="s">
        <v>1233</v>
      </c>
      <c r="E657" s="6" t="s">
        <v>1503</v>
      </c>
      <c r="F657" s="24">
        <v>30.8</v>
      </c>
      <c r="G657" s="24">
        <v>0</v>
      </c>
      <c r="H657" s="24">
        <f>F657*AE657</f>
        <v>0</v>
      </c>
      <c r="I657" s="24">
        <f>J657-H657</f>
        <v>0</v>
      </c>
      <c r="J657" s="24">
        <f>F657*G657</f>
        <v>0</v>
      </c>
      <c r="K657" s="24">
        <v>0.0192</v>
      </c>
      <c r="L657" s="24">
        <f>F657*K657</f>
        <v>0.59136</v>
      </c>
      <c r="M657" s="36" t="s">
        <v>1531</v>
      </c>
      <c r="N657" s="36" t="s">
        <v>1533</v>
      </c>
      <c r="O657" s="24">
        <f>IF(N657="5",I657,0)</f>
        <v>0</v>
      </c>
      <c r="Z657" s="24">
        <f>IF(AD657=0,J657,0)</f>
        <v>0</v>
      </c>
      <c r="AA657" s="24">
        <f>IF(AD657=15,J657,0)</f>
        <v>0</v>
      </c>
      <c r="AB657" s="24">
        <f>IF(AD657=21,J657,0)</f>
        <v>0</v>
      </c>
      <c r="AD657" s="39">
        <v>15</v>
      </c>
      <c r="AE657" s="39">
        <f>G657*1</f>
        <v>0</v>
      </c>
      <c r="AF657" s="39">
        <f>G657*(1-1)</f>
        <v>0</v>
      </c>
      <c r="AM657" s="39">
        <f>F657*AE657</f>
        <v>0</v>
      </c>
      <c r="AN657" s="39">
        <f>F657*AF657</f>
        <v>0</v>
      </c>
      <c r="AO657" s="40" t="s">
        <v>1551</v>
      </c>
      <c r="AP657" s="40" t="s">
        <v>1605</v>
      </c>
      <c r="AQ657" s="31" t="s">
        <v>1613</v>
      </c>
    </row>
    <row r="658" spans="4:6" ht="10.8" customHeight="1">
      <c r="D658" s="17" t="s">
        <v>1234</v>
      </c>
      <c r="F658" s="23">
        <v>30.8</v>
      </c>
    </row>
    <row r="659" spans="1:43" ht="12.75">
      <c r="A659" s="6" t="s">
        <v>403</v>
      </c>
      <c r="B659" s="6" t="s">
        <v>596</v>
      </c>
      <c r="C659" s="6" t="s">
        <v>799</v>
      </c>
      <c r="D659" s="6" t="s">
        <v>1238</v>
      </c>
      <c r="E659" s="6" t="s">
        <v>1503</v>
      </c>
      <c r="F659" s="24">
        <v>7.194</v>
      </c>
      <c r="G659" s="24">
        <v>0</v>
      </c>
      <c r="H659" s="24">
        <f>F659*AE659</f>
        <v>0</v>
      </c>
      <c r="I659" s="24">
        <f>J659-H659</f>
        <v>0</v>
      </c>
      <c r="J659" s="24">
        <f>F659*G659</f>
        <v>0</v>
      </c>
      <c r="K659" s="24">
        <v>0.0192</v>
      </c>
      <c r="L659" s="24">
        <f>F659*K659</f>
        <v>0.1381248</v>
      </c>
      <c r="M659" s="36" t="s">
        <v>1531</v>
      </c>
      <c r="N659" s="36" t="s">
        <v>1533</v>
      </c>
      <c r="O659" s="24">
        <f>IF(N659="5",I659,0)</f>
        <v>0</v>
      </c>
      <c r="Z659" s="24">
        <f>IF(AD659=0,J659,0)</f>
        <v>0</v>
      </c>
      <c r="AA659" s="24">
        <f>IF(AD659=15,J659,0)</f>
        <v>0</v>
      </c>
      <c r="AB659" s="24">
        <f>IF(AD659=21,J659,0)</f>
        <v>0</v>
      </c>
      <c r="AD659" s="39">
        <v>15</v>
      </c>
      <c r="AE659" s="39">
        <f>G659*1</f>
        <v>0</v>
      </c>
      <c r="AF659" s="39">
        <f>G659*(1-1)</f>
        <v>0</v>
      </c>
      <c r="AM659" s="39">
        <f>F659*AE659</f>
        <v>0</v>
      </c>
      <c r="AN659" s="39">
        <f>F659*AF659</f>
        <v>0</v>
      </c>
      <c r="AO659" s="40" t="s">
        <v>1551</v>
      </c>
      <c r="AP659" s="40" t="s">
        <v>1605</v>
      </c>
      <c r="AQ659" s="31" t="s">
        <v>1613</v>
      </c>
    </row>
    <row r="660" spans="4:6" ht="10.8" customHeight="1">
      <c r="D660" s="17" t="s">
        <v>1239</v>
      </c>
      <c r="F660" s="23">
        <v>7.194</v>
      </c>
    </row>
    <row r="661" spans="1:37" ht="12.75">
      <c r="A661" s="4"/>
      <c r="B661" s="14" t="s">
        <v>596</v>
      </c>
      <c r="C661" s="14" t="s">
        <v>800</v>
      </c>
      <c r="D661" s="104" t="s">
        <v>1240</v>
      </c>
      <c r="E661" s="105"/>
      <c r="F661" s="105"/>
      <c r="G661" s="105"/>
      <c r="H661" s="42">
        <f>SUM(H662:H669)</f>
        <v>0</v>
      </c>
      <c r="I661" s="42">
        <f>SUM(I662:I669)</f>
        <v>0</v>
      </c>
      <c r="J661" s="42">
        <f>H661+I661</f>
        <v>0</v>
      </c>
      <c r="K661" s="31"/>
      <c r="L661" s="42">
        <f>SUM(L662:L669)</f>
        <v>1.4343872</v>
      </c>
      <c r="M661" s="31"/>
      <c r="P661" s="42">
        <f>IF(Q661="PR",J661,SUM(O662:O669))</f>
        <v>0</v>
      </c>
      <c r="Q661" s="31" t="s">
        <v>1537</v>
      </c>
      <c r="R661" s="42">
        <f>IF(Q661="HS",H661,0)</f>
        <v>0</v>
      </c>
      <c r="S661" s="42">
        <f>IF(Q661="HS",I661-P661,0)</f>
        <v>0</v>
      </c>
      <c r="T661" s="42">
        <f>IF(Q661="PS",H661,0)</f>
        <v>0</v>
      </c>
      <c r="U661" s="42">
        <f>IF(Q661="PS",I661-P661,0)</f>
        <v>0</v>
      </c>
      <c r="V661" s="42">
        <f>IF(Q661="MP",H661,0)</f>
        <v>0</v>
      </c>
      <c r="W661" s="42">
        <f>IF(Q661="MP",I661-P661,0)</f>
        <v>0</v>
      </c>
      <c r="X661" s="42">
        <f>IF(Q661="OM",H661,0)</f>
        <v>0</v>
      </c>
      <c r="Y661" s="31" t="s">
        <v>596</v>
      </c>
      <c r="AI661" s="42">
        <f>SUM(Z662:Z669)</f>
        <v>0</v>
      </c>
      <c r="AJ661" s="42">
        <f>SUM(AA662:AA669)</f>
        <v>0</v>
      </c>
      <c r="AK661" s="42">
        <f>SUM(AB662:AB669)</f>
        <v>0</v>
      </c>
    </row>
    <row r="662" spans="1:43" ht="12.75">
      <c r="A662" s="5" t="s">
        <v>404</v>
      </c>
      <c r="B662" s="5" t="s">
        <v>596</v>
      </c>
      <c r="C662" s="5" t="s">
        <v>801</v>
      </c>
      <c r="D662" s="5" t="s">
        <v>1241</v>
      </c>
      <c r="E662" s="5" t="s">
        <v>1503</v>
      </c>
      <c r="F662" s="22">
        <v>175.12</v>
      </c>
      <c r="G662" s="22">
        <v>0</v>
      </c>
      <c r="H662" s="22">
        <f>F662*AE662</f>
        <v>0</v>
      </c>
      <c r="I662" s="22">
        <f>J662-H662</f>
        <v>0</v>
      </c>
      <c r="J662" s="22">
        <f>F662*G662</f>
        <v>0</v>
      </c>
      <c r="K662" s="22">
        <v>0</v>
      </c>
      <c r="L662" s="22">
        <f>F662*K662</f>
        <v>0</v>
      </c>
      <c r="M662" s="35" t="s">
        <v>1531</v>
      </c>
      <c r="N662" s="35" t="s">
        <v>7</v>
      </c>
      <c r="O662" s="22">
        <f>IF(N662="5",I662,0)</f>
        <v>0</v>
      </c>
      <c r="Z662" s="22">
        <f>IF(AD662=0,J662,0)</f>
        <v>0</v>
      </c>
      <c r="AA662" s="22">
        <f>IF(AD662=15,J662,0)</f>
        <v>0</v>
      </c>
      <c r="AB662" s="22">
        <f>IF(AD662=21,J662,0)</f>
        <v>0</v>
      </c>
      <c r="AD662" s="39">
        <v>15</v>
      </c>
      <c r="AE662" s="39">
        <f>G662*0.377777777777778</f>
        <v>0</v>
      </c>
      <c r="AF662" s="39">
        <f>G662*(1-0.377777777777778)</f>
        <v>0</v>
      </c>
      <c r="AM662" s="39">
        <f>F662*AE662</f>
        <v>0</v>
      </c>
      <c r="AN662" s="39">
        <f>F662*AF662</f>
        <v>0</v>
      </c>
      <c r="AO662" s="40" t="s">
        <v>1577</v>
      </c>
      <c r="AP662" s="40" t="s">
        <v>1605</v>
      </c>
      <c r="AQ662" s="31" t="s">
        <v>1613</v>
      </c>
    </row>
    <row r="663" spans="4:6" ht="10.8" customHeight="1">
      <c r="D663" s="17" t="s">
        <v>1242</v>
      </c>
      <c r="F663" s="23">
        <v>175.12</v>
      </c>
    </row>
    <row r="664" spans="1:43" ht="12.75">
      <c r="A664" s="5" t="s">
        <v>405</v>
      </c>
      <c r="B664" s="5" t="s">
        <v>596</v>
      </c>
      <c r="C664" s="5" t="s">
        <v>802</v>
      </c>
      <c r="D664" s="5" t="s">
        <v>1243</v>
      </c>
      <c r="E664" s="5" t="s">
        <v>1503</v>
      </c>
      <c r="F664" s="22">
        <v>159.2</v>
      </c>
      <c r="G664" s="22">
        <v>0</v>
      </c>
      <c r="H664" s="22">
        <f>F664*AE664</f>
        <v>0</v>
      </c>
      <c r="I664" s="22">
        <f>J664-H664</f>
        <v>0</v>
      </c>
      <c r="J664" s="22">
        <f>F664*G664</f>
        <v>0</v>
      </c>
      <c r="K664" s="22">
        <v>5E-05</v>
      </c>
      <c r="L664" s="22">
        <f>F664*K664</f>
        <v>0.00796</v>
      </c>
      <c r="M664" s="35" t="s">
        <v>1531</v>
      </c>
      <c r="N664" s="35" t="s">
        <v>7</v>
      </c>
      <c r="O664" s="22">
        <f>IF(N664="5",I664,0)</f>
        <v>0</v>
      </c>
      <c r="Z664" s="22">
        <f>IF(AD664=0,J664,0)</f>
        <v>0</v>
      </c>
      <c r="AA664" s="22">
        <f>IF(AD664=15,J664,0)</f>
        <v>0</v>
      </c>
      <c r="AB664" s="22">
        <f>IF(AD664=21,J664,0)</f>
        <v>0</v>
      </c>
      <c r="AD664" s="39">
        <v>15</v>
      </c>
      <c r="AE664" s="39">
        <f>G664*0.112006688963211</f>
        <v>0</v>
      </c>
      <c r="AF664" s="39">
        <f>G664*(1-0.112006688963211)</f>
        <v>0</v>
      </c>
      <c r="AM664" s="39">
        <f>F664*AE664</f>
        <v>0</v>
      </c>
      <c r="AN664" s="39">
        <f>F664*AF664</f>
        <v>0</v>
      </c>
      <c r="AO664" s="40" t="s">
        <v>1577</v>
      </c>
      <c r="AP664" s="40" t="s">
        <v>1605</v>
      </c>
      <c r="AQ664" s="31" t="s">
        <v>1613</v>
      </c>
    </row>
    <row r="665" spans="4:6" ht="10.8" customHeight="1">
      <c r="D665" s="17" t="s">
        <v>1206</v>
      </c>
      <c r="F665" s="23">
        <v>159.2</v>
      </c>
    </row>
    <row r="666" spans="1:43" ht="12.75">
      <c r="A666" s="5" t="s">
        <v>406</v>
      </c>
      <c r="B666" s="5" t="s">
        <v>596</v>
      </c>
      <c r="C666" s="5" t="s">
        <v>804</v>
      </c>
      <c r="D666" s="5" t="s">
        <v>1246</v>
      </c>
      <c r="E666" s="5" t="s">
        <v>1503</v>
      </c>
      <c r="F666" s="22">
        <v>175.12</v>
      </c>
      <c r="G666" s="22">
        <v>0</v>
      </c>
      <c r="H666" s="22">
        <f>F666*AE666</f>
        <v>0</v>
      </c>
      <c r="I666" s="22">
        <f>J666-H666</f>
        <v>0</v>
      </c>
      <c r="J666" s="22">
        <f>F666*G666</f>
        <v>0</v>
      </c>
      <c r="K666" s="22">
        <v>1E-05</v>
      </c>
      <c r="L666" s="22">
        <f>F666*K666</f>
        <v>0.0017512000000000003</v>
      </c>
      <c r="M666" s="35" t="s">
        <v>1531</v>
      </c>
      <c r="N666" s="35" t="s">
        <v>7</v>
      </c>
      <c r="O666" s="22">
        <f>IF(N666="5",I666,0)</f>
        <v>0</v>
      </c>
      <c r="Z666" s="22">
        <f>IF(AD666=0,J666,0)</f>
        <v>0</v>
      </c>
      <c r="AA666" s="22">
        <f>IF(AD666=15,J666,0)</f>
        <v>0</v>
      </c>
      <c r="AB666" s="22">
        <f>IF(AD666=21,J666,0)</f>
        <v>0</v>
      </c>
      <c r="AD666" s="39">
        <v>15</v>
      </c>
      <c r="AE666" s="39">
        <f>G666*0.545945945945946</f>
        <v>0</v>
      </c>
      <c r="AF666" s="39">
        <f>G666*(1-0.545945945945946)</f>
        <v>0</v>
      </c>
      <c r="AM666" s="39">
        <f>F666*AE666</f>
        <v>0</v>
      </c>
      <c r="AN666" s="39">
        <f>F666*AF666</f>
        <v>0</v>
      </c>
      <c r="AO666" s="40" t="s">
        <v>1577</v>
      </c>
      <c r="AP666" s="40" t="s">
        <v>1605</v>
      </c>
      <c r="AQ666" s="31" t="s">
        <v>1613</v>
      </c>
    </row>
    <row r="667" spans="4:6" ht="10.8" customHeight="1">
      <c r="D667" s="17" t="s">
        <v>1242</v>
      </c>
      <c r="F667" s="23">
        <v>175.12</v>
      </c>
    </row>
    <row r="668" spans="1:43" ht="12.75">
      <c r="A668" s="5" t="s">
        <v>407</v>
      </c>
      <c r="B668" s="5" t="s">
        <v>596</v>
      </c>
      <c r="C668" s="5" t="s">
        <v>805</v>
      </c>
      <c r="D668" s="5" t="s">
        <v>1247</v>
      </c>
      <c r="E668" s="5" t="s">
        <v>1505</v>
      </c>
      <c r="F668" s="22">
        <v>154</v>
      </c>
      <c r="G668" s="22">
        <v>0</v>
      </c>
      <c r="H668" s="22">
        <f>F668*AE668</f>
        <v>0</v>
      </c>
      <c r="I668" s="22">
        <f>J668-H668</f>
        <v>0</v>
      </c>
      <c r="J668" s="22">
        <f>F668*G668</f>
        <v>0</v>
      </c>
      <c r="K668" s="22">
        <v>0.00095</v>
      </c>
      <c r="L668" s="22">
        <f>F668*K668</f>
        <v>0.1463</v>
      </c>
      <c r="M668" s="35" t="s">
        <v>1531</v>
      </c>
      <c r="N668" s="35" t="s">
        <v>7</v>
      </c>
      <c r="O668" s="22">
        <f>IF(N668="5",I668,0)</f>
        <v>0</v>
      </c>
      <c r="Z668" s="22">
        <f>IF(AD668=0,J668,0)</f>
        <v>0</v>
      </c>
      <c r="AA668" s="22">
        <f>IF(AD668=15,J668,0)</f>
        <v>0</v>
      </c>
      <c r="AB668" s="22">
        <f>IF(AD668=21,J668,0)</f>
        <v>0</v>
      </c>
      <c r="AD668" s="39">
        <v>15</v>
      </c>
      <c r="AE668" s="39">
        <f>G668*0.30912436410867</f>
        <v>0</v>
      </c>
      <c r="AF668" s="39">
        <f>G668*(1-0.30912436410867)</f>
        <v>0</v>
      </c>
      <c r="AM668" s="39">
        <f>F668*AE668</f>
        <v>0</v>
      </c>
      <c r="AN668" s="39">
        <f>F668*AF668</f>
        <v>0</v>
      </c>
      <c r="AO668" s="40" t="s">
        <v>1577</v>
      </c>
      <c r="AP668" s="40" t="s">
        <v>1605</v>
      </c>
      <c r="AQ668" s="31" t="s">
        <v>1613</v>
      </c>
    </row>
    <row r="669" spans="1:43" ht="12.75">
      <c r="A669" s="6" t="s">
        <v>408</v>
      </c>
      <c r="B669" s="6" t="s">
        <v>596</v>
      </c>
      <c r="C669" s="6" t="s">
        <v>803</v>
      </c>
      <c r="D669" s="6" t="s">
        <v>1244</v>
      </c>
      <c r="E669" s="6" t="s">
        <v>1503</v>
      </c>
      <c r="F669" s="24">
        <v>175.12</v>
      </c>
      <c r="G669" s="24">
        <v>0</v>
      </c>
      <c r="H669" s="24">
        <f>F669*AE669</f>
        <v>0</v>
      </c>
      <c r="I669" s="24">
        <f>J669-H669</f>
        <v>0</v>
      </c>
      <c r="J669" s="24">
        <f>F669*G669</f>
        <v>0</v>
      </c>
      <c r="K669" s="24">
        <v>0.0073</v>
      </c>
      <c r="L669" s="24">
        <f>F669*K669</f>
        <v>1.278376</v>
      </c>
      <c r="M669" s="36" t="s">
        <v>1531</v>
      </c>
      <c r="N669" s="36" t="s">
        <v>1533</v>
      </c>
      <c r="O669" s="24">
        <f>IF(N669="5",I669,0)</f>
        <v>0</v>
      </c>
      <c r="Z669" s="24">
        <f>IF(AD669=0,J669,0)</f>
        <v>0</v>
      </c>
      <c r="AA669" s="24">
        <f>IF(AD669=15,J669,0)</f>
        <v>0</v>
      </c>
      <c r="AB669" s="24">
        <f>IF(AD669=21,J669,0)</f>
        <v>0</v>
      </c>
      <c r="AD669" s="39">
        <v>15</v>
      </c>
      <c r="AE669" s="39">
        <f>G669*1</f>
        <v>0</v>
      </c>
      <c r="AF669" s="39">
        <f>G669*(1-1)</f>
        <v>0</v>
      </c>
      <c r="AM669" s="39">
        <f>F669*AE669</f>
        <v>0</v>
      </c>
      <c r="AN669" s="39">
        <f>F669*AF669</f>
        <v>0</v>
      </c>
      <c r="AO669" s="40" t="s">
        <v>1577</v>
      </c>
      <c r="AP669" s="40" t="s">
        <v>1605</v>
      </c>
      <c r="AQ669" s="31" t="s">
        <v>1613</v>
      </c>
    </row>
    <row r="670" spans="4:6" ht="10.8" customHeight="1">
      <c r="D670" s="17" t="s">
        <v>1245</v>
      </c>
      <c r="F670" s="23">
        <v>175.12</v>
      </c>
    </row>
    <row r="671" spans="1:37" ht="12.75">
      <c r="A671" s="4"/>
      <c r="B671" s="14" t="s">
        <v>596</v>
      </c>
      <c r="C671" s="14" t="s">
        <v>640</v>
      </c>
      <c r="D671" s="104" t="s">
        <v>1016</v>
      </c>
      <c r="E671" s="105"/>
      <c r="F671" s="105"/>
      <c r="G671" s="105"/>
      <c r="H671" s="42">
        <f>SUM(H672:H672)</f>
        <v>0</v>
      </c>
      <c r="I671" s="42">
        <f>SUM(I672:I672)</f>
        <v>0</v>
      </c>
      <c r="J671" s="42">
        <f>H671+I671</f>
        <v>0</v>
      </c>
      <c r="K671" s="31"/>
      <c r="L671" s="42">
        <f>SUM(L672:L672)</f>
        <v>0.15919999999999998</v>
      </c>
      <c r="M671" s="31"/>
      <c r="P671" s="42">
        <f>IF(Q671="PR",J671,SUM(O672:O672))</f>
        <v>0</v>
      </c>
      <c r="Q671" s="31" t="s">
        <v>1537</v>
      </c>
      <c r="R671" s="42">
        <f>IF(Q671="HS",H671,0)</f>
        <v>0</v>
      </c>
      <c r="S671" s="42">
        <f>IF(Q671="HS",I671-P671,0)</f>
        <v>0</v>
      </c>
      <c r="T671" s="42">
        <f>IF(Q671="PS",H671,0)</f>
        <v>0</v>
      </c>
      <c r="U671" s="42">
        <f>IF(Q671="PS",I671-P671,0)</f>
        <v>0</v>
      </c>
      <c r="V671" s="42">
        <f>IF(Q671="MP",H671,0)</f>
        <v>0</v>
      </c>
      <c r="W671" s="42">
        <f>IF(Q671="MP",I671-P671,0)</f>
        <v>0</v>
      </c>
      <c r="X671" s="42">
        <f>IF(Q671="OM",H671,0)</f>
        <v>0</v>
      </c>
      <c r="Y671" s="31" t="s">
        <v>596</v>
      </c>
      <c r="AI671" s="42">
        <f>SUM(Z672:Z672)</f>
        <v>0</v>
      </c>
      <c r="AJ671" s="42">
        <f>SUM(AA672:AA672)</f>
        <v>0</v>
      </c>
      <c r="AK671" s="42">
        <f>SUM(AB672:AB672)</f>
        <v>0</v>
      </c>
    </row>
    <row r="672" spans="1:43" ht="12.75">
      <c r="A672" s="5" t="s">
        <v>409</v>
      </c>
      <c r="B672" s="5" t="s">
        <v>596</v>
      </c>
      <c r="C672" s="5" t="s">
        <v>641</v>
      </c>
      <c r="D672" s="5" t="s">
        <v>1017</v>
      </c>
      <c r="E672" s="5" t="s">
        <v>1503</v>
      </c>
      <c r="F672" s="22">
        <v>159.2</v>
      </c>
      <c r="G672" s="22">
        <v>0</v>
      </c>
      <c r="H672" s="22">
        <f>F672*AE672</f>
        <v>0</v>
      </c>
      <c r="I672" s="22">
        <f>J672-H672</f>
        <v>0</v>
      </c>
      <c r="J672" s="22">
        <f>F672*G672</f>
        <v>0</v>
      </c>
      <c r="K672" s="22">
        <v>0.001</v>
      </c>
      <c r="L672" s="22">
        <f>F672*K672</f>
        <v>0.15919999999999998</v>
      </c>
      <c r="M672" s="35" t="s">
        <v>1531</v>
      </c>
      <c r="N672" s="35" t="s">
        <v>9</v>
      </c>
      <c r="O672" s="22">
        <f>IF(N672="5",I672,0)</f>
        <v>0</v>
      </c>
      <c r="Z672" s="22">
        <f>IF(AD672=0,J672,0)</f>
        <v>0</v>
      </c>
      <c r="AA672" s="22">
        <f>IF(AD672=15,J672,0)</f>
        <v>0</v>
      </c>
      <c r="AB672" s="22">
        <f>IF(AD672=21,J672,0)</f>
        <v>0</v>
      </c>
      <c r="AD672" s="39">
        <v>15</v>
      </c>
      <c r="AE672" s="39">
        <f>G672*0</f>
        <v>0</v>
      </c>
      <c r="AF672" s="39">
        <f>G672*(1-0)</f>
        <v>0</v>
      </c>
      <c r="AM672" s="39">
        <f>F672*AE672</f>
        <v>0</v>
      </c>
      <c r="AN672" s="39">
        <f>F672*AF672</f>
        <v>0</v>
      </c>
      <c r="AO672" s="40" t="s">
        <v>1552</v>
      </c>
      <c r="AP672" s="40" t="s">
        <v>1605</v>
      </c>
      <c r="AQ672" s="31" t="s">
        <v>1613</v>
      </c>
    </row>
    <row r="673" ht="12.75">
      <c r="D673" s="18" t="s">
        <v>1248</v>
      </c>
    </row>
    <row r="674" spans="4:6" ht="10.8" customHeight="1">
      <c r="D674" s="17" t="s">
        <v>1206</v>
      </c>
      <c r="F674" s="23">
        <v>159.2</v>
      </c>
    </row>
    <row r="675" spans="1:37" ht="12.75">
      <c r="A675" s="4"/>
      <c r="B675" s="14" t="s">
        <v>596</v>
      </c>
      <c r="C675" s="14" t="s">
        <v>806</v>
      </c>
      <c r="D675" s="104" t="s">
        <v>1249</v>
      </c>
      <c r="E675" s="105"/>
      <c r="F675" s="105"/>
      <c r="G675" s="105"/>
      <c r="H675" s="42">
        <f>SUM(H676:H688)</f>
        <v>0</v>
      </c>
      <c r="I675" s="42">
        <f>SUM(I676:I688)</f>
        <v>0</v>
      </c>
      <c r="J675" s="42">
        <f>H675+I675</f>
        <v>0</v>
      </c>
      <c r="K675" s="31"/>
      <c r="L675" s="42">
        <f>SUM(L676:L688)</f>
        <v>5.237662</v>
      </c>
      <c r="M675" s="31"/>
      <c r="P675" s="42">
        <f>IF(Q675="PR",J675,SUM(O676:O688))</f>
        <v>0</v>
      </c>
      <c r="Q675" s="31" t="s">
        <v>1537</v>
      </c>
      <c r="R675" s="42">
        <f>IF(Q675="HS",H675,0)</f>
        <v>0</v>
      </c>
      <c r="S675" s="42">
        <f>IF(Q675="HS",I675-P675,0)</f>
        <v>0</v>
      </c>
      <c r="T675" s="42">
        <f>IF(Q675="PS",H675,0)</f>
        <v>0</v>
      </c>
      <c r="U675" s="42">
        <f>IF(Q675="PS",I675-P675,0)</f>
        <v>0</v>
      </c>
      <c r="V675" s="42">
        <f>IF(Q675="MP",H675,0)</f>
        <v>0</v>
      </c>
      <c r="W675" s="42">
        <f>IF(Q675="MP",I675-P675,0)</f>
        <v>0</v>
      </c>
      <c r="X675" s="42">
        <f>IF(Q675="OM",H675,0)</f>
        <v>0</v>
      </c>
      <c r="Y675" s="31" t="s">
        <v>596</v>
      </c>
      <c r="AI675" s="42">
        <f>SUM(Z676:Z688)</f>
        <v>0</v>
      </c>
      <c r="AJ675" s="42">
        <f>SUM(AA676:AA688)</f>
        <v>0</v>
      </c>
      <c r="AK675" s="42">
        <f>SUM(AB676:AB688)</f>
        <v>0</v>
      </c>
    </row>
    <row r="676" spans="1:43" ht="12.75">
      <c r="A676" s="5" t="s">
        <v>410</v>
      </c>
      <c r="B676" s="5" t="s">
        <v>596</v>
      </c>
      <c r="C676" s="5" t="s">
        <v>807</v>
      </c>
      <c r="D676" s="5" t="s">
        <v>1250</v>
      </c>
      <c r="E676" s="5" t="s">
        <v>1503</v>
      </c>
      <c r="F676" s="22">
        <v>60.6</v>
      </c>
      <c r="G676" s="22">
        <v>0</v>
      </c>
      <c r="H676" s="22">
        <f>F676*AE676</f>
        <v>0</v>
      </c>
      <c r="I676" s="22">
        <f>J676-H676</f>
        <v>0</v>
      </c>
      <c r="J676" s="22">
        <f>F676*G676</f>
        <v>0</v>
      </c>
      <c r="K676" s="22">
        <v>0.00495</v>
      </c>
      <c r="L676" s="22">
        <f>F676*K676</f>
        <v>0.29997</v>
      </c>
      <c r="M676" s="35" t="s">
        <v>1531</v>
      </c>
      <c r="N676" s="35" t="s">
        <v>7</v>
      </c>
      <c r="O676" s="22">
        <f>IF(N676="5",I676,0)</f>
        <v>0</v>
      </c>
      <c r="Z676" s="22">
        <f>IF(AD676=0,J676,0)</f>
        <v>0</v>
      </c>
      <c r="AA676" s="22">
        <f>IF(AD676=15,J676,0)</f>
        <v>0</v>
      </c>
      <c r="AB676" s="22">
        <f>IF(AD676=21,J676,0)</f>
        <v>0</v>
      </c>
      <c r="AD676" s="39">
        <v>15</v>
      </c>
      <c r="AE676" s="39">
        <f>G676*0.147761904761905</f>
        <v>0</v>
      </c>
      <c r="AF676" s="39">
        <f>G676*(1-0.147761904761905)</f>
        <v>0</v>
      </c>
      <c r="AM676" s="39">
        <f>F676*AE676</f>
        <v>0</v>
      </c>
      <c r="AN676" s="39">
        <f>F676*AF676</f>
        <v>0</v>
      </c>
      <c r="AO676" s="40" t="s">
        <v>1578</v>
      </c>
      <c r="AP676" s="40" t="s">
        <v>1606</v>
      </c>
      <c r="AQ676" s="31" t="s">
        <v>1613</v>
      </c>
    </row>
    <row r="677" spans="4:6" ht="10.8" customHeight="1">
      <c r="D677" s="17" t="s">
        <v>1251</v>
      </c>
      <c r="F677" s="23">
        <v>48</v>
      </c>
    </row>
    <row r="678" spans="4:6" ht="10.8" customHeight="1">
      <c r="D678" s="17" t="s">
        <v>1252</v>
      </c>
      <c r="F678" s="23">
        <v>9.9</v>
      </c>
    </row>
    <row r="679" spans="4:6" ht="10.8" customHeight="1">
      <c r="D679" s="17" t="s">
        <v>1253</v>
      </c>
      <c r="F679" s="23">
        <v>6.3</v>
      </c>
    </row>
    <row r="680" spans="4:6" ht="10.8" customHeight="1">
      <c r="D680" s="17" t="s">
        <v>1254</v>
      </c>
      <c r="F680" s="23">
        <v>-3.6</v>
      </c>
    </row>
    <row r="681" spans="1:43" ht="12.75">
      <c r="A681" s="5" t="s">
        <v>411</v>
      </c>
      <c r="B681" s="5" t="s">
        <v>596</v>
      </c>
      <c r="C681" s="5" t="s">
        <v>808</v>
      </c>
      <c r="D681" s="5" t="s">
        <v>1255</v>
      </c>
      <c r="E681" s="5" t="s">
        <v>1505</v>
      </c>
      <c r="F681" s="22">
        <v>28</v>
      </c>
      <c r="G681" s="22">
        <v>0</v>
      </c>
      <c r="H681" s="22">
        <f>F681*AE681</f>
        <v>0</v>
      </c>
      <c r="I681" s="22">
        <f>J681-H681</f>
        <v>0</v>
      </c>
      <c r="J681" s="22">
        <f>F681*G681</f>
        <v>0</v>
      </c>
      <c r="K681" s="22">
        <v>0.00013</v>
      </c>
      <c r="L681" s="22">
        <f>F681*K681</f>
        <v>0.0036399999999999996</v>
      </c>
      <c r="M681" s="35" t="s">
        <v>1531</v>
      </c>
      <c r="N681" s="35" t="s">
        <v>7</v>
      </c>
      <c r="O681" s="22">
        <f>IF(N681="5",I681,0)</f>
        <v>0</v>
      </c>
      <c r="Z681" s="22">
        <f>IF(AD681=0,J681,0)</f>
        <v>0</v>
      </c>
      <c r="AA681" s="22">
        <f>IF(AD681=15,J681,0)</f>
        <v>0</v>
      </c>
      <c r="AB681" s="22">
        <f>IF(AD681=21,J681,0)</f>
        <v>0</v>
      </c>
      <c r="AD681" s="39">
        <v>15</v>
      </c>
      <c r="AE681" s="39">
        <f>G681*0.859256637168142</f>
        <v>0</v>
      </c>
      <c r="AF681" s="39">
        <f>G681*(1-0.859256637168142)</f>
        <v>0</v>
      </c>
      <c r="AM681" s="39">
        <f>F681*AE681</f>
        <v>0</v>
      </c>
      <c r="AN681" s="39">
        <f>F681*AF681</f>
        <v>0</v>
      </c>
      <c r="AO681" s="40" t="s">
        <v>1578</v>
      </c>
      <c r="AP681" s="40" t="s">
        <v>1606</v>
      </c>
      <c r="AQ681" s="31" t="s">
        <v>1613</v>
      </c>
    </row>
    <row r="682" ht="12.75">
      <c r="D682" s="18" t="s">
        <v>1256</v>
      </c>
    </row>
    <row r="683" spans="1:43" ht="12.75">
      <c r="A683" s="5" t="s">
        <v>412</v>
      </c>
      <c r="B683" s="5" t="s">
        <v>596</v>
      </c>
      <c r="C683" s="5" t="s">
        <v>810</v>
      </c>
      <c r="D683" s="5" t="s">
        <v>1259</v>
      </c>
      <c r="E683" s="5" t="s">
        <v>1503</v>
      </c>
      <c r="F683" s="22">
        <v>60.6</v>
      </c>
      <c r="G683" s="22">
        <v>0</v>
      </c>
      <c r="H683" s="22">
        <f>F683*AE683</f>
        <v>0</v>
      </c>
      <c r="I683" s="22">
        <f>J683-H683</f>
        <v>0</v>
      </c>
      <c r="J683" s="22">
        <f>F683*G683</f>
        <v>0</v>
      </c>
      <c r="K683" s="22">
        <v>0.068</v>
      </c>
      <c r="L683" s="22">
        <f>F683*K683</f>
        <v>4.1208</v>
      </c>
      <c r="M683" s="35" t="s">
        <v>1531</v>
      </c>
      <c r="N683" s="35" t="s">
        <v>9</v>
      </c>
      <c r="O683" s="22">
        <f>IF(N683="5",I683,0)</f>
        <v>0</v>
      </c>
      <c r="Z683" s="22">
        <f>IF(AD683=0,J683,0)</f>
        <v>0</v>
      </c>
      <c r="AA683" s="22">
        <f>IF(AD683=15,J683,0)</f>
        <v>0</v>
      </c>
      <c r="AB683" s="22">
        <f>IF(AD683=21,J683,0)</f>
        <v>0</v>
      </c>
      <c r="AD683" s="39">
        <v>15</v>
      </c>
      <c r="AE683" s="39">
        <f>G683*0</f>
        <v>0</v>
      </c>
      <c r="AF683" s="39">
        <f>G683*(1-0)</f>
        <v>0</v>
      </c>
      <c r="AM683" s="39">
        <f>F683*AE683</f>
        <v>0</v>
      </c>
      <c r="AN683" s="39">
        <f>F683*AF683</f>
        <v>0</v>
      </c>
      <c r="AO683" s="40" t="s">
        <v>1578</v>
      </c>
      <c r="AP683" s="40" t="s">
        <v>1606</v>
      </c>
      <c r="AQ683" s="31" t="s">
        <v>1613</v>
      </c>
    </row>
    <row r="684" spans="4:6" ht="10.8" customHeight="1">
      <c r="D684" s="17" t="s">
        <v>1251</v>
      </c>
      <c r="F684" s="23">
        <v>48</v>
      </c>
    </row>
    <row r="685" spans="4:6" ht="10.8" customHeight="1">
      <c r="D685" s="17" t="s">
        <v>1252</v>
      </c>
      <c r="F685" s="23">
        <v>9.9</v>
      </c>
    </row>
    <row r="686" spans="4:6" ht="10.8" customHeight="1">
      <c r="D686" s="17" t="s">
        <v>1253</v>
      </c>
      <c r="F686" s="23">
        <v>6.3</v>
      </c>
    </row>
    <row r="687" spans="4:6" ht="10.8" customHeight="1">
      <c r="D687" s="17" t="s">
        <v>1260</v>
      </c>
      <c r="F687" s="23">
        <v>-3.6</v>
      </c>
    </row>
    <row r="688" spans="1:43" ht="12.75">
      <c r="A688" s="6" t="s">
        <v>413</v>
      </c>
      <c r="B688" s="6" t="s">
        <v>596</v>
      </c>
      <c r="C688" s="6" t="s">
        <v>809</v>
      </c>
      <c r="D688" s="6" t="s">
        <v>1257</v>
      </c>
      <c r="E688" s="6" t="s">
        <v>1503</v>
      </c>
      <c r="F688" s="24">
        <v>66.66</v>
      </c>
      <c r="G688" s="24">
        <v>0</v>
      </c>
      <c r="H688" s="24">
        <f>F688*AE688</f>
        <v>0</v>
      </c>
      <c r="I688" s="24">
        <f>J688-H688</f>
        <v>0</v>
      </c>
      <c r="J688" s="24">
        <f>F688*G688</f>
        <v>0</v>
      </c>
      <c r="K688" s="24">
        <v>0.0122</v>
      </c>
      <c r="L688" s="24">
        <f>F688*K688</f>
        <v>0.813252</v>
      </c>
      <c r="M688" s="36" t="s">
        <v>1531</v>
      </c>
      <c r="N688" s="36" t="s">
        <v>1533</v>
      </c>
      <c r="O688" s="24">
        <f>IF(N688="5",I688,0)</f>
        <v>0</v>
      </c>
      <c r="Z688" s="24">
        <f>IF(AD688=0,J688,0)</f>
        <v>0</v>
      </c>
      <c r="AA688" s="24">
        <f>IF(AD688=15,J688,0)</f>
        <v>0</v>
      </c>
      <c r="AB688" s="24">
        <f>IF(AD688=21,J688,0)</f>
        <v>0</v>
      </c>
      <c r="AD688" s="39">
        <v>15</v>
      </c>
      <c r="AE688" s="39">
        <f>G688*1</f>
        <v>0</v>
      </c>
      <c r="AF688" s="39">
        <f>G688*(1-1)</f>
        <v>0</v>
      </c>
      <c r="AM688" s="39">
        <f>F688*AE688</f>
        <v>0</v>
      </c>
      <c r="AN688" s="39">
        <f>F688*AF688</f>
        <v>0</v>
      </c>
      <c r="AO688" s="40" t="s">
        <v>1578</v>
      </c>
      <c r="AP688" s="40" t="s">
        <v>1606</v>
      </c>
      <c r="AQ688" s="31" t="s">
        <v>1613</v>
      </c>
    </row>
    <row r="689" spans="4:6" ht="10.8" customHeight="1">
      <c r="D689" s="17" t="s">
        <v>1258</v>
      </c>
      <c r="F689" s="23">
        <v>66.66</v>
      </c>
    </row>
    <row r="690" spans="1:37" ht="12.75">
      <c r="A690" s="4"/>
      <c r="B690" s="14" t="s">
        <v>596</v>
      </c>
      <c r="C690" s="14" t="s">
        <v>644</v>
      </c>
      <c r="D690" s="104" t="s">
        <v>1021</v>
      </c>
      <c r="E690" s="105"/>
      <c r="F690" s="105"/>
      <c r="G690" s="105"/>
      <c r="H690" s="42">
        <f>SUM(H691:H693)</f>
        <v>0</v>
      </c>
      <c r="I690" s="42">
        <f>SUM(I691:I693)</f>
        <v>0</v>
      </c>
      <c r="J690" s="42">
        <f>H690+I690</f>
        <v>0</v>
      </c>
      <c r="K690" s="31"/>
      <c r="L690" s="42">
        <f>SUM(L691:L693)</f>
        <v>0.013766200000000001</v>
      </c>
      <c r="M690" s="31"/>
      <c r="P690" s="42">
        <f>IF(Q690="PR",J690,SUM(O691:O693))</f>
        <v>0</v>
      </c>
      <c r="Q690" s="31" t="s">
        <v>1537</v>
      </c>
      <c r="R690" s="42">
        <f>IF(Q690="HS",H690,0)</f>
        <v>0</v>
      </c>
      <c r="S690" s="42">
        <f>IF(Q690="HS",I690-P690,0)</f>
        <v>0</v>
      </c>
      <c r="T690" s="42">
        <f>IF(Q690="PS",H690,0)</f>
        <v>0</v>
      </c>
      <c r="U690" s="42">
        <f>IF(Q690="PS",I690-P690,0)</f>
        <v>0</v>
      </c>
      <c r="V690" s="42">
        <f>IF(Q690="MP",H690,0)</f>
        <v>0</v>
      </c>
      <c r="W690" s="42">
        <f>IF(Q690="MP",I690-P690,0)</f>
        <v>0</v>
      </c>
      <c r="X690" s="42">
        <f>IF(Q690="OM",H690,0)</f>
        <v>0</v>
      </c>
      <c r="Y690" s="31" t="s">
        <v>596</v>
      </c>
      <c r="AI690" s="42">
        <f>SUM(Z691:Z693)</f>
        <v>0</v>
      </c>
      <c r="AJ690" s="42">
        <f>SUM(AA691:AA693)</f>
        <v>0</v>
      </c>
      <c r="AK690" s="42">
        <f>SUM(AB691:AB693)</f>
        <v>0</v>
      </c>
    </row>
    <row r="691" spans="1:43" ht="12.75">
      <c r="A691" s="5" t="s">
        <v>414</v>
      </c>
      <c r="B691" s="5" t="s">
        <v>596</v>
      </c>
      <c r="C691" s="5" t="s">
        <v>645</v>
      </c>
      <c r="D691" s="5" t="s">
        <v>1022</v>
      </c>
      <c r="E691" s="5" t="s">
        <v>1503</v>
      </c>
      <c r="F691" s="22">
        <v>376.62</v>
      </c>
      <c r="G691" s="22">
        <v>0</v>
      </c>
      <c r="H691" s="22">
        <f>F691*AE691</f>
        <v>0</v>
      </c>
      <c r="I691" s="22">
        <f>J691-H691</f>
        <v>0</v>
      </c>
      <c r="J691" s="22">
        <f>F691*G691</f>
        <v>0</v>
      </c>
      <c r="K691" s="22">
        <v>1E-05</v>
      </c>
      <c r="L691" s="22">
        <f>F691*K691</f>
        <v>0.0037662000000000004</v>
      </c>
      <c r="M691" s="35" t="s">
        <v>1531</v>
      </c>
      <c r="N691" s="35" t="s">
        <v>7</v>
      </c>
      <c r="O691" s="22">
        <f>IF(N691="5",I691,0)</f>
        <v>0</v>
      </c>
      <c r="Z691" s="22">
        <f>IF(AD691=0,J691,0)</f>
        <v>0</v>
      </c>
      <c r="AA691" s="22">
        <f>IF(AD691=15,J691,0)</f>
        <v>0</v>
      </c>
      <c r="AB691" s="22">
        <f>IF(AD691=21,J691,0)</f>
        <v>0</v>
      </c>
      <c r="AD691" s="39">
        <v>15</v>
      </c>
      <c r="AE691" s="39">
        <f>G691*0.0915384615384615</f>
        <v>0</v>
      </c>
      <c r="AF691" s="39">
        <f>G691*(1-0.0915384615384615)</f>
        <v>0</v>
      </c>
      <c r="AM691" s="39">
        <f>F691*AE691</f>
        <v>0</v>
      </c>
      <c r="AN691" s="39">
        <f>F691*AF691</f>
        <v>0</v>
      </c>
      <c r="AO691" s="40" t="s">
        <v>1554</v>
      </c>
      <c r="AP691" s="40" t="s">
        <v>1606</v>
      </c>
      <c r="AQ691" s="31" t="s">
        <v>1613</v>
      </c>
    </row>
    <row r="692" ht="12.75">
      <c r="D692" s="18" t="s">
        <v>1333</v>
      </c>
    </row>
    <row r="693" spans="1:43" ht="12.75">
      <c r="A693" s="6" t="s">
        <v>415</v>
      </c>
      <c r="B693" s="6" t="s">
        <v>596</v>
      </c>
      <c r="C693" s="6" t="s">
        <v>646</v>
      </c>
      <c r="D693" s="6" t="s">
        <v>1024</v>
      </c>
      <c r="E693" s="6" t="s">
        <v>1506</v>
      </c>
      <c r="F693" s="24">
        <v>10</v>
      </c>
      <c r="G693" s="24">
        <v>0</v>
      </c>
      <c r="H693" s="24">
        <f>F693*AE693</f>
        <v>0</v>
      </c>
      <c r="I693" s="24">
        <f>J693-H693</f>
        <v>0</v>
      </c>
      <c r="J693" s="24">
        <f>F693*G693</f>
        <v>0</v>
      </c>
      <c r="K693" s="24">
        <v>0.001</v>
      </c>
      <c r="L693" s="24">
        <f>F693*K693</f>
        <v>0.01</v>
      </c>
      <c r="M693" s="36" t="s">
        <v>1531</v>
      </c>
      <c r="N693" s="36" t="s">
        <v>1533</v>
      </c>
      <c r="O693" s="24">
        <f>IF(N693="5",I693,0)</f>
        <v>0</v>
      </c>
      <c r="Z693" s="24">
        <f>IF(AD693=0,J693,0)</f>
        <v>0</v>
      </c>
      <c r="AA693" s="24">
        <f>IF(AD693=15,J693,0)</f>
        <v>0</v>
      </c>
      <c r="AB693" s="24">
        <f>IF(AD693=21,J693,0)</f>
        <v>0</v>
      </c>
      <c r="AD693" s="39">
        <v>15</v>
      </c>
      <c r="AE693" s="39">
        <f>G693*1</f>
        <v>0</v>
      </c>
      <c r="AF693" s="39">
        <f>G693*(1-1)</f>
        <v>0</v>
      </c>
      <c r="AM693" s="39">
        <f>F693*AE693</f>
        <v>0</v>
      </c>
      <c r="AN693" s="39">
        <f>F693*AF693</f>
        <v>0</v>
      </c>
      <c r="AO693" s="40" t="s">
        <v>1554</v>
      </c>
      <c r="AP693" s="40" t="s">
        <v>1606</v>
      </c>
      <c r="AQ693" s="31" t="s">
        <v>1613</v>
      </c>
    </row>
    <row r="694" spans="1:37" ht="12.75">
      <c r="A694" s="4"/>
      <c r="B694" s="14" t="s">
        <v>596</v>
      </c>
      <c r="C694" s="14" t="s">
        <v>647</v>
      </c>
      <c r="D694" s="104" t="s">
        <v>1025</v>
      </c>
      <c r="E694" s="105"/>
      <c r="F694" s="105"/>
      <c r="G694" s="105"/>
      <c r="H694" s="42">
        <f>SUM(H695:H697)</f>
        <v>0</v>
      </c>
      <c r="I694" s="42">
        <f>SUM(I695:I697)</f>
        <v>0</v>
      </c>
      <c r="J694" s="42">
        <f>H694+I694</f>
        <v>0</v>
      </c>
      <c r="K694" s="31"/>
      <c r="L694" s="42">
        <f>SUM(L695:L697)</f>
        <v>0.2641366</v>
      </c>
      <c r="M694" s="31"/>
      <c r="P694" s="42">
        <f>IF(Q694="PR",J694,SUM(O695:O697))</f>
        <v>0</v>
      </c>
      <c r="Q694" s="31" t="s">
        <v>1537</v>
      </c>
      <c r="R694" s="42">
        <f>IF(Q694="HS",H694,0)</f>
        <v>0</v>
      </c>
      <c r="S694" s="42">
        <f>IF(Q694="HS",I694-P694,0)</f>
        <v>0</v>
      </c>
      <c r="T694" s="42">
        <f>IF(Q694="PS",H694,0)</f>
        <v>0</v>
      </c>
      <c r="U694" s="42">
        <f>IF(Q694="PS",I694-P694,0)</f>
        <v>0</v>
      </c>
      <c r="V694" s="42">
        <f>IF(Q694="MP",H694,0)</f>
        <v>0</v>
      </c>
      <c r="W694" s="42">
        <f>IF(Q694="MP",I694-P694,0)</f>
        <v>0</v>
      </c>
      <c r="X694" s="42">
        <f>IF(Q694="OM",H694,0)</f>
        <v>0</v>
      </c>
      <c r="Y694" s="31" t="s">
        <v>596</v>
      </c>
      <c r="AI694" s="42">
        <f>SUM(Z695:Z697)</f>
        <v>0</v>
      </c>
      <c r="AJ694" s="42">
        <f>SUM(AA695:AA697)</f>
        <v>0</v>
      </c>
      <c r="AK694" s="42">
        <f>SUM(AB695:AB697)</f>
        <v>0</v>
      </c>
    </row>
    <row r="695" spans="1:43" ht="12.75">
      <c r="A695" s="5" t="s">
        <v>416</v>
      </c>
      <c r="B695" s="5" t="s">
        <v>596</v>
      </c>
      <c r="C695" s="5" t="s">
        <v>648</v>
      </c>
      <c r="D695" s="5" t="s">
        <v>1026</v>
      </c>
      <c r="E695" s="5" t="s">
        <v>1503</v>
      </c>
      <c r="F695" s="22">
        <v>574.21</v>
      </c>
      <c r="G695" s="22">
        <v>0</v>
      </c>
      <c r="H695" s="22">
        <f>F695*AE695</f>
        <v>0</v>
      </c>
      <c r="I695" s="22">
        <f>J695-H695</f>
        <v>0</v>
      </c>
      <c r="J695" s="22">
        <f>F695*G695</f>
        <v>0</v>
      </c>
      <c r="K695" s="22">
        <v>0.00039</v>
      </c>
      <c r="L695" s="22">
        <f>F695*K695</f>
        <v>0.2239419</v>
      </c>
      <c r="M695" s="35" t="s">
        <v>1531</v>
      </c>
      <c r="N695" s="35" t="s">
        <v>7</v>
      </c>
      <c r="O695" s="22">
        <f>IF(N695="5",I695,0)</f>
        <v>0</v>
      </c>
      <c r="Z695" s="22">
        <f>IF(AD695=0,J695,0)</f>
        <v>0</v>
      </c>
      <c r="AA695" s="22">
        <f>IF(AD695=15,J695,0)</f>
        <v>0</v>
      </c>
      <c r="AB695" s="22">
        <f>IF(AD695=21,J695,0)</f>
        <v>0</v>
      </c>
      <c r="AD695" s="39">
        <v>15</v>
      </c>
      <c r="AE695" s="39">
        <f>G695*0.253731343283582</f>
        <v>0</v>
      </c>
      <c r="AF695" s="39">
        <f>G695*(1-0.253731343283582)</f>
        <v>0</v>
      </c>
      <c r="AM695" s="39">
        <f>F695*AE695</f>
        <v>0</v>
      </c>
      <c r="AN695" s="39">
        <f>F695*AF695</f>
        <v>0</v>
      </c>
      <c r="AO695" s="40" t="s">
        <v>1555</v>
      </c>
      <c r="AP695" s="40" t="s">
        <v>1606</v>
      </c>
      <c r="AQ695" s="31" t="s">
        <v>1613</v>
      </c>
    </row>
    <row r="696" ht="12.75">
      <c r="D696" s="18" t="s">
        <v>1262</v>
      </c>
    </row>
    <row r="697" spans="1:43" ht="12.75">
      <c r="A697" s="5" t="s">
        <v>417</v>
      </c>
      <c r="B697" s="5" t="s">
        <v>596</v>
      </c>
      <c r="C697" s="5" t="s">
        <v>649</v>
      </c>
      <c r="D697" s="5" t="s">
        <v>1334</v>
      </c>
      <c r="E697" s="5" t="s">
        <v>1503</v>
      </c>
      <c r="F697" s="22">
        <v>574.21</v>
      </c>
      <c r="G697" s="22">
        <v>0</v>
      </c>
      <c r="H697" s="22">
        <f>F697*AE697</f>
        <v>0</v>
      </c>
      <c r="I697" s="22">
        <f>J697-H697</f>
        <v>0</v>
      </c>
      <c r="J697" s="22">
        <f>F697*G697</f>
        <v>0</v>
      </c>
      <c r="K697" s="22">
        <v>7E-05</v>
      </c>
      <c r="L697" s="22">
        <f>F697*K697</f>
        <v>0.0401947</v>
      </c>
      <c r="M697" s="35" t="s">
        <v>1531</v>
      </c>
      <c r="N697" s="35" t="s">
        <v>7</v>
      </c>
      <c r="O697" s="22">
        <f>IF(N697="5",I697,0)</f>
        <v>0</v>
      </c>
      <c r="Z697" s="22">
        <f>IF(AD697=0,J697,0)</f>
        <v>0</v>
      </c>
      <c r="AA697" s="22">
        <f>IF(AD697=15,J697,0)</f>
        <v>0</v>
      </c>
      <c r="AB697" s="22">
        <f>IF(AD697=21,J697,0)</f>
        <v>0</v>
      </c>
      <c r="AD697" s="39">
        <v>15</v>
      </c>
      <c r="AE697" s="39">
        <f>G697*0.296066252587992</f>
        <v>0</v>
      </c>
      <c r="AF697" s="39">
        <f>G697*(1-0.296066252587992)</f>
        <v>0</v>
      </c>
      <c r="AM697" s="39">
        <f>F697*AE697</f>
        <v>0</v>
      </c>
      <c r="AN697" s="39">
        <f>F697*AF697</f>
        <v>0</v>
      </c>
      <c r="AO697" s="40" t="s">
        <v>1555</v>
      </c>
      <c r="AP697" s="40" t="s">
        <v>1606</v>
      </c>
      <c r="AQ697" s="31" t="s">
        <v>1613</v>
      </c>
    </row>
    <row r="698" spans="4:6" ht="10.8" customHeight="1">
      <c r="D698" s="17" t="s">
        <v>1263</v>
      </c>
      <c r="F698" s="23">
        <v>574.21</v>
      </c>
    </row>
    <row r="699" spans="1:37" ht="12.75">
      <c r="A699" s="4"/>
      <c r="B699" s="14" t="s">
        <v>596</v>
      </c>
      <c r="C699" s="14" t="s">
        <v>96</v>
      </c>
      <c r="D699" s="104" t="s">
        <v>1030</v>
      </c>
      <c r="E699" s="105"/>
      <c r="F699" s="105"/>
      <c r="G699" s="105"/>
      <c r="H699" s="42">
        <f>SUM(H700:H701)</f>
        <v>0</v>
      </c>
      <c r="I699" s="42">
        <f>SUM(I700:I701)</f>
        <v>0</v>
      </c>
      <c r="J699" s="42">
        <f>H699+I699</f>
        <v>0</v>
      </c>
      <c r="K699" s="31"/>
      <c r="L699" s="42">
        <f>SUM(L700:L701)</f>
        <v>0</v>
      </c>
      <c r="M699" s="31"/>
      <c r="P699" s="42">
        <f>IF(Q699="PR",J699,SUM(O700:O701))</f>
        <v>0</v>
      </c>
      <c r="Q699" s="31" t="s">
        <v>1536</v>
      </c>
      <c r="R699" s="42">
        <f>IF(Q699="HS",H699,0)</f>
        <v>0</v>
      </c>
      <c r="S699" s="42">
        <f>IF(Q699="HS",I699-P699,0)</f>
        <v>0</v>
      </c>
      <c r="T699" s="42">
        <f>IF(Q699="PS",H699,0)</f>
        <v>0</v>
      </c>
      <c r="U699" s="42">
        <f>IF(Q699="PS",I699-P699,0)</f>
        <v>0</v>
      </c>
      <c r="V699" s="42">
        <f>IF(Q699="MP",H699,0)</f>
        <v>0</v>
      </c>
      <c r="W699" s="42">
        <f>IF(Q699="MP",I699-P699,0)</f>
        <v>0</v>
      </c>
      <c r="X699" s="42">
        <f>IF(Q699="OM",H699,0)</f>
        <v>0</v>
      </c>
      <c r="Y699" s="31" t="s">
        <v>596</v>
      </c>
      <c r="AI699" s="42">
        <f>SUM(Z700:Z701)</f>
        <v>0</v>
      </c>
      <c r="AJ699" s="42">
        <f>SUM(AA700:AA701)</f>
        <v>0</v>
      </c>
      <c r="AK699" s="42">
        <f>SUM(AB700:AB701)</f>
        <v>0</v>
      </c>
    </row>
    <row r="700" spans="1:43" ht="12.75">
      <c r="A700" s="5" t="s">
        <v>418</v>
      </c>
      <c r="B700" s="5" t="s">
        <v>596</v>
      </c>
      <c r="C700" s="5" t="s">
        <v>650</v>
      </c>
      <c r="D700" s="5" t="s">
        <v>1264</v>
      </c>
      <c r="E700" s="5" t="s">
        <v>1507</v>
      </c>
      <c r="F700" s="22">
        <v>30</v>
      </c>
      <c r="G700" s="22">
        <v>0</v>
      </c>
      <c r="H700" s="22">
        <f>F700*AE700</f>
        <v>0</v>
      </c>
      <c r="I700" s="22">
        <f>J700-H700</f>
        <v>0</v>
      </c>
      <c r="J700" s="22">
        <f>F700*G700</f>
        <v>0</v>
      </c>
      <c r="K700" s="22">
        <v>0</v>
      </c>
      <c r="L700" s="22">
        <f>F700*K700</f>
        <v>0</v>
      </c>
      <c r="M700" s="35" t="s">
        <v>1531</v>
      </c>
      <c r="N700" s="35" t="s">
        <v>7</v>
      </c>
      <c r="O700" s="22">
        <f>IF(N700="5",I700,0)</f>
        <v>0</v>
      </c>
      <c r="Z700" s="22">
        <f>IF(AD700=0,J700,0)</f>
        <v>0</v>
      </c>
      <c r="AA700" s="22">
        <f>IF(AD700=15,J700,0)</f>
        <v>0</v>
      </c>
      <c r="AB700" s="22">
        <f>IF(AD700=21,J700,0)</f>
        <v>0</v>
      </c>
      <c r="AD700" s="39">
        <v>15</v>
      </c>
      <c r="AE700" s="39">
        <f>G700*0</f>
        <v>0</v>
      </c>
      <c r="AF700" s="39">
        <f>G700*(1-0)</f>
        <v>0</v>
      </c>
      <c r="AM700" s="39">
        <f>F700*AE700</f>
        <v>0</v>
      </c>
      <c r="AN700" s="39">
        <f>F700*AF700</f>
        <v>0</v>
      </c>
      <c r="AO700" s="40" t="s">
        <v>1556</v>
      </c>
      <c r="AP700" s="40" t="s">
        <v>1607</v>
      </c>
      <c r="AQ700" s="31" t="s">
        <v>1613</v>
      </c>
    </row>
    <row r="701" spans="1:43" ht="12.75">
      <c r="A701" s="5" t="s">
        <v>419</v>
      </c>
      <c r="B701" s="5" t="s">
        <v>596</v>
      </c>
      <c r="C701" s="5" t="s">
        <v>811</v>
      </c>
      <c r="D701" s="5" t="s">
        <v>1265</v>
      </c>
      <c r="E701" s="5" t="s">
        <v>1507</v>
      </c>
      <c r="F701" s="22">
        <v>30</v>
      </c>
      <c r="G701" s="22">
        <v>0</v>
      </c>
      <c r="H701" s="22">
        <f>F701*AE701</f>
        <v>0</v>
      </c>
      <c r="I701" s="22">
        <f>J701-H701</f>
        <v>0</v>
      </c>
      <c r="J701" s="22">
        <f>F701*G701</f>
        <v>0</v>
      </c>
      <c r="K701" s="22">
        <v>0</v>
      </c>
      <c r="L701" s="22">
        <f>F701*K701</f>
        <v>0</v>
      </c>
      <c r="M701" s="35" t="s">
        <v>1531</v>
      </c>
      <c r="N701" s="35" t="s">
        <v>7</v>
      </c>
      <c r="O701" s="22">
        <f>IF(N701="5",I701,0)</f>
        <v>0</v>
      </c>
      <c r="Z701" s="22">
        <f>IF(AD701=0,J701,0)</f>
        <v>0</v>
      </c>
      <c r="AA701" s="22">
        <f>IF(AD701=15,J701,0)</f>
        <v>0</v>
      </c>
      <c r="AB701" s="22">
        <f>IF(AD701=21,J701,0)</f>
        <v>0</v>
      </c>
      <c r="AD701" s="39">
        <v>15</v>
      </c>
      <c r="AE701" s="39">
        <f>G701*0</f>
        <v>0</v>
      </c>
      <c r="AF701" s="39">
        <f>G701*(1-0)</f>
        <v>0</v>
      </c>
      <c r="AM701" s="39">
        <f>F701*AE701</f>
        <v>0</v>
      </c>
      <c r="AN701" s="39">
        <f>F701*AF701</f>
        <v>0</v>
      </c>
      <c r="AO701" s="40" t="s">
        <v>1556</v>
      </c>
      <c r="AP701" s="40" t="s">
        <v>1607</v>
      </c>
      <c r="AQ701" s="31" t="s">
        <v>1613</v>
      </c>
    </row>
    <row r="702" ht="12.75">
      <c r="D702" s="18" t="s">
        <v>1266</v>
      </c>
    </row>
    <row r="703" spans="1:37" ht="12.75">
      <c r="A703" s="4"/>
      <c r="B703" s="14" t="s">
        <v>596</v>
      </c>
      <c r="C703" s="14" t="s">
        <v>100</v>
      </c>
      <c r="D703" s="104" t="s">
        <v>1033</v>
      </c>
      <c r="E703" s="105"/>
      <c r="F703" s="105"/>
      <c r="G703" s="105"/>
      <c r="H703" s="42">
        <f>SUM(H704:H704)</f>
        <v>0</v>
      </c>
      <c r="I703" s="42">
        <f>SUM(I704:I704)</f>
        <v>0</v>
      </c>
      <c r="J703" s="42">
        <f>H703+I703</f>
        <v>0</v>
      </c>
      <c r="K703" s="31"/>
      <c r="L703" s="42">
        <f>SUM(L704:L704)</f>
        <v>0.2991098</v>
      </c>
      <c r="M703" s="31"/>
      <c r="P703" s="42">
        <f>IF(Q703="PR",J703,SUM(O704:O704))</f>
        <v>0</v>
      </c>
      <c r="Q703" s="31" t="s">
        <v>1536</v>
      </c>
      <c r="R703" s="42">
        <f>IF(Q703="HS",H703,0)</f>
        <v>0</v>
      </c>
      <c r="S703" s="42">
        <f>IF(Q703="HS",I703-P703,0)</f>
        <v>0</v>
      </c>
      <c r="T703" s="42">
        <f>IF(Q703="PS",H703,0)</f>
        <v>0</v>
      </c>
      <c r="U703" s="42">
        <f>IF(Q703="PS",I703-P703,0)</f>
        <v>0</v>
      </c>
      <c r="V703" s="42">
        <f>IF(Q703="MP",H703,0)</f>
        <v>0</v>
      </c>
      <c r="W703" s="42">
        <f>IF(Q703="MP",I703-P703,0)</f>
        <v>0</v>
      </c>
      <c r="X703" s="42">
        <f>IF(Q703="OM",H703,0)</f>
        <v>0</v>
      </c>
      <c r="Y703" s="31" t="s">
        <v>596</v>
      </c>
      <c r="AI703" s="42">
        <f>SUM(Z704:Z704)</f>
        <v>0</v>
      </c>
      <c r="AJ703" s="42">
        <f>SUM(AA704:AA704)</f>
        <v>0</v>
      </c>
      <c r="AK703" s="42">
        <f>SUM(AB704:AB704)</f>
        <v>0</v>
      </c>
    </row>
    <row r="704" spans="1:43" ht="12.75">
      <c r="A704" s="5" t="s">
        <v>420</v>
      </c>
      <c r="B704" s="5" t="s">
        <v>596</v>
      </c>
      <c r="C704" s="5" t="s">
        <v>651</v>
      </c>
      <c r="D704" s="5" t="s">
        <v>1034</v>
      </c>
      <c r="E704" s="5" t="s">
        <v>1503</v>
      </c>
      <c r="F704" s="22">
        <v>189.31</v>
      </c>
      <c r="G704" s="22">
        <v>0</v>
      </c>
      <c r="H704" s="22">
        <f>F704*AE704</f>
        <v>0</v>
      </c>
      <c r="I704" s="22">
        <f>J704-H704</f>
        <v>0</v>
      </c>
      <c r="J704" s="22">
        <f>F704*G704</f>
        <v>0</v>
      </c>
      <c r="K704" s="22">
        <v>0.00158</v>
      </c>
      <c r="L704" s="22">
        <f>F704*K704</f>
        <v>0.2991098</v>
      </c>
      <c r="M704" s="35" t="s">
        <v>1531</v>
      </c>
      <c r="N704" s="35" t="s">
        <v>7</v>
      </c>
      <c r="O704" s="22">
        <f>IF(N704="5",I704,0)</f>
        <v>0</v>
      </c>
      <c r="Z704" s="22">
        <f>IF(AD704=0,J704,0)</f>
        <v>0</v>
      </c>
      <c r="AA704" s="22">
        <f>IF(AD704=15,J704,0)</f>
        <v>0</v>
      </c>
      <c r="AB704" s="22">
        <f>IF(AD704=21,J704,0)</f>
        <v>0</v>
      </c>
      <c r="AD704" s="39">
        <v>15</v>
      </c>
      <c r="AE704" s="39">
        <f>G704*0.455303820267324</f>
        <v>0</v>
      </c>
      <c r="AF704" s="39">
        <f>G704*(1-0.455303820267324)</f>
        <v>0</v>
      </c>
      <c r="AM704" s="39">
        <f>F704*AE704</f>
        <v>0</v>
      </c>
      <c r="AN704" s="39">
        <f>F704*AF704</f>
        <v>0</v>
      </c>
      <c r="AO704" s="40" t="s">
        <v>1557</v>
      </c>
      <c r="AP704" s="40" t="s">
        <v>1607</v>
      </c>
      <c r="AQ704" s="31" t="s">
        <v>1613</v>
      </c>
    </row>
    <row r="705" spans="4:6" ht="10.8" customHeight="1">
      <c r="D705" s="17" t="s">
        <v>1112</v>
      </c>
      <c r="F705" s="23">
        <v>189.31</v>
      </c>
    </row>
    <row r="706" spans="1:37" ht="12.75">
      <c r="A706" s="4"/>
      <c r="B706" s="14" t="s">
        <v>596</v>
      </c>
      <c r="C706" s="14" t="s">
        <v>101</v>
      </c>
      <c r="D706" s="104" t="s">
        <v>1036</v>
      </c>
      <c r="E706" s="105"/>
      <c r="F706" s="105"/>
      <c r="G706" s="105"/>
      <c r="H706" s="42">
        <f>SUM(H707:H707)</f>
        <v>0</v>
      </c>
      <c r="I706" s="42">
        <f>SUM(I707:I707)</f>
        <v>0</v>
      </c>
      <c r="J706" s="42">
        <f>H706+I706</f>
        <v>0</v>
      </c>
      <c r="K706" s="31"/>
      <c r="L706" s="42">
        <f>SUM(L707:L707)</f>
        <v>0.007572400000000001</v>
      </c>
      <c r="M706" s="31"/>
      <c r="P706" s="42">
        <f>IF(Q706="PR",J706,SUM(O707:O707))</f>
        <v>0</v>
      </c>
      <c r="Q706" s="31" t="s">
        <v>1536</v>
      </c>
      <c r="R706" s="42">
        <f>IF(Q706="HS",H706,0)</f>
        <v>0</v>
      </c>
      <c r="S706" s="42">
        <f>IF(Q706="HS",I706-P706,0)</f>
        <v>0</v>
      </c>
      <c r="T706" s="42">
        <f>IF(Q706="PS",H706,0)</f>
        <v>0</v>
      </c>
      <c r="U706" s="42">
        <f>IF(Q706="PS",I706-P706,0)</f>
        <v>0</v>
      </c>
      <c r="V706" s="42">
        <f>IF(Q706="MP",H706,0)</f>
        <v>0</v>
      </c>
      <c r="W706" s="42">
        <f>IF(Q706="MP",I706-P706,0)</f>
        <v>0</v>
      </c>
      <c r="X706" s="42">
        <f>IF(Q706="OM",H706,0)</f>
        <v>0</v>
      </c>
      <c r="Y706" s="31" t="s">
        <v>596</v>
      </c>
      <c r="AI706" s="42">
        <f>SUM(Z707:Z707)</f>
        <v>0</v>
      </c>
      <c r="AJ706" s="42">
        <f>SUM(AA707:AA707)</f>
        <v>0</v>
      </c>
      <c r="AK706" s="42">
        <f>SUM(AB707:AB707)</f>
        <v>0</v>
      </c>
    </row>
    <row r="707" spans="1:43" ht="12.75">
      <c r="A707" s="5" t="s">
        <v>421</v>
      </c>
      <c r="B707" s="5" t="s">
        <v>596</v>
      </c>
      <c r="C707" s="5" t="s">
        <v>652</v>
      </c>
      <c r="D707" s="5" t="s">
        <v>1037</v>
      </c>
      <c r="E707" s="5" t="s">
        <v>1503</v>
      </c>
      <c r="F707" s="22">
        <v>189.31</v>
      </c>
      <c r="G707" s="22">
        <v>0</v>
      </c>
      <c r="H707" s="22">
        <f>F707*AE707</f>
        <v>0</v>
      </c>
      <c r="I707" s="22">
        <f>J707-H707</f>
        <v>0</v>
      </c>
      <c r="J707" s="22">
        <f>F707*G707</f>
        <v>0</v>
      </c>
      <c r="K707" s="22">
        <v>4E-05</v>
      </c>
      <c r="L707" s="22">
        <f>F707*K707</f>
        <v>0.007572400000000001</v>
      </c>
      <c r="M707" s="35" t="s">
        <v>1531</v>
      </c>
      <c r="N707" s="35" t="s">
        <v>7</v>
      </c>
      <c r="O707" s="22">
        <f>IF(N707="5",I707,0)</f>
        <v>0</v>
      </c>
      <c r="Z707" s="22">
        <f>IF(AD707=0,J707,0)</f>
        <v>0</v>
      </c>
      <c r="AA707" s="22">
        <f>IF(AD707=15,J707,0)</f>
        <v>0</v>
      </c>
      <c r="AB707" s="22">
        <f>IF(AD707=21,J707,0)</f>
        <v>0</v>
      </c>
      <c r="AD707" s="39">
        <v>15</v>
      </c>
      <c r="AE707" s="39">
        <f>G707*0.0183098591549296</f>
        <v>0</v>
      </c>
      <c r="AF707" s="39">
        <f>G707*(1-0.0183098591549296)</f>
        <v>0</v>
      </c>
      <c r="AM707" s="39">
        <f>F707*AE707</f>
        <v>0</v>
      </c>
      <c r="AN707" s="39">
        <f>F707*AF707</f>
        <v>0</v>
      </c>
      <c r="AO707" s="40" t="s">
        <v>1558</v>
      </c>
      <c r="AP707" s="40" t="s">
        <v>1607</v>
      </c>
      <c r="AQ707" s="31" t="s">
        <v>1613</v>
      </c>
    </row>
    <row r="708" spans="4:6" ht="10.8" customHeight="1">
      <c r="D708" s="17" t="s">
        <v>1112</v>
      </c>
      <c r="F708" s="23">
        <v>189.31</v>
      </c>
    </row>
    <row r="709" spans="1:37" ht="12.75">
      <c r="A709" s="4"/>
      <c r="B709" s="14" t="s">
        <v>596</v>
      </c>
      <c r="C709" s="14" t="s">
        <v>102</v>
      </c>
      <c r="D709" s="104" t="s">
        <v>1267</v>
      </c>
      <c r="E709" s="105"/>
      <c r="F709" s="105"/>
      <c r="G709" s="105"/>
      <c r="H709" s="42">
        <f>SUM(H710:H726)</f>
        <v>0</v>
      </c>
      <c r="I709" s="42">
        <f>SUM(I710:I726)</f>
        <v>0</v>
      </c>
      <c r="J709" s="42">
        <f>H709+I709</f>
        <v>0</v>
      </c>
      <c r="K709" s="31"/>
      <c r="L709" s="42">
        <f>SUM(L710:L726)</f>
        <v>5.7824076</v>
      </c>
      <c r="M709" s="31"/>
      <c r="P709" s="42">
        <f>IF(Q709="PR",J709,SUM(O710:O726))</f>
        <v>0</v>
      </c>
      <c r="Q709" s="31" t="s">
        <v>1536</v>
      </c>
      <c r="R709" s="42">
        <f>IF(Q709="HS",H709,0)</f>
        <v>0</v>
      </c>
      <c r="S709" s="42">
        <f>IF(Q709="HS",I709-P709,0)</f>
        <v>0</v>
      </c>
      <c r="T709" s="42">
        <f>IF(Q709="PS",H709,0)</f>
        <v>0</v>
      </c>
      <c r="U709" s="42">
        <f>IF(Q709="PS",I709-P709,0)</f>
        <v>0</v>
      </c>
      <c r="V709" s="42">
        <f>IF(Q709="MP",H709,0)</f>
        <v>0</v>
      </c>
      <c r="W709" s="42">
        <f>IF(Q709="MP",I709-P709,0)</f>
        <v>0</v>
      </c>
      <c r="X709" s="42">
        <f>IF(Q709="OM",H709,0)</f>
        <v>0</v>
      </c>
      <c r="Y709" s="31" t="s">
        <v>596</v>
      </c>
      <c r="AI709" s="42">
        <f>SUM(Z710:Z726)</f>
        <v>0</v>
      </c>
      <c r="AJ709" s="42">
        <f>SUM(AA710:AA726)</f>
        <v>0</v>
      </c>
      <c r="AK709" s="42">
        <f>SUM(AB710:AB726)</f>
        <v>0</v>
      </c>
    </row>
    <row r="710" spans="1:43" ht="12.75">
      <c r="A710" s="5" t="s">
        <v>422</v>
      </c>
      <c r="B710" s="5" t="s">
        <v>596</v>
      </c>
      <c r="C710" s="5" t="s">
        <v>812</v>
      </c>
      <c r="D710" s="5" t="s">
        <v>1268</v>
      </c>
      <c r="E710" s="5" t="s">
        <v>1504</v>
      </c>
      <c r="F710" s="22">
        <v>24</v>
      </c>
      <c r="G710" s="22">
        <v>0</v>
      </c>
      <c r="H710" s="22">
        <f>F710*AE710</f>
        <v>0</v>
      </c>
      <c r="I710" s="22">
        <f>J710-H710</f>
        <v>0</v>
      </c>
      <c r="J710" s="22">
        <f>F710*G710</f>
        <v>0</v>
      </c>
      <c r="K710" s="22">
        <v>0</v>
      </c>
      <c r="L710" s="22">
        <f>F710*K710</f>
        <v>0</v>
      </c>
      <c r="M710" s="35" t="s">
        <v>1531</v>
      </c>
      <c r="N710" s="35" t="s">
        <v>7</v>
      </c>
      <c r="O710" s="22">
        <f>IF(N710="5",I710,0)</f>
        <v>0</v>
      </c>
      <c r="Z710" s="22">
        <f>IF(AD710=0,J710,0)</f>
        <v>0</v>
      </c>
      <c r="AA710" s="22">
        <f>IF(AD710=15,J710,0)</f>
        <v>0</v>
      </c>
      <c r="AB710" s="22">
        <f>IF(AD710=21,J710,0)</f>
        <v>0</v>
      </c>
      <c r="AD710" s="39">
        <v>15</v>
      </c>
      <c r="AE710" s="39">
        <f>G710*0</f>
        <v>0</v>
      </c>
      <c r="AF710" s="39">
        <f>G710*(1-0)</f>
        <v>0</v>
      </c>
      <c r="AM710" s="39">
        <f>F710*AE710</f>
        <v>0</v>
      </c>
      <c r="AN710" s="39">
        <f>F710*AF710</f>
        <v>0</v>
      </c>
      <c r="AO710" s="40" t="s">
        <v>1579</v>
      </c>
      <c r="AP710" s="40" t="s">
        <v>1607</v>
      </c>
      <c r="AQ710" s="31" t="s">
        <v>1613</v>
      </c>
    </row>
    <row r="711" spans="1:43" ht="12.75">
      <c r="A711" s="5" t="s">
        <v>423</v>
      </c>
      <c r="B711" s="5" t="s">
        <v>596</v>
      </c>
      <c r="C711" s="5" t="s">
        <v>813</v>
      </c>
      <c r="D711" s="5" t="s">
        <v>1269</v>
      </c>
      <c r="E711" s="5" t="s">
        <v>1503</v>
      </c>
      <c r="F711" s="22">
        <v>8.28</v>
      </c>
      <c r="G711" s="22">
        <v>0</v>
      </c>
      <c r="H711" s="22">
        <f>F711*AE711</f>
        <v>0</v>
      </c>
      <c r="I711" s="22">
        <f>J711-H711</f>
        <v>0</v>
      </c>
      <c r="J711" s="22">
        <f>F711*G711</f>
        <v>0</v>
      </c>
      <c r="K711" s="22">
        <v>0.11367</v>
      </c>
      <c r="L711" s="22">
        <f>F711*K711</f>
        <v>0.9411875999999999</v>
      </c>
      <c r="M711" s="35" t="s">
        <v>1531</v>
      </c>
      <c r="N711" s="35" t="s">
        <v>9</v>
      </c>
      <c r="O711" s="22">
        <f>IF(N711="5",I711,0)</f>
        <v>0</v>
      </c>
      <c r="Z711" s="22">
        <f>IF(AD711=0,J711,0)</f>
        <v>0</v>
      </c>
      <c r="AA711" s="22">
        <f>IF(AD711=15,J711,0)</f>
        <v>0</v>
      </c>
      <c r="AB711" s="22">
        <f>IF(AD711=21,J711,0)</f>
        <v>0</v>
      </c>
      <c r="AD711" s="39">
        <v>15</v>
      </c>
      <c r="AE711" s="39">
        <f>G711*0.087032967032967</f>
        <v>0</v>
      </c>
      <c r="AF711" s="39">
        <f>G711*(1-0.087032967032967)</f>
        <v>0</v>
      </c>
      <c r="AM711" s="39">
        <f>F711*AE711</f>
        <v>0</v>
      </c>
      <c r="AN711" s="39">
        <f>F711*AF711</f>
        <v>0</v>
      </c>
      <c r="AO711" s="40" t="s">
        <v>1579</v>
      </c>
      <c r="AP711" s="40" t="s">
        <v>1607</v>
      </c>
      <c r="AQ711" s="31" t="s">
        <v>1613</v>
      </c>
    </row>
    <row r="712" ht="12.75">
      <c r="D712" s="18" t="s">
        <v>1270</v>
      </c>
    </row>
    <row r="713" spans="4:6" ht="10.8" customHeight="1">
      <c r="D713" s="17" t="s">
        <v>1271</v>
      </c>
      <c r="F713" s="23">
        <v>9.36</v>
      </c>
    </row>
    <row r="714" spans="4:6" ht="10.8" customHeight="1">
      <c r="D714" s="17" t="s">
        <v>1272</v>
      </c>
      <c r="F714" s="23">
        <v>-1.08</v>
      </c>
    </row>
    <row r="715" spans="1:43" ht="12.75">
      <c r="A715" s="5" t="s">
        <v>424</v>
      </c>
      <c r="B715" s="5" t="s">
        <v>596</v>
      </c>
      <c r="C715" s="5" t="s">
        <v>814</v>
      </c>
      <c r="D715" s="5" t="s">
        <v>1273</v>
      </c>
      <c r="E715" s="5" t="s">
        <v>1503</v>
      </c>
      <c r="F715" s="22">
        <v>21</v>
      </c>
      <c r="G715" s="22">
        <v>0</v>
      </c>
      <c r="H715" s="22">
        <f>F715*AE715</f>
        <v>0</v>
      </c>
      <c r="I715" s="22">
        <f>J715-H715</f>
        <v>0</v>
      </c>
      <c r="J715" s="22">
        <f>F715*G715</f>
        <v>0</v>
      </c>
      <c r="K715" s="22">
        <v>0.07717</v>
      </c>
      <c r="L715" s="22">
        <f>F715*K715</f>
        <v>1.62057</v>
      </c>
      <c r="M715" s="35" t="s">
        <v>1531</v>
      </c>
      <c r="N715" s="35" t="s">
        <v>7</v>
      </c>
      <c r="O715" s="22">
        <f>IF(N715="5",I715,0)</f>
        <v>0</v>
      </c>
      <c r="Z715" s="22">
        <f>IF(AD715=0,J715,0)</f>
        <v>0</v>
      </c>
      <c r="AA715" s="22">
        <f>IF(AD715=15,J715,0)</f>
        <v>0</v>
      </c>
      <c r="AB715" s="22">
        <f>IF(AD715=21,J715,0)</f>
        <v>0</v>
      </c>
      <c r="AD715" s="39">
        <v>15</v>
      </c>
      <c r="AE715" s="39">
        <f>G715*0.105094339622642</f>
        <v>0</v>
      </c>
      <c r="AF715" s="39">
        <f>G715*(1-0.105094339622642)</f>
        <v>0</v>
      </c>
      <c r="AM715" s="39">
        <f>F715*AE715</f>
        <v>0</v>
      </c>
      <c r="AN715" s="39">
        <f>F715*AF715</f>
        <v>0</v>
      </c>
      <c r="AO715" s="40" t="s">
        <v>1579</v>
      </c>
      <c r="AP715" s="40" t="s">
        <v>1607</v>
      </c>
      <c r="AQ715" s="31" t="s">
        <v>1613</v>
      </c>
    </row>
    <row r="716" ht="12.75">
      <c r="D716" s="18" t="s">
        <v>1274</v>
      </c>
    </row>
    <row r="717" spans="1:43" ht="12.75">
      <c r="A717" s="5" t="s">
        <v>425</v>
      </c>
      <c r="B717" s="5" t="s">
        <v>596</v>
      </c>
      <c r="C717" s="5" t="s">
        <v>815</v>
      </c>
      <c r="D717" s="5" t="s">
        <v>1275</v>
      </c>
      <c r="E717" s="5" t="s">
        <v>1505</v>
      </c>
      <c r="F717" s="22">
        <v>30</v>
      </c>
      <c r="G717" s="22">
        <v>0</v>
      </c>
      <c r="H717" s="22">
        <f>F717*AE717</f>
        <v>0</v>
      </c>
      <c r="I717" s="22">
        <f>J717-H717</f>
        <v>0</v>
      </c>
      <c r="J717" s="22">
        <f>F717*G717</f>
        <v>0</v>
      </c>
      <c r="K717" s="22">
        <v>0.03738</v>
      </c>
      <c r="L717" s="22">
        <f>F717*K717</f>
        <v>1.1214</v>
      </c>
      <c r="M717" s="35" t="s">
        <v>1531</v>
      </c>
      <c r="N717" s="35" t="s">
        <v>7</v>
      </c>
      <c r="O717" s="22">
        <f>IF(N717="5",I717,0)</f>
        <v>0</v>
      </c>
      <c r="Z717" s="22">
        <f>IF(AD717=0,J717,0)</f>
        <v>0</v>
      </c>
      <c r="AA717" s="22">
        <f>IF(AD717=15,J717,0)</f>
        <v>0</v>
      </c>
      <c r="AB717" s="22">
        <f>IF(AD717=21,J717,0)</f>
        <v>0</v>
      </c>
      <c r="AD717" s="39">
        <v>15</v>
      </c>
      <c r="AE717" s="39">
        <f>G717*0.226237623762376</f>
        <v>0</v>
      </c>
      <c r="AF717" s="39">
        <f>G717*(1-0.226237623762376)</f>
        <v>0</v>
      </c>
      <c r="AM717" s="39">
        <f>F717*AE717</f>
        <v>0</v>
      </c>
      <c r="AN717" s="39">
        <f>F717*AF717</f>
        <v>0</v>
      </c>
      <c r="AO717" s="40" t="s">
        <v>1579</v>
      </c>
      <c r="AP717" s="40" t="s">
        <v>1607</v>
      </c>
      <c r="AQ717" s="31" t="s">
        <v>1613</v>
      </c>
    </row>
    <row r="718" spans="1:43" ht="12.75">
      <c r="A718" s="5" t="s">
        <v>426</v>
      </c>
      <c r="B718" s="5" t="s">
        <v>596</v>
      </c>
      <c r="C718" s="5" t="s">
        <v>816</v>
      </c>
      <c r="D718" s="5" t="s">
        <v>1276</v>
      </c>
      <c r="E718" s="5" t="s">
        <v>1505</v>
      </c>
      <c r="F718" s="22">
        <v>18</v>
      </c>
      <c r="G718" s="22">
        <v>0</v>
      </c>
      <c r="H718" s="22">
        <f>F718*AE718</f>
        <v>0</v>
      </c>
      <c r="I718" s="22">
        <f>J718-H718</f>
        <v>0</v>
      </c>
      <c r="J718" s="22">
        <f>F718*G718</f>
        <v>0</v>
      </c>
      <c r="K718" s="22">
        <v>0.03759</v>
      </c>
      <c r="L718" s="22">
        <f>F718*K718</f>
        <v>0.67662</v>
      </c>
      <c r="M718" s="35" t="s">
        <v>1531</v>
      </c>
      <c r="N718" s="35" t="s">
        <v>7</v>
      </c>
      <c r="O718" s="22">
        <f>IF(N718="5",I718,0)</f>
        <v>0</v>
      </c>
      <c r="Z718" s="22">
        <f>IF(AD718=0,J718,0)</f>
        <v>0</v>
      </c>
      <c r="AA718" s="22">
        <f>IF(AD718=15,J718,0)</f>
        <v>0</v>
      </c>
      <c r="AB718" s="22">
        <f>IF(AD718=21,J718,0)</f>
        <v>0</v>
      </c>
      <c r="AD718" s="39">
        <v>15</v>
      </c>
      <c r="AE718" s="39">
        <f>G718*0.110555555555556</f>
        <v>0</v>
      </c>
      <c r="AF718" s="39">
        <f>G718*(1-0.110555555555556)</f>
        <v>0</v>
      </c>
      <c r="AM718" s="39">
        <f>F718*AE718</f>
        <v>0</v>
      </c>
      <c r="AN718" s="39">
        <f>F718*AF718</f>
        <v>0</v>
      </c>
      <c r="AO718" s="40" t="s">
        <v>1579</v>
      </c>
      <c r="AP718" s="40" t="s">
        <v>1607</v>
      </c>
      <c r="AQ718" s="31" t="s">
        <v>1613</v>
      </c>
    </row>
    <row r="719" spans="1:43" ht="12.75">
      <c r="A719" s="5" t="s">
        <v>427</v>
      </c>
      <c r="B719" s="5" t="s">
        <v>596</v>
      </c>
      <c r="C719" s="5" t="s">
        <v>817</v>
      </c>
      <c r="D719" s="5" t="s">
        <v>1277</v>
      </c>
      <c r="E719" s="5" t="s">
        <v>1503</v>
      </c>
      <c r="F719" s="22">
        <v>11.07</v>
      </c>
      <c r="G719" s="22">
        <v>0</v>
      </c>
      <c r="H719" s="22">
        <f>F719*AE719</f>
        <v>0</v>
      </c>
      <c r="I719" s="22">
        <f>J719-H719</f>
        <v>0</v>
      </c>
      <c r="J719" s="22">
        <f>F719*G719</f>
        <v>0</v>
      </c>
      <c r="K719" s="22">
        <v>0.065</v>
      </c>
      <c r="L719" s="22">
        <f>F719*K719</f>
        <v>0.71955</v>
      </c>
      <c r="M719" s="35" t="s">
        <v>1531</v>
      </c>
      <c r="N719" s="35" t="s">
        <v>9</v>
      </c>
      <c r="O719" s="22">
        <f>IF(N719="5",I719,0)</f>
        <v>0</v>
      </c>
      <c r="Z719" s="22">
        <f>IF(AD719=0,J719,0)</f>
        <v>0</v>
      </c>
      <c r="AA719" s="22">
        <f>IF(AD719=15,J719,0)</f>
        <v>0</v>
      </c>
      <c r="AB719" s="22">
        <f>IF(AD719=21,J719,0)</f>
        <v>0</v>
      </c>
      <c r="AD719" s="39">
        <v>15</v>
      </c>
      <c r="AE719" s="39">
        <f>G719*0</f>
        <v>0</v>
      </c>
      <c r="AF719" s="39">
        <f>G719*(1-0)</f>
        <v>0</v>
      </c>
      <c r="AM719" s="39">
        <f>F719*AE719</f>
        <v>0</v>
      </c>
      <c r="AN719" s="39">
        <f>F719*AF719</f>
        <v>0</v>
      </c>
      <c r="AO719" s="40" t="s">
        <v>1579</v>
      </c>
      <c r="AP719" s="40" t="s">
        <v>1607</v>
      </c>
      <c r="AQ719" s="31" t="s">
        <v>1613</v>
      </c>
    </row>
    <row r="720" spans="4:6" ht="10.8" customHeight="1">
      <c r="D720" s="17" t="s">
        <v>1278</v>
      </c>
      <c r="F720" s="23">
        <v>7.29</v>
      </c>
    </row>
    <row r="721" spans="4:6" ht="10.8" customHeight="1">
      <c r="D721" s="17" t="s">
        <v>1279</v>
      </c>
      <c r="F721" s="23">
        <v>3.78</v>
      </c>
    </row>
    <row r="722" spans="1:43" ht="12.75">
      <c r="A722" s="5" t="s">
        <v>428</v>
      </c>
      <c r="B722" s="5" t="s">
        <v>596</v>
      </c>
      <c r="C722" s="5" t="s">
        <v>814</v>
      </c>
      <c r="D722" s="5" t="s">
        <v>1273</v>
      </c>
      <c r="E722" s="5" t="s">
        <v>1503</v>
      </c>
      <c r="F722" s="22">
        <v>3</v>
      </c>
      <c r="G722" s="22">
        <v>0</v>
      </c>
      <c r="H722" s="22">
        <f>F722*AE722</f>
        <v>0</v>
      </c>
      <c r="I722" s="22">
        <f>J722-H722</f>
        <v>0</v>
      </c>
      <c r="J722" s="22">
        <f>F722*G722</f>
        <v>0</v>
      </c>
      <c r="K722" s="22">
        <v>0.07717</v>
      </c>
      <c r="L722" s="22">
        <f>F722*K722</f>
        <v>0.23151</v>
      </c>
      <c r="M722" s="35" t="s">
        <v>1531</v>
      </c>
      <c r="N722" s="35" t="s">
        <v>7</v>
      </c>
      <c r="O722" s="22">
        <f>IF(N722="5",I722,0)</f>
        <v>0</v>
      </c>
      <c r="Z722" s="22">
        <f>IF(AD722=0,J722,0)</f>
        <v>0</v>
      </c>
      <c r="AA722" s="22">
        <f>IF(AD722=15,J722,0)</f>
        <v>0</v>
      </c>
      <c r="AB722" s="22">
        <f>IF(AD722=21,J722,0)</f>
        <v>0</v>
      </c>
      <c r="AD722" s="39">
        <v>15</v>
      </c>
      <c r="AE722" s="39">
        <f>G722*0.105094339622642</f>
        <v>0</v>
      </c>
      <c r="AF722" s="39">
        <f>G722*(1-0.105094339622642)</f>
        <v>0</v>
      </c>
      <c r="AM722" s="39">
        <f>F722*AE722</f>
        <v>0</v>
      </c>
      <c r="AN722" s="39">
        <f>F722*AF722</f>
        <v>0</v>
      </c>
      <c r="AO722" s="40" t="s">
        <v>1579</v>
      </c>
      <c r="AP722" s="40" t="s">
        <v>1607</v>
      </c>
      <c r="AQ722" s="31" t="s">
        <v>1613</v>
      </c>
    </row>
    <row r="723" ht="12.75">
      <c r="D723" s="18" t="s">
        <v>1281</v>
      </c>
    </row>
    <row r="724" spans="1:43" ht="12.75">
      <c r="A724" s="5" t="s">
        <v>429</v>
      </c>
      <c r="B724" s="5" t="s">
        <v>596</v>
      </c>
      <c r="C724" s="5" t="s">
        <v>817</v>
      </c>
      <c r="D724" s="5" t="s">
        <v>1277</v>
      </c>
      <c r="E724" s="5" t="s">
        <v>1503</v>
      </c>
      <c r="F724" s="22">
        <v>6.54</v>
      </c>
      <c r="G724" s="22">
        <v>0</v>
      </c>
      <c r="H724" s="22">
        <f>F724*AE724</f>
        <v>0</v>
      </c>
      <c r="I724" s="22">
        <f>J724-H724</f>
        <v>0</v>
      </c>
      <c r="J724" s="22">
        <f>F724*G724</f>
        <v>0</v>
      </c>
      <c r="K724" s="22">
        <v>0.065</v>
      </c>
      <c r="L724" s="22">
        <f>F724*K724</f>
        <v>0.42510000000000003</v>
      </c>
      <c r="M724" s="35" t="s">
        <v>1531</v>
      </c>
      <c r="N724" s="35" t="s">
        <v>9</v>
      </c>
      <c r="O724" s="22">
        <f>IF(N724="5",I724,0)</f>
        <v>0</v>
      </c>
      <c r="Z724" s="22">
        <f>IF(AD724=0,J724,0)</f>
        <v>0</v>
      </c>
      <c r="AA724" s="22">
        <f>IF(AD724=15,J724,0)</f>
        <v>0</v>
      </c>
      <c r="AB724" s="22">
        <f>IF(AD724=21,J724,0)</f>
        <v>0</v>
      </c>
      <c r="AD724" s="39">
        <v>15</v>
      </c>
      <c r="AE724" s="39">
        <f>G724*0</f>
        <v>0</v>
      </c>
      <c r="AF724" s="39">
        <f>G724*(1-0)</f>
        <v>0</v>
      </c>
      <c r="AM724" s="39">
        <f>F724*AE724</f>
        <v>0</v>
      </c>
      <c r="AN724" s="39">
        <f>F724*AF724</f>
        <v>0</v>
      </c>
      <c r="AO724" s="40" t="s">
        <v>1579</v>
      </c>
      <c r="AP724" s="40" t="s">
        <v>1607</v>
      </c>
      <c r="AQ724" s="31" t="s">
        <v>1613</v>
      </c>
    </row>
    <row r="725" ht="12.75">
      <c r="D725" s="18" t="s">
        <v>1108</v>
      </c>
    </row>
    <row r="726" spans="1:43" ht="12.75">
      <c r="A726" s="5" t="s">
        <v>430</v>
      </c>
      <c r="B726" s="5" t="s">
        <v>596</v>
      </c>
      <c r="C726" s="5" t="s">
        <v>818</v>
      </c>
      <c r="D726" s="5" t="s">
        <v>1280</v>
      </c>
      <c r="E726" s="5" t="s">
        <v>1504</v>
      </c>
      <c r="F726" s="22">
        <v>3</v>
      </c>
      <c r="G726" s="22">
        <v>0</v>
      </c>
      <c r="H726" s="22">
        <f>F726*AE726</f>
        <v>0</v>
      </c>
      <c r="I726" s="22">
        <f>J726-H726</f>
        <v>0</v>
      </c>
      <c r="J726" s="22">
        <f>F726*G726</f>
        <v>0</v>
      </c>
      <c r="K726" s="22">
        <v>0.01549</v>
      </c>
      <c r="L726" s="22">
        <f>F726*K726</f>
        <v>0.04647</v>
      </c>
      <c r="M726" s="35" t="s">
        <v>1531</v>
      </c>
      <c r="N726" s="35" t="s">
        <v>7</v>
      </c>
      <c r="O726" s="22">
        <f>IF(N726="5",I726,0)</f>
        <v>0</v>
      </c>
      <c r="Z726" s="22">
        <f>IF(AD726=0,J726,0)</f>
        <v>0</v>
      </c>
      <c r="AA726" s="22">
        <f>IF(AD726=15,J726,0)</f>
        <v>0</v>
      </c>
      <c r="AB726" s="22">
        <f>IF(AD726=21,J726,0)</f>
        <v>0</v>
      </c>
      <c r="AD726" s="39">
        <v>15</v>
      </c>
      <c r="AE726" s="39">
        <f>G726*0</f>
        <v>0</v>
      </c>
      <c r="AF726" s="39">
        <f>G726*(1-0)</f>
        <v>0</v>
      </c>
      <c r="AM726" s="39">
        <f>F726*AE726</f>
        <v>0</v>
      </c>
      <c r="AN726" s="39">
        <f>F726*AF726</f>
        <v>0</v>
      </c>
      <c r="AO726" s="40" t="s">
        <v>1579</v>
      </c>
      <c r="AP726" s="40" t="s">
        <v>1607</v>
      </c>
      <c r="AQ726" s="31" t="s">
        <v>1613</v>
      </c>
    </row>
    <row r="727" spans="1:37" ht="12.75">
      <c r="A727" s="4"/>
      <c r="B727" s="14" t="s">
        <v>596</v>
      </c>
      <c r="C727" s="14" t="s">
        <v>103</v>
      </c>
      <c r="D727" s="104" t="s">
        <v>1282</v>
      </c>
      <c r="E727" s="105"/>
      <c r="F727" s="105"/>
      <c r="G727" s="105"/>
      <c r="H727" s="42">
        <f>SUM(H728:H728)</f>
        <v>0</v>
      </c>
      <c r="I727" s="42">
        <f>SUM(I728:I728)</f>
        <v>0</v>
      </c>
      <c r="J727" s="42">
        <f>H727+I727</f>
        <v>0</v>
      </c>
      <c r="K727" s="31"/>
      <c r="L727" s="42">
        <f>SUM(L728:L728)</f>
        <v>0.3735</v>
      </c>
      <c r="M727" s="31"/>
      <c r="P727" s="42">
        <f>IF(Q727="PR",J727,SUM(O728:O728))</f>
        <v>0</v>
      </c>
      <c r="Q727" s="31" t="s">
        <v>1536</v>
      </c>
      <c r="R727" s="42">
        <f>IF(Q727="HS",H727,0)</f>
        <v>0</v>
      </c>
      <c r="S727" s="42">
        <f>IF(Q727="HS",I727-P727,0)</f>
        <v>0</v>
      </c>
      <c r="T727" s="42">
        <f>IF(Q727="PS",H727,0)</f>
        <v>0</v>
      </c>
      <c r="U727" s="42">
        <f>IF(Q727="PS",I727-P727,0)</f>
        <v>0</v>
      </c>
      <c r="V727" s="42">
        <f>IF(Q727="MP",H727,0)</f>
        <v>0</v>
      </c>
      <c r="W727" s="42">
        <f>IF(Q727="MP",I727-P727,0)</f>
        <v>0</v>
      </c>
      <c r="X727" s="42">
        <f>IF(Q727="OM",H727,0)</f>
        <v>0</v>
      </c>
      <c r="Y727" s="31" t="s">
        <v>596</v>
      </c>
      <c r="AI727" s="42">
        <f>SUM(Z728:Z728)</f>
        <v>0</v>
      </c>
      <c r="AJ727" s="42">
        <f>SUM(AA728:AA728)</f>
        <v>0</v>
      </c>
      <c r="AK727" s="42">
        <f>SUM(AB728:AB728)</f>
        <v>0</v>
      </c>
    </row>
    <row r="728" spans="1:43" ht="12.75">
      <c r="A728" s="5" t="s">
        <v>431</v>
      </c>
      <c r="B728" s="5" t="s">
        <v>596</v>
      </c>
      <c r="C728" s="5" t="s">
        <v>819</v>
      </c>
      <c r="D728" s="5" t="s">
        <v>1283</v>
      </c>
      <c r="E728" s="5" t="s">
        <v>1505</v>
      </c>
      <c r="F728" s="22">
        <v>150</v>
      </c>
      <c r="G728" s="22">
        <v>0</v>
      </c>
      <c r="H728" s="22">
        <f>F728*AE728</f>
        <v>0</v>
      </c>
      <c r="I728" s="22">
        <f>J728-H728</f>
        <v>0</v>
      </c>
      <c r="J728" s="22">
        <f>F728*G728</f>
        <v>0</v>
      </c>
      <c r="K728" s="22">
        <v>0.00249</v>
      </c>
      <c r="L728" s="22">
        <f>F728*K728</f>
        <v>0.3735</v>
      </c>
      <c r="M728" s="35" t="s">
        <v>1531</v>
      </c>
      <c r="N728" s="35" t="s">
        <v>7</v>
      </c>
      <c r="O728" s="22">
        <f>IF(N728="5",I728,0)</f>
        <v>0</v>
      </c>
      <c r="Z728" s="22">
        <f>IF(AD728=0,J728,0)</f>
        <v>0</v>
      </c>
      <c r="AA728" s="22">
        <f>IF(AD728=15,J728,0)</f>
        <v>0</v>
      </c>
      <c r="AB728" s="22">
        <f>IF(AD728=21,J728,0)</f>
        <v>0</v>
      </c>
      <c r="AD728" s="39">
        <v>15</v>
      </c>
      <c r="AE728" s="39">
        <f>G728*0.110889963036679</f>
        <v>0</v>
      </c>
      <c r="AF728" s="39">
        <f>G728*(1-0.110889963036679)</f>
        <v>0</v>
      </c>
      <c r="AM728" s="39">
        <f>F728*AE728</f>
        <v>0</v>
      </c>
      <c r="AN728" s="39">
        <f>F728*AF728</f>
        <v>0</v>
      </c>
      <c r="AO728" s="40" t="s">
        <v>1580</v>
      </c>
      <c r="AP728" s="40" t="s">
        <v>1607</v>
      </c>
      <c r="AQ728" s="31" t="s">
        <v>1613</v>
      </c>
    </row>
    <row r="729" spans="1:37" ht="12.75">
      <c r="A729" s="4"/>
      <c r="B729" s="14" t="s">
        <v>596</v>
      </c>
      <c r="C729" s="14" t="s">
        <v>653</v>
      </c>
      <c r="D729" s="104" t="s">
        <v>1038</v>
      </c>
      <c r="E729" s="105"/>
      <c r="F729" s="105"/>
      <c r="G729" s="105"/>
      <c r="H729" s="42">
        <f>SUM(H730:H730)</f>
        <v>0</v>
      </c>
      <c r="I729" s="42">
        <f>SUM(I730:I730)</f>
        <v>0</v>
      </c>
      <c r="J729" s="42">
        <f>H729+I729</f>
        <v>0</v>
      </c>
      <c r="K729" s="31"/>
      <c r="L729" s="42">
        <f>SUM(L730:L730)</f>
        <v>0</v>
      </c>
      <c r="M729" s="31"/>
      <c r="P729" s="42">
        <f>IF(Q729="PR",J729,SUM(O730:O730))</f>
        <v>0</v>
      </c>
      <c r="Q729" s="31" t="s">
        <v>1536</v>
      </c>
      <c r="R729" s="42">
        <f>IF(Q729="HS",H729,0)</f>
        <v>0</v>
      </c>
      <c r="S729" s="42">
        <f>IF(Q729="HS",I729-P729,0)</f>
        <v>0</v>
      </c>
      <c r="T729" s="42">
        <f>IF(Q729="PS",H729,0)</f>
        <v>0</v>
      </c>
      <c r="U729" s="42">
        <f>IF(Q729="PS",I729-P729,0)</f>
        <v>0</v>
      </c>
      <c r="V729" s="42">
        <f>IF(Q729="MP",H729,0)</f>
        <v>0</v>
      </c>
      <c r="W729" s="42">
        <f>IF(Q729="MP",I729-P729,0)</f>
        <v>0</v>
      </c>
      <c r="X729" s="42">
        <f>IF(Q729="OM",H729,0)</f>
        <v>0</v>
      </c>
      <c r="Y729" s="31" t="s">
        <v>596</v>
      </c>
      <c r="AI729" s="42">
        <f>SUM(Z730:Z730)</f>
        <v>0</v>
      </c>
      <c r="AJ729" s="42">
        <f>SUM(AA730:AA730)</f>
        <v>0</v>
      </c>
      <c r="AK729" s="42">
        <f>SUM(AB730:AB730)</f>
        <v>0</v>
      </c>
    </row>
    <row r="730" spans="1:43" ht="12.75">
      <c r="A730" s="5" t="s">
        <v>432</v>
      </c>
      <c r="B730" s="5" t="s">
        <v>596</v>
      </c>
      <c r="C730" s="5" t="s">
        <v>820</v>
      </c>
      <c r="D730" s="5" t="s">
        <v>1284</v>
      </c>
      <c r="E730" s="5" t="s">
        <v>1508</v>
      </c>
      <c r="F730" s="22">
        <v>15.01</v>
      </c>
      <c r="G730" s="22">
        <v>0</v>
      </c>
      <c r="H730" s="22">
        <f>F730*AE730</f>
        <v>0</v>
      </c>
      <c r="I730" s="22">
        <f>J730-H730</f>
        <v>0</v>
      </c>
      <c r="J730" s="22">
        <f>F730*G730</f>
        <v>0</v>
      </c>
      <c r="K730" s="22">
        <v>0</v>
      </c>
      <c r="L730" s="22">
        <f>F730*K730</f>
        <v>0</v>
      </c>
      <c r="M730" s="35" t="s">
        <v>1531</v>
      </c>
      <c r="N730" s="35" t="s">
        <v>11</v>
      </c>
      <c r="O730" s="22">
        <f>IF(N730="5",I730,0)</f>
        <v>0</v>
      </c>
      <c r="Z730" s="22">
        <f>IF(AD730=0,J730,0)</f>
        <v>0</v>
      </c>
      <c r="AA730" s="22">
        <f>IF(AD730=15,J730,0)</f>
        <v>0</v>
      </c>
      <c r="AB730" s="22">
        <f>IF(AD730=21,J730,0)</f>
        <v>0</v>
      </c>
      <c r="AD730" s="39">
        <v>15</v>
      </c>
      <c r="AE730" s="39">
        <f>G730*0</f>
        <v>0</v>
      </c>
      <c r="AF730" s="39">
        <f>G730*(1-0)</f>
        <v>0</v>
      </c>
      <c r="AM730" s="39">
        <f>F730*AE730</f>
        <v>0</v>
      </c>
      <c r="AN730" s="39">
        <f>F730*AF730</f>
        <v>0</v>
      </c>
      <c r="AO730" s="40" t="s">
        <v>1559</v>
      </c>
      <c r="AP730" s="40" t="s">
        <v>1607</v>
      </c>
      <c r="AQ730" s="31" t="s">
        <v>1613</v>
      </c>
    </row>
    <row r="731" spans="1:37" ht="12.75">
      <c r="A731" s="4"/>
      <c r="B731" s="14" t="s">
        <v>596</v>
      </c>
      <c r="C731" s="14" t="s">
        <v>821</v>
      </c>
      <c r="D731" s="104" t="s">
        <v>1103</v>
      </c>
      <c r="E731" s="105"/>
      <c r="F731" s="105"/>
      <c r="G731" s="105"/>
      <c r="H731" s="42">
        <f>SUM(H732:H732)</f>
        <v>0</v>
      </c>
      <c r="I731" s="42">
        <f>SUM(I732:I732)</f>
        <v>0</v>
      </c>
      <c r="J731" s="42">
        <f>H731+I731</f>
        <v>0</v>
      </c>
      <c r="K731" s="31"/>
      <c r="L731" s="42">
        <f>SUM(L732:L732)</f>
        <v>0</v>
      </c>
      <c r="M731" s="31"/>
      <c r="P731" s="42">
        <f>IF(Q731="PR",J731,SUM(O732:O732))</f>
        <v>0</v>
      </c>
      <c r="Q731" s="31" t="s">
        <v>1536</v>
      </c>
      <c r="R731" s="42">
        <f>IF(Q731="HS",H731,0)</f>
        <v>0</v>
      </c>
      <c r="S731" s="42">
        <f>IF(Q731="HS",I731-P731,0)</f>
        <v>0</v>
      </c>
      <c r="T731" s="42">
        <f>IF(Q731="PS",H731,0)</f>
        <v>0</v>
      </c>
      <c r="U731" s="42">
        <f>IF(Q731="PS",I731-P731,0)</f>
        <v>0</v>
      </c>
      <c r="V731" s="42">
        <f>IF(Q731="MP",H731,0)</f>
        <v>0</v>
      </c>
      <c r="W731" s="42">
        <f>IF(Q731="MP",I731-P731,0)</f>
        <v>0</v>
      </c>
      <c r="X731" s="42">
        <f>IF(Q731="OM",H731,0)</f>
        <v>0</v>
      </c>
      <c r="Y731" s="31" t="s">
        <v>596</v>
      </c>
      <c r="AI731" s="42">
        <f>SUM(Z732:Z732)</f>
        <v>0</v>
      </c>
      <c r="AJ731" s="42">
        <f>SUM(AA732:AA732)</f>
        <v>0</v>
      </c>
      <c r="AK731" s="42">
        <f>SUM(AB732:AB732)</f>
        <v>0</v>
      </c>
    </row>
    <row r="732" spans="1:43" ht="12.75">
      <c r="A732" s="5" t="s">
        <v>433</v>
      </c>
      <c r="B732" s="5" t="s">
        <v>596</v>
      </c>
      <c r="C732" s="5" t="s">
        <v>822</v>
      </c>
      <c r="D732" s="5" t="s">
        <v>1285</v>
      </c>
      <c r="E732" s="5" t="s">
        <v>1509</v>
      </c>
      <c r="F732" s="22">
        <v>1</v>
      </c>
      <c r="G732" s="22">
        <v>0</v>
      </c>
      <c r="H732" s="22">
        <f>F732*AE732</f>
        <v>0</v>
      </c>
      <c r="I732" s="22">
        <f>J732-H732</f>
        <v>0</v>
      </c>
      <c r="J732" s="22">
        <f>F732*G732</f>
        <v>0</v>
      </c>
      <c r="K732" s="22">
        <v>0</v>
      </c>
      <c r="L732" s="22">
        <f>F732*K732</f>
        <v>0</v>
      </c>
      <c r="M732" s="35" t="s">
        <v>1531</v>
      </c>
      <c r="N732" s="35" t="s">
        <v>11</v>
      </c>
      <c r="O732" s="22">
        <f>IF(N732="5",I732,0)</f>
        <v>0</v>
      </c>
      <c r="Z732" s="22">
        <f>IF(AD732=0,J732,0)</f>
        <v>0</v>
      </c>
      <c r="AA732" s="22">
        <f>IF(AD732=15,J732,0)</f>
        <v>0</v>
      </c>
      <c r="AB732" s="22">
        <f>IF(AD732=21,J732,0)</f>
        <v>0</v>
      </c>
      <c r="AD732" s="39">
        <v>15</v>
      </c>
      <c r="AE732" s="39">
        <f>G732*0</f>
        <v>0</v>
      </c>
      <c r="AF732" s="39">
        <f>G732*(1-0)</f>
        <v>0</v>
      </c>
      <c r="AM732" s="39">
        <f>F732*AE732</f>
        <v>0</v>
      </c>
      <c r="AN732" s="39">
        <f>F732*AF732</f>
        <v>0</v>
      </c>
      <c r="AO732" s="40" t="s">
        <v>1581</v>
      </c>
      <c r="AP732" s="40" t="s">
        <v>1607</v>
      </c>
      <c r="AQ732" s="31" t="s">
        <v>1613</v>
      </c>
    </row>
    <row r="733" spans="1:37" ht="12.75">
      <c r="A733" s="4"/>
      <c r="B733" s="14" t="s">
        <v>596</v>
      </c>
      <c r="C733" s="14" t="s">
        <v>823</v>
      </c>
      <c r="D733" s="104" t="s">
        <v>987</v>
      </c>
      <c r="E733" s="105"/>
      <c r="F733" s="105"/>
      <c r="G733" s="105"/>
      <c r="H733" s="42">
        <f>SUM(H734:H734)</f>
        <v>0</v>
      </c>
      <c r="I733" s="42">
        <f>SUM(I734:I734)</f>
        <v>0</v>
      </c>
      <c r="J733" s="42">
        <f>H733+I733</f>
        <v>0</v>
      </c>
      <c r="K733" s="31"/>
      <c r="L733" s="42">
        <f>SUM(L734:L734)</f>
        <v>0</v>
      </c>
      <c r="M733" s="31"/>
      <c r="P733" s="42">
        <f>IF(Q733="PR",J733,SUM(O734:O734))</f>
        <v>0</v>
      </c>
      <c r="Q733" s="31" t="s">
        <v>1536</v>
      </c>
      <c r="R733" s="42">
        <f>IF(Q733="HS",H733,0)</f>
        <v>0</v>
      </c>
      <c r="S733" s="42">
        <f>IF(Q733="HS",I733-P733,0)</f>
        <v>0</v>
      </c>
      <c r="T733" s="42">
        <f>IF(Q733="PS",H733,0)</f>
        <v>0</v>
      </c>
      <c r="U733" s="42">
        <f>IF(Q733="PS",I733-P733,0)</f>
        <v>0</v>
      </c>
      <c r="V733" s="42">
        <f>IF(Q733="MP",H733,0)</f>
        <v>0</v>
      </c>
      <c r="W733" s="42">
        <f>IF(Q733="MP",I733-P733,0)</f>
        <v>0</v>
      </c>
      <c r="X733" s="42">
        <f>IF(Q733="OM",H733,0)</f>
        <v>0</v>
      </c>
      <c r="Y733" s="31" t="s">
        <v>596</v>
      </c>
      <c r="AI733" s="42">
        <f>SUM(Z734:Z734)</f>
        <v>0</v>
      </c>
      <c r="AJ733" s="42">
        <f>SUM(AA734:AA734)</f>
        <v>0</v>
      </c>
      <c r="AK733" s="42">
        <f>SUM(AB734:AB734)</f>
        <v>0</v>
      </c>
    </row>
    <row r="734" spans="1:43" ht="12.75">
      <c r="A734" s="5" t="s">
        <v>434</v>
      </c>
      <c r="B734" s="5" t="s">
        <v>596</v>
      </c>
      <c r="C734" s="5" t="s">
        <v>824</v>
      </c>
      <c r="D734" s="5" t="s">
        <v>1286</v>
      </c>
      <c r="E734" s="5" t="s">
        <v>1509</v>
      </c>
      <c r="F734" s="22">
        <v>1</v>
      </c>
      <c r="G734" s="22">
        <v>0</v>
      </c>
      <c r="H734" s="22">
        <f>F734*AE734</f>
        <v>0</v>
      </c>
      <c r="I734" s="22">
        <f>J734-H734</f>
        <v>0</v>
      </c>
      <c r="J734" s="22">
        <f>F734*G734</f>
        <v>0</v>
      </c>
      <c r="K734" s="22">
        <v>0</v>
      </c>
      <c r="L734" s="22">
        <f>F734*K734</f>
        <v>0</v>
      </c>
      <c r="M734" s="35" t="s">
        <v>1531</v>
      </c>
      <c r="N734" s="35" t="s">
        <v>11</v>
      </c>
      <c r="O734" s="22">
        <f>IF(N734="5",I734,0)</f>
        <v>0</v>
      </c>
      <c r="Z734" s="22">
        <f>IF(AD734=0,J734,0)</f>
        <v>0</v>
      </c>
      <c r="AA734" s="22">
        <f>IF(AD734=15,J734,0)</f>
        <v>0</v>
      </c>
      <c r="AB734" s="22">
        <f>IF(AD734=21,J734,0)</f>
        <v>0</v>
      </c>
      <c r="AD734" s="39">
        <v>15</v>
      </c>
      <c r="AE734" s="39">
        <f>G734*0</f>
        <v>0</v>
      </c>
      <c r="AF734" s="39">
        <f>G734*(1-0)</f>
        <v>0</v>
      </c>
      <c r="AM734" s="39">
        <f>F734*AE734</f>
        <v>0</v>
      </c>
      <c r="AN734" s="39">
        <f>F734*AF734</f>
        <v>0</v>
      </c>
      <c r="AO734" s="40" t="s">
        <v>1582</v>
      </c>
      <c r="AP734" s="40" t="s">
        <v>1607</v>
      </c>
      <c r="AQ734" s="31" t="s">
        <v>1613</v>
      </c>
    </row>
    <row r="735" spans="1:37" ht="12.75">
      <c r="A735" s="4"/>
      <c r="B735" s="14" t="s">
        <v>596</v>
      </c>
      <c r="C735" s="14" t="s">
        <v>825</v>
      </c>
      <c r="D735" s="104" t="s">
        <v>1287</v>
      </c>
      <c r="E735" s="105"/>
      <c r="F735" s="105"/>
      <c r="G735" s="105"/>
      <c r="H735" s="42">
        <f>SUM(H736:H736)</f>
        <v>0</v>
      </c>
      <c r="I735" s="42">
        <f>SUM(I736:I736)</f>
        <v>0</v>
      </c>
      <c r="J735" s="42">
        <f>H735+I735</f>
        <v>0</v>
      </c>
      <c r="K735" s="31"/>
      <c r="L735" s="42">
        <f>SUM(L736:L736)</f>
        <v>0</v>
      </c>
      <c r="M735" s="31"/>
      <c r="P735" s="42">
        <f>IF(Q735="PR",J735,SUM(O736:O736))</f>
        <v>0</v>
      </c>
      <c r="Q735" s="31" t="s">
        <v>1536</v>
      </c>
      <c r="R735" s="42">
        <f>IF(Q735="HS",H735,0)</f>
        <v>0</v>
      </c>
      <c r="S735" s="42">
        <f>IF(Q735="HS",I735-P735,0)</f>
        <v>0</v>
      </c>
      <c r="T735" s="42">
        <f>IF(Q735="PS",H735,0)</f>
        <v>0</v>
      </c>
      <c r="U735" s="42">
        <f>IF(Q735="PS",I735-P735,0)</f>
        <v>0</v>
      </c>
      <c r="V735" s="42">
        <f>IF(Q735="MP",H735,0)</f>
        <v>0</v>
      </c>
      <c r="W735" s="42">
        <f>IF(Q735="MP",I735-P735,0)</f>
        <v>0</v>
      </c>
      <c r="X735" s="42">
        <f>IF(Q735="OM",H735,0)</f>
        <v>0</v>
      </c>
      <c r="Y735" s="31" t="s">
        <v>596</v>
      </c>
      <c r="AI735" s="42">
        <f>SUM(Z736:Z736)</f>
        <v>0</v>
      </c>
      <c r="AJ735" s="42">
        <f>SUM(AA736:AA736)</f>
        <v>0</v>
      </c>
      <c r="AK735" s="42">
        <f>SUM(AB736:AB736)</f>
        <v>0</v>
      </c>
    </row>
    <row r="736" spans="1:43" ht="12.75">
      <c r="A736" s="5" t="s">
        <v>435</v>
      </c>
      <c r="B736" s="5" t="s">
        <v>596</v>
      </c>
      <c r="C736" s="5" t="s">
        <v>826</v>
      </c>
      <c r="D736" s="5" t="s">
        <v>1288</v>
      </c>
      <c r="E736" s="5" t="s">
        <v>1509</v>
      </c>
      <c r="F736" s="22">
        <v>1</v>
      </c>
      <c r="G736" s="22">
        <v>0</v>
      </c>
      <c r="H736" s="22">
        <f>F736*AE736</f>
        <v>0</v>
      </c>
      <c r="I736" s="22">
        <f>J736-H736</f>
        <v>0</v>
      </c>
      <c r="J736" s="22">
        <f>F736*G736</f>
        <v>0</v>
      </c>
      <c r="K736" s="22">
        <v>0</v>
      </c>
      <c r="L736" s="22">
        <f>F736*K736</f>
        <v>0</v>
      </c>
      <c r="M736" s="35" t="s">
        <v>1531</v>
      </c>
      <c r="N736" s="35" t="s">
        <v>11</v>
      </c>
      <c r="O736" s="22">
        <f>IF(N736="5",I736,0)</f>
        <v>0</v>
      </c>
      <c r="Z736" s="22">
        <f>IF(AD736=0,J736,0)</f>
        <v>0</v>
      </c>
      <c r="AA736" s="22">
        <f>IF(AD736=15,J736,0)</f>
        <v>0</v>
      </c>
      <c r="AB736" s="22">
        <f>IF(AD736=21,J736,0)</f>
        <v>0</v>
      </c>
      <c r="AD736" s="39">
        <v>15</v>
      </c>
      <c r="AE736" s="39">
        <f>G736*0</f>
        <v>0</v>
      </c>
      <c r="AF736" s="39">
        <f>G736*(1-0)</f>
        <v>0</v>
      </c>
      <c r="AM736" s="39">
        <f>F736*AE736</f>
        <v>0</v>
      </c>
      <c r="AN736" s="39">
        <f>F736*AF736</f>
        <v>0</v>
      </c>
      <c r="AO736" s="40" t="s">
        <v>1583</v>
      </c>
      <c r="AP736" s="40" t="s">
        <v>1607</v>
      </c>
      <c r="AQ736" s="31" t="s">
        <v>1613</v>
      </c>
    </row>
    <row r="737" spans="1:37" ht="12.75">
      <c r="A737" s="4"/>
      <c r="B737" s="14" t="s">
        <v>596</v>
      </c>
      <c r="C737" s="14" t="s">
        <v>827</v>
      </c>
      <c r="D737" s="104" t="s">
        <v>1115</v>
      </c>
      <c r="E737" s="105"/>
      <c r="F737" s="105"/>
      <c r="G737" s="105"/>
      <c r="H737" s="42">
        <f>SUM(H738:H738)</f>
        <v>0</v>
      </c>
      <c r="I737" s="42">
        <f>SUM(I738:I738)</f>
        <v>0</v>
      </c>
      <c r="J737" s="42">
        <f>H737+I737</f>
        <v>0</v>
      </c>
      <c r="K737" s="31"/>
      <c r="L737" s="42">
        <f>SUM(L738:L738)</f>
        <v>0</v>
      </c>
      <c r="M737" s="31"/>
      <c r="P737" s="42">
        <f>IF(Q737="PR",J737,SUM(O738:O738))</f>
        <v>0</v>
      </c>
      <c r="Q737" s="31" t="s">
        <v>1536</v>
      </c>
      <c r="R737" s="42">
        <f>IF(Q737="HS",H737,0)</f>
        <v>0</v>
      </c>
      <c r="S737" s="42">
        <f>IF(Q737="HS",I737-P737,0)</f>
        <v>0</v>
      </c>
      <c r="T737" s="42">
        <f>IF(Q737="PS",H737,0)</f>
        <v>0</v>
      </c>
      <c r="U737" s="42">
        <f>IF(Q737="PS",I737-P737,0)</f>
        <v>0</v>
      </c>
      <c r="V737" s="42">
        <f>IF(Q737="MP",H737,0)</f>
        <v>0</v>
      </c>
      <c r="W737" s="42">
        <f>IF(Q737="MP",I737-P737,0)</f>
        <v>0</v>
      </c>
      <c r="X737" s="42">
        <f>IF(Q737="OM",H737,0)</f>
        <v>0</v>
      </c>
      <c r="Y737" s="31" t="s">
        <v>596</v>
      </c>
      <c r="AI737" s="42">
        <f>SUM(Z738:Z738)</f>
        <v>0</v>
      </c>
      <c r="AJ737" s="42">
        <f>SUM(AA738:AA738)</f>
        <v>0</v>
      </c>
      <c r="AK737" s="42">
        <f>SUM(AB738:AB738)</f>
        <v>0</v>
      </c>
    </row>
    <row r="738" spans="1:43" ht="12.75">
      <c r="A738" s="5" t="s">
        <v>436</v>
      </c>
      <c r="B738" s="5" t="s">
        <v>596</v>
      </c>
      <c r="C738" s="5" t="s">
        <v>828</v>
      </c>
      <c r="D738" s="5" t="s">
        <v>1289</v>
      </c>
      <c r="E738" s="5" t="s">
        <v>1509</v>
      </c>
      <c r="F738" s="22">
        <v>1</v>
      </c>
      <c r="G738" s="22">
        <v>0</v>
      </c>
      <c r="H738" s="22">
        <f>F738*AE738</f>
        <v>0</v>
      </c>
      <c r="I738" s="22">
        <f>J738-H738</f>
        <v>0</v>
      </c>
      <c r="J738" s="22">
        <f>F738*G738</f>
        <v>0</v>
      </c>
      <c r="K738" s="22">
        <v>0</v>
      </c>
      <c r="L738" s="22">
        <f>F738*K738</f>
        <v>0</v>
      </c>
      <c r="M738" s="35" t="s">
        <v>1531</v>
      </c>
      <c r="N738" s="35" t="s">
        <v>11</v>
      </c>
      <c r="O738" s="22">
        <f>IF(N738="5",I738,0)</f>
        <v>0</v>
      </c>
      <c r="Z738" s="22">
        <f>IF(AD738=0,J738,0)</f>
        <v>0</v>
      </c>
      <c r="AA738" s="22">
        <f>IF(AD738=15,J738,0)</f>
        <v>0</v>
      </c>
      <c r="AB738" s="22">
        <f>IF(AD738=21,J738,0)</f>
        <v>0</v>
      </c>
      <c r="AD738" s="39">
        <v>15</v>
      </c>
      <c r="AE738" s="39">
        <f>G738*0</f>
        <v>0</v>
      </c>
      <c r="AF738" s="39">
        <f>G738*(1-0)</f>
        <v>0</v>
      </c>
      <c r="AM738" s="39">
        <f>F738*AE738</f>
        <v>0</v>
      </c>
      <c r="AN738" s="39">
        <f>F738*AF738</f>
        <v>0</v>
      </c>
      <c r="AO738" s="40" t="s">
        <v>1584</v>
      </c>
      <c r="AP738" s="40" t="s">
        <v>1607</v>
      </c>
      <c r="AQ738" s="31" t="s">
        <v>1613</v>
      </c>
    </row>
    <row r="739" spans="1:37" ht="12.75">
      <c r="A739" s="4"/>
      <c r="B739" s="14" t="s">
        <v>596</v>
      </c>
      <c r="C739" s="14" t="s">
        <v>829</v>
      </c>
      <c r="D739" s="104" t="s">
        <v>1128</v>
      </c>
      <c r="E739" s="105"/>
      <c r="F739" s="105"/>
      <c r="G739" s="105"/>
      <c r="H739" s="42">
        <f>SUM(H740:H740)</f>
        <v>0</v>
      </c>
      <c r="I739" s="42">
        <f>SUM(I740:I740)</f>
        <v>0</v>
      </c>
      <c r="J739" s="42">
        <f>H739+I739</f>
        <v>0</v>
      </c>
      <c r="K739" s="31"/>
      <c r="L739" s="42">
        <f>SUM(L740:L740)</f>
        <v>0</v>
      </c>
      <c r="M739" s="31"/>
      <c r="P739" s="42">
        <f>IF(Q739="PR",J739,SUM(O740:O740))</f>
        <v>0</v>
      </c>
      <c r="Q739" s="31" t="s">
        <v>1536</v>
      </c>
      <c r="R739" s="42">
        <f>IF(Q739="HS",H739,0)</f>
        <v>0</v>
      </c>
      <c r="S739" s="42">
        <f>IF(Q739="HS",I739-P739,0)</f>
        <v>0</v>
      </c>
      <c r="T739" s="42">
        <f>IF(Q739="PS",H739,0)</f>
        <v>0</v>
      </c>
      <c r="U739" s="42">
        <f>IF(Q739="PS",I739-P739,0)</f>
        <v>0</v>
      </c>
      <c r="V739" s="42">
        <f>IF(Q739="MP",H739,0)</f>
        <v>0</v>
      </c>
      <c r="W739" s="42">
        <f>IF(Q739="MP",I739-P739,0)</f>
        <v>0</v>
      </c>
      <c r="X739" s="42">
        <f>IF(Q739="OM",H739,0)</f>
        <v>0</v>
      </c>
      <c r="Y739" s="31" t="s">
        <v>596</v>
      </c>
      <c r="AI739" s="42">
        <f>SUM(Z740:Z740)</f>
        <v>0</v>
      </c>
      <c r="AJ739" s="42">
        <f>SUM(AA740:AA740)</f>
        <v>0</v>
      </c>
      <c r="AK739" s="42">
        <f>SUM(AB740:AB740)</f>
        <v>0</v>
      </c>
    </row>
    <row r="740" spans="1:43" ht="12.75">
      <c r="A740" s="5" t="s">
        <v>437</v>
      </c>
      <c r="B740" s="5" t="s">
        <v>596</v>
      </c>
      <c r="C740" s="5" t="s">
        <v>830</v>
      </c>
      <c r="D740" s="5" t="s">
        <v>1290</v>
      </c>
      <c r="E740" s="5" t="s">
        <v>1509</v>
      </c>
      <c r="F740" s="22">
        <v>1</v>
      </c>
      <c r="G740" s="22">
        <v>0</v>
      </c>
      <c r="H740" s="22">
        <f>F740*AE740</f>
        <v>0</v>
      </c>
      <c r="I740" s="22">
        <f>J740-H740</f>
        <v>0</v>
      </c>
      <c r="J740" s="22">
        <f>F740*G740</f>
        <v>0</v>
      </c>
      <c r="K740" s="22">
        <v>0</v>
      </c>
      <c r="L740" s="22">
        <f>F740*K740</f>
        <v>0</v>
      </c>
      <c r="M740" s="35" t="s">
        <v>1531</v>
      </c>
      <c r="N740" s="35" t="s">
        <v>11</v>
      </c>
      <c r="O740" s="22">
        <f>IF(N740="5",I740,0)</f>
        <v>0</v>
      </c>
      <c r="Z740" s="22">
        <f>IF(AD740=0,J740,0)</f>
        <v>0</v>
      </c>
      <c r="AA740" s="22">
        <f>IF(AD740=15,J740,0)</f>
        <v>0</v>
      </c>
      <c r="AB740" s="22">
        <f>IF(AD740=21,J740,0)</f>
        <v>0</v>
      </c>
      <c r="AD740" s="39">
        <v>15</v>
      </c>
      <c r="AE740" s="39">
        <f>G740*0</f>
        <v>0</v>
      </c>
      <c r="AF740" s="39">
        <f>G740*(1-0)</f>
        <v>0</v>
      </c>
      <c r="AM740" s="39">
        <f>F740*AE740</f>
        <v>0</v>
      </c>
      <c r="AN740" s="39">
        <f>F740*AF740</f>
        <v>0</v>
      </c>
      <c r="AO740" s="40" t="s">
        <v>1585</v>
      </c>
      <c r="AP740" s="40" t="s">
        <v>1607</v>
      </c>
      <c r="AQ740" s="31" t="s">
        <v>1613</v>
      </c>
    </row>
    <row r="741" spans="1:37" ht="12.75">
      <c r="A741" s="4"/>
      <c r="B741" s="14" t="s">
        <v>596</v>
      </c>
      <c r="C741" s="14" t="s">
        <v>831</v>
      </c>
      <c r="D741" s="104" t="s">
        <v>1150</v>
      </c>
      <c r="E741" s="105"/>
      <c r="F741" s="105"/>
      <c r="G741" s="105"/>
      <c r="H741" s="42">
        <f>SUM(H742:H742)</f>
        <v>0</v>
      </c>
      <c r="I741" s="42">
        <f>SUM(I742:I742)</f>
        <v>0</v>
      </c>
      <c r="J741" s="42">
        <f>H741+I741</f>
        <v>0</v>
      </c>
      <c r="K741" s="31"/>
      <c r="L741" s="42">
        <f>SUM(L742:L742)</f>
        <v>0</v>
      </c>
      <c r="M741" s="31"/>
      <c r="P741" s="42">
        <f>IF(Q741="PR",J741,SUM(O742:O742))</f>
        <v>0</v>
      </c>
      <c r="Q741" s="31" t="s">
        <v>1536</v>
      </c>
      <c r="R741" s="42">
        <f>IF(Q741="HS",H741,0)</f>
        <v>0</v>
      </c>
      <c r="S741" s="42">
        <f>IF(Q741="HS",I741-P741,0)</f>
        <v>0</v>
      </c>
      <c r="T741" s="42">
        <f>IF(Q741="PS",H741,0)</f>
        <v>0</v>
      </c>
      <c r="U741" s="42">
        <f>IF(Q741="PS",I741-P741,0)</f>
        <v>0</v>
      </c>
      <c r="V741" s="42">
        <f>IF(Q741="MP",H741,0)</f>
        <v>0</v>
      </c>
      <c r="W741" s="42">
        <f>IF(Q741="MP",I741-P741,0)</f>
        <v>0</v>
      </c>
      <c r="X741" s="42">
        <f>IF(Q741="OM",H741,0)</f>
        <v>0</v>
      </c>
      <c r="Y741" s="31" t="s">
        <v>596</v>
      </c>
      <c r="AI741" s="42">
        <f>SUM(Z742:Z742)</f>
        <v>0</v>
      </c>
      <c r="AJ741" s="42">
        <f>SUM(AA742:AA742)</f>
        <v>0</v>
      </c>
      <c r="AK741" s="42">
        <f>SUM(AB742:AB742)</f>
        <v>0</v>
      </c>
    </row>
    <row r="742" spans="1:43" ht="12.75">
      <c r="A742" s="5" t="s">
        <v>438</v>
      </c>
      <c r="B742" s="5" t="s">
        <v>596</v>
      </c>
      <c r="C742" s="5" t="s">
        <v>832</v>
      </c>
      <c r="D742" s="5" t="s">
        <v>1291</v>
      </c>
      <c r="E742" s="5" t="s">
        <v>1509</v>
      </c>
      <c r="F742" s="22">
        <v>1</v>
      </c>
      <c r="G742" s="22">
        <v>0</v>
      </c>
      <c r="H742" s="22">
        <f>F742*AE742</f>
        <v>0</v>
      </c>
      <c r="I742" s="22">
        <f>J742-H742</f>
        <v>0</v>
      </c>
      <c r="J742" s="22">
        <f>F742*G742</f>
        <v>0</v>
      </c>
      <c r="K742" s="22">
        <v>0</v>
      </c>
      <c r="L742" s="22">
        <f>F742*K742</f>
        <v>0</v>
      </c>
      <c r="M742" s="35" t="s">
        <v>1531</v>
      </c>
      <c r="N742" s="35" t="s">
        <v>11</v>
      </c>
      <c r="O742" s="22">
        <f>IF(N742="5",I742,0)</f>
        <v>0</v>
      </c>
      <c r="Z742" s="22">
        <f>IF(AD742=0,J742,0)</f>
        <v>0</v>
      </c>
      <c r="AA742" s="22">
        <f>IF(AD742=15,J742,0)</f>
        <v>0</v>
      </c>
      <c r="AB742" s="22">
        <f>IF(AD742=21,J742,0)</f>
        <v>0</v>
      </c>
      <c r="AD742" s="39">
        <v>15</v>
      </c>
      <c r="AE742" s="39">
        <f>G742*0</f>
        <v>0</v>
      </c>
      <c r="AF742" s="39">
        <f>G742*(1-0)</f>
        <v>0</v>
      </c>
      <c r="AM742" s="39">
        <f>F742*AE742</f>
        <v>0</v>
      </c>
      <c r="AN742" s="39">
        <f>F742*AF742</f>
        <v>0</v>
      </c>
      <c r="AO742" s="40" t="s">
        <v>1586</v>
      </c>
      <c r="AP742" s="40" t="s">
        <v>1607</v>
      </c>
      <c r="AQ742" s="31" t="s">
        <v>1613</v>
      </c>
    </row>
    <row r="743" spans="1:37" ht="12.75">
      <c r="A743" s="4"/>
      <c r="B743" s="14" t="s">
        <v>596</v>
      </c>
      <c r="C743" s="14" t="s">
        <v>655</v>
      </c>
      <c r="D743" s="104" t="s">
        <v>991</v>
      </c>
      <c r="E743" s="105"/>
      <c r="F743" s="105"/>
      <c r="G743" s="105"/>
      <c r="H743" s="42">
        <f>SUM(H744:H744)</f>
        <v>0</v>
      </c>
      <c r="I743" s="42">
        <f>SUM(I744:I744)</f>
        <v>0</v>
      </c>
      <c r="J743" s="42">
        <f>H743+I743</f>
        <v>0</v>
      </c>
      <c r="K743" s="31"/>
      <c r="L743" s="42">
        <f>SUM(L744:L744)</f>
        <v>0</v>
      </c>
      <c r="M743" s="31"/>
      <c r="P743" s="42">
        <f>IF(Q743="PR",J743,SUM(O744:O744))</f>
        <v>0</v>
      </c>
      <c r="Q743" s="31" t="s">
        <v>1536</v>
      </c>
      <c r="R743" s="42">
        <f>IF(Q743="HS",H743,0)</f>
        <v>0</v>
      </c>
      <c r="S743" s="42">
        <f>IF(Q743="HS",I743-P743,0)</f>
        <v>0</v>
      </c>
      <c r="T743" s="42">
        <f>IF(Q743="PS",H743,0)</f>
        <v>0</v>
      </c>
      <c r="U743" s="42">
        <f>IF(Q743="PS",I743-P743,0)</f>
        <v>0</v>
      </c>
      <c r="V743" s="42">
        <f>IF(Q743="MP",H743,0)</f>
        <v>0</v>
      </c>
      <c r="W743" s="42">
        <f>IF(Q743="MP",I743-P743,0)</f>
        <v>0</v>
      </c>
      <c r="X743" s="42">
        <f>IF(Q743="OM",H743,0)</f>
        <v>0</v>
      </c>
      <c r="Y743" s="31" t="s">
        <v>596</v>
      </c>
      <c r="AI743" s="42">
        <f>SUM(Z744:Z744)</f>
        <v>0</v>
      </c>
      <c r="AJ743" s="42">
        <f>SUM(AA744:AA744)</f>
        <v>0</v>
      </c>
      <c r="AK743" s="42">
        <f>SUM(AB744:AB744)</f>
        <v>0</v>
      </c>
    </row>
    <row r="744" spans="1:43" ht="12.75">
      <c r="A744" s="5" t="s">
        <v>439</v>
      </c>
      <c r="B744" s="5" t="s">
        <v>596</v>
      </c>
      <c r="C744" s="5" t="s">
        <v>833</v>
      </c>
      <c r="D744" s="5" t="s">
        <v>1292</v>
      </c>
      <c r="E744" s="5" t="s">
        <v>1509</v>
      </c>
      <c r="F744" s="22">
        <v>1</v>
      </c>
      <c r="G744" s="22">
        <v>0</v>
      </c>
      <c r="H744" s="22">
        <f>F744*AE744</f>
        <v>0</v>
      </c>
      <c r="I744" s="22">
        <f>J744-H744</f>
        <v>0</v>
      </c>
      <c r="J744" s="22">
        <f>F744*G744</f>
        <v>0</v>
      </c>
      <c r="K744" s="22">
        <v>0</v>
      </c>
      <c r="L744" s="22">
        <f>F744*K744</f>
        <v>0</v>
      </c>
      <c r="M744" s="35" t="s">
        <v>1531</v>
      </c>
      <c r="N744" s="35" t="s">
        <v>11</v>
      </c>
      <c r="O744" s="22">
        <f>IF(N744="5",I744,0)</f>
        <v>0</v>
      </c>
      <c r="Z744" s="22">
        <f>IF(AD744=0,J744,0)</f>
        <v>0</v>
      </c>
      <c r="AA744" s="22">
        <f>IF(AD744=15,J744,0)</f>
        <v>0</v>
      </c>
      <c r="AB744" s="22">
        <f>IF(AD744=21,J744,0)</f>
        <v>0</v>
      </c>
      <c r="AD744" s="39">
        <v>15</v>
      </c>
      <c r="AE744" s="39">
        <f>G744*0</f>
        <v>0</v>
      </c>
      <c r="AF744" s="39">
        <f>G744*(1-0)</f>
        <v>0</v>
      </c>
      <c r="AM744" s="39">
        <f>F744*AE744</f>
        <v>0</v>
      </c>
      <c r="AN744" s="39">
        <f>F744*AF744</f>
        <v>0</v>
      </c>
      <c r="AO744" s="40" t="s">
        <v>1560</v>
      </c>
      <c r="AP744" s="40" t="s">
        <v>1607</v>
      </c>
      <c r="AQ744" s="31" t="s">
        <v>1613</v>
      </c>
    </row>
    <row r="745" spans="1:37" ht="12.75">
      <c r="A745" s="4"/>
      <c r="B745" s="14" t="s">
        <v>596</v>
      </c>
      <c r="C745" s="14" t="s">
        <v>834</v>
      </c>
      <c r="D745" s="104" t="s">
        <v>1195</v>
      </c>
      <c r="E745" s="105"/>
      <c r="F745" s="105"/>
      <c r="G745" s="105"/>
      <c r="H745" s="42">
        <f>SUM(H746:H746)</f>
        <v>0</v>
      </c>
      <c r="I745" s="42">
        <f>SUM(I746:I746)</f>
        <v>0</v>
      </c>
      <c r="J745" s="42">
        <f>H745+I745</f>
        <v>0</v>
      </c>
      <c r="K745" s="31"/>
      <c r="L745" s="42">
        <f>SUM(L746:L746)</f>
        <v>0</v>
      </c>
      <c r="M745" s="31"/>
      <c r="P745" s="42">
        <f>IF(Q745="PR",J745,SUM(O746:O746))</f>
        <v>0</v>
      </c>
      <c r="Q745" s="31" t="s">
        <v>1536</v>
      </c>
      <c r="R745" s="42">
        <f>IF(Q745="HS",H745,0)</f>
        <v>0</v>
      </c>
      <c r="S745" s="42">
        <f>IF(Q745="HS",I745-P745,0)</f>
        <v>0</v>
      </c>
      <c r="T745" s="42">
        <f>IF(Q745="PS",H745,0)</f>
        <v>0</v>
      </c>
      <c r="U745" s="42">
        <f>IF(Q745="PS",I745-P745,0)</f>
        <v>0</v>
      </c>
      <c r="V745" s="42">
        <f>IF(Q745="MP",H745,0)</f>
        <v>0</v>
      </c>
      <c r="W745" s="42">
        <f>IF(Q745="MP",I745-P745,0)</f>
        <v>0</v>
      </c>
      <c r="X745" s="42">
        <f>IF(Q745="OM",H745,0)</f>
        <v>0</v>
      </c>
      <c r="Y745" s="31" t="s">
        <v>596</v>
      </c>
      <c r="AI745" s="42">
        <f>SUM(Z746:Z746)</f>
        <v>0</v>
      </c>
      <c r="AJ745" s="42">
        <f>SUM(AA746:AA746)</f>
        <v>0</v>
      </c>
      <c r="AK745" s="42">
        <f>SUM(AB746:AB746)</f>
        <v>0</v>
      </c>
    </row>
    <row r="746" spans="1:43" ht="12.75">
      <c r="A746" s="5" t="s">
        <v>440</v>
      </c>
      <c r="B746" s="5" t="s">
        <v>596</v>
      </c>
      <c r="C746" s="5" t="s">
        <v>835</v>
      </c>
      <c r="D746" s="5" t="s">
        <v>1293</v>
      </c>
      <c r="E746" s="5" t="s">
        <v>1509</v>
      </c>
      <c r="F746" s="22">
        <v>1</v>
      </c>
      <c r="G746" s="22">
        <v>0</v>
      </c>
      <c r="H746" s="22">
        <f>F746*AE746</f>
        <v>0</v>
      </c>
      <c r="I746" s="22">
        <f>J746-H746</f>
        <v>0</v>
      </c>
      <c r="J746" s="22">
        <f>F746*G746</f>
        <v>0</v>
      </c>
      <c r="K746" s="22">
        <v>0</v>
      </c>
      <c r="L746" s="22">
        <f>F746*K746</f>
        <v>0</v>
      </c>
      <c r="M746" s="35" t="s">
        <v>1531</v>
      </c>
      <c r="N746" s="35" t="s">
        <v>11</v>
      </c>
      <c r="O746" s="22">
        <f>IF(N746="5",I746,0)</f>
        <v>0</v>
      </c>
      <c r="Z746" s="22">
        <f>IF(AD746=0,J746,0)</f>
        <v>0</v>
      </c>
      <c r="AA746" s="22">
        <f>IF(AD746=15,J746,0)</f>
        <v>0</v>
      </c>
      <c r="AB746" s="22">
        <f>IF(AD746=21,J746,0)</f>
        <v>0</v>
      </c>
      <c r="AD746" s="39">
        <v>15</v>
      </c>
      <c r="AE746" s="39">
        <f>G746*0</f>
        <v>0</v>
      </c>
      <c r="AF746" s="39">
        <f>G746*(1-0)</f>
        <v>0</v>
      </c>
      <c r="AM746" s="39">
        <f>F746*AE746</f>
        <v>0</v>
      </c>
      <c r="AN746" s="39">
        <f>F746*AF746</f>
        <v>0</v>
      </c>
      <c r="AO746" s="40" t="s">
        <v>1587</v>
      </c>
      <c r="AP746" s="40" t="s">
        <v>1607</v>
      </c>
      <c r="AQ746" s="31" t="s">
        <v>1613</v>
      </c>
    </row>
    <row r="747" spans="1:37" ht="12.75">
      <c r="A747" s="4"/>
      <c r="B747" s="14" t="s">
        <v>596</v>
      </c>
      <c r="C747" s="14" t="s">
        <v>836</v>
      </c>
      <c r="D747" s="104" t="s">
        <v>1198</v>
      </c>
      <c r="E747" s="105"/>
      <c r="F747" s="105"/>
      <c r="G747" s="105"/>
      <c r="H747" s="42">
        <f>SUM(H748:H748)</f>
        <v>0</v>
      </c>
      <c r="I747" s="42">
        <f>SUM(I748:I748)</f>
        <v>0</v>
      </c>
      <c r="J747" s="42">
        <f>H747+I747</f>
        <v>0</v>
      </c>
      <c r="K747" s="31"/>
      <c r="L747" s="42">
        <f>SUM(L748:L748)</f>
        <v>0</v>
      </c>
      <c r="M747" s="31"/>
      <c r="P747" s="42">
        <f>IF(Q747="PR",J747,SUM(O748:O748))</f>
        <v>0</v>
      </c>
      <c r="Q747" s="31" t="s">
        <v>1536</v>
      </c>
      <c r="R747" s="42">
        <f>IF(Q747="HS",H747,0)</f>
        <v>0</v>
      </c>
      <c r="S747" s="42">
        <f>IF(Q747="HS",I747-P747,0)</f>
        <v>0</v>
      </c>
      <c r="T747" s="42">
        <f>IF(Q747="PS",H747,0)</f>
        <v>0</v>
      </c>
      <c r="U747" s="42">
        <f>IF(Q747="PS",I747-P747,0)</f>
        <v>0</v>
      </c>
      <c r="V747" s="42">
        <f>IF(Q747="MP",H747,0)</f>
        <v>0</v>
      </c>
      <c r="W747" s="42">
        <f>IF(Q747="MP",I747-P747,0)</f>
        <v>0</v>
      </c>
      <c r="X747" s="42">
        <f>IF(Q747="OM",H747,0)</f>
        <v>0</v>
      </c>
      <c r="Y747" s="31" t="s">
        <v>596</v>
      </c>
      <c r="AI747" s="42">
        <f>SUM(Z748:Z748)</f>
        <v>0</v>
      </c>
      <c r="AJ747" s="42">
        <f>SUM(AA748:AA748)</f>
        <v>0</v>
      </c>
      <c r="AK747" s="42">
        <f>SUM(AB748:AB748)</f>
        <v>0</v>
      </c>
    </row>
    <row r="748" spans="1:43" ht="12.75">
      <c r="A748" s="5" t="s">
        <v>441</v>
      </c>
      <c r="B748" s="5" t="s">
        <v>596</v>
      </c>
      <c r="C748" s="5" t="s">
        <v>837</v>
      </c>
      <c r="D748" s="5" t="s">
        <v>1294</v>
      </c>
      <c r="E748" s="5" t="s">
        <v>1509</v>
      </c>
      <c r="F748" s="22">
        <v>1</v>
      </c>
      <c r="G748" s="22">
        <v>0</v>
      </c>
      <c r="H748" s="22">
        <f>F748*AE748</f>
        <v>0</v>
      </c>
      <c r="I748" s="22">
        <f>J748-H748</f>
        <v>0</v>
      </c>
      <c r="J748" s="22">
        <f>F748*G748</f>
        <v>0</v>
      </c>
      <c r="K748" s="22">
        <v>0</v>
      </c>
      <c r="L748" s="22">
        <f>F748*K748</f>
        <v>0</v>
      </c>
      <c r="M748" s="35" t="s">
        <v>1531</v>
      </c>
      <c r="N748" s="35" t="s">
        <v>11</v>
      </c>
      <c r="O748" s="22">
        <f>IF(N748="5",I748,0)</f>
        <v>0</v>
      </c>
      <c r="Z748" s="22">
        <f>IF(AD748=0,J748,0)</f>
        <v>0</v>
      </c>
      <c r="AA748" s="22">
        <f>IF(AD748=15,J748,0)</f>
        <v>0</v>
      </c>
      <c r="AB748" s="22">
        <f>IF(AD748=21,J748,0)</f>
        <v>0</v>
      </c>
      <c r="AD748" s="39">
        <v>15</v>
      </c>
      <c r="AE748" s="39">
        <f>G748*0</f>
        <v>0</v>
      </c>
      <c r="AF748" s="39">
        <f>G748*(1-0)</f>
        <v>0</v>
      </c>
      <c r="AM748" s="39">
        <f>F748*AE748</f>
        <v>0</v>
      </c>
      <c r="AN748" s="39">
        <f>F748*AF748</f>
        <v>0</v>
      </c>
      <c r="AO748" s="40" t="s">
        <v>1588</v>
      </c>
      <c r="AP748" s="40" t="s">
        <v>1607</v>
      </c>
      <c r="AQ748" s="31" t="s">
        <v>1613</v>
      </c>
    </row>
    <row r="749" spans="1:37" ht="12.75">
      <c r="A749" s="4"/>
      <c r="B749" s="14" t="s">
        <v>596</v>
      </c>
      <c r="C749" s="14" t="s">
        <v>838</v>
      </c>
      <c r="D749" s="104" t="s">
        <v>1203</v>
      </c>
      <c r="E749" s="105"/>
      <c r="F749" s="105"/>
      <c r="G749" s="105"/>
      <c r="H749" s="42">
        <f>SUM(H750:H750)</f>
        <v>0</v>
      </c>
      <c r="I749" s="42">
        <f>SUM(I750:I750)</f>
        <v>0</v>
      </c>
      <c r="J749" s="42">
        <f>H749+I749</f>
        <v>0</v>
      </c>
      <c r="K749" s="31"/>
      <c r="L749" s="42">
        <f>SUM(L750:L750)</f>
        <v>0</v>
      </c>
      <c r="M749" s="31"/>
      <c r="P749" s="42">
        <f>IF(Q749="PR",J749,SUM(O750:O750))</f>
        <v>0</v>
      </c>
      <c r="Q749" s="31" t="s">
        <v>1536</v>
      </c>
      <c r="R749" s="42">
        <f>IF(Q749="HS",H749,0)</f>
        <v>0</v>
      </c>
      <c r="S749" s="42">
        <f>IF(Q749="HS",I749-P749,0)</f>
        <v>0</v>
      </c>
      <c r="T749" s="42">
        <f>IF(Q749="PS",H749,0)</f>
        <v>0</v>
      </c>
      <c r="U749" s="42">
        <f>IF(Q749="PS",I749-P749,0)</f>
        <v>0</v>
      </c>
      <c r="V749" s="42">
        <f>IF(Q749="MP",H749,0)</f>
        <v>0</v>
      </c>
      <c r="W749" s="42">
        <f>IF(Q749="MP",I749-P749,0)</f>
        <v>0</v>
      </c>
      <c r="X749" s="42">
        <f>IF(Q749="OM",H749,0)</f>
        <v>0</v>
      </c>
      <c r="Y749" s="31" t="s">
        <v>596</v>
      </c>
      <c r="AI749" s="42">
        <f>SUM(Z750:Z750)</f>
        <v>0</v>
      </c>
      <c r="AJ749" s="42">
        <f>SUM(AA750:AA750)</f>
        <v>0</v>
      </c>
      <c r="AK749" s="42">
        <f>SUM(AB750:AB750)</f>
        <v>0</v>
      </c>
    </row>
    <row r="750" spans="1:43" ht="12.75">
      <c r="A750" s="5" t="s">
        <v>442</v>
      </c>
      <c r="B750" s="5" t="s">
        <v>596</v>
      </c>
      <c r="C750" s="5" t="s">
        <v>839</v>
      </c>
      <c r="D750" s="5" t="s">
        <v>1295</v>
      </c>
      <c r="E750" s="5" t="s">
        <v>1509</v>
      </c>
      <c r="F750" s="22">
        <v>1</v>
      </c>
      <c r="G750" s="22">
        <v>0</v>
      </c>
      <c r="H750" s="22">
        <f>F750*AE750</f>
        <v>0</v>
      </c>
      <c r="I750" s="22">
        <f>J750-H750</f>
        <v>0</v>
      </c>
      <c r="J750" s="22">
        <f>F750*G750</f>
        <v>0</v>
      </c>
      <c r="K750" s="22">
        <v>0</v>
      </c>
      <c r="L750" s="22">
        <f>F750*K750</f>
        <v>0</v>
      </c>
      <c r="M750" s="35" t="s">
        <v>1531</v>
      </c>
      <c r="N750" s="35" t="s">
        <v>11</v>
      </c>
      <c r="O750" s="22">
        <f>IF(N750="5",I750,0)</f>
        <v>0</v>
      </c>
      <c r="Z750" s="22">
        <f>IF(AD750=0,J750,0)</f>
        <v>0</v>
      </c>
      <c r="AA750" s="22">
        <f>IF(AD750=15,J750,0)</f>
        <v>0</v>
      </c>
      <c r="AB750" s="22">
        <f>IF(AD750=21,J750,0)</f>
        <v>0</v>
      </c>
      <c r="AD750" s="39">
        <v>15</v>
      </c>
      <c r="AE750" s="39">
        <f>G750*0</f>
        <v>0</v>
      </c>
      <c r="AF750" s="39">
        <f>G750*(1-0)</f>
        <v>0</v>
      </c>
      <c r="AM750" s="39">
        <f>F750*AE750</f>
        <v>0</v>
      </c>
      <c r="AN750" s="39">
        <f>F750*AF750</f>
        <v>0</v>
      </c>
      <c r="AO750" s="40" t="s">
        <v>1589</v>
      </c>
      <c r="AP750" s="40" t="s">
        <v>1607</v>
      </c>
      <c r="AQ750" s="31" t="s">
        <v>1613</v>
      </c>
    </row>
    <row r="751" spans="1:37" ht="12.75">
      <c r="A751" s="4"/>
      <c r="B751" s="14" t="s">
        <v>596</v>
      </c>
      <c r="C751" s="14" t="s">
        <v>657</v>
      </c>
      <c r="D751" s="104" t="s">
        <v>1004</v>
      </c>
      <c r="E751" s="105"/>
      <c r="F751" s="105"/>
      <c r="G751" s="105"/>
      <c r="H751" s="42">
        <f>SUM(H752:H752)</f>
        <v>0</v>
      </c>
      <c r="I751" s="42">
        <f>SUM(I752:I752)</f>
        <v>0</v>
      </c>
      <c r="J751" s="42">
        <f>H751+I751</f>
        <v>0</v>
      </c>
      <c r="K751" s="31"/>
      <c r="L751" s="42">
        <f>SUM(L752:L752)</f>
        <v>0</v>
      </c>
      <c r="M751" s="31"/>
      <c r="P751" s="42">
        <f>IF(Q751="PR",J751,SUM(O752:O752))</f>
        <v>0</v>
      </c>
      <c r="Q751" s="31" t="s">
        <v>1536</v>
      </c>
      <c r="R751" s="42">
        <f>IF(Q751="HS",H751,0)</f>
        <v>0</v>
      </c>
      <c r="S751" s="42">
        <f>IF(Q751="HS",I751-P751,0)</f>
        <v>0</v>
      </c>
      <c r="T751" s="42">
        <f>IF(Q751="PS",H751,0)</f>
        <v>0</v>
      </c>
      <c r="U751" s="42">
        <f>IF(Q751="PS",I751-P751,0)</f>
        <v>0</v>
      </c>
      <c r="V751" s="42">
        <f>IF(Q751="MP",H751,0)</f>
        <v>0</v>
      </c>
      <c r="W751" s="42">
        <f>IF(Q751="MP",I751-P751,0)</f>
        <v>0</v>
      </c>
      <c r="X751" s="42">
        <f>IF(Q751="OM",H751,0)</f>
        <v>0</v>
      </c>
      <c r="Y751" s="31" t="s">
        <v>596</v>
      </c>
      <c r="AI751" s="42">
        <f>SUM(Z752:Z752)</f>
        <v>0</v>
      </c>
      <c r="AJ751" s="42">
        <f>SUM(AA752:AA752)</f>
        <v>0</v>
      </c>
      <c r="AK751" s="42">
        <f>SUM(AB752:AB752)</f>
        <v>0</v>
      </c>
    </row>
    <row r="752" spans="1:43" ht="12.75">
      <c r="A752" s="5" t="s">
        <v>443</v>
      </c>
      <c r="B752" s="5" t="s">
        <v>596</v>
      </c>
      <c r="C752" s="5" t="s">
        <v>840</v>
      </c>
      <c r="D752" s="5" t="s">
        <v>1296</v>
      </c>
      <c r="E752" s="5" t="s">
        <v>1509</v>
      </c>
      <c r="F752" s="22">
        <v>1</v>
      </c>
      <c r="G752" s="22">
        <v>0</v>
      </c>
      <c r="H752" s="22">
        <f>F752*AE752</f>
        <v>0</v>
      </c>
      <c r="I752" s="22">
        <f>J752-H752</f>
        <v>0</v>
      </c>
      <c r="J752" s="22">
        <f>F752*G752</f>
        <v>0</v>
      </c>
      <c r="K752" s="22">
        <v>0</v>
      </c>
      <c r="L752" s="22">
        <f>F752*K752</f>
        <v>0</v>
      </c>
      <c r="M752" s="35" t="s">
        <v>1531</v>
      </c>
      <c r="N752" s="35" t="s">
        <v>11</v>
      </c>
      <c r="O752" s="22">
        <f>IF(N752="5",I752,0)</f>
        <v>0</v>
      </c>
      <c r="Z752" s="22">
        <f>IF(AD752=0,J752,0)</f>
        <v>0</v>
      </c>
      <c r="AA752" s="22">
        <f>IF(AD752=15,J752,0)</f>
        <v>0</v>
      </c>
      <c r="AB752" s="22">
        <f>IF(AD752=21,J752,0)</f>
        <v>0</v>
      </c>
      <c r="AD752" s="39">
        <v>15</v>
      </c>
      <c r="AE752" s="39">
        <f>G752*0</f>
        <v>0</v>
      </c>
      <c r="AF752" s="39">
        <f>G752*(1-0)</f>
        <v>0</v>
      </c>
      <c r="AM752" s="39">
        <f>F752*AE752</f>
        <v>0</v>
      </c>
      <c r="AN752" s="39">
        <f>F752*AF752</f>
        <v>0</v>
      </c>
      <c r="AO752" s="40" t="s">
        <v>1561</v>
      </c>
      <c r="AP752" s="40" t="s">
        <v>1607</v>
      </c>
      <c r="AQ752" s="31" t="s">
        <v>1613</v>
      </c>
    </row>
    <row r="753" spans="1:37" ht="12.75">
      <c r="A753" s="4"/>
      <c r="B753" s="14" t="s">
        <v>596</v>
      </c>
      <c r="C753" s="14" t="s">
        <v>841</v>
      </c>
      <c r="D753" s="104" t="s">
        <v>1224</v>
      </c>
      <c r="E753" s="105"/>
      <c r="F753" s="105"/>
      <c r="G753" s="105"/>
      <c r="H753" s="42">
        <f>SUM(H754:H754)</f>
        <v>0</v>
      </c>
      <c r="I753" s="42">
        <f>SUM(I754:I754)</f>
        <v>0</v>
      </c>
      <c r="J753" s="42">
        <f>H753+I753</f>
        <v>0</v>
      </c>
      <c r="K753" s="31"/>
      <c r="L753" s="42">
        <f>SUM(L754:L754)</f>
        <v>0</v>
      </c>
      <c r="M753" s="31"/>
      <c r="P753" s="42">
        <f>IF(Q753="PR",J753,SUM(O754:O754))</f>
        <v>0</v>
      </c>
      <c r="Q753" s="31" t="s">
        <v>1536</v>
      </c>
      <c r="R753" s="42">
        <f>IF(Q753="HS",H753,0)</f>
        <v>0</v>
      </c>
      <c r="S753" s="42">
        <f>IF(Q753="HS",I753-P753,0)</f>
        <v>0</v>
      </c>
      <c r="T753" s="42">
        <f>IF(Q753="PS",H753,0)</f>
        <v>0</v>
      </c>
      <c r="U753" s="42">
        <f>IF(Q753="PS",I753-P753,0)</f>
        <v>0</v>
      </c>
      <c r="V753" s="42">
        <f>IF(Q753="MP",H753,0)</f>
        <v>0</v>
      </c>
      <c r="W753" s="42">
        <f>IF(Q753="MP",I753-P753,0)</f>
        <v>0</v>
      </c>
      <c r="X753" s="42">
        <f>IF(Q753="OM",H753,0)</f>
        <v>0</v>
      </c>
      <c r="Y753" s="31" t="s">
        <v>596</v>
      </c>
      <c r="AI753" s="42">
        <f>SUM(Z754:Z754)</f>
        <v>0</v>
      </c>
      <c r="AJ753" s="42">
        <f>SUM(AA754:AA754)</f>
        <v>0</v>
      </c>
      <c r="AK753" s="42">
        <f>SUM(AB754:AB754)</f>
        <v>0</v>
      </c>
    </row>
    <row r="754" spans="1:43" ht="12.75">
      <c r="A754" s="5" t="s">
        <v>444</v>
      </c>
      <c r="B754" s="5" t="s">
        <v>596</v>
      </c>
      <c r="C754" s="5" t="s">
        <v>842</v>
      </c>
      <c r="D754" s="5" t="s">
        <v>1297</v>
      </c>
      <c r="E754" s="5" t="s">
        <v>1509</v>
      </c>
      <c r="F754" s="22">
        <v>1</v>
      </c>
      <c r="G754" s="22">
        <v>0</v>
      </c>
      <c r="H754" s="22">
        <f>F754*AE754</f>
        <v>0</v>
      </c>
      <c r="I754" s="22">
        <f>J754-H754</f>
        <v>0</v>
      </c>
      <c r="J754" s="22">
        <f>F754*G754</f>
        <v>0</v>
      </c>
      <c r="K754" s="22">
        <v>0</v>
      </c>
      <c r="L754" s="22">
        <f>F754*K754</f>
        <v>0</v>
      </c>
      <c r="M754" s="35" t="s">
        <v>1531</v>
      </c>
      <c r="N754" s="35" t="s">
        <v>11</v>
      </c>
      <c r="O754" s="22">
        <f>IF(N754="5",I754,0)</f>
        <v>0</v>
      </c>
      <c r="Z754" s="22">
        <f>IF(AD754=0,J754,0)</f>
        <v>0</v>
      </c>
      <c r="AA754" s="22">
        <f>IF(AD754=15,J754,0)</f>
        <v>0</v>
      </c>
      <c r="AB754" s="22">
        <f>IF(AD754=21,J754,0)</f>
        <v>0</v>
      </c>
      <c r="AD754" s="39">
        <v>15</v>
      </c>
      <c r="AE754" s="39">
        <f>G754*0</f>
        <v>0</v>
      </c>
      <c r="AF754" s="39">
        <f>G754*(1-0)</f>
        <v>0</v>
      </c>
      <c r="AM754" s="39">
        <f>F754*AE754</f>
        <v>0</v>
      </c>
      <c r="AN754" s="39">
        <f>F754*AF754</f>
        <v>0</v>
      </c>
      <c r="AO754" s="40" t="s">
        <v>1590</v>
      </c>
      <c r="AP754" s="40" t="s">
        <v>1607</v>
      </c>
      <c r="AQ754" s="31" t="s">
        <v>1613</v>
      </c>
    </row>
    <row r="755" spans="1:37" ht="12.75">
      <c r="A755" s="4"/>
      <c r="B755" s="14" t="s">
        <v>596</v>
      </c>
      <c r="C755" s="14" t="s">
        <v>659</v>
      </c>
      <c r="D755" s="104" t="s">
        <v>1012</v>
      </c>
      <c r="E755" s="105"/>
      <c r="F755" s="105"/>
      <c r="G755" s="105"/>
      <c r="H755" s="42">
        <f>SUM(H756:H756)</f>
        <v>0</v>
      </c>
      <c r="I755" s="42">
        <f>SUM(I756:I756)</f>
        <v>0</v>
      </c>
      <c r="J755" s="42">
        <f>H755+I755</f>
        <v>0</v>
      </c>
      <c r="K755" s="31"/>
      <c r="L755" s="42">
        <f>SUM(L756:L756)</f>
        <v>0</v>
      </c>
      <c r="M755" s="31"/>
      <c r="P755" s="42">
        <f>IF(Q755="PR",J755,SUM(O756:O756))</f>
        <v>0</v>
      </c>
      <c r="Q755" s="31" t="s">
        <v>1536</v>
      </c>
      <c r="R755" s="42">
        <f>IF(Q755="HS",H755,0)</f>
        <v>0</v>
      </c>
      <c r="S755" s="42">
        <f>IF(Q755="HS",I755-P755,0)</f>
        <v>0</v>
      </c>
      <c r="T755" s="42">
        <f>IF(Q755="PS",H755,0)</f>
        <v>0</v>
      </c>
      <c r="U755" s="42">
        <f>IF(Q755="PS",I755-P755,0)</f>
        <v>0</v>
      </c>
      <c r="V755" s="42">
        <f>IF(Q755="MP",H755,0)</f>
        <v>0</v>
      </c>
      <c r="W755" s="42">
        <f>IF(Q755="MP",I755-P755,0)</f>
        <v>0</v>
      </c>
      <c r="X755" s="42">
        <f>IF(Q755="OM",H755,0)</f>
        <v>0</v>
      </c>
      <c r="Y755" s="31" t="s">
        <v>596</v>
      </c>
      <c r="AI755" s="42">
        <f>SUM(Z756:Z756)</f>
        <v>0</v>
      </c>
      <c r="AJ755" s="42">
        <f>SUM(AA756:AA756)</f>
        <v>0</v>
      </c>
      <c r="AK755" s="42">
        <f>SUM(AB756:AB756)</f>
        <v>0</v>
      </c>
    </row>
    <row r="756" spans="1:43" ht="12.75">
      <c r="A756" s="5" t="s">
        <v>445</v>
      </c>
      <c r="B756" s="5" t="s">
        <v>596</v>
      </c>
      <c r="C756" s="5" t="s">
        <v>843</v>
      </c>
      <c r="D756" s="5" t="s">
        <v>1298</v>
      </c>
      <c r="E756" s="5" t="s">
        <v>1509</v>
      </c>
      <c r="F756" s="22">
        <v>1</v>
      </c>
      <c r="G756" s="22">
        <v>0</v>
      </c>
      <c r="H756" s="22">
        <f>F756*AE756</f>
        <v>0</v>
      </c>
      <c r="I756" s="22">
        <f>J756-H756</f>
        <v>0</v>
      </c>
      <c r="J756" s="22">
        <f>F756*G756</f>
        <v>0</v>
      </c>
      <c r="K756" s="22">
        <v>0</v>
      </c>
      <c r="L756" s="22">
        <f>F756*K756</f>
        <v>0</v>
      </c>
      <c r="M756" s="35" t="s">
        <v>1531</v>
      </c>
      <c r="N756" s="35" t="s">
        <v>11</v>
      </c>
      <c r="O756" s="22">
        <f>IF(N756="5",I756,0)</f>
        <v>0</v>
      </c>
      <c r="Z756" s="22">
        <f>IF(AD756=0,J756,0)</f>
        <v>0</v>
      </c>
      <c r="AA756" s="22">
        <f>IF(AD756=15,J756,0)</f>
        <v>0</v>
      </c>
      <c r="AB756" s="22">
        <f>IF(AD756=21,J756,0)</f>
        <v>0</v>
      </c>
      <c r="AD756" s="39">
        <v>15</v>
      </c>
      <c r="AE756" s="39">
        <f>G756*0</f>
        <v>0</v>
      </c>
      <c r="AF756" s="39">
        <f>G756*(1-0)</f>
        <v>0</v>
      </c>
      <c r="AM756" s="39">
        <f>F756*AE756</f>
        <v>0</v>
      </c>
      <c r="AN756" s="39">
        <f>F756*AF756</f>
        <v>0</v>
      </c>
      <c r="AO756" s="40" t="s">
        <v>1562</v>
      </c>
      <c r="AP756" s="40" t="s">
        <v>1607</v>
      </c>
      <c r="AQ756" s="31" t="s">
        <v>1613</v>
      </c>
    </row>
    <row r="757" spans="1:37" ht="12.75">
      <c r="A757" s="4"/>
      <c r="B757" s="14" t="s">
        <v>596</v>
      </c>
      <c r="C757" s="14" t="s">
        <v>844</v>
      </c>
      <c r="D757" s="104" t="s">
        <v>1240</v>
      </c>
      <c r="E757" s="105"/>
      <c r="F757" s="105"/>
      <c r="G757" s="105"/>
      <c r="H757" s="42">
        <f>SUM(H758:H758)</f>
        <v>0</v>
      </c>
      <c r="I757" s="42">
        <f>SUM(I758:I758)</f>
        <v>0</v>
      </c>
      <c r="J757" s="42">
        <f>H757+I757</f>
        <v>0</v>
      </c>
      <c r="K757" s="31"/>
      <c r="L757" s="42">
        <f>SUM(L758:L758)</f>
        <v>0</v>
      </c>
      <c r="M757" s="31"/>
      <c r="P757" s="42">
        <f>IF(Q757="PR",J757,SUM(O758:O758))</f>
        <v>0</v>
      </c>
      <c r="Q757" s="31" t="s">
        <v>1536</v>
      </c>
      <c r="R757" s="42">
        <f>IF(Q757="HS",H757,0)</f>
        <v>0</v>
      </c>
      <c r="S757" s="42">
        <f>IF(Q757="HS",I757-P757,0)</f>
        <v>0</v>
      </c>
      <c r="T757" s="42">
        <f>IF(Q757="PS",H757,0)</f>
        <v>0</v>
      </c>
      <c r="U757" s="42">
        <f>IF(Q757="PS",I757-P757,0)</f>
        <v>0</v>
      </c>
      <c r="V757" s="42">
        <f>IF(Q757="MP",H757,0)</f>
        <v>0</v>
      </c>
      <c r="W757" s="42">
        <f>IF(Q757="MP",I757-P757,0)</f>
        <v>0</v>
      </c>
      <c r="X757" s="42">
        <f>IF(Q757="OM",H757,0)</f>
        <v>0</v>
      </c>
      <c r="Y757" s="31" t="s">
        <v>596</v>
      </c>
      <c r="AI757" s="42">
        <f>SUM(Z758:Z758)</f>
        <v>0</v>
      </c>
      <c r="AJ757" s="42">
        <f>SUM(AA758:AA758)</f>
        <v>0</v>
      </c>
      <c r="AK757" s="42">
        <f>SUM(AB758:AB758)</f>
        <v>0</v>
      </c>
    </row>
    <row r="758" spans="1:43" ht="12.75">
      <c r="A758" s="5" t="s">
        <v>446</v>
      </c>
      <c r="B758" s="5" t="s">
        <v>596</v>
      </c>
      <c r="C758" s="5" t="s">
        <v>845</v>
      </c>
      <c r="D758" s="5" t="s">
        <v>1299</v>
      </c>
      <c r="E758" s="5" t="s">
        <v>1509</v>
      </c>
      <c r="F758" s="22">
        <v>1</v>
      </c>
      <c r="G758" s="22">
        <v>0</v>
      </c>
      <c r="H758" s="22">
        <f>F758*AE758</f>
        <v>0</v>
      </c>
      <c r="I758" s="22">
        <f>J758-H758</f>
        <v>0</v>
      </c>
      <c r="J758" s="22">
        <f>F758*G758</f>
        <v>0</v>
      </c>
      <c r="K758" s="22">
        <v>0</v>
      </c>
      <c r="L758" s="22">
        <f>F758*K758</f>
        <v>0</v>
      </c>
      <c r="M758" s="35" t="s">
        <v>1531</v>
      </c>
      <c r="N758" s="35" t="s">
        <v>11</v>
      </c>
      <c r="O758" s="22">
        <f>IF(N758="5",I758,0)</f>
        <v>0</v>
      </c>
      <c r="Z758" s="22">
        <f>IF(AD758=0,J758,0)</f>
        <v>0</v>
      </c>
      <c r="AA758" s="22">
        <f>IF(AD758=15,J758,0)</f>
        <v>0</v>
      </c>
      <c r="AB758" s="22">
        <f>IF(AD758=21,J758,0)</f>
        <v>0</v>
      </c>
      <c r="AD758" s="39">
        <v>15</v>
      </c>
      <c r="AE758" s="39">
        <f>G758*0</f>
        <v>0</v>
      </c>
      <c r="AF758" s="39">
        <f>G758*(1-0)</f>
        <v>0</v>
      </c>
      <c r="AM758" s="39">
        <f>F758*AE758</f>
        <v>0</v>
      </c>
      <c r="AN758" s="39">
        <f>F758*AF758</f>
        <v>0</v>
      </c>
      <c r="AO758" s="40" t="s">
        <v>1591</v>
      </c>
      <c r="AP758" s="40" t="s">
        <v>1607</v>
      </c>
      <c r="AQ758" s="31" t="s">
        <v>1613</v>
      </c>
    </row>
    <row r="759" spans="1:37" ht="12.75">
      <c r="A759" s="4"/>
      <c r="B759" s="14" t="s">
        <v>596</v>
      </c>
      <c r="C759" s="14" t="s">
        <v>661</v>
      </c>
      <c r="D759" s="104" t="s">
        <v>1016</v>
      </c>
      <c r="E759" s="105"/>
      <c r="F759" s="105"/>
      <c r="G759" s="105"/>
      <c r="H759" s="42">
        <f>SUM(H760:H760)</f>
        <v>0</v>
      </c>
      <c r="I759" s="42">
        <f>SUM(I760:I760)</f>
        <v>0</v>
      </c>
      <c r="J759" s="42">
        <f>H759+I759</f>
        <v>0</v>
      </c>
      <c r="K759" s="31"/>
      <c r="L759" s="42">
        <f>SUM(L760:L760)</f>
        <v>0</v>
      </c>
      <c r="M759" s="31"/>
      <c r="P759" s="42">
        <f>IF(Q759="PR",J759,SUM(O760:O760))</f>
        <v>0</v>
      </c>
      <c r="Q759" s="31" t="s">
        <v>1536</v>
      </c>
      <c r="R759" s="42">
        <f>IF(Q759="HS",H759,0)</f>
        <v>0</v>
      </c>
      <c r="S759" s="42">
        <f>IF(Q759="HS",I759-P759,0)</f>
        <v>0</v>
      </c>
      <c r="T759" s="42">
        <f>IF(Q759="PS",H759,0)</f>
        <v>0</v>
      </c>
      <c r="U759" s="42">
        <f>IF(Q759="PS",I759-P759,0)</f>
        <v>0</v>
      </c>
      <c r="V759" s="42">
        <f>IF(Q759="MP",H759,0)</f>
        <v>0</v>
      </c>
      <c r="W759" s="42">
        <f>IF(Q759="MP",I759-P759,0)</f>
        <v>0</v>
      </c>
      <c r="X759" s="42">
        <f>IF(Q759="OM",H759,0)</f>
        <v>0</v>
      </c>
      <c r="Y759" s="31" t="s">
        <v>596</v>
      </c>
      <c r="AI759" s="42">
        <f>SUM(Z760:Z760)</f>
        <v>0</v>
      </c>
      <c r="AJ759" s="42">
        <f>SUM(AA760:AA760)</f>
        <v>0</v>
      </c>
      <c r="AK759" s="42">
        <f>SUM(AB760:AB760)</f>
        <v>0</v>
      </c>
    </row>
    <row r="760" spans="1:43" ht="12.75">
      <c r="A760" s="5" t="s">
        <v>447</v>
      </c>
      <c r="B760" s="5" t="s">
        <v>596</v>
      </c>
      <c r="C760" s="5" t="s">
        <v>846</v>
      </c>
      <c r="D760" s="5" t="s">
        <v>1300</v>
      </c>
      <c r="E760" s="5" t="s">
        <v>1509</v>
      </c>
      <c r="F760" s="22">
        <v>1</v>
      </c>
      <c r="G760" s="22">
        <v>0</v>
      </c>
      <c r="H760" s="22">
        <f>F760*AE760</f>
        <v>0</v>
      </c>
      <c r="I760" s="22">
        <f>J760-H760</f>
        <v>0</v>
      </c>
      <c r="J760" s="22">
        <f>F760*G760</f>
        <v>0</v>
      </c>
      <c r="K760" s="22">
        <v>0</v>
      </c>
      <c r="L760" s="22">
        <f>F760*K760</f>
        <v>0</v>
      </c>
      <c r="M760" s="35" t="s">
        <v>1531</v>
      </c>
      <c r="N760" s="35" t="s">
        <v>11</v>
      </c>
      <c r="O760" s="22">
        <f>IF(N760="5",I760,0)</f>
        <v>0</v>
      </c>
      <c r="Z760" s="22">
        <f>IF(AD760=0,J760,0)</f>
        <v>0</v>
      </c>
      <c r="AA760" s="22">
        <f>IF(AD760=15,J760,0)</f>
        <v>0</v>
      </c>
      <c r="AB760" s="22">
        <f>IF(AD760=21,J760,0)</f>
        <v>0</v>
      </c>
      <c r="AD760" s="39">
        <v>15</v>
      </c>
      <c r="AE760" s="39">
        <f>G760*0</f>
        <v>0</v>
      </c>
      <c r="AF760" s="39">
        <f>G760*(1-0)</f>
        <v>0</v>
      </c>
      <c r="AM760" s="39">
        <f>F760*AE760</f>
        <v>0</v>
      </c>
      <c r="AN760" s="39">
        <f>F760*AF760</f>
        <v>0</v>
      </c>
      <c r="AO760" s="40" t="s">
        <v>1563</v>
      </c>
      <c r="AP760" s="40" t="s">
        <v>1607</v>
      </c>
      <c r="AQ760" s="31" t="s">
        <v>1613</v>
      </c>
    </row>
    <row r="761" spans="1:37" ht="12.75">
      <c r="A761" s="4"/>
      <c r="B761" s="14" t="s">
        <v>596</v>
      </c>
      <c r="C761" s="14" t="s">
        <v>847</v>
      </c>
      <c r="D761" s="104" t="s">
        <v>1249</v>
      </c>
      <c r="E761" s="105"/>
      <c r="F761" s="105"/>
      <c r="G761" s="105"/>
      <c r="H761" s="42">
        <f>SUM(H762:H762)</f>
        <v>0</v>
      </c>
      <c r="I761" s="42">
        <f>SUM(I762:I762)</f>
        <v>0</v>
      </c>
      <c r="J761" s="42">
        <f>H761+I761</f>
        <v>0</v>
      </c>
      <c r="K761" s="31"/>
      <c r="L761" s="42">
        <f>SUM(L762:L762)</f>
        <v>0</v>
      </c>
      <c r="M761" s="31"/>
      <c r="P761" s="42">
        <f>IF(Q761="PR",J761,SUM(O762:O762))</f>
        <v>0</v>
      </c>
      <c r="Q761" s="31" t="s">
        <v>1536</v>
      </c>
      <c r="R761" s="42">
        <f>IF(Q761="HS",H761,0)</f>
        <v>0</v>
      </c>
      <c r="S761" s="42">
        <f>IF(Q761="HS",I761-P761,0)</f>
        <v>0</v>
      </c>
      <c r="T761" s="42">
        <f>IF(Q761="PS",H761,0)</f>
        <v>0</v>
      </c>
      <c r="U761" s="42">
        <f>IF(Q761="PS",I761-P761,0)</f>
        <v>0</v>
      </c>
      <c r="V761" s="42">
        <f>IF(Q761="MP",H761,0)</f>
        <v>0</v>
      </c>
      <c r="W761" s="42">
        <f>IF(Q761="MP",I761-P761,0)</f>
        <v>0</v>
      </c>
      <c r="X761" s="42">
        <f>IF(Q761="OM",H761,0)</f>
        <v>0</v>
      </c>
      <c r="Y761" s="31" t="s">
        <v>596</v>
      </c>
      <c r="AI761" s="42">
        <f>SUM(Z762:Z762)</f>
        <v>0</v>
      </c>
      <c r="AJ761" s="42">
        <f>SUM(AA762:AA762)</f>
        <v>0</v>
      </c>
      <c r="AK761" s="42">
        <f>SUM(AB762:AB762)</f>
        <v>0</v>
      </c>
    </row>
    <row r="762" spans="1:43" ht="12.75">
      <c r="A762" s="5" t="s">
        <v>448</v>
      </c>
      <c r="B762" s="5" t="s">
        <v>596</v>
      </c>
      <c r="C762" s="5" t="s">
        <v>848</v>
      </c>
      <c r="D762" s="5" t="s">
        <v>1301</v>
      </c>
      <c r="E762" s="5" t="s">
        <v>1509</v>
      </c>
      <c r="F762" s="22">
        <v>1</v>
      </c>
      <c r="G762" s="22">
        <v>0</v>
      </c>
      <c r="H762" s="22">
        <f>F762*AE762</f>
        <v>0</v>
      </c>
      <c r="I762" s="22">
        <f>J762-H762</f>
        <v>0</v>
      </c>
      <c r="J762" s="22">
        <f>F762*G762</f>
        <v>0</v>
      </c>
      <c r="K762" s="22">
        <v>0</v>
      </c>
      <c r="L762" s="22">
        <f>F762*K762</f>
        <v>0</v>
      </c>
      <c r="M762" s="35" t="s">
        <v>1531</v>
      </c>
      <c r="N762" s="35" t="s">
        <v>11</v>
      </c>
      <c r="O762" s="22">
        <f>IF(N762="5",I762,0)</f>
        <v>0</v>
      </c>
      <c r="Z762" s="22">
        <f>IF(AD762=0,J762,0)</f>
        <v>0</v>
      </c>
      <c r="AA762" s="22">
        <f>IF(AD762=15,J762,0)</f>
        <v>0</v>
      </c>
      <c r="AB762" s="22">
        <f>IF(AD762=21,J762,0)</f>
        <v>0</v>
      </c>
      <c r="AD762" s="39">
        <v>15</v>
      </c>
      <c r="AE762" s="39">
        <f>G762*0</f>
        <v>0</v>
      </c>
      <c r="AF762" s="39">
        <f>G762*(1-0)</f>
        <v>0</v>
      </c>
      <c r="AM762" s="39">
        <f>F762*AE762</f>
        <v>0</v>
      </c>
      <c r="AN762" s="39">
        <f>F762*AF762</f>
        <v>0</v>
      </c>
      <c r="AO762" s="40" t="s">
        <v>1592</v>
      </c>
      <c r="AP762" s="40" t="s">
        <v>1607</v>
      </c>
      <c r="AQ762" s="31" t="s">
        <v>1613</v>
      </c>
    </row>
    <row r="763" spans="1:37" ht="12.75">
      <c r="A763" s="4"/>
      <c r="B763" s="14" t="s">
        <v>596</v>
      </c>
      <c r="C763" s="14" t="s">
        <v>665</v>
      </c>
      <c r="D763" s="104" t="s">
        <v>1045</v>
      </c>
      <c r="E763" s="105"/>
      <c r="F763" s="105"/>
      <c r="G763" s="105"/>
      <c r="H763" s="42">
        <f>SUM(H764:H800)</f>
        <v>0</v>
      </c>
      <c r="I763" s="42">
        <f>SUM(I764:I800)</f>
        <v>0</v>
      </c>
      <c r="J763" s="42">
        <f>H763+I763</f>
        <v>0</v>
      </c>
      <c r="K763" s="31"/>
      <c r="L763" s="42">
        <f>SUM(L764:L800)</f>
        <v>0.28154999999999997</v>
      </c>
      <c r="M763" s="31"/>
      <c r="P763" s="42">
        <f>IF(Q763="PR",J763,SUM(O764:O800))</f>
        <v>0</v>
      </c>
      <c r="Q763" s="31" t="s">
        <v>1538</v>
      </c>
      <c r="R763" s="42">
        <f>IF(Q763="HS",H763,0)</f>
        <v>0</v>
      </c>
      <c r="S763" s="42">
        <f>IF(Q763="HS",I763-P763,0)</f>
        <v>0</v>
      </c>
      <c r="T763" s="42">
        <f>IF(Q763="PS",H763,0)</f>
        <v>0</v>
      </c>
      <c r="U763" s="42">
        <f>IF(Q763="PS",I763-P763,0)</f>
        <v>0</v>
      </c>
      <c r="V763" s="42">
        <f>IF(Q763="MP",H763,0)</f>
        <v>0</v>
      </c>
      <c r="W763" s="42">
        <f>IF(Q763="MP",I763-P763,0)</f>
        <v>0</v>
      </c>
      <c r="X763" s="42">
        <f>IF(Q763="OM",H763,0)</f>
        <v>0</v>
      </c>
      <c r="Y763" s="31" t="s">
        <v>596</v>
      </c>
      <c r="AI763" s="42">
        <f>SUM(Z764:Z800)</f>
        <v>0</v>
      </c>
      <c r="AJ763" s="42">
        <f>SUM(AA764:AA800)</f>
        <v>0</v>
      </c>
      <c r="AK763" s="42">
        <f>SUM(AB764:AB800)</f>
        <v>0</v>
      </c>
    </row>
    <row r="764" spans="1:43" ht="12.75">
      <c r="A764" s="5" t="s">
        <v>449</v>
      </c>
      <c r="B764" s="5" t="s">
        <v>596</v>
      </c>
      <c r="C764" s="5" t="s">
        <v>851</v>
      </c>
      <c r="D764" s="5" t="s">
        <v>1304</v>
      </c>
      <c r="E764" s="5" t="s">
        <v>1504</v>
      </c>
      <c r="F764" s="22">
        <v>3</v>
      </c>
      <c r="G764" s="22">
        <v>0</v>
      </c>
      <c r="H764" s="22">
        <f aca="true" t="shared" si="200" ref="H764:H800">F764*AE764</f>
        <v>0</v>
      </c>
      <c r="I764" s="22">
        <f aca="true" t="shared" si="201" ref="I764:I800">J764-H764</f>
        <v>0</v>
      </c>
      <c r="J764" s="22">
        <f aca="true" t="shared" si="202" ref="J764:J800">F764*G764</f>
        <v>0</v>
      </c>
      <c r="K764" s="22">
        <v>0</v>
      </c>
      <c r="L764" s="22">
        <f aca="true" t="shared" si="203" ref="L764:L800">F764*K764</f>
        <v>0</v>
      </c>
      <c r="M764" s="35" t="s">
        <v>1531</v>
      </c>
      <c r="N764" s="35" t="s">
        <v>8</v>
      </c>
      <c r="O764" s="22">
        <f aca="true" t="shared" si="204" ref="O764:O800">IF(N764="5",I764,0)</f>
        <v>0</v>
      </c>
      <c r="Z764" s="22">
        <f aca="true" t="shared" si="205" ref="Z764:Z800">IF(AD764=0,J764,0)</f>
        <v>0</v>
      </c>
      <c r="AA764" s="22">
        <f aca="true" t="shared" si="206" ref="AA764:AA800">IF(AD764=15,J764,0)</f>
        <v>0</v>
      </c>
      <c r="AB764" s="22">
        <f aca="true" t="shared" si="207" ref="AB764:AB800">IF(AD764=21,J764,0)</f>
        <v>0</v>
      </c>
      <c r="AD764" s="39">
        <v>15</v>
      </c>
      <c r="AE764" s="39">
        <f aca="true" t="shared" si="208" ref="AE764:AE769">G764*1</f>
        <v>0</v>
      </c>
      <c r="AF764" s="39">
        <f aca="true" t="shared" si="209" ref="AF764:AF769">G764*(1-1)</f>
        <v>0</v>
      </c>
      <c r="AM764" s="39">
        <f aca="true" t="shared" si="210" ref="AM764:AM800">F764*AE764</f>
        <v>0</v>
      </c>
      <c r="AN764" s="39">
        <f aca="true" t="shared" si="211" ref="AN764:AN800">F764*AF764</f>
        <v>0</v>
      </c>
      <c r="AO764" s="40" t="s">
        <v>1565</v>
      </c>
      <c r="AP764" s="40" t="s">
        <v>1607</v>
      </c>
      <c r="AQ764" s="31" t="s">
        <v>1613</v>
      </c>
    </row>
    <row r="765" spans="1:43" ht="12.75">
      <c r="A765" s="5" t="s">
        <v>450</v>
      </c>
      <c r="B765" s="5" t="s">
        <v>596</v>
      </c>
      <c r="C765" s="5" t="s">
        <v>666</v>
      </c>
      <c r="D765" s="5" t="s">
        <v>1046</v>
      </c>
      <c r="E765" s="5" t="s">
        <v>1505</v>
      </c>
      <c r="F765" s="22">
        <v>45</v>
      </c>
      <c r="G765" s="22">
        <v>0</v>
      </c>
      <c r="H765" s="22">
        <f t="shared" si="200"/>
        <v>0</v>
      </c>
      <c r="I765" s="22">
        <f t="shared" si="201"/>
        <v>0</v>
      </c>
      <c r="J765" s="22">
        <f t="shared" si="202"/>
        <v>0</v>
      </c>
      <c r="K765" s="22">
        <v>0</v>
      </c>
      <c r="L765" s="22">
        <f t="shared" si="203"/>
        <v>0</v>
      </c>
      <c r="M765" s="35" t="s">
        <v>1531</v>
      </c>
      <c r="N765" s="35" t="s">
        <v>8</v>
      </c>
      <c r="O765" s="22">
        <f t="shared" si="204"/>
        <v>0</v>
      </c>
      <c r="Z765" s="22">
        <f t="shared" si="205"/>
        <v>0</v>
      </c>
      <c r="AA765" s="22">
        <f t="shared" si="206"/>
        <v>0</v>
      </c>
      <c r="AB765" s="22">
        <f t="shared" si="207"/>
        <v>0</v>
      </c>
      <c r="AD765" s="39">
        <v>15</v>
      </c>
      <c r="AE765" s="39">
        <f t="shared" si="208"/>
        <v>0</v>
      </c>
      <c r="AF765" s="39">
        <f t="shared" si="209"/>
        <v>0</v>
      </c>
      <c r="AM765" s="39">
        <f t="shared" si="210"/>
        <v>0</v>
      </c>
      <c r="AN765" s="39">
        <f t="shared" si="211"/>
        <v>0</v>
      </c>
      <c r="AO765" s="40" t="s">
        <v>1565</v>
      </c>
      <c r="AP765" s="40" t="s">
        <v>1607</v>
      </c>
      <c r="AQ765" s="31" t="s">
        <v>1613</v>
      </c>
    </row>
    <row r="766" spans="1:43" ht="12.75">
      <c r="A766" s="5" t="s">
        <v>451</v>
      </c>
      <c r="B766" s="5" t="s">
        <v>596</v>
      </c>
      <c r="C766" s="5" t="s">
        <v>852</v>
      </c>
      <c r="D766" s="5" t="s">
        <v>1305</v>
      </c>
      <c r="E766" s="5" t="s">
        <v>1505</v>
      </c>
      <c r="F766" s="22">
        <v>30</v>
      </c>
      <c r="G766" s="22">
        <v>0</v>
      </c>
      <c r="H766" s="22">
        <f t="shared" si="200"/>
        <v>0</v>
      </c>
      <c r="I766" s="22">
        <f t="shared" si="201"/>
        <v>0</v>
      </c>
      <c r="J766" s="22">
        <f t="shared" si="202"/>
        <v>0</v>
      </c>
      <c r="K766" s="22">
        <v>0</v>
      </c>
      <c r="L766" s="22">
        <f t="shared" si="203"/>
        <v>0</v>
      </c>
      <c r="M766" s="35" t="s">
        <v>1531</v>
      </c>
      <c r="N766" s="35" t="s">
        <v>8</v>
      </c>
      <c r="O766" s="22">
        <f t="shared" si="204"/>
        <v>0</v>
      </c>
      <c r="Z766" s="22">
        <f t="shared" si="205"/>
        <v>0</v>
      </c>
      <c r="AA766" s="22">
        <f t="shared" si="206"/>
        <v>0</v>
      </c>
      <c r="AB766" s="22">
        <f t="shared" si="207"/>
        <v>0</v>
      </c>
      <c r="AD766" s="39">
        <v>15</v>
      </c>
      <c r="AE766" s="39">
        <f t="shared" si="208"/>
        <v>0</v>
      </c>
      <c r="AF766" s="39">
        <f t="shared" si="209"/>
        <v>0</v>
      </c>
      <c r="AM766" s="39">
        <f t="shared" si="210"/>
        <v>0</v>
      </c>
      <c r="AN766" s="39">
        <f t="shared" si="211"/>
        <v>0</v>
      </c>
      <c r="AO766" s="40" t="s">
        <v>1565</v>
      </c>
      <c r="AP766" s="40" t="s">
        <v>1607</v>
      </c>
      <c r="AQ766" s="31" t="s">
        <v>1613</v>
      </c>
    </row>
    <row r="767" spans="1:43" ht="12.75">
      <c r="A767" s="5" t="s">
        <v>452</v>
      </c>
      <c r="B767" s="5" t="s">
        <v>596</v>
      </c>
      <c r="C767" s="5" t="s">
        <v>853</v>
      </c>
      <c r="D767" s="5" t="s">
        <v>1306</v>
      </c>
      <c r="E767" s="5" t="s">
        <v>1505</v>
      </c>
      <c r="F767" s="22">
        <v>18</v>
      </c>
      <c r="G767" s="22">
        <v>0</v>
      </c>
      <c r="H767" s="22">
        <f t="shared" si="200"/>
        <v>0</v>
      </c>
      <c r="I767" s="22">
        <f t="shared" si="201"/>
        <v>0</v>
      </c>
      <c r="J767" s="22">
        <f t="shared" si="202"/>
        <v>0</v>
      </c>
      <c r="K767" s="22">
        <v>0</v>
      </c>
      <c r="L767" s="22">
        <f t="shared" si="203"/>
        <v>0</v>
      </c>
      <c r="M767" s="35" t="s">
        <v>1531</v>
      </c>
      <c r="N767" s="35" t="s">
        <v>8</v>
      </c>
      <c r="O767" s="22">
        <f t="shared" si="204"/>
        <v>0</v>
      </c>
      <c r="Z767" s="22">
        <f t="shared" si="205"/>
        <v>0</v>
      </c>
      <c r="AA767" s="22">
        <f t="shared" si="206"/>
        <v>0</v>
      </c>
      <c r="AB767" s="22">
        <f t="shared" si="207"/>
        <v>0</v>
      </c>
      <c r="AD767" s="39">
        <v>15</v>
      </c>
      <c r="AE767" s="39">
        <f t="shared" si="208"/>
        <v>0</v>
      </c>
      <c r="AF767" s="39">
        <f t="shared" si="209"/>
        <v>0</v>
      </c>
      <c r="AM767" s="39">
        <f t="shared" si="210"/>
        <v>0</v>
      </c>
      <c r="AN767" s="39">
        <f t="shared" si="211"/>
        <v>0</v>
      </c>
      <c r="AO767" s="40" t="s">
        <v>1565</v>
      </c>
      <c r="AP767" s="40" t="s">
        <v>1607</v>
      </c>
      <c r="AQ767" s="31" t="s">
        <v>1613</v>
      </c>
    </row>
    <row r="768" spans="1:43" ht="12.75">
      <c r="A768" s="5" t="s">
        <v>453</v>
      </c>
      <c r="B768" s="5" t="s">
        <v>596</v>
      </c>
      <c r="C768" s="5" t="s">
        <v>857</v>
      </c>
      <c r="D768" s="5" t="s">
        <v>1311</v>
      </c>
      <c r="E768" s="5" t="s">
        <v>1504</v>
      </c>
      <c r="F768" s="22">
        <v>3</v>
      </c>
      <c r="G768" s="22">
        <v>0</v>
      </c>
      <c r="H768" s="22">
        <f t="shared" si="200"/>
        <v>0</v>
      </c>
      <c r="I768" s="22">
        <f t="shared" si="201"/>
        <v>0</v>
      </c>
      <c r="J768" s="22">
        <f t="shared" si="202"/>
        <v>0</v>
      </c>
      <c r="K768" s="22">
        <v>0.00039</v>
      </c>
      <c r="L768" s="22">
        <f t="shared" si="203"/>
        <v>0.00117</v>
      </c>
      <c r="M768" s="35" t="s">
        <v>1531</v>
      </c>
      <c r="N768" s="35" t="s">
        <v>8</v>
      </c>
      <c r="O768" s="22">
        <f t="shared" si="204"/>
        <v>0</v>
      </c>
      <c r="Z768" s="22">
        <f t="shared" si="205"/>
        <v>0</v>
      </c>
      <c r="AA768" s="22">
        <f t="shared" si="206"/>
        <v>0</v>
      </c>
      <c r="AB768" s="22">
        <f t="shared" si="207"/>
        <v>0</v>
      </c>
      <c r="AD768" s="39">
        <v>15</v>
      </c>
      <c r="AE768" s="39">
        <f t="shared" si="208"/>
        <v>0</v>
      </c>
      <c r="AF768" s="39">
        <f t="shared" si="209"/>
        <v>0</v>
      </c>
      <c r="AM768" s="39">
        <f t="shared" si="210"/>
        <v>0</v>
      </c>
      <c r="AN768" s="39">
        <f t="shared" si="211"/>
        <v>0</v>
      </c>
      <c r="AO768" s="40" t="s">
        <v>1565</v>
      </c>
      <c r="AP768" s="40" t="s">
        <v>1607</v>
      </c>
      <c r="AQ768" s="31" t="s">
        <v>1613</v>
      </c>
    </row>
    <row r="769" spans="1:43" ht="12.75">
      <c r="A769" s="5" t="s">
        <v>454</v>
      </c>
      <c r="B769" s="5" t="s">
        <v>596</v>
      </c>
      <c r="C769" s="5" t="s">
        <v>667</v>
      </c>
      <c r="D769" s="5" t="s">
        <v>1047</v>
      </c>
      <c r="E769" s="5" t="s">
        <v>1504</v>
      </c>
      <c r="F769" s="22">
        <v>24</v>
      </c>
      <c r="G769" s="22">
        <v>0</v>
      </c>
      <c r="H769" s="22">
        <f t="shared" si="200"/>
        <v>0</v>
      </c>
      <c r="I769" s="22">
        <f t="shared" si="201"/>
        <v>0</v>
      </c>
      <c r="J769" s="22">
        <f t="shared" si="202"/>
        <v>0</v>
      </c>
      <c r="K769" s="22">
        <v>0</v>
      </c>
      <c r="L769" s="22">
        <f t="shared" si="203"/>
        <v>0</v>
      </c>
      <c r="M769" s="35" t="s">
        <v>1531</v>
      </c>
      <c r="N769" s="35" t="s">
        <v>8</v>
      </c>
      <c r="O769" s="22">
        <f t="shared" si="204"/>
        <v>0</v>
      </c>
      <c r="Z769" s="22">
        <f t="shared" si="205"/>
        <v>0</v>
      </c>
      <c r="AA769" s="22">
        <f t="shared" si="206"/>
        <v>0</v>
      </c>
      <c r="AB769" s="22">
        <f t="shared" si="207"/>
        <v>0</v>
      </c>
      <c r="AD769" s="39">
        <v>15</v>
      </c>
      <c r="AE769" s="39">
        <f t="shared" si="208"/>
        <v>0</v>
      </c>
      <c r="AF769" s="39">
        <f t="shared" si="209"/>
        <v>0</v>
      </c>
      <c r="AM769" s="39">
        <f t="shared" si="210"/>
        <v>0</v>
      </c>
      <c r="AN769" s="39">
        <f t="shared" si="211"/>
        <v>0</v>
      </c>
      <c r="AO769" s="40" t="s">
        <v>1565</v>
      </c>
      <c r="AP769" s="40" t="s">
        <v>1607</v>
      </c>
      <c r="AQ769" s="31" t="s">
        <v>1613</v>
      </c>
    </row>
    <row r="770" spans="1:43" ht="12.75">
      <c r="A770" s="5" t="s">
        <v>455</v>
      </c>
      <c r="B770" s="5" t="s">
        <v>596</v>
      </c>
      <c r="C770" s="5" t="s">
        <v>668</v>
      </c>
      <c r="D770" s="5" t="s">
        <v>1048</v>
      </c>
      <c r="E770" s="5" t="s">
        <v>1504</v>
      </c>
      <c r="F770" s="22">
        <v>3</v>
      </c>
      <c r="G770" s="22">
        <v>0</v>
      </c>
      <c r="H770" s="22">
        <f t="shared" si="200"/>
        <v>0</v>
      </c>
      <c r="I770" s="22">
        <f t="shared" si="201"/>
        <v>0</v>
      </c>
      <c r="J770" s="22">
        <f t="shared" si="202"/>
        <v>0</v>
      </c>
      <c r="K770" s="22">
        <v>0</v>
      </c>
      <c r="L770" s="22">
        <f t="shared" si="203"/>
        <v>0</v>
      </c>
      <c r="M770" s="35" t="s">
        <v>1531</v>
      </c>
      <c r="N770" s="35" t="s">
        <v>8</v>
      </c>
      <c r="O770" s="22">
        <f t="shared" si="204"/>
        <v>0</v>
      </c>
      <c r="Z770" s="22">
        <f t="shared" si="205"/>
        <v>0</v>
      </c>
      <c r="AA770" s="22">
        <f t="shared" si="206"/>
        <v>0</v>
      </c>
      <c r="AB770" s="22">
        <f t="shared" si="207"/>
        <v>0</v>
      </c>
      <c r="AD770" s="39">
        <v>15</v>
      </c>
      <c r="AE770" s="39">
        <f>G770*0</f>
        <v>0</v>
      </c>
      <c r="AF770" s="39">
        <f>G770*(1-0)</f>
        <v>0</v>
      </c>
      <c r="AM770" s="39">
        <f t="shared" si="210"/>
        <v>0</v>
      </c>
      <c r="AN770" s="39">
        <f t="shared" si="211"/>
        <v>0</v>
      </c>
      <c r="AO770" s="40" t="s">
        <v>1565</v>
      </c>
      <c r="AP770" s="40" t="s">
        <v>1607</v>
      </c>
      <c r="AQ770" s="31" t="s">
        <v>1613</v>
      </c>
    </row>
    <row r="771" spans="1:43" ht="12.75">
      <c r="A771" s="5" t="s">
        <v>456</v>
      </c>
      <c r="B771" s="5" t="s">
        <v>596</v>
      </c>
      <c r="C771" s="5" t="s">
        <v>669</v>
      </c>
      <c r="D771" s="5" t="s">
        <v>1312</v>
      </c>
      <c r="E771" s="5" t="s">
        <v>1504</v>
      </c>
      <c r="F771" s="22">
        <v>3</v>
      </c>
      <c r="G771" s="22">
        <v>0</v>
      </c>
      <c r="H771" s="22">
        <f t="shared" si="200"/>
        <v>0</v>
      </c>
      <c r="I771" s="22">
        <f t="shared" si="201"/>
        <v>0</v>
      </c>
      <c r="J771" s="22">
        <f t="shared" si="202"/>
        <v>0</v>
      </c>
      <c r="K771" s="22">
        <v>0</v>
      </c>
      <c r="L771" s="22">
        <f t="shared" si="203"/>
        <v>0</v>
      </c>
      <c r="M771" s="35" t="s">
        <v>1531</v>
      </c>
      <c r="N771" s="35" t="s">
        <v>8</v>
      </c>
      <c r="O771" s="22">
        <f t="shared" si="204"/>
        <v>0</v>
      </c>
      <c r="Z771" s="22">
        <f t="shared" si="205"/>
        <v>0</v>
      </c>
      <c r="AA771" s="22">
        <f t="shared" si="206"/>
        <v>0</v>
      </c>
      <c r="AB771" s="22">
        <f t="shared" si="207"/>
        <v>0</v>
      </c>
      <c r="AD771" s="39">
        <v>15</v>
      </c>
      <c r="AE771" s="39">
        <f>G771*0</f>
        <v>0</v>
      </c>
      <c r="AF771" s="39">
        <f>G771*(1-0)</f>
        <v>0</v>
      </c>
      <c r="AM771" s="39">
        <f t="shared" si="210"/>
        <v>0</v>
      </c>
      <c r="AN771" s="39">
        <f t="shared" si="211"/>
        <v>0</v>
      </c>
      <c r="AO771" s="40" t="s">
        <v>1565</v>
      </c>
      <c r="AP771" s="40" t="s">
        <v>1607</v>
      </c>
      <c r="AQ771" s="31" t="s">
        <v>1613</v>
      </c>
    </row>
    <row r="772" spans="1:43" ht="12.75">
      <c r="A772" s="5" t="s">
        <v>457</v>
      </c>
      <c r="B772" s="5" t="s">
        <v>596</v>
      </c>
      <c r="C772" s="5" t="s">
        <v>858</v>
      </c>
      <c r="D772" s="5" t="s">
        <v>1052</v>
      </c>
      <c r="E772" s="5" t="s">
        <v>1504</v>
      </c>
      <c r="F772" s="22">
        <v>3</v>
      </c>
      <c r="G772" s="22">
        <v>0</v>
      </c>
      <c r="H772" s="22">
        <f t="shared" si="200"/>
        <v>0</v>
      </c>
      <c r="I772" s="22">
        <f t="shared" si="201"/>
        <v>0</v>
      </c>
      <c r="J772" s="22">
        <f t="shared" si="202"/>
        <v>0</v>
      </c>
      <c r="K772" s="22">
        <v>0</v>
      </c>
      <c r="L772" s="22">
        <f t="shared" si="203"/>
        <v>0</v>
      </c>
      <c r="M772" s="35" t="s">
        <v>1531</v>
      </c>
      <c r="N772" s="35" t="s">
        <v>8</v>
      </c>
      <c r="O772" s="22">
        <f t="shared" si="204"/>
        <v>0</v>
      </c>
      <c r="Z772" s="22">
        <f t="shared" si="205"/>
        <v>0</v>
      </c>
      <c r="AA772" s="22">
        <f t="shared" si="206"/>
        <v>0</v>
      </c>
      <c r="AB772" s="22">
        <f t="shared" si="207"/>
        <v>0</v>
      </c>
      <c r="AD772" s="39">
        <v>15</v>
      </c>
      <c r="AE772" s="39">
        <f>G772*0</f>
        <v>0</v>
      </c>
      <c r="AF772" s="39">
        <f>G772*(1-0)</f>
        <v>0</v>
      </c>
      <c r="AM772" s="39">
        <f t="shared" si="210"/>
        <v>0</v>
      </c>
      <c r="AN772" s="39">
        <f t="shared" si="211"/>
        <v>0</v>
      </c>
      <c r="AO772" s="40" t="s">
        <v>1565</v>
      </c>
      <c r="AP772" s="40" t="s">
        <v>1607</v>
      </c>
      <c r="AQ772" s="31" t="s">
        <v>1613</v>
      </c>
    </row>
    <row r="773" spans="1:43" ht="12.75">
      <c r="A773" s="5" t="s">
        <v>458</v>
      </c>
      <c r="B773" s="5" t="s">
        <v>596</v>
      </c>
      <c r="C773" s="5" t="s">
        <v>670</v>
      </c>
      <c r="D773" s="5" t="s">
        <v>1313</v>
      </c>
      <c r="E773" s="5" t="s">
        <v>1511</v>
      </c>
      <c r="F773" s="22">
        <v>96</v>
      </c>
      <c r="G773" s="22">
        <v>0</v>
      </c>
      <c r="H773" s="22">
        <f t="shared" si="200"/>
        <v>0</v>
      </c>
      <c r="I773" s="22">
        <f t="shared" si="201"/>
        <v>0</v>
      </c>
      <c r="J773" s="22">
        <f t="shared" si="202"/>
        <v>0</v>
      </c>
      <c r="K773" s="22">
        <v>0</v>
      </c>
      <c r="L773" s="22">
        <f t="shared" si="203"/>
        <v>0</v>
      </c>
      <c r="M773" s="35" t="s">
        <v>1531</v>
      </c>
      <c r="N773" s="35" t="s">
        <v>8</v>
      </c>
      <c r="O773" s="22">
        <f t="shared" si="204"/>
        <v>0</v>
      </c>
      <c r="Z773" s="22">
        <f t="shared" si="205"/>
        <v>0</v>
      </c>
      <c r="AA773" s="22">
        <f t="shared" si="206"/>
        <v>0</v>
      </c>
      <c r="AB773" s="22">
        <f t="shared" si="207"/>
        <v>0</v>
      </c>
      <c r="AD773" s="39">
        <v>15</v>
      </c>
      <c r="AE773" s="39">
        <f>G773*0</f>
        <v>0</v>
      </c>
      <c r="AF773" s="39">
        <f>G773*(1-0)</f>
        <v>0</v>
      </c>
      <c r="AM773" s="39">
        <f t="shared" si="210"/>
        <v>0</v>
      </c>
      <c r="AN773" s="39">
        <f t="shared" si="211"/>
        <v>0</v>
      </c>
      <c r="AO773" s="40" t="s">
        <v>1565</v>
      </c>
      <c r="AP773" s="40" t="s">
        <v>1607</v>
      </c>
      <c r="AQ773" s="31" t="s">
        <v>1613</v>
      </c>
    </row>
    <row r="774" spans="1:43" ht="12.75">
      <c r="A774" s="5" t="s">
        <v>459</v>
      </c>
      <c r="B774" s="5" t="s">
        <v>596</v>
      </c>
      <c r="C774" s="5" t="s">
        <v>671</v>
      </c>
      <c r="D774" s="5" t="s">
        <v>1056</v>
      </c>
      <c r="E774" s="5" t="s">
        <v>1504</v>
      </c>
      <c r="F774" s="22">
        <v>21</v>
      </c>
      <c r="G774" s="22">
        <v>0</v>
      </c>
      <c r="H774" s="22">
        <f t="shared" si="200"/>
        <v>0</v>
      </c>
      <c r="I774" s="22">
        <f t="shared" si="201"/>
        <v>0</v>
      </c>
      <c r="J774" s="22">
        <f t="shared" si="202"/>
        <v>0</v>
      </c>
      <c r="K774" s="22">
        <v>0</v>
      </c>
      <c r="L774" s="22">
        <f t="shared" si="203"/>
        <v>0</v>
      </c>
      <c r="M774" s="35" t="s">
        <v>1531</v>
      </c>
      <c r="N774" s="35" t="s">
        <v>8</v>
      </c>
      <c r="O774" s="22">
        <f t="shared" si="204"/>
        <v>0</v>
      </c>
      <c r="Z774" s="22">
        <f t="shared" si="205"/>
        <v>0</v>
      </c>
      <c r="AA774" s="22">
        <f t="shared" si="206"/>
        <v>0</v>
      </c>
      <c r="AB774" s="22">
        <f t="shared" si="207"/>
        <v>0</v>
      </c>
      <c r="AD774" s="39">
        <v>15</v>
      </c>
      <c r="AE774" s="39">
        <f aca="true" t="shared" si="212" ref="AE774:AE800">G774*1</f>
        <v>0</v>
      </c>
      <c r="AF774" s="39">
        <f aca="true" t="shared" si="213" ref="AF774:AF800">G774*(1-1)</f>
        <v>0</v>
      </c>
      <c r="AM774" s="39">
        <f t="shared" si="210"/>
        <v>0</v>
      </c>
      <c r="AN774" s="39">
        <f t="shared" si="211"/>
        <v>0</v>
      </c>
      <c r="AO774" s="40" t="s">
        <v>1565</v>
      </c>
      <c r="AP774" s="40" t="s">
        <v>1607</v>
      </c>
      <c r="AQ774" s="31" t="s">
        <v>1613</v>
      </c>
    </row>
    <row r="775" spans="1:43" ht="12.75">
      <c r="A775" s="5" t="s">
        <v>460</v>
      </c>
      <c r="B775" s="5" t="s">
        <v>596</v>
      </c>
      <c r="C775" s="5" t="s">
        <v>859</v>
      </c>
      <c r="D775" s="5" t="s">
        <v>1314</v>
      </c>
      <c r="E775" s="5" t="s">
        <v>1505</v>
      </c>
      <c r="F775" s="22">
        <v>45</v>
      </c>
      <c r="G775" s="22">
        <v>0</v>
      </c>
      <c r="H775" s="22">
        <f t="shared" si="200"/>
        <v>0</v>
      </c>
      <c r="I775" s="22">
        <f t="shared" si="201"/>
        <v>0</v>
      </c>
      <c r="J775" s="22">
        <f t="shared" si="202"/>
        <v>0</v>
      </c>
      <c r="K775" s="22">
        <v>0</v>
      </c>
      <c r="L775" s="22">
        <f t="shared" si="203"/>
        <v>0</v>
      </c>
      <c r="M775" s="35" t="s">
        <v>1531</v>
      </c>
      <c r="N775" s="35" t="s">
        <v>8</v>
      </c>
      <c r="O775" s="22">
        <f t="shared" si="204"/>
        <v>0</v>
      </c>
      <c r="Z775" s="22">
        <f t="shared" si="205"/>
        <v>0</v>
      </c>
      <c r="AA775" s="22">
        <f t="shared" si="206"/>
        <v>0</v>
      </c>
      <c r="AB775" s="22">
        <f t="shared" si="207"/>
        <v>0</v>
      </c>
      <c r="AD775" s="39">
        <v>15</v>
      </c>
      <c r="AE775" s="39">
        <f t="shared" si="212"/>
        <v>0</v>
      </c>
      <c r="AF775" s="39">
        <f t="shared" si="213"/>
        <v>0</v>
      </c>
      <c r="AM775" s="39">
        <f t="shared" si="210"/>
        <v>0</v>
      </c>
      <c r="AN775" s="39">
        <f t="shared" si="211"/>
        <v>0</v>
      </c>
      <c r="AO775" s="40" t="s">
        <v>1565</v>
      </c>
      <c r="AP775" s="40" t="s">
        <v>1607</v>
      </c>
      <c r="AQ775" s="31" t="s">
        <v>1613</v>
      </c>
    </row>
    <row r="776" spans="1:43" ht="12.75">
      <c r="A776" s="5" t="s">
        <v>461</v>
      </c>
      <c r="B776" s="5" t="s">
        <v>596</v>
      </c>
      <c r="C776" s="5" t="s">
        <v>860</v>
      </c>
      <c r="D776" s="5" t="s">
        <v>1315</v>
      </c>
      <c r="E776" s="5" t="s">
        <v>1504</v>
      </c>
      <c r="F776" s="22">
        <v>12</v>
      </c>
      <c r="G776" s="22">
        <v>0</v>
      </c>
      <c r="H776" s="22">
        <f t="shared" si="200"/>
        <v>0</v>
      </c>
      <c r="I776" s="22">
        <f t="shared" si="201"/>
        <v>0</v>
      </c>
      <c r="J776" s="22">
        <f t="shared" si="202"/>
        <v>0</v>
      </c>
      <c r="K776" s="22">
        <v>0</v>
      </c>
      <c r="L776" s="22">
        <f t="shared" si="203"/>
        <v>0</v>
      </c>
      <c r="M776" s="35" t="s">
        <v>1531</v>
      </c>
      <c r="N776" s="35" t="s">
        <v>8</v>
      </c>
      <c r="O776" s="22">
        <f t="shared" si="204"/>
        <v>0</v>
      </c>
      <c r="Z776" s="22">
        <f t="shared" si="205"/>
        <v>0</v>
      </c>
      <c r="AA776" s="22">
        <f t="shared" si="206"/>
        <v>0</v>
      </c>
      <c r="AB776" s="22">
        <f t="shared" si="207"/>
        <v>0</v>
      </c>
      <c r="AD776" s="39">
        <v>15</v>
      </c>
      <c r="AE776" s="39">
        <f t="shared" si="212"/>
        <v>0</v>
      </c>
      <c r="AF776" s="39">
        <f t="shared" si="213"/>
        <v>0</v>
      </c>
      <c r="AM776" s="39">
        <f t="shared" si="210"/>
        <v>0</v>
      </c>
      <c r="AN776" s="39">
        <f t="shared" si="211"/>
        <v>0</v>
      </c>
      <c r="AO776" s="40" t="s">
        <v>1565</v>
      </c>
      <c r="AP776" s="40" t="s">
        <v>1607</v>
      </c>
      <c r="AQ776" s="31" t="s">
        <v>1613</v>
      </c>
    </row>
    <row r="777" spans="1:43" ht="12.75">
      <c r="A777" s="5" t="s">
        <v>462</v>
      </c>
      <c r="B777" s="5" t="s">
        <v>596</v>
      </c>
      <c r="C777" s="5" t="s">
        <v>861</v>
      </c>
      <c r="D777" s="5" t="s">
        <v>1316</v>
      </c>
      <c r="E777" s="5" t="s">
        <v>1504</v>
      </c>
      <c r="F777" s="22">
        <v>3</v>
      </c>
      <c r="G777" s="22">
        <v>0</v>
      </c>
      <c r="H777" s="22">
        <f t="shared" si="200"/>
        <v>0</v>
      </c>
      <c r="I777" s="22">
        <f t="shared" si="201"/>
        <v>0</v>
      </c>
      <c r="J777" s="22">
        <f t="shared" si="202"/>
        <v>0</v>
      </c>
      <c r="K777" s="22">
        <v>0</v>
      </c>
      <c r="L777" s="22">
        <f t="shared" si="203"/>
        <v>0</v>
      </c>
      <c r="M777" s="35" t="s">
        <v>1531</v>
      </c>
      <c r="N777" s="35" t="s">
        <v>8</v>
      </c>
      <c r="O777" s="22">
        <f t="shared" si="204"/>
        <v>0</v>
      </c>
      <c r="Z777" s="22">
        <f t="shared" si="205"/>
        <v>0</v>
      </c>
      <c r="AA777" s="22">
        <f t="shared" si="206"/>
        <v>0</v>
      </c>
      <c r="AB777" s="22">
        <f t="shared" si="207"/>
        <v>0</v>
      </c>
      <c r="AD777" s="39">
        <v>15</v>
      </c>
      <c r="AE777" s="39">
        <f t="shared" si="212"/>
        <v>0</v>
      </c>
      <c r="AF777" s="39">
        <f t="shared" si="213"/>
        <v>0</v>
      </c>
      <c r="AM777" s="39">
        <f t="shared" si="210"/>
        <v>0</v>
      </c>
      <c r="AN777" s="39">
        <f t="shared" si="211"/>
        <v>0</v>
      </c>
      <c r="AO777" s="40" t="s">
        <v>1565</v>
      </c>
      <c r="AP777" s="40" t="s">
        <v>1607</v>
      </c>
      <c r="AQ777" s="31" t="s">
        <v>1613</v>
      </c>
    </row>
    <row r="778" spans="1:43" ht="12.75">
      <c r="A778" s="5" t="s">
        <v>463</v>
      </c>
      <c r="B778" s="5" t="s">
        <v>596</v>
      </c>
      <c r="C778" s="5" t="s">
        <v>862</v>
      </c>
      <c r="D778" s="5" t="s">
        <v>1317</v>
      </c>
      <c r="E778" s="5" t="s">
        <v>1504</v>
      </c>
      <c r="F778" s="22">
        <v>3</v>
      </c>
      <c r="G778" s="22">
        <v>0</v>
      </c>
      <c r="H778" s="22">
        <f t="shared" si="200"/>
        <v>0</v>
      </c>
      <c r="I778" s="22">
        <f t="shared" si="201"/>
        <v>0</v>
      </c>
      <c r="J778" s="22">
        <f t="shared" si="202"/>
        <v>0</v>
      </c>
      <c r="K778" s="22">
        <v>0</v>
      </c>
      <c r="L778" s="22">
        <f t="shared" si="203"/>
        <v>0</v>
      </c>
      <c r="M778" s="35" t="s">
        <v>1531</v>
      </c>
      <c r="N778" s="35" t="s">
        <v>8</v>
      </c>
      <c r="O778" s="22">
        <f t="shared" si="204"/>
        <v>0</v>
      </c>
      <c r="Z778" s="22">
        <f t="shared" si="205"/>
        <v>0</v>
      </c>
      <c r="AA778" s="22">
        <f t="shared" si="206"/>
        <v>0</v>
      </c>
      <c r="AB778" s="22">
        <f t="shared" si="207"/>
        <v>0</v>
      </c>
      <c r="AD778" s="39">
        <v>15</v>
      </c>
      <c r="AE778" s="39">
        <f t="shared" si="212"/>
        <v>0</v>
      </c>
      <c r="AF778" s="39">
        <f t="shared" si="213"/>
        <v>0</v>
      </c>
      <c r="AM778" s="39">
        <f t="shared" si="210"/>
        <v>0</v>
      </c>
      <c r="AN778" s="39">
        <f t="shared" si="211"/>
        <v>0</v>
      </c>
      <c r="AO778" s="40" t="s">
        <v>1565</v>
      </c>
      <c r="AP778" s="40" t="s">
        <v>1607</v>
      </c>
      <c r="AQ778" s="31" t="s">
        <v>1613</v>
      </c>
    </row>
    <row r="779" spans="1:43" ht="12.75">
      <c r="A779" s="6" t="s">
        <v>464</v>
      </c>
      <c r="B779" s="6" t="s">
        <v>596</v>
      </c>
      <c r="C779" s="6" t="s">
        <v>672</v>
      </c>
      <c r="D779" s="6" t="s">
        <v>1057</v>
      </c>
      <c r="E779" s="6" t="s">
        <v>1504</v>
      </c>
      <c r="F779" s="24">
        <v>30</v>
      </c>
      <c r="G779" s="24">
        <v>0</v>
      </c>
      <c r="H779" s="24">
        <f t="shared" si="200"/>
        <v>0</v>
      </c>
      <c r="I779" s="24">
        <f t="shared" si="201"/>
        <v>0</v>
      </c>
      <c r="J779" s="24">
        <f t="shared" si="202"/>
        <v>0</v>
      </c>
      <c r="K779" s="24">
        <v>5E-05</v>
      </c>
      <c r="L779" s="24">
        <f t="shared" si="203"/>
        <v>0.0015</v>
      </c>
      <c r="M779" s="36" t="s">
        <v>1531</v>
      </c>
      <c r="N779" s="36" t="s">
        <v>1533</v>
      </c>
      <c r="O779" s="24">
        <f t="shared" si="204"/>
        <v>0</v>
      </c>
      <c r="Z779" s="24">
        <f t="shared" si="205"/>
        <v>0</v>
      </c>
      <c r="AA779" s="24">
        <f t="shared" si="206"/>
        <v>0</v>
      </c>
      <c r="AB779" s="24">
        <f t="shared" si="207"/>
        <v>0</v>
      </c>
      <c r="AD779" s="39">
        <v>15</v>
      </c>
      <c r="AE779" s="39">
        <f t="shared" si="212"/>
        <v>0</v>
      </c>
      <c r="AF779" s="39">
        <f t="shared" si="213"/>
        <v>0</v>
      </c>
      <c r="AM779" s="39">
        <f t="shared" si="210"/>
        <v>0</v>
      </c>
      <c r="AN779" s="39">
        <f t="shared" si="211"/>
        <v>0</v>
      </c>
      <c r="AO779" s="40" t="s">
        <v>1565</v>
      </c>
      <c r="AP779" s="40" t="s">
        <v>1607</v>
      </c>
      <c r="AQ779" s="31" t="s">
        <v>1613</v>
      </c>
    </row>
    <row r="780" spans="1:43" ht="12.75">
      <c r="A780" s="6" t="s">
        <v>465</v>
      </c>
      <c r="B780" s="6" t="s">
        <v>596</v>
      </c>
      <c r="C780" s="6" t="s">
        <v>849</v>
      </c>
      <c r="D780" s="6" t="s">
        <v>1335</v>
      </c>
      <c r="E780" s="6" t="s">
        <v>1504</v>
      </c>
      <c r="F780" s="24">
        <v>21</v>
      </c>
      <c r="G780" s="24">
        <v>0</v>
      </c>
      <c r="H780" s="24">
        <f t="shared" si="200"/>
        <v>0</v>
      </c>
      <c r="I780" s="24">
        <f t="shared" si="201"/>
        <v>0</v>
      </c>
      <c r="J780" s="24">
        <f t="shared" si="202"/>
        <v>0</v>
      </c>
      <c r="K780" s="24">
        <v>4E-05</v>
      </c>
      <c r="L780" s="24">
        <f t="shared" si="203"/>
        <v>0.00084</v>
      </c>
      <c r="M780" s="36" t="s">
        <v>1531</v>
      </c>
      <c r="N780" s="36" t="s">
        <v>1533</v>
      </c>
      <c r="O780" s="24">
        <f t="shared" si="204"/>
        <v>0</v>
      </c>
      <c r="Z780" s="24">
        <f t="shared" si="205"/>
        <v>0</v>
      </c>
      <c r="AA780" s="24">
        <f t="shared" si="206"/>
        <v>0</v>
      </c>
      <c r="AB780" s="24">
        <f t="shared" si="207"/>
        <v>0</v>
      </c>
      <c r="AD780" s="39">
        <v>15</v>
      </c>
      <c r="AE780" s="39">
        <f t="shared" si="212"/>
        <v>0</v>
      </c>
      <c r="AF780" s="39">
        <f t="shared" si="213"/>
        <v>0</v>
      </c>
      <c r="AM780" s="39">
        <f t="shared" si="210"/>
        <v>0</v>
      </c>
      <c r="AN780" s="39">
        <f t="shared" si="211"/>
        <v>0</v>
      </c>
      <c r="AO780" s="40" t="s">
        <v>1565</v>
      </c>
      <c r="AP780" s="40" t="s">
        <v>1607</v>
      </c>
      <c r="AQ780" s="31" t="s">
        <v>1613</v>
      </c>
    </row>
    <row r="781" spans="1:43" ht="12.75">
      <c r="A781" s="6" t="s">
        <v>466</v>
      </c>
      <c r="B781" s="6" t="s">
        <v>596</v>
      </c>
      <c r="C781" s="6" t="s">
        <v>673</v>
      </c>
      <c r="D781" s="6" t="s">
        <v>1058</v>
      </c>
      <c r="E781" s="6" t="s">
        <v>1504</v>
      </c>
      <c r="F781" s="24">
        <v>9</v>
      </c>
      <c r="G781" s="24">
        <v>0</v>
      </c>
      <c r="H781" s="24">
        <f t="shared" si="200"/>
        <v>0</v>
      </c>
      <c r="I781" s="24">
        <f t="shared" si="201"/>
        <v>0</v>
      </c>
      <c r="J781" s="24">
        <f t="shared" si="202"/>
        <v>0</v>
      </c>
      <c r="K781" s="24">
        <v>1E-05</v>
      </c>
      <c r="L781" s="24">
        <f t="shared" si="203"/>
        <v>9E-05</v>
      </c>
      <c r="M781" s="36" t="s">
        <v>1531</v>
      </c>
      <c r="N781" s="36" t="s">
        <v>1533</v>
      </c>
      <c r="O781" s="24">
        <f t="shared" si="204"/>
        <v>0</v>
      </c>
      <c r="Z781" s="24">
        <f t="shared" si="205"/>
        <v>0</v>
      </c>
      <c r="AA781" s="24">
        <f t="shared" si="206"/>
        <v>0</v>
      </c>
      <c r="AB781" s="24">
        <f t="shared" si="207"/>
        <v>0</v>
      </c>
      <c r="AD781" s="39">
        <v>15</v>
      </c>
      <c r="AE781" s="39">
        <f t="shared" si="212"/>
        <v>0</v>
      </c>
      <c r="AF781" s="39">
        <f t="shared" si="213"/>
        <v>0</v>
      </c>
      <c r="AM781" s="39">
        <f t="shared" si="210"/>
        <v>0</v>
      </c>
      <c r="AN781" s="39">
        <f t="shared" si="211"/>
        <v>0</v>
      </c>
      <c r="AO781" s="40" t="s">
        <v>1565</v>
      </c>
      <c r="AP781" s="40" t="s">
        <v>1607</v>
      </c>
      <c r="AQ781" s="31" t="s">
        <v>1613</v>
      </c>
    </row>
    <row r="782" spans="1:43" ht="12.75">
      <c r="A782" s="6" t="s">
        <v>467</v>
      </c>
      <c r="B782" s="6" t="s">
        <v>596</v>
      </c>
      <c r="C782" s="6" t="s">
        <v>674</v>
      </c>
      <c r="D782" s="6" t="s">
        <v>1059</v>
      </c>
      <c r="E782" s="6" t="s">
        <v>1504</v>
      </c>
      <c r="F782" s="24">
        <v>28</v>
      </c>
      <c r="G782" s="24">
        <v>0</v>
      </c>
      <c r="H782" s="24">
        <f t="shared" si="200"/>
        <v>0</v>
      </c>
      <c r="I782" s="24">
        <f t="shared" si="201"/>
        <v>0</v>
      </c>
      <c r="J782" s="24">
        <f t="shared" si="202"/>
        <v>0</v>
      </c>
      <c r="K782" s="24">
        <v>0</v>
      </c>
      <c r="L782" s="24">
        <f t="shared" si="203"/>
        <v>0</v>
      </c>
      <c r="M782" s="36" t="s">
        <v>1531</v>
      </c>
      <c r="N782" s="36" t="s">
        <v>1533</v>
      </c>
      <c r="O782" s="24">
        <f t="shared" si="204"/>
        <v>0</v>
      </c>
      <c r="Z782" s="24">
        <f t="shared" si="205"/>
        <v>0</v>
      </c>
      <c r="AA782" s="24">
        <f t="shared" si="206"/>
        <v>0</v>
      </c>
      <c r="AB782" s="24">
        <f t="shared" si="207"/>
        <v>0</v>
      </c>
      <c r="AD782" s="39">
        <v>15</v>
      </c>
      <c r="AE782" s="39">
        <f t="shared" si="212"/>
        <v>0</v>
      </c>
      <c r="AF782" s="39">
        <f t="shared" si="213"/>
        <v>0</v>
      </c>
      <c r="AM782" s="39">
        <f t="shared" si="210"/>
        <v>0</v>
      </c>
      <c r="AN782" s="39">
        <f t="shared" si="211"/>
        <v>0</v>
      </c>
      <c r="AO782" s="40" t="s">
        <v>1565</v>
      </c>
      <c r="AP782" s="40" t="s">
        <v>1607</v>
      </c>
      <c r="AQ782" s="31" t="s">
        <v>1613</v>
      </c>
    </row>
    <row r="783" spans="1:43" ht="12.75">
      <c r="A783" s="6" t="s">
        <v>468</v>
      </c>
      <c r="B783" s="6" t="s">
        <v>596</v>
      </c>
      <c r="C783" s="6" t="s">
        <v>675</v>
      </c>
      <c r="D783" s="6" t="s">
        <v>1060</v>
      </c>
      <c r="E783" s="6" t="s">
        <v>1504</v>
      </c>
      <c r="F783" s="24">
        <v>6</v>
      </c>
      <c r="G783" s="24">
        <v>0</v>
      </c>
      <c r="H783" s="24">
        <f t="shared" si="200"/>
        <v>0</v>
      </c>
      <c r="I783" s="24">
        <f t="shared" si="201"/>
        <v>0</v>
      </c>
      <c r="J783" s="24">
        <f t="shared" si="202"/>
        <v>0</v>
      </c>
      <c r="K783" s="24">
        <v>1E-05</v>
      </c>
      <c r="L783" s="24">
        <f t="shared" si="203"/>
        <v>6.000000000000001E-05</v>
      </c>
      <c r="M783" s="36" t="s">
        <v>1531</v>
      </c>
      <c r="N783" s="36" t="s">
        <v>1533</v>
      </c>
      <c r="O783" s="24">
        <f t="shared" si="204"/>
        <v>0</v>
      </c>
      <c r="Z783" s="24">
        <f t="shared" si="205"/>
        <v>0</v>
      </c>
      <c r="AA783" s="24">
        <f t="shared" si="206"/>
        <v>0</v>
      </c>
      <c r="AB783" s="24">
        <f t="shared" si="207"/>
        <v>0</v>
      </c>
      <c r="AD783" s="39">
        <v>15</v>
      </c>
      <c r="AE783" s="39">
        <f t="shared" si="212"/>
        <v>0</v>
      </c>
      <c r="AF783" s="39">
        <f t="shared" si="213"/>
        <v>0</v>
      </c>
      <c r="AM783" s="39">
        <f t="shared" si="210"/>
        <v>0</v>
      </c>
      <c r="AN783" s="39">
        <f t="shared" si="211"/>
        <v>0</v>
      </c>
      <c r="AO783" s="40" t="s">
        <v>1565</v>
      </c>
      <c r="AP783" s="40" t="s">
        <v>1607</v>
      </c>
      <c r="AQ783" s="31" t="s">
        <v>1613</v>
      </c>
    </row>
    <row r="784" spans="1:43" ht="12.75">
      <c r="A784" s="6" t="s">
        <v>469</v>
      </c>
      <c r="B784" s="6" t="s">
        <v>596</v>
      </c>
      <c r="C784" s="6" t="s">
        <v>676</v>
      </c>
      <c r="D784" s="6" t="s">
        <v>1061</v>
      </c>
      <c r="E784" s="6" t="s">
        <v>1504</v>
      </c>
      <c r="F784" s="24">
        <v>18</v>
      </c>
      <c r="G784" s="24">
        <v>0</v>
      </c>
      <c r="H784" s="24">
        <f t="shared" si="200"/>
        <v>0</v>
      </c>
      <c r="I784" s="24">
        <f t="shared" si="201"/>
        <v>0</v>
      </c>
      <c r="J784" s="24">
        <f t="shared" si="202"/>
        <v>0</v>
      </c>
      <c r="K784" s="24">
        <v>5E-05</v>
      </c>
      <c r="L784" s="24">
        <f t="shared" si="203"/>
        <v>0.0009000000000000001</v>
      </c>
      <c r="M784" s="36" t="s">
        <v>1531</v>
      </c>
      <c r="N784" s="36" t="s">
        <v>1533</v>
      </c>
      <c r="O784" s="24">
        <f t="shared" si="204"/>
        <v>0</v>
      </c>
      <c r="Z784" s="24">
        <f t="shared" si="205"/>
        <v>0</v>
      </c>
      <c r="AA784" s="24">
        <f t="shared" si="206"/>
        <v>0</v>
      </c>
      <c r="AB784" s="24">
        <f t="shared" si="207"/>
        <v>0</v>
      </c>
      <c r="AD784" s="39">
        <v>15</v>
      </c>
      <c r="AE784" s="39">
        <f t="shared" si="212"/>
        <v>0</v>
      </c>
      <c r="AF784" s="39">
        <f t="shared" si="213"/>
        <v>0</v>
      </c>
      <c r="AM784" s="39">
        <f t="shared" si="210"/>
        <v>0</v>
      </c>
      <c r="AN784" s="39">
        <f t="shared" si="211"/>
        <v>0</v>
      </c>
      <c r="AO784" s="40" t="s">
        <v>1565</v>
      </c>
      <c r="AP784" s="40" t="s">
        <v>1607</v>
      </c>
      <c r="AQ784" s="31" t="s">
        <v>1613</v>
      </c>
    </row>
    <row r="785" spans="1:43" ht="12.75">
      <c r="A785" s="6" t="s">
        <v>470</v>
      </c>
      <c r="B785" s="6" t="s">
        <v>596</v>
      </c>
      <c r="C785" s="6" t="s">
        <v>850</v>
      </c>
      <c r="D785" s="6" t="s">
        <v>1303</v>
      </c>
      <c r="E785" s="6" t="s">
        <v>1504</v>
      </c>
      <c r="F785" s="24">
        <v>3</v>
      </c>
      <c r="G785" s="24">
        <v>0</v>
      </c>
      <c r="H785" s="24">
        <f t="shared" si="200"/>
        <v>0</v>
      </c>
      <c r="I785" s="24">
        <f t="shared" si="201"/>
        <v>0</v>
      </c>
      <c r="J785" s="24">
        <f t="shared" si="202"/>
        <v>0</v>
      </c>
      <c r="K785" s="24">
        <v>6E-05</v>
      </c>
      <c r="L785" s="24">
        <f t="shared" si="203"/>
        <v>0.00018</v>
      </c>
      <c r="M785" s="36" t="s">
        <v>1531</v>
      </c>
      <c r="N785" s="36" t="s">
        <v>1533</v>
      </c>
      <c r="O785" s="24">
        <f t="shared" si="204"/>
        <v>0</v>
      </c>
      <c r="Z785" s="24">
        <f t="shared" si="205"/>
        <v>0</v>
      </c>
      <c r="AA785" s="24">
        <f t="shared" si="206"/>
        <v>0</v>
      </c>
      <c r="AB785" s="24">
        <f t="shared" si="207"/>
        <v>0</v>
      </c>
      <c r="AD785" s="39">
        <v>15</v>
      </c>
      <c r="AE785" s="39">
        <f t="shared" si="212"/>
        <v>0</v>
      </c>
      <c r="AF785" s="39">
        <f t="shared" si="213"/>
        <v>0</v>
      </c>
      <c r="AM785" s="39">
        <f t="shared" si="210"/>
        <v>0</v>
      </c>
      <c r="AN785" s="39">
        <f t="shared" si="211"/>
        <v>0</v>
      </c>
      <c r="AO785" s="40" t="s">
        <v>1565</v>
      </c>
      <c r="AP785" s="40" t="s">
        <v>1607</v>
      </c>
      <c r="AQ785" s="31" t="s">
        <v>1613</v>
      </c>
    </row>
    <row r="786" spans="1:43" ht="12.75">
      <c r="A786" s="6" t="s">
        <v>471</v>
      </c>
      <c r="B786" s="6" t="s">
        <v>596</v>
      </c>
      <c r="C786" s="6" t="s">
        <v>677</v>
      </c>
      <c r="D786" s="6" t="s">
        <v>1062</v>
      </c>
      <c r="E786" s="6" t="s">
        <v>1504</v>
      </c>
      <c r="F786" s="24">
        <v>78</v>
      </c>
      <c r="G786" s="24">
        <v>0</v>
      </c>
      <c r="H786" s="24">
        <f t="shared" si="200"/>
        <v>0</v>
      </c>
      <c r="I786" s="24">
        <f t="shared" si="201"/>
        <v>0</v>
      </c>
      <c r="J786" s="24">
        <f t="shared" si="202"/>
        <v>0</v>
      </c>
      <c r="K786" s="24">
        <v>2E-05</v>
      </c>
      <c r="L786" s="24">
        <f t="shared" si="203"/>
        <v>0.0015600000000000002</v>
      </c>
      <c r="M786" s="36" t="s">
        <v>1531</v>
      </c>
      <c r="N786" s="36" t="s">
        <v>1533</v>
      </c>
      <c r="O786" s="24">
        <f t="shared" si="204"/>
        <v>0</v>
      </c>
      <c r="Z786" s="24">
        <f t="shared" si="205"/>
        <v>0</v>
      </c>
      <c r="AA786" s="24">
        <f t="shared" si="206"/>
        <v>0</v>
      </c>
      <c r="AB786" s="24">
        <f t="shared" si="207"/>
        <v>0</v>
      </c>
      <c r="AD786" s="39">
        <v>15</v>
      </c>
      <c r="AE786" s="39">
        <f t="shared" si="212"/>
        <v>0</v>
      </c>
      <c r="AF786" s="39">
        <f t="shared" si="213"/>
        <v>0</v>
      </c>
      <c r="AM786" s="39">
        <f t="shared" si="210"/>
        <v>0</v>
      </c>
      <c r="AN786" s="39">
        <f t="shared" si="211"/>
        <v>0</v>
      </c>
      <c r="AO786" s="40" t="s">
        <v>1565</v>
      </c>
      <c r="AP786" s="40" t="s">
        <v>1607</v>
      </c>
      <c r="AQ786" s="31" t="s">
        <v>1613</v>
      </c>
    </row>
    <row r="787" spans="1:43" ht="12.75">
      <c r="A787" s="6" t="s">
        <v>472</v>
      </c>
      <c r="B787" s="6" t="s">
        <v>596</v>
      </c>
      <c r="C787" s="6" t="s">
        <v>678</v>
      </c>
      <c r="D787" s="6" t="s">
        <v>1063</v>
      </c>
      <c r="E787" s="6" t="s">
        <v>1505</v>
      </c>
      <c r="F787" s="24">
        <v>150</v>
      </c>
      <c r="G787" s="24">
        <v>0</v>
      </c>
      <c r="H787" s="24">
        <f t="shared" si="200"/>
        <v>0</v>
      </c>
      <c r="I787" s="24">
        <f t="shared" si="201"/>
        <v>0</v>
      </c>
      <c r="J787" s="24">
        <f t="shared" si="202"/>
        <v>0</v>
      </c>
      <c r="K787" s="24">
        <v>0.00016</v>
      </c>
      <c r="L787" s="24">
        <f t="shared" si="203"/>
        <v>0.024</v>
      </c>
      <c r="M787" s="36" t="s">
        <v>1531</v>
      </c>
      <c r="N787" s="36" t="s">
        <v>1533</v>
      </c>
      <c r="O787" s="24">
        <f t="shared" si="204"/>
        <v>0</v>
      </c>
      <c r="Z787" s="24">
        <f t="shared" si="205"/>
        <v>0</v>
      </c>
      <c r="AA787" s="24">
        <f t="shared" si="206"/>
        <v>0</v>
      </c>
      <c r="AB787" s="24">
        <f t="shared" si="207"/>
        <v>0</v>
      </c>
      <c r="AD787" s="39">
        <v>15</v>
      </c>
      <c r="AE787" s="39">
        <f t="shared" si="212"/>
        <v>0</v>
      </c>
      <c r="AF787" s="39">
        <f t="shared" si="213"/>
        <v>0</v>
      </c>
      <c r="AM787" s="39">
        <f t="shared" si="210"/>
        <v>0</v>
      </c>
      <c r="AN787" s="39">
        <f t="shared" si="211"/>
        <v>0</v>
      </c>
      <c r="AO787" s="40" t="s">
        <v>1565</v>
      </c>
      <c r="AP787" s="40" t="s">
        <v>1607</v>
      </c>
      <c r="AQ787" s="31" t="s">
        <v>1613</v>
      </c>
    </row>
    <row r="788" spans="1:43" ht="12.75">
      <c r="A788" s="6" t="s">
        <v>473</v>
      </c>
      <c r="B788" s="6" t="s">
        <v>596</v>
      </c>
      <c r="C788" s="6" t="s">
        <v>679</v>
      </c>
      <c r="D788" s="6" t="s">
        <v>1064</v>
      </c>
      <c r="E788" s="6" t="s">
        <v>1505</v>
      </c>
      <c r="F788" s="24">
        <v>150</v>
      </c>
      <c r="G788" s="24">
        <v>0</v>
      </c>
      <c r="H788" s="24">
        <f t="shared" si="200"/>
        <v>0</v>
      </c>
      <c r="I788" s="24">
        <f t="shared" si="201"/>
        <v>0</v>
      </c>
      <c r="J788" s="24">
        <f t="shared" si="202"/>
        <v>0</v>
      </c>
      <c r="K788" s="24">
        <v>0.00015</v>
      </c>
      <c r="L788" s="24">
        <f t="shared" si="203"/>
        <v>0.0225</v>
      </c>
      <c r="M788" s="36" t="s">
        <v>1531</v>
      </c>
      <c r="N788" s="36" t="s">
        <v>1533</v>
      </c>
      <c r="O788" s="24">
        <f t="shared" si="204"/>
        <v>0</v>
      </c>
      <c r="Z788" s="24">
        <f t="shared" si="205"/>
        <v>0</v>
      </c>
      <c r="AA788" s="24">
        <f t="shared" si="206"/>
        <v>0</v>
      </c>
      <c r="AB788" s="24">
        <f t="shared" si="207"/>
        <v>0</v>
      </c>
      <c r="AD788" s="39">
        <v>15</v>
      </c>
      <c r="AE788" s="39">
        <f t="shared" si="212"/>
        <v>0</v>
      </c>
      <c r="AF788" s="39">
        <f t="shared" si="213"/>
        <v>0</v>
      </c>
      <c r="AM788" s="39">
        <f t="shared" si="210"/>
        <v>0</v>
      </c>
      <c r="AN788" s="39">
        <f t="shared" si="211"/>
        <v>0</v>
      </c>
      <c r="AO788" s="40" t="s">
        <v>1565</v>
      </c>
      <c r="AP788" s="40" t="s">
        <v>1607</v>
      </c>
      <c r="AQ788" s="31" t="s">
        <v>1613</v>
      </c>
    </row>
    <row r="789" spans="1:43" ht="12.75">
      <c r="A789" s="6" t="s">
        <v>474</v>
      </c>
      <c r="B789" s="6" t="s">
        <v>596</v>
      </c>
      <c r="C789" s="6" t="s">
        <v>680</v>
      </c>
      <c r="D789" s="6" t="s">
        <v>1065</v>
      </c>
      <c r="E789" s="6" t="s">
        <v>1505</v>
      </c>
      <c r="F789" s="24">
        <v>240</v>
      </c>
      <c r="G789" s="24">
        <v>0</v>
      </c>
      <c r="H789" s="24">
        <f t="shared" si="200"/>
        <v>0</v>
      </c>
      <c r="I789" s="24">
        <f t="shared" si="201"/>
        <v>0</v>
      </c>
      <c r="J789" s="24">
        <f t="shared" si="202"/>
        <v>0</v>
      </c>
      <c r="K789" s="24">
        <v>0.00022</v>
      </c>
      <c r="L789" s="24">
        <f t="shared" si="203"/>
        <v>0.0528</v>
      </c>
      <c r="M789" s="36" t="s">
        <v>1531</v>
      </c>
      <c r="N789" s="36" t="s">
        <v>1533</v>
      </c>
      <c r="O789" s="24">
        <f t="shared" si="204"/>
        <v>0</v>
      </c>
      <c r="Z789" s="24">
        <f t="shared" si="205"/>
        <v>0</v>
      </c>
      <c r="AA789" s="24">
        <f t="shared" si="206"/>
        <v>0</v>
      </c>
      <c r="AB789" s="24">
        <f t="shared" si="207"/>
        <v>0</v>
      </c>
      <c r="AD789" s="39">
        <v>15</v>
      </c>
      <c r="AE789" s="39">
        <f t="shared" si="212"/>
        <v>0</v>
      </c>
      <c r="AF789" s="39">
        <f t="shared" si="213"/>
        <v>0</v>
      </c>
      <c r="AM789" s="39">
        <f t="shared" si="210"/>
        <v>0</v>
      </c>
      <c r="AN789" s="39">
        <f t="shared" si="211"/>
        <v>0</v>
      </c>
      <c r="AO789" s="40" t="s">
        <v>1565</v>
      </c>
      <c r="AP789" s="40" t="s">
        <v>1607</v>
      </c>
      <c r="AQ789" s="31" t="s">
        <v>1613</v>
      </c>
    </row>
    <row r="790" spans="1:43" ht="12.75">
      <c r="A790" s="6" t="s">
        <v>475</v>
      </c>
      <c r="B790" s="6" t="s">
        <v>596</v>
      </c>
      <c r="C790" s="6" t="s">
        <v>683</v>
      </c>
      <c r="D790" s="6" t="s">
        <v>1307</v>
      </c>
      <c r="E790" s="6" t="s">
        <v>1505</v>
      </c>
      <c r="F790" s="24">
        <v>60</v>
      </c>
      <c r="G790" s="24">
        <v>0</v>
      </c>
      <c r="H790" s="24">
        <f t="shared" si="200"/>
        <v>0</v>
      </c>
      <c r="I790" s="24">
        <f t="shared" si="201"/>
        <v>0</v>
      </c>
      <c r="J790" s="24">
        <f t="shared" si="202"/>
        <v>0</v>
      </c>
      <c r="K790" s="24">
        <v>0.00018</v>
      </c>
      <c r="L790" s="24">
        <f t="shared" si="203"/>
        <v>0.0108</v>
      </c>
      <c r="M790" s="36" t="s">
        <v>1531</v>
      </c>
      <c r="N790" s="36" t="s">
        <v>1533</v>
      </c>
      <c r="O790" s="24">
        <f t="shared" si="204"/>
        <v>0</v>
      </c>
      <c r="Z790" s="24">
        <f t="shared" si="205"/>
        <v>0</v>
      </c>
      <c r="AA790" s="24">
        <f t="shared" si="206"/>
        <v>0</v>
      </c>
      <c r="AB790" s="24">
        <f t="shared" si="207"/>
        <v>0</v>
      </c>
      <c r="AD790" s="39">
        <v>15</v>
      </c>
      <c r="AE790" s="39">
        <f t="shared" si="212"/>
        <v>0</v>
      </c>
      <c r="AF790" s="39">
        <f t="shared" si="213"/>
        <v>0</v>
      </c>
      <c r="AM790" s="39">
        <f t="shared" si="210"/>
        <v>0</v>
      </c>
      <c r="AN790" s="39">
        <f t="shared" si="211"/>
        <v>0</v>
      </c>
      <c r="AO790" s="40" t="s">
        <v>1565</v>
      </c>
      <c r="AP790" s="40" t="s">
        <v>1607</v>
      </c>
      <c r="AQ790" s="31" t="s">
        <v>1613</v>
      </c>
    </row>
    <row r="791" spans="1:43" ht="12.75">
      <c r="A791" s="6" t="s">
        <v>476</v>
      </c>
      <c r="B791" s="6" t="s">
        <v>596</v>
      </c>
      <c r="C791" s="6" t="s">
        <v>854</v>
      </c>
      <c r="D791" s="6" t="s">
        <v>1308</v>
      </c>
      <c r="E791" s="6" t="s">
        <v>1505</v>
      </c>
      <c r="F791" s="24">
        <v>45</v>
      </c>
      <c r="G791" s="24">
        <v>0</v>
      </c>
      <c r="H791" s="24">
        <f t="shared" si="200"/>
        <v>0</v>
      </c>
      <c r="I791" s="24">
        <f t="shared" si="201"/>
        <v>0</v>
      </c>
      <c r="J791" s="24">
        <f t="shared" si="202"/>
        <v>0</v>
      </c>
      <c r="K791" s="24">
        <v>0.00061</v>
      </c>
      <c r="L791" s="24">
        <f t="shared" si="203"/>
        <v>0.02745</v>
      </c>
      <c r="M791" s="36" t="s">
        <v>1531</v>
      </c>
      <c r="N791" s="36" t="s">
        <v>1533</v>
      </c>
      <c r="O791" s="24">
        <f t="shared" si="204"/>
        <v>0</v>
      </c>
      <c r="Z791" s="24">
        <f t="shared" si="205"/>
        <v>0</v>
      </c>
      <c r="AA791" s="24">
        <f t="shared" si="206"/>
        <v>0</v>
      </c>
      <c r="AB791" s="24">
        <f t="shared" si="207"/>
        <v>0</v>
      </c>
      <c r="AD791" s="39">
        <v>15</v>
      </c>
      <c r="AE791" s="39">
        <f t="shared" si="212"/>
        <v>0</v>
      </c>
      <c r="AF791" s="39">
        <f t="shared" si="213"/>
        <v>0</v>
      </c>
      <c r="AM791" s="39">
        <f t="shared" si="210"/>
        <v>0</v>
      </c>
      <c r="AN791" s="39">
        <f t="shared" si="211"/>
        <v>0</v>
      </c>
      <c r="AO791" s="40" t="s">
        <v>1565</v>
      </c>
      <c r="AP791" s="40" t="s">
        <v>1607</v>
      </c>
      <c r="AQ791" s="31" t="s">
        <v>1613</v>
      </c>
    </row>
    <row r="792" spans="1:43" ht="12.75">
      <c r="A792" s="6" t="s">
        <v>477</v>
      </c>
      <c r="B792" s="6" t="s">
        <v>596</v>
      </c>
      <c r="C792" s="6" t="s">
        <v>681</v>
      </c>
      <c r="D792" s="6" t="s">
        <v>1066</v>
      </c>
      <c r="E792" s="6" t="s">
        <v>1505</v>
      </c>
      <c r="F792" s="24">
        <v>45</v>
      </c>
      <c r="G792" s="24">
        <v>0</v>
      </c>
      <c r="H792" s="24">
        <f t="shared" si="200"/>
        <v>0</v>
      </c>
      <c r="I792" s="24">
        <f t="shared" si="201"/>
        <v>0</v>
      </c>
      <c r="J792" s="24">
        <f t="shared" si="202"/>
        <v>0</v>
      </c>
      <c r="K792" s="24">
        <v>0.0003</v>
      </c>
      <c r="L792" s="24">
        <f t="shared" si="203"/>
        <v>0.013499999999999998</v>
      </c>
      <c r="M792" s="36" t="s">
        <v>1531</v>
      </c>
      <c r="N792" s="36" t="s">
        <v>1533</v>
      </c>
      <c r="O792" s="24">
        <f t="shared" si="204"/>
        <v>0</v>
      </c>
      <c r="Z792" s="24">
        <f t="shared" si="205"/>
        <v>0</v>
      </c>
      <c r="AA792" s="24">
        <f t="shared" si="206"/>
        <v>0</v>
      </c>
      <c r="AB792" s="24">
        <f t="shared" si="207"/>
        <v>0</v>
      </c>
      <c r="AD792" s="39">
        <v>15</v>
      </c>
      <c r="AE792" s="39">
        <f t="shared" si="212"/>
        <v>0</v>
      </c>
      <c r="AF792" s="39">
        <f t="shared" si="213"/>
        <v>0</v>
      </c>
      <c r="AM792" s="39">
        <f t="shared" si="210"/>
        <v>0</v>
      </c>
      <c r="AN792" s="39">
        <f t="shared" si="211"/>
        <v>0</v>
      </c>
      <c r="AO792" s="40" t="s">
        <v>1565</v>
      </c>
      <c r="AP792" s="40" t="s">
        <v>1607</v>
      </c>
      <c r="AQ792" s="31" t="s">
        <v>1613</v>
      </c>
    </row>
    <row r="793" spans="1:43" ht="12.75">
      <c r="A793" s="6" t="s">
        <v>478</v>
      </c>
      <c r="B793" s="6" t="s">
        <v>596</v>
      </c>
      <c r="C793" s="6" t="s">
        <v>682</v>
      </c>
      <c r="D793" s="6" t="s">
        <v>1067</v>
      </c>
      <c r="E793" s="6" t="s">
        <v>1505</v>
      </c>
      <c r="F793" s="24">
        <v>30</v>
      </c>
      <c r="G793" s="24">
        <v>0</v>
      </c>
      <c r="H793" s="24">
        <f t="shared" si="200"/>
        <v>0</v>
      </c>
      <c r="I793" s="24">
        <f t="shared" si="201"/>
        <v>0</v>
      </c>
      <c r="J793" s="24">
        <f t="shared" si="202"/>
        <v>0</v>
      </c>
      <c r="K793" s="24">
        <v>0.00041</v>
      </c>
      <c r="L793" s="24">
        <f t="shared" si="203"/>
        <v>0.0123</v>
      </c>
      <c r="M793" s="36" t="s">
        <v>1531</v>
      </c>
      <c r="N793" s="36" t="s">
        <v>1533</v>
      </c>
      <c r="O793" s="24">
        <f t="shared" si="204"/>
        <v>0</v>
      </c>
      <c r="Z793" s="24">
        <f t="shared" si="205"/>
        <v>0</v>
      </c>
      <c r="AA793" s="24">
        <f t="shared" si="206"/>
        <v>0</v>
      </c>
      <c r="AB793" s="24">
        <f t="shared" si="207"/>
        <v>0</v>
      </c>
      <c r="AD793" s="39">
        <v>15</v>
      </c>
      <c r="AE793" s="39">
        <f t="shared" si="212"/>
        <v>0</v>
      </c>
      <c r="AF793" s="39">
        <f t="shared" si="213"/>
        <v>0</v>
      </c>
      <c r="AM793" s="39">
        <f t="shared" si="210"/>
        <v>0</v>
      </c>
      <c r="AN793" s="39">
        <f t="shared" si="211"/>
        <v>0</v>
      </c>
      <c r="AO793" s="40" t="s">
        <v>1565</v>
      </c>
      <c r="AP793" s="40" t="s">
        <v>1607</v>
      </c>
      <c r="AQ793" s="31" t="s">
        <v>1613</v>
      </c>
    </row>
    <row r="794" spans="1:43" ht="12.75">
      <c r="A794" s="6" t="s">
        <v>479</v>
      </c>
      <c r="B794" s="6" t="s">
        <v>596</v>
      </c>
      <c r="C794" s="6" t="s">
        <v>683</v>
      </c>
      <c r="D794" s="6" t="s">
        <v>1068</v>
      </c>
      <c r="E794" s="6" t="s">
        <v>1505</v>
      </c>
      <c r="F794" s="24">
        <v>24</v>
      </c>
      <c r="G794" s="24">
        <v>0</v>
      </c>
      <c r="H794" s="24">
        <f t="shared" si="200"/>
        <v>0</v>
      </c>
      <c r="I794" s="24">
        <f t="shared" si="201"/>
        <v>0</v>
      </c>
      <c r="J794" s="24">
        <f t="shared" si="202"/>
        <v>0</v>
      </c>
      <c r="K794" s="24">
        <v>0.00018</v>
      </c>
      <c r="L794" s="24">
        <f t="shared" si="203"/>
        <v>0.00432</v>
      </c>
      <c r="M794" s="36" t="s">
        <v>1531</v>
      </c>
      <c r="N794" s="36" t="s">
        <v>1533</v>
      </c>
      <c r="O794" s="24">
        <f t="shared" si="204"/>
        <v>0</v>
      </c>
      <c r="Z794" s="24">
        <f t="shared" si="205"/>
        <v>0</v>
      </c>
      <c r="AA794" s="24">
        <f t="shared" si="206"/>
        <v>0</v>
      </c>
      <c r="AB794" s="24">
        <f t="shared" si="207"/>
        <v>0</v>
      </c>
      <c r="AD794" s="39">
        <v>15</v>
      </c>
      <c r="AE794" s="39">
        <f t="shared" si="212"/>
        <v>0</v>
      </c>
      <c r="AF794" s="39">
        <f t="shared" si="213"/>
        <v>0</v>
      </c>
      <c r="AM794" s="39">
        <f t="shared" si="210"/>
        <v>0</v>
      </c>
      <c r="AN794" s="39">
        <f t="shared" si="211"/>
        <v>0</v>
      </c>
      <c r="AO794" s="40" t="s">
        <v>1565</v>
      </c>
      <c r="AP794" s="40" t="s">
        <v>1607</v>
      </c>
      <c r="AQ794" s="31" t="s">
        <v>1613</v>
      </c>
    </row>
    <row r="795" spans="1:43" ht="12.75">
      <c r="A795" s="6" t="s">
        <v>480</v>
      </c>
      <c r="B795" s="6" t="s">
        <v>596</v>
      </c>
      <c r="C795" s="6" t="s">
        <v>855</v>
      </c>
      <c r="D795" s="6" t="s">
        <v>1309</v>
      </c>
      <c r="E795" s="6" t="s">
        <v>1505</v>
      </c>
      <c r="F795" s="24">
        <v>45</v>
      </c>
      <c r="G795" s="24">
        <v>0</v>
      </c>
      <c r="H795" s="24">
        <f t="shared" si="200"/>
        <v>0</v>
      </c>
      <c r="I795" s="24">
        <f t="shared" si="201"/>
        <v>0</v>
      </c>
      <c r="J795" s="24">
        <f t="shared" si="202"/>
        <v>0</v>
      </c>
      <c r="K795" s="24">
        <v>0.00013</v>
      </c>
      <c r="L795" s="24">
        <f t="shared" si="203"/>
        <v>0.005849999999999999</v>
      </c>
      <c r="M795" s="36" t="s">
        <v>1531</v>
      </c>
      <c r="N795" s="36" t="s">
        <v>1533</v>
      </c>
      <c r="O795" s="24">
        <f t="shared" si="204"/>
        <v>0</v>
      </c>
      <c r="Z795" s="24">
        <f t="shared" si="205"/>
        <v>0</v>
      </c>
      <c r="AA795" s="24">
        <f t="shared" si="206"/>
        <v>0</v>
      </c>
      <c r="AB795" s="24">
        <f t="shared" si="207"/>
        <v>0</v>
      </c>
      <c r="AD795" s="39">
        <v>15</v>
      </c>
      <c r="AE795" s="39">
        <f t="shared" si="212"/>
        <v>0</v>
      </c>
      <c r="AF795" s="39">
        <f t="shared" si="213"/>
        <v>0</v>
      </c>
      <c r="AM795" s="39">
        <f t="shared" si="210"/>
        <v>0</v>
      </c>
      <c r="AN795" s="39">
        <f t="shared" si="211"/>
        <v>0</v>
      </c>
      <c r="AO795" s="40" t="s">
        <v>1565</v>
      </c>
      <c r="AP795" s="40" t="s">
        <v>1607</v>
      </c>
      <c r="AQ795" s="31" t="s">
        <v>1613</v>
      </c>
    </row>
    <row r="796" spans="1:43" ht="12.75">
      <c r="A796" s="6" t="s">
        <v>481</v>
      </c>
      <c r="B796" s="6" t="s">
        <v>596</v>
      </c>
      <c r="C796" s="6" t="s">
        <v>684</v>
      </c>
      <c r="D796" s="6" t="s">
        <v>1069</v>
      </c>
      <c r="E796" s="6" t="s">
        <v>1504</v>
      </c>
      <c r="F796" s="24">
        <v>24</v>
      </c>
      <c r="G796" s="24">
        <v>0</v>
      </c>
      <c r="H796" s="24">
        <f t="shared" si="200"/>
        <v>0</v>
      </c>
      <c r="I796" s="24">
        <f t="shared" si="201"/>
        <v>0</v>
      </c>
      <c r="J796" s="24">
        <f t="shared" si="202"/>
        <v>0</v>
      </c>
      <c r="K796" s="24">
        <v>3E-05</v>
      </c>
      <c r="L796" s="24">
        <f t="shared" si="203"/>
        <v>0.00072</v>
      </c>
      <c r="M796" s="36" t="s">
        <v>1531</v>
      </c>
      <c r="N796" s="36" t="s">
        <v>1533</v>
      </c>
      <c r="O796" s="24">
        <f t="shared" si="204"/>
        <v>0</v>
      </c>
      <c r="Z796" s="24">
        <f t="shared" si="205"/>
        <v>0</v>
      </c>
      <c r="AA796" s="24">
        <f t="shared" si="206"/>
        <v>0</v>
      </c>
      <c r="AB796" s="24">
        <f t="shared" si="207"/>
        <v>0</v>
      </c>
      <c r="AD796" s="39">
        <v>15</v>
      </c>
      <c r="AE796" s="39">
        <f t="shared" si="212"/>
        <v>0</v>
      </c>
      <c r="AF796" s="39">
        <f t="shared" si="213"/>
        <v>0</v>
      </c>
      <c r="AM796" s="39">
        <f t="shared" si="210"/>
        <v>0</v>
      </c>
      <c r="AN796" s="39">
        <f t="shared" si="211"/>
        <v>0</v>
      </c>
      <c r="AO796" s="40" t="s">
        <v>1565</v>
      </c>
      <c r="AP796" s="40" t="s">
        <v>1607</v>
      </c>
      <c r="AQ796" s="31" t="s">
        <v>1613</v>
      </c>
    </row>
    <row r="797" spans="1:43" ht="12.75">
      <c r="A797" s="6" t="s">
        <v>482</v>
      </c>
      <c r="B797" s="6" t="s">
        <v>596</v>
      </c>
      <c r="C797" s="6" t="s">
        <v>685</v>
      </c>
      <c r="D797" s="6" t="s">
        <v>1070</v>
      </c>
      <c r="E797" s="6" t="s">
        <v>1504</v>
      </c>
      <c r="F797" s="24">
        <v>24</v>
      </c>
      <c r="G797" s="24">
        <v>0</v>
      </c>
      <c r="H797" s="24">
        <f t="shared" si="200"/>
        <v>0</v>
      </c>
      <c r="I797" s="24">
        <f t="shared" si="201"/>
        <v>0</v>
      </c>
      <c r="J797" s="24">
        <f t="shared" si="202"/>
        <v>0</v>
      </c>
      <c r="K797" s="24">
        <v>1E-05</v>
      </c>
      <c r="L797" s="24">
        <f t="shared" si="203"/>
        <v>0.00024000000000000003</v>
      </c>
      <c r="M797" s="36" t="s">
        <v>1531</v>
      </c>
      <c r="N797" s="36" t="s">
        <v>1533</v>
      </c>
      <c r="O797" s="24">
        <f t="shared" si="204"/>
        <v>0</v>
      </c>
      <c r="Z797" s="24">
        <f t="shared" si="205"/>
        <v>0</v>
      </c>
      <c r="AA797" s="24">
        <f t="shared" si="206"/>
        <v>0</v>
      </c>
      <c r="AB797" s="24">
        <f t="shared" si="207"/>
        <v>0</v>
      </c>
      <c r="AD797" s="39">
        <v>15</v>
      </c>
      <c r="AE797" s="39">
        <f t="shared" si="212"/>
        <v>0</v>
      </c>
      <c r="AF797" s="39">
        <f t="shared" si="213"/>
        <v>0</v>
      </c>
      <c r="AM797" s="39">
        <f t="shared" si="210"/>
        <v>0</v>
      </c>
      <c r="AN797" s="39">
        <f t="shared" si="211"/>
        <v>0</v>
      </c>
      <c r="AO797" s="40" t="s">
        <v>1565</v>
      </c>
      <c r="AP797" s="40" t="s">
        <v>1607</v>
      </c>
      <c r="AQ797" s="31" t="s">
        <v>1613</v>
      </c>
    </row>
    <row r="798" spans="1:43" ht="12.75">
      <c r="A798" s="6" t="s">
        <v>483</v>
      </c>
      <c r="B798" s="6" t="s">
        <v>596</v>
      </c>
      <c r="C798" s="6" t="s">
        <v>856</v>
      </c>
      <c r="D798" s="6" t="s">
        <v>1310</v>
      </c>
      <c r="E798" s="6" t="s">
        <v>1504</v>
      </c>
      <c r="F798" s="24">
        <v>3</v>
      </c>
      <c r="G798" s="24">
        <v>0</v>
      </c>
      <c r="H798" s="24">
        <f t="shared" si="200"/>
        <v>0</v>
      </c>
      <c r="I798" s="24">
        <f t="shared" si="201"/>
        <v>0</v>
      </c>
      <c r="J798" s="24">
        <f t="shared" si="202"/>
        <v>0</v>
      </c>
      <c r="K798" s="24">
        <v>0.033</v>
      </c>
      <c r="L798" s="24">
        <f t="shared" si="203"/>
        <v>0.099</v>
      </c>
      <c r="M798" s="36" t="s">
        <v>1531</v>
      </c>
      <c r="N798" s="36" t="s">
        <v>1533</v>
      </c>
      <c r="O798" s="24">
        <f t="shared" si="204"/>
        <v>0</v>
      </c>
      <c r="Z798" s="24">
        <f t="shared" si="205"/>
        <v>0</v>
      </c>
      <c r="AA798" s="24">
        <f t="shared" si="206"/>
        <v>0</v>
      </c>
      <c r="AB798" s="24">
        <f t="shared" si="207"/>
        <v>0</v>
      </c>
      <c r="AD798" s="39">
        <v>15</v>
      </c>
      <c r="AE798" s="39">
        <f t="shared" si="212"/>
        <v>0</v>
      </c>
      <c r="AF798" s="39">
        <f t="shared" si="213"/>
        <v>0</v>
      </c>
      <c r="AM798" s="39">
        <f t="shared" si="210"/>
        <v>0</v>
      </c>
      <c r="AN798" s="39">
        <f t="shared" si="211"/>
        <v>0</v>
      </c>
      <c r="AO798" s="40" t="s">
        <v>1565</v>
      </c>
      <c r="AP798" s="40" t="s">
        <v>1607</v>
      </c>
      <c r="AQ798" s="31" t="s">
        <v>1613</v>
      </c>
    </row>
    <row r="799" spans="1:43" ht="12.75">
      <c r="A799" s="6" t="s">
        <v>484</v>
      </c>
      <c r="B799" s="6" t="s">
        <v>596</v>
      </c>
      <c r="C799" s="6" t="s">
        <v>687</v>
      </c>
      <c r="D799" s="6" t="s">
        <v>1072</v>
      </c>
      <c r="E799" s="6" t="s">
        <v>1504</v>
      </c>
      <c r="F799" s="24">
        <v>30</v>
      </c>
      <c r="G799" s="24">
        <v>0</v>
      </c>
      <c r="H799" s="24">
        <f t="shared" si="200"/>
        <v>0</v>
      </c>
      <c r="I799" s="24">
        <f t="shared" si="201"/>
        <v>0</v>
      </c>
      <c r="J799" s="24">
        <f t="shared" si="202"/>
        <v>0</v>
      </c>
      <c r="K799" s="24">
        <v>0</v>
      </c>
      <c r="L799" s="24">
        <f t="shared" si="203"/>
        <v>0</v>
      </c>
      <c r="M799" s="36" t="s">
        <v>1531</v>
      </c>
      <c r="N799" s="36" t="s">
        <v>1533</v>
      </c>
      <c r="O799" s="24">
        <f t="shared" si="204"/>
        <v>0</v>
      </c>
      <c r="Z799" s="24">
        <f t="shared" si="205"/>
        <v>0</v>
      </c>
      <c r="AA799" s="24">
        <f t="shared" si="206"/>
        <v>0</v>
      </c>
      <c r="AB799" s="24">
        <f t="shared" si="207"/>
        <v>0</v>
      </c>
      <c r="AD799" s="39">
        <v>15</v>
      </c>
      <c r="AE799" s="39">
        <f t="shared" si="212"/>
        <v>0</v>
      </c>
      <c r="AF799" s="39">
        <f t="shared" si="213"/>
        <v>0</v>
      </c>
      <c r="AM799" s="39">
        <f t="shared" si="210"/>
        <v>0</v>
      </c>
      <c r="AN799" s="39">
        <f t="shared" si="211"/>
        <v>0</v>
      </c>
      <c r="AO799" s="40" t="s">
        <v>1565</v>
      </c>
      <c r="AP799" s="40" t="s">
        <v>1607</v>
      </c>
      <c r="AQ799" s="31" t="s">
        <v>1613</v>
      </c>
    </row>
    <row r="800" spans="1:43" ht="12.75">
      <c r="A800" s="6" t="s">
        <v>485</v>
      </c>
      <c r="B800" s="6" t="s">
        <v>596</v>
      </c>
      <c r="C800" s="6" t="s">
        <v>863</v>
      </c>
      <c r="D800" s="6" t="s">
        <v>1318</v>
      </c>
      <c r="E800" s="6" t="s">
        <v>1504</v>
      </c>
      <c r="F800" s="24">
        <v>3</v>
      </c>
      <c r="G800" s="24">
        <v>0</v>
      </c>
      <c r="H800" s="24">
        <f t="shared" si="200"/>
        <v>0</v>
      </c>
      <c r="I800" s="24">
        <f t="shared" si="201"/>
        <v>0</v>
      </c>
      <c r="J800" s="24">
        <f t="shared" si="202"/>
        <v>0</v>
      </c>
      <c r="K800" s="24">
        <v>0.00059</v>
      </c>
      <c r="L800" s="24">
        <f t="shared" si="203"/>
        <v>0.00177</v>
      </c>
      <c r="M800" s="36" t="s">
        <v>1531</v>
      </c>
      <c r="N800" s="36" t="s">
        <v>1533</v>
      </c>
      <c r="O800" s="24">
        <f t="shared" si="204"/>
        <v>0</v>
      </c>
      <c r="Z800" s="24">
        <f t="shared" si="205"/>
        <v>0</v>
      </c>
      <c r="AA800" s="24">
        <f t="shared" si="206"/>
        <v>0</v>
      </c>
      <c r="AB800" s="24">
        <f t="shared" si="207"/>
        <v>0</v>
      </c>
      <c r="AD800" s="39">
        <v>15</v>
      </c>
      <c r="AE800" s="39">
        <f t="shared" si="212"/>
        <v>0</v>
      </c>
      <c r="AF800" s="39">
        <f t="shared" si="213"/>
        <v>0</v>
      </c>
      <c r="AM800" s="39">
        <f t="shared" si="210"/>
        <v>0</v>
      </c>
      <c r="AN800" s="39">
        <f t="shared" si="211"/>
        <v>0</v>
      </c>
      <c r="AO800" s="40" t="s">
        <v>1565</v>
      </c>
      <c r="AP800" s="40" t="s">
        <v>1607</v>
      </c>
      <c r="AQ800" s="31" t="s">
        <v>1613</v>
      </c>
    </row>
    <row r="801" spans="1:13" ht="12.75">
      <c r="A801" s="7"/>
      <c r="B801" s="15" t="s">
        <v>597</v>
      </c>
      <c r="C801" s="15"/>
      <c r="D801" s="106" t="s">
        <v>1336</v>
      </c>
      <c r="E801" s="107"/>
      <c r="F801" s="107"/>
      <c r="G801" s="107"/>
      <c r="H801" s="43">
        <f>H802+H806+H809+H815+H817+H822+H827+H831+H833+H835+H837+H839+H841</f>
        <v>0</v>
      </c>
      <c r="I801" s="43">
        <f>I802+I806+I809+I815+I817+I822+I827+I831+I833+I835+I837+I839+I841</f>
        <v>0</v>
      </c>
      <c r="J801" s="43">
        <f>H801+I801</f>
        <v>0</v>
      </c>
      <c r="K801" s="32"/>
      <c r="L801" s="43">
        <f>L802+L806+L809+L815+L817+L822+L827+L831+L833+L835+L837+L839+L841</f>
        <v>17.7210125</v>
      </c>
      <c r="M801" s="32"/>
    </row>
    <row r="802" spans="1:37" ht="12.75">
      <c r="A802" s="4"/>
      <c r="B802" s="14" t="s">
        <v>597</v>
      </c>
      <c r="C802" s="14" t="s">
        <v>67</v>
      </c>
      <c r="D802" s="104" t="s">
        <v>967</v>
      </c>
      <c r="E802" s="105"/>
      <c r="F802" s="105"/>
      <c r="G802" s="105"/>
      <c r="H802" s="42">
        <f>SUM(H803:H805)</f>
        <v>0</v>
      </c>
      <c r="I802" s="42">
        <f>SUM(I803:I805)</f>
        <v>0</v>
      </c>
      <c r="J802" s="42">
        <f>H802+I802</f>
        <v>0</v>
      </c>
      <c r="K802" s="31"/>
      <c r="L802" s="42">
        <f>SUM(L803:L805)</f>
        <v>1.3652250000000001</v>
      </c>
      <c r="M802" s="31"/>
      <c r="P802" s="42">
        <f>IF(Q802="PR",J802,SUM(O803:O805))</f>
        <v>0</v>
      </c>
      <c r="Q802" s="31" t="s">
        <v>1536</v>
      </c>
      <c r="R802" s="42">
        <f>IF(Q802="HS",H802,0)</f>
        <v>0</v>
      </c>
      <c r="S802" s="42">
        <f>IF(Q802="HS",I802-P802,0)</f>
        <v>0</v>
      </c>
      <c r="T802" s="42">
        <f>IF(Q802="PS",H802,0)</f>
        <v>0</v>
      </c>
      <c r="U802" s="42">
        <f>IF(Q802="PS",I802-P802,0)</f>
        <v>0</v>
      </c>
      <c r="V802" s="42">
        <f>IF(Q802="MP",H802,0)</f>
        <v>0</v>
      </c>
      <c r="W802" s="42">
        <f>IF(Q802="MP",I802-P802,0)</f>
        <v>0</v>
      </c>
      <c r="X802" s="42">
        <f>IF(Q802="OM",H802,0)</f>
        <v>0</v>
      </c>
      <c r="Y802" s="31" t="s">
        <v>597</v>
      </c>
      <c r="AI802" s="42">
        <f>SUM(Z803:Z805)</f>
        <v>0</v>
      </c>
      <c r="AJ802" s="42">
        <f>SUM(AA803:AA805)</f>
        <v>0</v>
      </c>
      <c r="AK802" s="42">
        <f>SUM(AB803:AB805)</f>
        <v>0</v>
      </c>
    </row>
    <row r="803" spans="1:43" ht="12.75">
      <c r="A803" s="5" t="s">
        <v>486</v>
      </c>
      <c r="B803" s="5" t="s">
        <v>597</v>
      </c>
      <c r="C803" s="5" t="s">
        <v>692</v>
      </c>
      <c r="D803" s="5" t="s">
        <v>1091</v>
      </c>
      <c r="E803" s="5" t="s">
        <v>1503</v>
      </c>
      <c r="F803" s="22">
        <v>136.25</v>
      </c>
      <c r="G803" s="22">
        <v>0</v>
      </c>
      <c r="H803" s="22">
        <f>F803*AE803</f>
        <v>0</v>
      </c>
      <c r="I803" s="22">
        <f>J803-H803</f>
        <v>0</v>
      </c>
      <c r="J803" s="22">
        <f>F803*G803</f>
        <v>0</v>
      </c>
      <c r="K803" s="22">
        <v>0.00367</v>
      </c>
      <c r="L803" s="22">
        <f>F803*K803</f>
        <v>0.5000375</v>
      </c>
      <c r="M803" s="35" t="s">
        <v>1531</v>
      </c>
      <c r="N803" s="35" t="s">
        <v>7</v>
      </c>
      <c r="O803" s="22">
        <f>IF(N803="5",I803,0)</f>
        <v>0</v>
      </c>
      <c r="Z803" s="22">
        <f>IF(AD803=0,J803,0)</f>
        <v>0</v>
      </c>
      <c r="AA803" s="22">
        <f>IF(AD803=15,J803,0)</f>
        <v>0</v>
      </c>
      <c r="AB803" s="22">
        <f>IF(AD803=21,J803,0)</f>
        <v>0</v>
      </c>
      <c r="AD803" s="39">
        <v>15</v>
      </c>
      <c r="AE803" s="39">
        <f>G803*0.298520693667239</f>
        <v>0</v>
      </c>
      <c r="AF803" s="39">
        <f>G803*(1-0.298520693667239)</f>
        <v>0</v>
      </c>
      <c r="AM803" s="39">
        <f>F803*AE803</f>
        <v>0</v>
      </c>
      <c r="AN803" s="39">
        <f>F803*AF803</f>
        <v>0</v>
      </c>
      <c r="AO803" s="40" t="s">
        <v>1546</v>
      </c>
      <c r="AP803" s="40" t="s">
        <v>1601</v>
      </c>
      <c r="AQ803" s="31" t="s">
        <v>1614</v>
      </c>
    </row>
    <row r="804" ht="12.75">
      <c r="D804" s="18" t="s">
        <v>978</v>
      </c>
    </row>
    <row r="805" spans="1:43" ht="12.75">
      <c r="A805" s="5" t="s">
        <v>487</v>
      </c>
      <c r="B805" s="5" t="s">
        <v>597</v>
      </c>
      <c r="C805" s="5" t="s">
        <v>602</v>
      </c>
      <c r="D805" s="5" t="s">
        <v>973</v>
      </c>
      <c r="E805" s="5" t="s">
        <v>1503</v>
      </c>
      <c r="F805" s="22">
        <v>136.25</v>
      </c>
      <c r="G805" s="22">
        <v>0</v>
      </c>
      <c r="H805" s="22">
        <f>F805*AE805</f>
        <v>0</v>
      </c>
      <c r="I805" s="22">
        <f>J805-H805</f>
        <v>0</v>
      </c>
      <c r="J805" s="22">
        <f>F805*G805</f>
        <v>0</v>
      </c>
      <c r="K805" s="22">
        <v>0.00635</v>
      </c>
      <c r="L805" s="22">
        <f>F805*K805</f>
        <v>0.8651875</v>
      </c>
      <c r="M805" s="35" t="s">
        <v>1531</v>
      </c>
      <c r="N805" s="35" t="s">
        <v>7</v>
      </c>
      <c r="O805" s="22">
        <f>IF(N805="5",I805,0)</f>
        <v>0</v>
      </c>
      <c r="Z805" s="22">
        <f>IF(AD805=0,J805,0)</f>
        <v>0</v>
      </c>
      <c r="AA805" s="22">
        <f>IF(AD805=15,J805,0)</f>
        <v>0</v>
      </c>
      <c r="AB805" s="22">
        <f>IF(AD805=21,J805,0)</f>
        <v>0</v>
      </c>
      <c r="AD805" s="39">
        <v>15</v>
      </c>
      <c r="AE805" s="39">
        <f>G805*0.0665993945509586</f>
        <v>0</v>
      </c>
      <c r="AF805" s="39">
        <f>G805*(1-0.0665993945509586)</f>
        <v>0</v>
      </c>
      <c r="AM805" s="39">
        <f>F805*AE805</f>
        <v>0</v>
      </c>
      <c r="AN805" s="39">
        <f>F805*AF805</f>
        <v>0</v>
      </c>
      <c r="AO805" s="40" t="s">
        <v>1546</v>
      </c>
      <c r="AP805" s="40" t="s">
        <v>1601</v>
      </c>
      <c r="AQ805" s="31" t="s">
        <v>1614</v>
      </c>
    </row>
    <row r="806" spans="1:37" ht="12.75">
      <c r="A806" s="4"/>
      <c r="B806" s="14" t="s">
        <v>597</v>
      </c>
      <c r="C806" s="14" t="s">
        <v>701</v>
      </c>
      <c r="D806" s="104" t="s">
        <v>1115</v>
      </c>
      <c r="E806" s="105"/>
      <c r="F806" s="105"/>
      <c r="G806" s="105"/>
      <c r="H806" s="42">
        <f>SUM(H807:H808)</f>
        <v>0</v>
      </c>
      <c r="I806" s="42">
        <f>SUM(I807:I808)</f>
        <v>0</v>
      </c>
      <c r="J806" s="42">
        <f>H806+I806</f>
        <v>0</v>
      </c>
      <c r="K806" s="31"/>
      <c r="L806" s="42">
        <f>SUM(L807:L808)</f>
        <v>0.0777</v>
      </c>
      <c r="M806" s="31"/>
      <c r="P806" s="42">
        <f>IF(Q806="PR",J806,SUM(O807:O808))</f>
        <v>0</v>
      </c>
      <c r="Q806" s="31" t="s">
        <v>1537</v>
      </c>
      <c r="R806" s="42">
        <f>IF(Q806="HS",H806,0)</f>
        <v>0</v>
      </c>
      <c r="S806" s="42">
        <f>IF(Q806="HS",I806-P806,0)</f>
        <v>0</v>
      </c>
      <c r="T806" s="42">
        <f>IF(Q806="PS",H806,0)</f>
        <v>0</v>
      </c>
      <c r="U806" s="42">
        <f>IF(Q806="PS",I806-P806,0)</f>
        <v>0</v>
      </c>
      <c r="V806" s="42">
        <f>IF(Q806="MP",H806,0)</f>
        <v>0</v>
      </c>
      <c r="W806" s="42">
        <f>IF(Q806="MP",I806-P806,0)</f>
        <v>0</v>
      </c>
      <c r="X806" s="42">
        <f>IF(Q806="OM",H806,0)</f>
        <v>0</v>
      </c>
      <c r="Y806" s="31" t="s">
        <v>597</v>
      </c>
      <c r="AI806" s="42">
        <f>SUM(Z807:Z808)</f>
        <v>0</v>
      </c>
      <c r="AJ806" s="42">
        <f>SUM(AA807:AA808)</f>
        <v>0</v>
      </c>
      <c r="AK806" s="42">
        <f>SUM(AB807:AB808)</f>
        <v>0</v>
      </c>
    </row>
    <row r="807" spans="1:43" ht="12.75">
      <c r="A807" s="5" t="s">
        <v>488</v>
      </c>
      <c r="B807" s="5" t="s">
        <v>597</v>
      </c>
      <c r="C807" s="5" t="s">
        <v>865</v>
      </c>
      <c r="D807" s="5" t="s">
        <v>1337</v>
      </c>
      <c r="E807" s="5" t="s">
        <v>1504</v>
      </c>
      <c r="F807" s="22">
        <v>1</v>
      </c>
      <c r="G807" s="22">
        <v>0</v>
      </c>
      <c r="H807" s="22">
        <f>F807*AE807</f>
        <v>0</v>
      </c>
      <c r="I807" s="22">
        <f>J807-H807</f>
        <v>0</v>
      </c>
      <c r="J807" s="22">
        <f>F807*G807</f>
        <v>0</v>
      </c>
      <c r="K807" s="22">
        <v>0.03885</v>
      </c>
      <c r="L807" s="22">
        <f>F807*K807</f>
        <v>0.03885</v>
      </c>
      <c r="M807" s="35" t="s">
        <v>1531</v>
      </c>
      <c r="N807" s="35" t="s">
        <v>9</v>
      </c>
      <c r="O807" s="22">
        <f>IF(N807="5",I807,0)</f>
        <v>0</v>
      </c>
      <c r="Z807" s="22">
        <f>IF(AD807=0,J807,0)</f>
        <v>0</v>
      </c>
      <c r="AA807" s="22">
        <f>IF(AD807=15,J807,0)</f>
        <v>0</v>
      </c>
      <c r="AB807" s="22">
        <f>IF(AD807=21,J807,0)</f>
        <v>0</v>
      </c>
      <c r="AD807" s="39">
        <v>15</v>
      </c>
      <c r="AE807" s="39">
        <f>G807*0.619916</f>
        <v>0</v>
      </c>
      <c r="AF807" s="39">
        <f>G807*(1-0.619916)</f>
        <v>0</v>
      </c>
      <c r="AM807" s="39">
        <f>F807*AE807</f>
        <v>0</v>
      </c>
      <c r="AN807" s="39">
        <f>F807*AF807</f>
        <v>0</v>
      </c>
      <c r="AO807" s="40" t="s">
        <v>1569</v>
      </c>
      <c r="AP807" s="40" t="s">
        <v>1609</v>
      </c>
      <c r="AQ807" s="31" t="s">
        <v>1614</v>
      </c>
    </row>
    <row r="808" spans="1:43" ht="12.75">
      <c r="A808" s="5" t="s">
        <v>489</v>
      </c>
      <c r="B808" s="5" t="s">
        <v>597</v>
      </c>
      <c r="C808" s="5" t="s">
        <v>866</v>
      </c>
      <c r="D808" s="5" t="s">
        <v>1338</v>
      </c>
      <c r="E808" s="5" t="s">
        <v>1504</v>
      </c>
      <c r="F808" s="22">
        <v>1</v>
      </c>
      <c r="G808" s="22">
        <v>0</v>
      </c>
      <c r="H808" s="22">
        <f>F808*AE808</f>
        <v>0</v>
      </c>
      <c r="I808" s="22">
        <f>J808-H808</f>
        <v>0</v>
      </c>
      <c r="J808" s="22">
        <f>F808*G808</f>
        <v>0</v>
      </c>
      <c r="K808" s="22">
        <v>0.03885</v>
      </c>
      <c r="L808" s="22">
        <f>F808*K808</f>
        <v>0.03885</v>
      </c>
      <c r="M808" s="35" t="s">
        <v>1531</v>
      </c>
      <c r="N808" s="35" t="s">
        <v>9</v>
      </c>
      <c r="O808" s="22">
        <f>IF(N808="5",I808,0)</f>
        <v>0</v>
      </c>
      <c r="Z808" s="22">
        <f>IF(AD808=0,J808,0)</f>
        <v>0</v>
      </c>
      <c r="AA808" s="22">
        <f>IF(AD808=15,J808,0)</f>
        <v>0</v>
      </c>
      <c r="AB808" s="22">
        <f>IF(AD808=21,J808,0)</f>
        <v>0</v>
      </c>
      <c r="AD808" s="39">
        <v>15</v>
      </c>
      <c r="AE808" s="39">
        <f>G808*0.6199164</f>
        <v>0</v>
      </c>
      <c r="AF808" s="39">
        <f>G808*(1-0.6199164)</f>
        <v>0</v>
      </c>
      <c r="AM808" s="39">
        <f>F808*AE808</f>
        <v>0</v>
      </c>
      <c r="AN808" s="39">
        <f>F808*AF808</f>
        <v>0</v>
      </c>
      <c r="AO808" s="40" t="s">
        <v>1569</v>
      </c>
      <c r="AP808" s="40" t="s">
        <v>1609</v>
      </c>
      <c r="AQ808" s="31" t="s">
        <v>1614</v>
      </c>
    </row>
    <row r="809" spans="1:37" ht="12.75">
      <c r="A809" s="4"/>
      <c r="B809" s="14" t="s">
        <v>597</v>
      </c>
      <c r="C809" s="14" t="s">
        <v>712</v>
      </c>
      <c r="D809" s="104" t="s">
        <v>1128</v>
      </c>
      <c r="E809" s="105"/>
      <c r="F809" s="105"/>
      <c r="G809" s="105"/>
      <c r="H809" s="42">
        <f>SUM(H810:H814)</f>
        <v>0</v>
      </c>
      <c r="I809" s="42">
        <f>SUM(I810:I814)</f>
        <v>0</v>
      </c>
      <c r="J809" s="42">
        <f>H809+I809</f>
        <v>0</v>
      </c>
      <c r="K809" s="31"/>
      <c r="L809" s="42">
        <f>SUM(L810:L814)</f>
        <v>0.04625</v>
      </c>
      <c r="M809" s="31"/>
      <c r="P809" s="42">
        <f>IF(Q809="PR",J809,SUM(O810:O814))</f>
        <v>0</v>
      </c>
      <c r="Q809" s="31" t="s">
        <v>1537</v>
      </c>
      <c r="R809" s="42">
        <f>IF(Q809="HS",H809,0)</f>
        <v>0</v>
      </c>
      <c r="S809" s="42">
        <f>IF(Q809="HS",I809-P809,0)</f>
        <v>0</v>
      </c>
      <c r="T809" s="42">
        <f>IF(Q809="PS",H809,0)</f>
        <v>0</v>
      </c>
      <c r="U809" s="42">
        <f>IF(Q809="PS",I809-P809,0)</f>
        <v>0</v>
      </c>
      <c r="V809" s="42">
        <f>IF(Q809="MP",H809,0)</f>
        <v>0</v>
      </c>
      <c r="W809" s="42">
        <f>IF(Q809="MP",I809-P809,0)</f>
        <v>0</v>
      </c>
      <c r="X809" s="42">
        <f>IF(Q809="OM",H809,0)</f>
        <v>0</v>
      </c>
      <c r="Y809" s="31" t="s">
        <v>597</v>
      </c>
      <c r="AI809" s="42">
        <f>SUM(Z810:Z814)</f>
        <v>0</v>
      </c>
      <c r="AJ809" s="42">
        <f>SUM(AA810:AA814)</f>
        <v>0</v>
      </c>
      <c r="AK809" s="42">
        <f>SUM(AB810:AB814)</f>
        <v>0</v>
      </c>
    </row>
    <row r="810" spans="1:43" ht="12.75">
      <c r="A810" s="5" t="s">
        <v>490</v>
      </c>
      <c r="B810" s="5" t="s">
        <v>597</v>
      </c>
      <c r="C810" s="5" t="s">
        <v>867</v>
      </c>
      <c r="D810" s="5" t="s">
        <v>1339</v>
      </c>
      <c r="E810" s="5" t="s">
        <v>1504</v>
      </c>
      <c r="F810" s="22">
        <v>1</v>
      </c>
      <c r="G810" s="22">
        <v>0</v>
      </c>
      <c r="H810" s="22">
        <f>F810*AE810</f>
        <v>0</v>
      </c>
      <c r="I810" s="22">
        <f>J810-H810</f>
        <v>0</v>
      </c>
      <c r="J810" s="22">
        <f>F810*G810</f>
        <v>0</v>
      </c>
      <c r="K810" s="22">
        <v>0.03</v>
      </c>
      <c r="L810" s="22">
        <f>F810*K810</f>
        <v>0.03</v>
      </c>
      <c r="M810" s="35" t="s">
        <v>1531</v>
      </c>
      <c r="N810" s="35" t="s">
        <v>7</v>
      </c>
      <c r="O810" s="22">
        <f>IF(N810="5",I810,0)</f>
        <v>0</v>
      </c>
      <c r="Z810" s="22">
        <f>IF(AD810=0,J810,0)</f>
        <v>0</v>
      </c>
      <c r="AA810" s="22">
        <f>IF(AD810=15,J810,0)</f>
        <v>0</v>
      </c>
      <c r="AB810" s="22">
        <f>IF(AD810=21,J810,0)</f>
        <v>0</v>
      </c>
      <c r="AD810" s="39">
        <v>15</v>
      </c>
      <c r="AE810" s="39">
        <f>G810*0.959780976863753</f>
        <v>0</v>
      </c>
      <c r="AF810" s="39">
        <f>G810*(1-0.959780976863753)</f>
        <v>0</v>
      </c>
      <c r="AM810" s="39">
        <f>F810*AE810</f>
        <v>0</v>
      </c>
      <c r="AN810" s="39">
        <f>F810*AF810</f>
        <v>0</v>
      </c>
      <c r="AO810" s="40" t="s">
        <v>1570</v>
      </c>
      <c r="AP810" s="40" t="s">
        <v>1609</v>
      </c>
      <c r="AQ810" s="31" t="s">
        <v>1614</v>
      </c>
    </row>
    <row r="811" ht="12.75">
      <c r="D811" s="18" t="s">
        <v>1340</v>
      </c>
    </row>
    <row r="812" spans="1:43" ht="12.75">
      <c r="A812" s="5" t="s">
        <v>491</v>
      </c>
      <c r="B812" s="5" t="s">
        <v>597</v>
      </c>
      <c r="C812" s="5" t="s">
        <v>868</v>
      </c>
      <c r="D812" s="5" t="s">
        <v>1341</v>
      </c>
      <c r="E812" s="5" t="s">
        <v>1504</v>
      </c>
      <c r="F812" s="22">
        <v>1</v>
      </c>
      <c r="G812" s="22">
        <v>0</v>
      </c>
      <c r="H812" s="22">
        <f>F812*AE812</f>
        <v>0</v>
      </c>
      <c r="I812" s="22">
        <f>J812-H812</f>
        <v>0</v>
      </c>
      <c r="J812" s="22">
        <f>F812*G812</f>
        <v>0</v>
      </c>
      <c r="K812" s="22">
        <v>0</v>
      </c>
      <c r="L812" s="22">
        <f>F812*K812</f>
        <v>0</v>
      </c>
      <c r="M812" s="35" t="s">
        <v>1531</v>
      </c>
      <c r="N812" s="35" t="s">
        <v>7</v>
      </c>
      <c r="O812" s="22">
        <f>IF(N812="5",I812,0)</f>
        <v>0</v>
      </c>
      <c r="Z812" s="22">
        <f>IF(AD812=0,J812,0)</f>
        <v>0</v>
      </c>
      <c r="AA812" s="22">
        <f>IF(AD812=15,J812,0)</f>
        <v>0</v>
      </c>
      <c r="AB812" s="22">
        <f>IF(AD812=21,J812,0)</f>
        <v>0</v>
      </c>
      <c r="AD812" s="39">
        <v>15</v>
      </c>
      <c r="AE812" s="39">
        <f>G812*0</f>
        <v>0</v>
      </c>
      <c r="AF812" s="39">
        <f>G812*(1-0)</f>
        <v>0</v>
      </c>
      <c r="AM812" s="39">
        <f>F812*AE812</f>
        <v>0</v>
      </c>
      <c r="AN812" s="39">
        <f>F812*AF812</f>
        <v>0</v>
      </c>
      <c r="AO812" s="40" t="s">
        <v>1570</v>
      </c>
      <c r="AP812" s="40" t="s">
        <v>1609</v>
      </c>
      <c r="AQ812" s="31" t="s">
        <v>1614</v>
      </c>
    </row>
    <row r="813" spans="1:43" ht="12.75">
      <c r="A813" s="5" t="s">
        <v>492</v>
      </c>
      <c r="B813" s="5" t="s">
        <v>597</v>
      </c>
      <c r="C813" s="5" t="s">
        <v>869</v>
      </c>
      <c r="D813" s="5" t="s">
        <v>1342</v>
      </c>
      <c r="E813" s="5" t="s">
        <v>1510</v>
      </c>
      <c r="F813" s="22">
        <v>1</v>
      </c>
      <c r="G813" s="22">
        <v>0</v>
      </c>
      <c r="H813" s="22">
        <f>F813*AE813</f>
        <v>0</v>
      </c>
      <c r="I813" s="22">
        <f>J813-H813</f>
        <v>0</v>
      </c>
      <c r="J813" s="22">
        <f>F813*G813</f>
        <v>0</v>
      </c>
      <c r="K813" s="22">
        <v>0</v>
      </c>
      <c r="L813" s="22">
        <f>F813*K813</f>
        <v>0</v>
      </c>
      <c r="M813" s="35" t="s">
        <v>1531</v>
      </c>
      <c r="N813" s="35" t="s">
        <v>7</v>
      </c>
      <c r="O813" s="22">
        <f>IF(N813="5",I813,0)</f>
        <v>0</v>
      </c>
      <c r="Z813" s="22">
        <f>IF(AD813=0,J813,0)</f>
        <v>0</v>
      </c>
      <c r="AA813" s="22">
        <f>IF(AD813=15,J813,0)</f>
        <v>0</v>
      </c>
      <c r="AB813" s="22">
        <f>IF(AD813=21,J813,0)</f>
        <v>0</v>
      </c>
      <c r="AD813" s="39">
        <v>15</v>
      </c>
      <c r="AE813" s="39">
        <f>G813*0</f>
        <v>0</v>
      </c>
      <c r="AF813" s="39">
        <f>G813*(1-0)</f>
        <v>0</v>
      </c>
      <c r="AM813" s="39">
        <f>F813*AE813</f>
        <v>0</v>
      </c>
      <c r="AN813" s="39">
        <f>F813*AF813</f>
        <v>0</v>
      </c>
      <c r="AO813" s="40" t="s">
        <v>1570</v>
      </c>
      <c r="AP813" s="40" t="s">
        <v>1609</v>
      </c>
      <c r="AQ813" s="31" t="s">
        <v>1614</v>
      </c>
    </row>
    <row r="814" spans="1:43" ht="12.75">
      <c r="A814" s="5" t="s">
        <v>493</v>
      </c>
      <c r="B814" s="5" t="s">
        <v>597</v>
      </c>
      <c r="C814" s="5" t="s">
        <v>870</v>
      </c>
      <c r="D814" s="5" t="s">
        <v>1343</v>
      </c>
      <c r="E814" s="5" t="s">
        <v>1504</v>
      </c>
      <c r="F814" s="22">
        <v>1</v>
      </c>
      <c r="G814" s="22">
        <v>0</v>
      </c>
      <c r="H814" s="22">
        <f>F814*AE814</f>
        <v>0</v>
      </c>
      <c r="I814" s="22">
        <f>J814-H814</f>
        <v>0</v>
      </c>
      <c r="J814" s="22">
        <f>F814*G814</f>
        <v>0</v>
      </c>
      <c r="K814" s="22">
        <v>0.01625</v>
      </c>
      <c r="L814" s="22">
        <f>F814*K814</f>
        <v>0.01625</v>
      </c>
      <c r="M814" s="35" t="s">
        <v>1531</v>
      </c>
      <c r="N814" s="35" t="s">
        <v>9</v>
      </c>
      <c r="O814" s="22">
        <f>IF(N814="5",I814,0)</f>
        <v>0</v>
      </c>
      <c r="Z814" s="22">
        <f>IF(AD814=0,J814,0)</f>
        <v>0</v>
      </c>
      <c r="AA814" s="22">
        <f>IF(AD814=15,J814,0)</f>
        <v>0</v>
      </c>
      <c r="AB814" s="22">
        <f>IF(AD814=21,J814,0)</f>
        <v>0</v>
      </c>
      <c r="AD814" s="39">
        <v>15</v>
      </c>
      <c r="AE814" s="39">
        <f>G814*0.55122125</f>
        <v>0</v>
      </c>
      <c r="AF814" s="39">
        <f>G814*(1-0.55122125)</f>
        <v>0</v>
      </c>
      <c r="AM814" s="39">
        <f>F814*AE814</f>
        <v>0</v>
      </c>
      <c r="AN814" s="39">
        <f>F814*AF814</f>
        <v>0</v>
      </c>
      <c r="AO814" s="40" t="s">
        <v>1570</v>
      </c>
      <c r="AP814" s="40" t="s">
        <v>1609</v>
      </c>
      <c r="AQ814" s="31" t="s">
        <v>1614</v>
      </c>
    </row>
    <row r="815" spans="1:37" ht="12.75">
      <c r="A815" s="4"/>
      <c r="B815" s="14" t="s">
        <v>597</v>
      </c>
      <c r="C815" s="14" t="s">
        <v>794</v>
      </c>
      <c r="D815" s="104" t="s">
        <v>1224</v>
      </c>
      <c r="E815" s="105"/>
      <c r="F815" s="105"/>
      <c r="G815" s="105"/>
      <c r="H815" s="42">
        <f>SUM(H816:H816)</f>
        <v>0</v>
      </c>
      <c r="I815" s="42">
        <f>SUM(I816:I816)</f>
        <v>0</v>
      </c>
      <c r="J815" s="42">
        <f>H815+I815</f>
        <v>0</v>
      </c>
      <c r="K815" s="31"/>
      <c r="L815" s="42">
        <f>SUM(L816:L816)</f>
        <v>0.01808</v>
      </c>
      <c r="M815" s="31"/>
      <c r="P815" s="42">
        <f>IF(Q815="PR",J815,SUM(O816:O816))</f>
        <v>0</v>
      </c>
      <c r="Q815" s="31" t="s">
        <v>1537</v>
      </c>
      <c r="R815" s="42">
        <f>IF(Q815="HS",H815,0)</f>
        <v>0</v>
      </c>
      <c r="S815" s="42">
        <f>IF(Q815="HS",I815-P815,0)</f>
        <v>0</v>
      </c>
      <c r="T815" s="42">
        <f>IF(Q815="PS",H815,0)</f>
        <v>0</v>
      </c>
      <c r="U815" s="42">
        <f>IF(Q815="PS",I815-P815,0)</f>
        <v>0</v>
      </c>
      <c r="V815" s="42">
        <f>IF(Q815="MP",H815,0)</f>
        <v>0</v>
      </c>
      <c r="W815" s="42">
        <f>IF(Q815="MP",I815-P815,0)</f>
        <v>0</v>
      </c>
      <c r="X815" s="42">
        <f>IF(Q815="OM",H815,0)</f>
        <v>0</v>
      </c>
      <c r="Y815" s="31" t="s">
        <v>597</v>
      </c>
      <c r="AI815" s="42">
        <f>SUM(Z816:Z816)</f>
        <v>0</v>
      </c>
      <c r="AJ815" s="42">
        <f>SUM(AA816:AA816)</f>
        <v>0</v>
      </c>
      <c r="AK815" s="42">
        <f>SUM(AB816:AB816)</f>
        <v>0</v>
      </c>
    </row>
    <row r="816" spans="1:43" ht="12.75">
      <c r="A816" s="5" t="s">
        <v>494</v>
      </c>
      <c r="B816" s="5" t="s">
        <v>597</v>
      </c>
      <c r="C816" s="5" t="s">
        <v>871</v>
      </c>
      <c r="D816" s="5" t="s">
        <v>1344</v>
      </c>
      <c r="E816" s="5" t="s">
        <v>1504</v>
      </c>
      <c r="F816" s="22">
        <v>1</v>
      </c>
      <c r="G816" s="22">
        <v>0</v>
      </c>
      <c r="H816" s="22">
        <f>F816*AE816</f>
        <v>0</v>
      </c>
      <c r="I816" s="22">
        <f>J816-H816</f>
        <v>0</v>
      </c>
      <c r="J816" s="22">
        <f>F816*G816</f>
        <v>0</v>
      </c>
      <c r="K816" s="22">
        <v>0.01808</v>
      </c>
      <c r="L816" s="22">
        <f>F816*K816</f>
        <v>0.01808</v>
      </c>
      <c r="M816" s="35" t="s">
        <v>1531</v>
      </c>
      <c r="N816" s="35" t="s">
        <v>9</v>
      </c>
      <c r="O816" s="22">
        <f>IF(N816="5",I816,0)</f>
        <v>0</v>
      </c>
      <c r="Z816" s="22">
        <f>IF(AD816=0,J816,0)</f>
        <v>0</v>
      </c>
      <c r="AA816" s="22">
        <f>IF(AD816=15,J816,0)</f>
        <v>0</v>
      </c>
      <c r="AB816" s="22">
        <f>IF(AD816=21,J816,0)</f>
        <v>0</v>
      </c>
      <c r="AD816" s="39">
        <v>15</v>
      </c>
      <c r="AE816" s="39">
        <f>G816*0.448454054054054</f>
        <v>0</v>
      </c>
      <c r="AF816" s="39">
        <f>G816*(1-0.448454054054054)</f>
        <v>0</v>
      </c>
      <c r="AM816" s="39">
        <f>F816*AE816</f>
        <v>0</v>
      </c>
      <c r="AN816" s="39">
        <f>F816*AF816</f>
        <v>0</v>
      </c>
      <c r="AO816" s="40" t="s">
        <v>1576</v>
      </c>
      <c r="AP816" s="40" t="s">
        <v>1604</v>
      </c>
      <c r="AQ816" s="31" t="s">
        <v>1614</v>
      </c>
    </row>
    <row r="817" spans="1:37" ht="12.75">
      <c r="A817" s="4"/>
      <c r="B817" s="14" t="s">
        <v>597</v>
      </c>
      <c r="C817" s="14" t="s">
        <v>872</v>
      </c>
      <c r="D817" s="104" t="s">
        <v>1345</v>
      </c>
      <c r="E817" s="105"/>
      <c r="F817" s="105"/>
      <c r="G817" s="105"/>
      <c r="H817" s="42">
        <f>SUM(H818:H818)</f>
        <v>0</v>
      </c>
      <c r="I817" s="42">
        <f>SUM(I818:I818)</f>
        <v>0</v>
      </c>
      <c r="J817" s="42">
        <f>H817+I817</f>
        <v>0</v>
      </c>
      <c r="K817" s="31"/>
      <c r="L817" s="42">
        <f>SUM(L818:L818)</f>
        <v>0</v>
      </c>
      <c r="M817" s="31"/>
      <c r="P817" s="42">
        <f>IF(Q817="PR",J817,SUM(O818:O818))</f>
        <v>0</v>
      </c>
      <c r="Q817" s="31" t="s">
        <v>1537</v>
      </c>
      <c r="R817" s="42">
        <f>IF(Q817="HS",H817,0)</f>
        <v>0</v>
      </c>
      <c r="S817" s="42">
        <f>IF(Q817="HS",I817-P817,0)</f>
        <v>0</v>
      </c>
      <c r="T817" s="42">
        <f>IF(Q817="PS",H817,0)</f>
        <v>0</v>
      </c>
      <c r="U817" s="42">
        <f>IF(Q817="PS",I817-P817,0)</f>
        <v>0</v>
      </c>
      <c r="V817" s="42">
        <f>IF(Q817="MP",H817,0)</f>
        <v>0</v>
      </c>
      <c r="W817" s="42">
        <f>IF(Q817="MP",I817-P817,0)</f>
        <v>0</v>
      </c>
      <c r="X817" s="42">
        <f>IF(Q817="OM",H817,0)</f>
        <v>0</v>
      </c>
      <c r="Y817" s="31" t="s">
        <v>597</v>
      </c>
      <c r="AI817" s="42">
        <f>SUM(Z818:Z818)</f>
        <v>0</v>
      </c>
      <c r="AJ817" s="42">
        <f>SUM(AA818:AA818)</f>
        <v>0</v>
      </c>
      <c r="AK817" s="42">
        <f>SUM(AB818:AB818)</f>
        <v>0</v>
      </c>
    </row>
    <row r="818" spans="1:43" ht="12.75">
      <c r="A818" s="5" t="s">
        <v>495</v>
      </c>
      <c r="B818" s="5" t="s">
        <v>597</v>
      </c>
      <c r="C818" s="5" t="s">
        <v>873</v>
      </c>
      <c r="D818" s="5" t="s">
        <v>1346</v>
      </c>
      <c r="E818" s="5" t="s">
        <v>1503</v>
      </c>
      <c r="F818" s="22">
        <v>50.68</v>
      </c>
      <c r="G818" s="22">
        <v>0</v>
      </c>
      <c r="H818" s="22">
        <f>F818*AE818</f>
        <v>0</v>
      </c>
      <c r="I818" s="22">
        <f>J818-H818</f>
        <v>0</v>
      </c>
      <c r="J818" s="22">
        <f>F818*G818</f>
        <v>0</v>
      </c>
      <c r="K818" s="22">
        <v>0</v>
      </c>
      <c r="L818" s="22">
        <f>F818*K818</f>
        <v>0</v>
      </c>
      <c r="M818" s="35" t="s">
        <v>1531</v>
      </c>
      <c r="N818" s="35" t="s">
        <v>7</v>
      </c>
      <c r="O818" s="22">
        <f>IF(N818="5",I818,0)</f>
        <v>0</v>
      </c>
      <c r="Z818" s="22">
        <f>IF(AD818=0,J818,0)</f>
        <v>0</v>
      </c>
      <c r="AA818" s="22">
        <f>IF(AD818=15,J818,0)</f>
        <v>0</v>
      </c>
      <c r="AB818" s="22">
        <f>IF(AD818=21,J818,0)</f>
        <v>0</v>
      </c>
      <c r="AD818" s="39">
        <v>15</v>
      </c>
      <c r="AE818" s="39">
        <f>G818*0</f>
        <v>0</v>
      </c>
      <c r="AF818" s="39">
        <f>G818*(1-0)</f>
        <v>0</v>
      </c>
      <c r="AM818" s="39">
        <f>F818*AE818</f>
        <v>0</v>
      </c>
      <c r="AN818" s="39">
        <f>F818*AF818</f>
        <v>0</v>
      </c>
      <c r="AO818" s="40" t="s">
        <v>1593</v>
      </c>
      <c r="AP818" s="40" t="s">
        <v>1605</v>
      </c>
      <c r="AQ818" s="31" t="s">
        <v>1614</v>
      </c>
    </row>
    <row r="819" ht="12.75">
      <c r="D819" s="18" t="s">
        <v>1347</v>
      </c>
    </row>
    <row r="820" spans="4:6" ht="10.8" customHeight="1">
      <c r="D820" s="17" t="s">
        <v>1348</v>
      </c>
      <c r="F820" s="23">
        <v>19.32</v>
      </c>
    </row>
    <row r="821" spans="4:6" ht="10.8" customHeight="1">
      <c r="D821" s="17" t="s">
        <v>1349</v>
      </c>
      <c r="F821" s="23">
        <v>31.36</v>
      </c>
    </row>
    <row r="822" spans="1:37" ht="12.75">
      <c r="A822" s="4"/>
      <c r="B822" s="14" t="s">
        <v>597</v>
      </c>
      <c r="C822" s="14" t="s">
        <v>644</v>
      </c>
      <c r="D822" s="104" t="s">
        <v>1021</v>
      </c>
      <c r="E822" s="105"/>
      <c r="F822" s="105"/>
      <c r="G822" s="105"/>
      <c r="H822" s="42">
        <f>SUM(H823:H823)</f>
        <v>0</v>
      </c>
      <c r="I822" s="42">
        <f>SUM(I823:I823)</f>
        <v>0</v>
      </c>
      <c r="J822" s="42">
        <f>H822+I822</f>
        <v>0</v>
      </c>
      <c r="K822" s="31"/>
      <c r="L822" s="42">
        <f>SUM(L823:L823)</f>
        <v>0.0013625000000000002</v>
      </c>
      <c r="M822" s="31"/>
      <c r="P822" s="42">
        <f>IF(Q822="PR",J822,SUM(O823:O823))</f>
        <v>0</v>
      </c>
      <c r="Q822" s="31" t="s">
        <v>1537</v>
      </c>
      <c r="R822" s="42">
        <f>IF(Q822="HS",H822,0)</f>
        <v>0</v>
      </c>
      <c r="S822" s="42">
        <f>IF(Q822="HS",I822-P822,0)</f>
        <v>0</v>
      </c>
      <c r="T822" s="42">
        <f>IF(Q822="PS",H822,0)</f>
        <v>0</v>
      </c>
      <c r="U822" s="42">
        <f>IF(Q822="PS",I822-P822,0)</f>
        <v>0</v>
      </c>
      <c r="V822" s="42">
        <f>IF(Q822="MP",H822,0)</f>
        <v>0</v>
      </c>
      <c r="W822" s="42">
        <f>IF(Q822="MP",I822-P822,0)</f>
        <v>0</v>
      </c>
      <c r="X822" s="42">
        <f>IF(Q822="OM",H822,0)</f>
        <v>0</v>
      </c>
      <c r="Y822" s="31" t="s">
        <v>597</v>
      </c>
      <c r="AI822" s="42">
        <f>SUM(Z823:Z823)</f>
        <v>0</v>
      </c>
      <c r="AJ822" s="42">
        <f>SUM(AA823:AA823)</f>
        <v>0</v>
      </c>
      <c r="AK822" s="42">
        <f>SUM(AB823:AB823)</f>
        <v>0</v>
      </c>
    </row>
    <row r="823" spans="1:43" ht="12.75">
      <c r="A823" s="5" t="s">
        <v>496</v>
      </c>
      <c r="B823" s="5" t="s">
        <v>597</v>
      </c>
      <c r="C823" s="5" t="s">
        <v>645</v>
      </c>
      <c r="D823" s="5" t="s">
        <v>1022</v>
      </c>
      <c r="E823" s="5" t="s">
        <v>1503</v>
      </c>
      <c r="F823" s="22">
        <v>136.25</v>
      </c>
      <c r="G823" s="22">
        <v>0</v>
      </c>
      <c r="H823" s="22">
        <f>F823*AE823</f>
        <v>0</v>
      </c>
      <c r="I823" s="22">
        <f>J823-H823</f>
        <v>0</v>
      </c>
      <c r="J823" s="22">
        <f>F823*G823</f>
        <v>0</v>
      </c>
      <c r="K823" s="22">
        <v>1E-05</v>
      </c>
      <c r="L823" s="22">
        <f>F823*K823</f>
        <v>0.0013625000000000002</v>
      </c>
      <c r="M823" s="35" t="s">
        <v>1531</v>
      </c>
      <c r="N823" s="35" t="s">
        <v>7</v>
      </c>
      <c r="O823" s="22">
        <f>IF(N823="5",I823,0)</f>
        <v>0</v>
      </c>
      <c r="Z823" s="22">
        <f>IF(AD823=0,J823,0)</f>
        <v>0</v>
      </c>
      <c r="AA823" s="22">
        <f>IF(AD823=15,J823,0)</f>
        <v>0</v>
      </c>
      <c r="AB823" s="22">
        <f>IF(AD823=21,J823,0)</f>
        <v>0</v>
      </c>
      <c r="AD823" s="39">
        <v>15</v>
      </c>
      <c r="AE823" s="39">
        <f>G823*0.0915384615384615</f>
        <v>0</v>
      </c>
      <c r="AF823" s="39">
        <f>G823*(1-0.0915384615384615)</f>
        <v>0</v>
      </c>
      <c r="AM823" s="39">
        <f>F823*AE823</f>
        <v>0</v>
      </c>
      <c r="AN823" s="39">
        <f>F823*AF823</f>
        <v>0</v>
      </c>
      <c r="AO823" s="40" t="s">
        <v>1554</v>
      </c>
      <c r="AP823" s="40" t="s">
        <v>1606</v>
      </c>
      <c r="AQ823" s="31" t="s">
        <v>1614</v>
      </c>
    </row>
    <row r="824" spans="4:6" ht="10.8" customHeight="1">
      <c r="D824" s="17" t="s">
        <v>1350</v>
      </c>
      <c r="F824" s="23">
        <v>94.16</v>
      </c>
    </row>
    <row r="825" spans="4:6" ht="10.8" customHeight="1">
      <c r="D825" s="17" t="s">
        <v>1351</v>
      </c>
      <c r="F825" s="23">
        <v>9.66</v>
      </c>
    </row>
    <row r="826" spans="4:6" ht="10.8" customHeight="1">
      <c r="D826" s="17" t="s">
        <v>1352</v>
      </c>
      <c r="F826" s="23">
        <v>32.43</v>
      </c>
    </row>
    <row r="827" spans="1:37" ht="12.75">
      <c r="A827" s="4"/>
      <c r="B827" s="14" t="s">
        <v>597</v>
      </c>
      <c r="C827" s="14" t="s">
        <v>647</v>
      </c>
      <c r="D827" s="104" t="s">
        <v>1025</v>
      </c>
      <c r="E827" s="105"/>
      <c r="F827" s="105"/>
      <c r="G827" s="105"/>
      <c r="H827" s="42">
        <f>SUM(H828:H830)</f>
        <v>0</v>
      </c>
      <c r="I827" s="42">
        <f>SUM(I828:I830)</f>
        <v>0</v>
      </c>
      <c r="J827" s="42">
        <f>H827+I827</f>
        <v>0</v>
      </c>
      <c r="K827" s="31"/>
      <c r="L827" s="42">
        <f>SUM(L828:L830)</f>
        <v>0.062675</v>
      </c>
      <c r="M827" s="31"/>
      <c r="P827" s="42">
        <f>IF(Q827="PR",J827,SUM(O828:O830))</f>
        <v>0</v>
      </c>
      <c r="Q827" s="31" t="s">
        <v>1537</v>
      </c>
      <c r="R827" s="42">
        <f>IF(Q827="HS",H827,0)</f>
        <v>0</v>
      </c>
      <c r="S827" s="42">
        <f>IF(Q827="HS",I827-P827,0)</f>
        <v>0</v>
      </c>
      <c r="T827" s="42">
        <f>IF(Q827="PS",H827,0)</f>
        <v>0</v>
      </c>
      <c r="U827" s="42">
        <f>IF(Q827="PS",I827-P827,0)</f>
        <v>0</v>
      </c>
      <c r="V827" s="42">
        <f>IF(Q827="MP",H827,0)</f>
        <v>0</v>
      </c>
      <c r="W827" s="42">
        <f>IF(Q827="MP",I827-P827,0)</f>
        <v>0</v>
      </c>
      <c r="X827" s="42">
        <f>IF(Q827="OM",H827,0)</f>
        <v>0</v>
      </c>
      <c r="Y827" s="31" t="s">
        <v>597</v>
      </c>
      <c r="AI827" s="42">
        <f>SUM(Z828:Z830)</f>
        <v>0</v>
      </c>
      <c r="AJ827" s="42">
        <f>SUM(AA828:AA830)</f>
        <v>0</v>
      </c>
      <c r="AK827" s="42">
        <f>SUM(AB828:AB830)</f>
        <v>0</v>
      </c>
    </row>
    <row r="828" spans="1:43" ht="12.75">
      <c r="A828" s="5" t="s">
        <v>497</v>
      </c>
      <c r="B828" s="5" t="s">
        <v>597</v>
      </c>
      <c r="C828" s="5" t="s">
        <v>648</v>
      </c>
      <c r="D828" s="5" t="s">
        <v>1026</v>
      </c>
      <c r="E828" s="5" t="s">
        <v>1503</v>
      </c>
      <c r="F828" s="22">
        <v>136.25</v>
      </c>
      <c r="G828" s="22">
        <v>0</v>
      </c>
      <c r="H828" s="22">
        <f>F828*AE828</f>
        <v>0</v>
      </c>
      <c r="I828" s="22">
        <f>J828-H828</f>
        <v>0</v>
      </c>
      <c r="J828" s="22">
        <f>F828*G828</f>
        <v>0</v>
      </c>
      <c r="K828" s="22">
        <v>0.00039</v>
      </c>
      <c r="L828" s="22">
        <f>F828*K828</f>
        <v>0.0531375</v>
      </c>
      <c r="M828" s="35" t="s">
        <v>1531</v>
      </c>
      <c r="N828" s="35" t="s">
        <v>7</v>
      </c>
      <c r="O828" s="22">
        <f>IF(N828="5",I828,0)</f>
        <v>0</v>
      </c>
      <c r="Z828" s="22">
        <f>IF(AD828=0,J828,0)</f>
        <v>0</v>
      </c>
      <c r="AA828" s="22">
        <f>IF(AD828=15,J828,0)</f>
        <v>0</v>
      </c>
      <c r="AB828" s="22">
        <f>IF(AD828=21,J828,0)</f>
        <v>0</v>
      </c>
      <c r="AD828" s="39">
        <v>15</v>
      </c>
      <c r="AE828" s="39">
        <f>G828*0.253731343283582</f>
        <v>0</v>
      </c>
      <c r="AF828" s="39">
        <f>G828*(1-0.253731343283582)</f>
        <v>0</v>
      </c>
      <c r="AM828" s="39">
        <f>F828*AE828</f>
        <v>0</v>
      </c>
      <c r="AN828" s="39">
        <f>F828*AF828</f>
        <v>0</v>
      </c>
      <c r="AO828" s="40" t="s">
        <v>1555</v>
      </c>
      <c r="AP828" s="40" t="s">
        <v>1606</v>
      </c>
      <c r="AQ828" s="31" t="s">
        <v>1614</v>
      </c>
    </row>
    <row r="829" ht="12.75">
      <c r="D829" s="18" t="s">
        <v>1262</v>
      </c>
    </row>
    <row r="830" spans="1:43" ht="12.75">
      <c r="A830" s="5" t="s">
        <v>498</v>
      </c>
      <c r="B830" s="5" t="s">
        <v>597</v>
      </c>
      <c r="C830" s="5" t="s">
        <v>649</v>
      </c>
      <c r="D830" s="5" t="s">
        <v>1334</v>
      </c>
      <c r="E830" s="5" t="s">
        <v>1503</v>
      </c>
      <c r="F830" s="22">
        <v>136.25</v>
      </c>
      <c r="G830" s="22">
        <v>0</v>
      </c>
      <c r="H830" s="22">
        <f>F830*AE830</f>
        <v>0</v>
      </c>
      <c r="I830" s="22">
        <f>J830-H830</f>
        <v>0</v>
      </c>
      <c r="J830" s="22">
        <f>F830*G830</f>
        <v>0</v>
      </c>
      <c r="K830" s="22">
        <v>7E-05</v>
      </c>
      <c r="L830" s="22">
        <f>F830*K830</f>
        <v>0.009537499999999999</v>
      </c>
      <c r="M830" s="35" t="s">
        <v>1531</v>
      </c>
      <c r="N830" s="35" t="s">
        <v>7</v>
      </c>
      <c r="O830" s="22">
        <f>IF(N830="5",I830,0)</f>
        <v>0</v>
      </c>
      <c r="Z830" s="22">
        <f>IF(AD830=0,J830,0)</f>
        <v>0</v>
      </c>
      <c r="AA830" s="22">
        <f>IF(AD830=15,J830,0)</f>
        <v>0</v>
      </c>
      <c r="AB830" s="22">
        <f>IF(AD830=21,J830,0)</f>
        <v>0</v>
      </c>
      <c r="AD830" s="39">
        <v>15</v>
      </c>
      <c r="AE830" s="39">
        <f>G830*0.296066252587992</f>
        <v>0</v>
      </c>
      <c r="AF830" s="39">
        <f>G830*(1-0.296066252587992)</f>
        <v>0</v>
      </c>
      <c r="AM830" s="39">
        <f>F830*AE830</f>
        <v>0</v>
      </c>
      <c r="AN830" s="39">
        <f>F830*AF830</f>
        <v>0</v>
      </c>
      <c r="AO830" s="40" t="s">
        <v>1555</v>
      </c>
      <c r="AP830" s="40" t="s">
        <v>1606</v>
      </c>
      <c r="AQ830" s="31" t="s">
        <v>1614</v>
      </c>
    </row>
    <row r="831" spans="1:37" ht="12.75">
      <c r="A831" s="4"/>
      <c r="B831" s="14" t="s">
        <v>597</v>
      </c>
      <c r="C831" s="14" t="s">
        <v>102</v>
      </c>
      <c r="D831" s="104" t="s">
        <v>1267</v>
      </c>
      <c r="E831" s="105"/>
      <c r="F831" s="105"/>
      <c r="G831" s="105"/>
      <c r="H831" s="42">
        <f>SUM(H832:H832)</f>
        <v>0</v>
      </c>
      <c r="I831" s="42">
        <f>SUM(I832:I832)</f>
        <v>0</v>
      </c>
      <c r="J831" s="42">
        <f>H831+I831</f>
        <v>0</v>
      </c>
      <c r="K831" s="31"/>
      <c r="L831" s="42">
        <f>SUM(L832:L832)</f>
        <v>16.14186</v>
      </c>
      <c r="M831" s="31"/>
      <c r="P831" s="42">
        <f>IF(Q831="PR",J831,SUM(O832:O832))</f>
        <v>0</v>
      </c>
      <c r="Q831" s="31" t="s">
        <v>1536</v>
      </c>
      <c r="R831" s="42">
        <f>IF(Q831="HS",H831,0)</f>
        <v>0</v>
      </c>
      <c r="S831" s="42">
        <f>IF(Q831="HS",I831-P831,0)</f>
        <v>0</v>
      </c>
      <c r="T831" s="42">
        <f>IF(Q831="PS",H831,0)</f>
        <v>0</v>
      </c>
      <c r="U831" s="42">
        <f>IF(Q831="PS",I831-P831,0)</f>
        <v>0</v>
      </c>
      <c r="V831" s="42">
        <f>IF(Q831="MP",H831,0)</f>
        <v>0</v>
      </c>
      <c r="W831" s="42">
        <f>IF(Q831="MP",I831-P831,0)</f>
        <v>0</v>
      </c>
      <c r="X831" s="42">
        <f>IF(Q831="OM",H831,0)</f>
        <v>0</v>
      </c>
      <c r="Y831" s="31" t="s">
        <v>597</v>
      </c>
      <c r="AI831" s="42">
        <f>SUM(Z832:Z832)</f>
        <v>0</v>
      </c>
      <c r="AJ831" s="42">
        <f>SUM(AA832:AA832)</f>
        <v>0</v>
      </c>
      <c r="AK831" s="42">
        <f>SUM(AB832:AB832)</f>
        <v>0</v>
      </c>
    </row>
    <row r="832" spans="1:43" ht="12.75">
      <c r="A832" s="5" t="s">
        <v>499</v>
      </c>
      <c r="B832" s="5" t="s">
        <v>597</v>
      </c>
      <c r="C832" s="5" t="s">
        <v>874</v>
      </c>
      <c r="D832" s="5" t="s">
        <v>1353</v>
      </c>
      <c r="E832" s="5" t="s">
        <v>1512</v>
      </c>
      <c r="F832" s="22">
        <v>9.66</v>
      </c>
      <c r="G832" s="22">
        <v>0</v>
      </c>
      <c r="H832" s="22">
        <f>F832*AE832</f>
        <v>0</v>
      </c>
      <c r="I832" s="22">
        <f>J832-H832</f>
        <v>0</v>
      </c>
      <c r="J832" s="22">
        <f>F832*G832</f>
        <v>0</v>
      </c>
      <c r="K832" s="22">
        <v>1.671</v>
      </c>
      <c r="L832" s="22">
        <f>F832*K832</f>
        <v>16.14186</v>
      </c>
      <c r="M832" s="35" t="s">
        <v>1531</v>
      </c>
      <c r="N832" s="35" t="s">
        <v>7</v>
      </c>
      <c r="O832" s="22">
        <f>IF(N832="5",I832,0)</f>
        <v>0</v>
      </c>
      <c r="Z832" s="22">
        <f>IF(AD832=0,J832,0)</f>
        <v>0</v>
      </c>
      <c r="AA832" s="22">
        <f>IF(AD832=15,J832,0)</f>
        <v>0</v>
      </c>
      <c r="AB832" s="22">
        <f>IF(AD832=21,J832,0)</f>
        <v>0</v>
      </c>
      <c r="AD832" s="39">
        <v>15</v>
      </c>
      <c r="AE832" s="39">
        <f>G832*0</f>
        <v>0</v>
      </c>
      <c r="AF832" s="39">
        <f>G832*(1-0)</f>
        <v>0</v>
      </c>
      <c r="AM832" s="39">
        <f>F832*AE832</f>
        <v>0</v>
      </c>
      <c r="AN832" s="39">
        <f>F832*AF832</f>
        <v>0</v>
      </c>
      <c r="AO832" s="40" t="s">
        <v>1579</v>
      </c>
      <c r="AP832" s="40" t="s">
        <v>1607</v>
      </c>
      <c r="AQ832" s="31" t="s">
        <v>1614</v>
      </c>
    </row>
    <row r="833" spans="1:37" ht="12.75">
      <c r="A833" s="4"/>
      <c r="B833" s="14" t="s">
        <v>597</v>
      </c>
      <c r="C833" s="14" t="s">
        <v>653</v>
      </c>
      <c r="D833" s="104" t="s">
        <v>1038</v>
      </c>
      <c r="E833" s="105"/>
      <c r="F833" s="105"/>
      <c r="G833" s="105"/>
      <c r="H833" s="42">
        <f>SUM(H834:H834)</f>
        <v>0</v>
      </c>
      <c r="I833" s="42">
        <f>SUM(I834:I834)</f>
        <v>0</v>
      </c>
      <c r="J833" s="42">
        <f>H833+I833</f>
        <v>0</v>
      </c>
      <c r="K833" s="31"/>
      <c r="L833" s="42">
        <f>SUM(L834:L834)</f>
        <v>0</v>
      </c>
      <c r="M833" s="31"/>
      <c r="P833" s="42">
        <f>IF(Q833="PR",J833,SUM(O834:O834))</f>
        <v>0</v>
      </c>
      <c r="Q833" s="31" t="s">
        <v>1536</v>
      </c>
      <c r="R833" s="42">
        <f>IF(Q833="HS",H833,0)</f>
        <v>0</v>
      </c>
      <c r="S833" s="42">
        <f>IF(Q833="HS",I833-P833,0)</f>
        <v>0</v>
      </c>
      <c r="T833" s="42">
        <f>IF(Q833="PS",H833,0)</f>
        <v>0</v>
      </c>
      <c r="U833" s="42">
        <f>IF(Q833="PS",I833-P833,0)</f>
        <v>0</v>
      </c>
      <c r="V833" s="42">
        <f>IF(Q833="MP",H833,0)</f>
        <v>0</v>
      </c>
      <c r="W833" s="42">
        <f>IF(Q833="MP",I833-P833,0)</f>
        <v>0</v>
      </c>
      <c r="X833" s="42">
        <f>IF(Q833="OM",H833,0)</f>
        <v>0</v>
      </c>
      <c r="Y833" s="31" t="s">
        <v>597</v>
      </c>
      <c r="AI833" s="42">
        <f>SUM(Z834:Z834)</f>
        <v>0</v>
      </c>
      <c r="AJ833" s="42">
        <f>SUM(AA834:AA834)</f>
        <v>0</v>
      </c>
      <c r="AK833" s="42">
        <f>SUM(AB834:AB834)</f>
        <v>0</v>
      </c>
    </row>
    <row r="834" spans="1:43" ht="12.75">
      <c r="A834" s="5" t="s">
        <v>500</v>
      </c>
      <c r="B834" s="5" t="s">
        <v>597</v>
      </c>
      <c r="C834" s="5" t="s">
        <v>820</v>
      </c>
      <c r="D834" s="5" t="s">
        <v>1284</v>
      </c>
      <c r="E834" s="5" t="s">
        <v>1508</v>
      </c>
      <c r="F834" s="22">
        <v>1.36</v>
      </c>
      <c r="G834" s="22">
        <v>0</v>
      </c>
      <c r="H834" s="22">
        <f>F834*AE834</f>
        <v>0</v>
      </c>
      <c r="I834" s="22">
        <f>J834-H834</f>
        <v>0</v>
      </c>
      <c r="J834" s="22">
        <f>F834*G834</f>
        <v>0</v>
      </c>
      <c r="K834" s="22">
        <v>0</v>
      </c>
      <c r="L834" s="22">
        <f>F834*K834</f>
        <v>0</v>
      </c>
      <c r="M834" s="35" t="s">
        <v>1531</v>
      </c>
      <c r="N834" s="35" t="s">
        <v>11</v>
      </c>
      <c r="O834" s="22">
        <f>IF(N834="5",I834,0)</f>
        <v>0</v>
      </c>
      <c r="Z834" s="22">
        <f>IF(AD834=0,J834,0)</f>
        <v>0</v>
      </c>
      <c r="AA834" s="22">
        <f>IF(AD834=15,J834,0)</f>
        <v>0</v>
      </c>
      <c r="AB834" s="22">
        <f>IF(AD834=21,J834,0)</f>
        <v>0</v>
      </c>
      <c r="AD834" s="39">
        <v>15</v>
      </c>
      <c r="AE834" s="39">
        <f>G834*0</f>
        <v>0</v>
      </c>
      <c r="AF834" s="39">
        <f>G834*(1-0)</f>
        <v>0</v>
      </c>
      <c r="AM834" s="39">
        <f>F834*AE834</f>
        <v>0</v>
      </c>
      <c r="AN834" s="39">
        <f>F834*AF834</f>
        <v>0</v>
      </c>
      <c r="AO834" s="40" t="s">
        <v>1559</v>
      </c>
      <c r="AP834" s="40" t="s">
        <v>1607</v>
      </c>
      <c r="AQ834" s="31" t="s">
        <v>1614</v>
      </c>
    </row>
    <row r="835" spans="1:37" ht="12.75">
      <c r="A835" s="4"/>
      <c r="B835" s="14" t="s">
        <v>597</v>
      </c>
      <c r="C835" s="14" t="s">
        <v>827</v>
      </c>
      <c r="D835" s="104" t="s">
        <v>1115</v>
      </c>
      <c r="E835" s="105"/>
      <c r="F835" s="105"/>
      <c r="G835" s="105"/>
      <c r="H835" s="42">
        <f>SUM(H836:H836)</f>
        <v>0</v>
      </c>
      <c r="I835" s="42">
        <f>SUM(I836:I836)</f>
        <v>0</v>
      </c>
      <c r="J835" s="42">
        <f>H835+I835</f>
        <v>0</v>
      </c>
      <c r="K835" s="31"/>
      <c r="L835" s="42">
        <f>SUM(L836:L836)</f>
        <v>0</v>
      </c>
      <c r="M835" s="31"/>
      <c r="P835" s="42">
        <f>IF(Q835="PR",J835,SUM(O836:O836))</f>
        <v>0</v>
      </c>
      <c r="Q835" s="31" t="s">
        <v>1536</v>
      </c>
      <c r="R835" s="42">
        <f>IF(Q835="HS",H835,0)</f>
        <v>0</v>
      </c>
      <c r="S835" s="42">
        <f>IF(Q835="HS",I835-P835,0)</f>
        <v>0</v>
      </c>
      <c r="T835" s="42">
        <f>IF(Q835="PS",H835,0)</f>
        <v>0</v>
      </c>
      <c r="U835" s="42">
        <f>IF(Q835="PS",I835-P835,0)</f>
        <v>0</v>
      </c>
      <c r="V835" s="42">
        <f>IF(Q835="MP",H835,0)</f>
        <v>0</v>
      </c>
      <c r="W835" s="42">
        <f>IF(Q835="MP",I835-P835,0)</f>
        <v>0</v>
      </c>
      <c r="X835" s="42">
        <f>IF(Q835="OM",H835,0)</f>
        <v>0</v>
      </c>
      <c r="Y835" s="31" t="s">
        <v>597</v>
      </c>
      <c r="AI835" s="42">
        <f>SUM(Z836:Z836)</f>
        <v>0</v>
      </c>
      <c r="AJ835" s="42">
        <f>SUM(AA836:AA836)</f>
        <v>0</v>
      </c>
      <c r="AK835" s="42">
        <f>SUM(AB836:AB836)</f>
        <v>0</v>
      </c>
    </row>
    <row r="836" spans="1:43" ht="12.75">
      <c r="A836" s="5" t="s">
        <v>501</v>
      </c>
      <c r="B836" s="5" t="s">
        <v>597</v>
      </c>
      <c r="C836" s="5" t="s">
        <v>828</v>
      </c>
      <c r="D836" s="5" t="s">
        <v>1289</v>
      </c>
      <c r="E836" s="5" t="s">
        <v>1509</v>
      </c>
      <c r="F836" s="22">
        <v>1</v>
      </c>
      <c r="G836" s="22">
        <v>0</v>
      </c>
      <c r="H836" s="22">
        <f>F836*AE836</f>
        <v>0</v>
      </c>
      <c r="I836" s="22">
        <f>J836-H836</f>
        <v>0</v>
      </c>
      <c r="J836" s="22">
        <f>F836*G836</f>
        <v>0</v>
      </c>
      <c r="K836" s="22">
        <v>0</v>
      </c>
      <c r="L836" s="22">
        <f>F836*K836</f>
        <v>0</v>
      </c>
      <c r="M836" s="35" t="s">
        <v>1531</v>
      </c>
      <c r="N836" s="35" t="s">
        <v>11</v>
      </c>
      <c r="O836" s="22">
        <f>IF(N836="5",I836,0)</f>
        <v>0</v>
      </c>
      <c r="Z836" s="22">
        <f>IF(AD836=0,J836,0)</f>
        <v>0</v>
      </c>
      <c r="AA836" s="22">
        <f>IF(AD836=15,J836,0)</f>
        <v>0</v>
      </c>
      <c r="AB836" s="22">
        <f>IF(AD836=21,J836,0)</f>
        <v>0</v>
      </c>
      <c r="AD836" s="39">
        <v>15</v>
      </c>
      <c r="AE836" s="39">
        <f>G836*0</f>
        <v>0</v>
      </c>
      <c r="AF836" s="39">
        <f>G836*(1-0)</f>
        <v>0</v>
      </c>
      <c r="AM836" s="39">
        <f>F836*AE836</f>
        <v>0</v>
      </c>
      <c r="AN836" s="39">
        <f>F836*AF836</f>
        <v>0</v>
      </c>
      <c r="AO836" s="40" t="s">
        <v>1584</v>
      </c>
      <c r="AP836" s="40" t="s">
        <v>1607</v>
      </c>
      <c r="AQ836" s="31" t="s">
        <v>1614</v>
      </c>
    </row>
    <row r="837" spans="1:37" ht="12.75">
      <c r="A837" s="4"/>
      <c r="B837" s="14" t="s">
        <v>597</v>
      </c>
      <c r="C837" s="14" t="s">
        <v>829</v>
      </c>
      <c r="D837" s="104" t="s">
        <v>1128</v>
      </c>
      <c r="E837" s="105"/>
      <c r="F837" s="105"/>
      <c r="G837" s="105"/>
      <c r="H837" s="42">
        <f>SUM(H838:H838)</f>
        <v>0</v>
      </c>
      <c r="I837" s="42">
        <f>SUM(I838:I838)</f>
        <v>0</v>
      </c>
      <c r="J837" s="42">
        <f>H837+I837</f>
        <v>0</v>
      </c>
      <c r="K837" s="31"/>
      <c r="L837" s="42">
        <f>SUM(L838:L838)</f>
        <v>0</v>
      </c>
      <c r="M837" s="31"/>
      <c r="P837" s="42">
        <f>IF(Q837="PR",J837,SUM(O838:O838))</f>
        <v>0</v>
      </c>
      <c r="Q837" s="31" t="s">
        <v>1536</v>
      </c>
      <c r="R837" s="42">
        <f>IF(Q837="HS",H837,0)</f>
        <v>0</v>
      </c>
      <c r="S837" s="42">
        <f>IF(Q837="HS",I837-P837,0)</f>
        <v>0</v>
      </c>
      <c r="T837" s="42">
        <f>IF(Q837="PS",H837,0)</f>
        <v>0</v>
      </c>
      <c r="U837" s="42">
        <f>IF(Q837="PS",I837-P837,0)</f>
        <v>0</v>
      </c>
      <c r="V837" s="42">
        <f>IF(Q837="MP",H837,0)</f>
        <v>0</v>
      </c>
      <c r="W837" s="42">
        <f>IF(Q837="MP",I837-P837,0)</f>
        <v>0</v>
      </c>
      <c r="X837" s="42">
        <f>IF(Q837="OM",H837,0)</f>
        <v>0</v>
      </c>
      <c r="Y837" s="31" t="s">
        <v>597</v>
      </c>
      <c r="AI837" s="42">
        <f>SUM(Z838:Z838)</f>
        <v>0</v>
      </c>
      <c r="AJ837" s="42">
        <f>SUM(AA838:AA838)</f>
        <v>0</v>
      </c>
      <c r="AK837" s="42">
        <f>SUM(AB838:AB838)</f>
        <v>0</v>
      </c>
    </row>
    <row r="838" spans="1:43" ht="12.75">
      <c r="A838" s="5" t="s">
        <v>502</v>
      </c>
      <c r="B838" s="5" t="s">
        <v>597</v>
      </c>
      <c r="C838" s="5" t="s">
        <v>830</v>
      </c>
      <c r="D838" s="5" t="s">
        <v>1290</v>
      </c>
      <c r="E838" s="5" t="s">
        <v>1509</v>
      </c>
      <c r="F838" s="22">
        <v>1</v>
      </c>
      <c r="G838" s="22">
        <v>0</v>
      </c>
      <c r="H838" s="22">
        <f>F838*AE838</f>
        <v>0</v>
      </c>
      <c r="I838" s="22">
        <f>J838-H838</f>
        <v>0</v>
      </c>
      <c r="J838" s="22">
        <f>F838*G838</f>
        <v>0</v>
      </c>
      <c r="K838" s="22">
        <v>0</v>
      </c>
      <c r="L838" s="22">
        <f>F838*K838</f>
        <v>0</v>
      </c>
      <c r="M838" s="35" t="s">
        <v>1531</v>
      </c>
      <c r="N838" s="35" t="s">
        <v>11</v>
      </c>
      <c r="O838" s="22">
        <f>IF(N838="5",I838,0)</f>
        <v>0</v>
      </c>
      <c r="Z838" s="22">
        <f>IF(AD838=0,J838,0)</f>
        <v>0</v>
      </c>
      <c r="AA838" s="22">
        <f>IF(AD838=15,J838,0)</f>
        <v>0</v>
      </c>
      <c r="AB838" s="22">
        <f>IF(AD838=21,J838,0)</f>
        <v>0</v>
      </c>
      <c r="AD838" s="39">
        <v>15</v>
      </c>
      <c r="AE838" s="39">
        <f>G838*0</f>
        <v>0</v>
      </c>
      <c r="AF838" s="39">
        <f>G838*(1-0)</f>
        <v>0</v>
      </c>
      <c r="AM838" s="39">
        <f>F838*AE838</f>
        <v>0</v>
      </c>
      <c r="AN838" s="39">
        <f>F838*AF838</f>
        <v>0</v>
      </c>
      <c r="AO838" s="40" t="s">
        <v>1585</v>
      </c>
      <c r="AP838" s="40" t="s">
        <v>1607</v>
      </c>
      <c r="AQ838" s="31" t="s">
        <v>1614</v>
      </c>
    </row>
    <row r="839" spans="1:37" ht="12.75">
      <c r="A839" s="4"/>
      <c r="B839" s="14" t="s">
        <v>597</v>
      </c>
      <c r="C839" s="14" t="s">
        <v>841</v>
      </c>
      <c r="D839" s="104" t="s">
        <v>1224</v>
      </c>
      <c r="E839" s="105"/>
      <c r="F839" s="105"/>
      <c r="G839" s="105"/>
      <c r="H839" s="42">
        <f>SUM(H840:H840)</f>
        <v>0</v>
      </c>
      <c r="I839" s="42">
        <f>SUM(I840:I840)</f>
        <v>0</v>
      </c>
      <c r="J839" s="42">
        <f>H839+I839</f>
        <v>0</v>
      </c>
      <c r="K839" s="31"/>
      <c r="L839" s="42">
        <f>SUM(L840:L840)</f>
        <v>0</v>
      </c>
      <c r="M839" s="31"/>
      <c r="P839" s="42">
        <f>IF(Q839="PR",J839,SUM(O840:O840))</f>
        <v>0</v>
      </c>
      <c r="Q839" s="31" t="s">
        <v>1536</v>
      </c>
      <c r="R839" s="42">
        <f>IF(Q839="HS",H839,0)</f>
        <v>0</v>
      </c>
      <c r="S839" s="42">
        <f>IF(Q839="HS",I839-P839,0)</f>
        <v>0</v>
      </c>
      <c r="T839" s="42">
        <f>IF(Q839="PS",H839,0)</f>
        <v>0</v>
      </c>
      <c r="U839" s="42">
        <f>IF(Q839="PS",I839-P839,0)</f>
        <v>0</v>
      </c>
      <c r="V839" s="42">
        <f>IF(Q839="MP",H839,0)</f>
        <v>0</v>
      </c>
      <c r="W839" s="42">
        <f>IF(Q839="MP",I839-P839,0)</f>
        <v>0</v>
      </c>
      <c r="X839" s="42">
        <f>IF(Q839="OM",H839,0)</f>
        <v>0</v>
      </c>
      <c r="Y839" s="31" t="s">
        <v>597</v>
      </c>
      <c r="AI839" s="42">
        <f>SUM(Z840:Z840)</f>
        <v>0</v>
      </c>
      <c r="AJ839" s="42">
        <f>SUM(AA840:AA840)</f>
        <v>0</v>
      </c>
      <c r="AK839" s="42">
        <f>SUM(AB840:AB840)</f>
        <v>0</v>
      </c>
    </row>
    <row r="840" spans="1:43" ht="12.75">
      <c r="A840" s="5" t="s">
        <v>503</v>
      </c>
      <c r="B840" s="5" t="s">
        <v>597</v>
      </c>
      <c r="C840" s="5" t="s">
        <v>842</v>
      </c>
      <c r="D840" s="5" t="s">
        <v>1297</v>
      </c>
      <c r="E840" s="5" t="s">
        <v>1509</v>
      </c>
      <c r="F840" s="22">
        <v>1</v>
      </c>
      <c r="G840" s="22">
        <v>0</v>
      </c>
      <c r="H840" s="22">
        <f>F840*AE840</f>
        <v>0</v>
      </c>
      <c r="I840" s="22">
        <f>J840-H840</f>
        <v>0</v>
      </c>
      <c r="J840" s="22">
        <f>F840*G840</f>
        <v>0</v>
      </c>
      <c r="K840" s="22">
        <v>0</v>
      </c>
      <c r="L840" s="22">
        <f>F840*K840</f>
        <v>0</v>
      </c>
      <c r="M840" s="35" t="s">
        <v>1531</v>
      </c>
      <c r="N840" s="35" t="s">
        <v>11</v>
      </c>
      <c r="O840" s="22">
        <f>IF(N840="5",I840,0)</f>
        <v>0</v>
      </c>
      <c r="Z840" s="22">
        <f>IF(AD840=0,J840,0)</f>
        <v>0</v>
      </c>
      <c r="AA840" s="22">
        <f>IF(AD840=15,J840,0)</f>
        <v>0</v>
      </c>
      <c r="AB840" s="22">
        <f>IF(AD840=21,J840,0)</f>
        <v>0</v>
      </c>
      <c r="AD840" s="39">
        <v>15</v>
      </c>
      <c r="AE840" s="39">
        <f>G840*0</f>
        <v>0</v>
      </c>
      <c r="AF840" s="39">
        <f>G840*(1-0)</f>
        <v>0</v>
      </c>
      <c r="AM840" s="39">
        <f>F840*AE840</f>
        <v>0</v>
      </c>
      <c r="AN840" s="39">
        <f>F840*AF840</f>
        <v>0</v>
      </c>
      <c r="AO840" s="40" t="s">
        <v>1590</v>
      </c>
      <c r="AP840" s="40" t="s">
        <v>1607</v>
      </c>
      <c r="AQ840" s="31" t="s">
        <v>1614</v>
      </c>
    </row>
    <row r="841" spans="1:37" ht="12.75">
      <c r="A841" s="4"/>
      <c r="B841" s="14" t="s">
        <v>597</v>
      </c>
      <c r="C841" s="14" t="s">
        <v>665</v>
      </c>
      <c r="D841" s="104" t="s">
        <v>1045</v>
      </c>
      <c r="E841" s="105"/>
      <c r="F841" s="105"/>
      <c r="G841" s="105"/>
      <c r="H841" s="42">
        <f>SUM(H842:H846)</f>
        <v>0</v>
      </c>
      <c r="I841" s="42">
        <f>SUM(I842:I846)</f>
        <v>0</v>
      </c>
      <c r="J841" s="42">
        <f>H841+I841</f>
        <v>0</v>
      </c>
      <c r="K841" s="31"/>
      <c r="L841" s="42">
        <f>SUM(L842:L846)</f>
        <v>0.00786</v>
      </c>
      <c r="M841" s="31"/>
      <c r="P841" s="42">
        <f>IF(Q841="PR",J841,SUM(O842:O846))</f>
        <v>0</v>
      </c>
      <c r="Q841" s="31" t="s">
        <v>1538</v>
      </c>
      <c r="R841" s="42">
        <f>IF(Q841="HS",H841,0)</f>
        <v>0</v>
      </c>
      <c r="S841" s="42">
        <f>IF(Q841="HS",I841-P841,0)</f>
        <v>0</v>
      </c>
      <c r="T841" s="42">
        <f>IF(Q841="PS",H841,0)</f>
        <v>0</v>
      </c>
      <c r="U841" s="42">
        <f>IF(Q841="PS",I841-P841,0)</f>
        <v>0</v>
      </c>
      <c r="V841" s="42">
        <f>IF(Q841="MP",H841,0)</f>
        <v>0</v>
      </c>
      <c r="W841" s="42">
        <f>IF(Q841="MP",I841-P841,0)</f>
        <v>0</v>
      </c>
      <c r="X841" s="42">
        <f>IF(Q841="OM",H841,0)</f>
        <v>0</v>
      </c>
      <c r="Y841" s="31" t="s">
        <v>597</v>
      </c>
      <c r="AI841" s="42">
        <f>SUM(Z842:Z846)</f>
        <v>0</v>
      </c>
      <c r="AJ841" s="42">
        <f>SUM(AA842:AA846)</f>
        <v>0</v>
      </c>
      <c r="AK841" s="42">
        <f>SUM(AB842:AB846)</f>
        <v>0</v>
      </c>
    </row>
    <row r="842" spans="1:43" ht="12.75">
      <c r="A842" s="5" t="s">
        <v>504</v>
      </c>
      <c r="B842" s="5" t="s">
        <v>597</v>
      </c>
      <c r="C842" s="5" t="s">
        <v>875</v>
      </c>
      <c r="D842" s="5" t="s">
        <v>1354</v>
      </c>
      <c r="E842" s="5" t="s">
        <v>1504</v>
      </c>
      <c r="F842" s="22">
        <v>1</v>
      </c>
      <c r="G842" s="22">
        <v>0</v>
      </c>
      <c r="H842" s="22">
        <f>F842*AE842</f>
        <v>0</v>
      </c>
      <c r="I842" s="22">
        <f>J842-H842</f>
        <v>0</v>
      </c>
      <c r="J842" s="22">
        <f>F842*G842</f>
        <v>0</v>
      </c>
      <c r="K842" s="22">
        <v>0.00093</v>
      </c>
      <c r="L842" s="22">
        <f>F842*K842</f>
        <v>0.00093</v>
      </c>
      <c r="M842" s="35" t="s">
        <v>1531</v>
      </c>
      <c r="N842" s="35" t="s">
        <v>8</v>
      </c>
      <c r="O842" s="22">
        <f>IF(N842="5",I842,0)</f>
        <v>0</v>
      </c>
      <c r="Z842" s="22">
        <f>IF(AD842=0,J842,0)</f>
        <v>0</v>
      </c>
      <c r="AA842" s="22">
        <f>IF(AD842=15,J842,0)</f>
        <v>0</v>
      </c>
      <c r="AB842" s="22">
        <f>IF(AD842=21,J842,0)</f>
        <v>0</v>
      </c>
      <c r="AD842" s="39">
        <v>15</v>
      </c>
      <c r="AE842" s="39">
        <f>G842*0.570302778929905</f>
        <v>0</v>
      </c>
      <c r="AF842" s="39">
        <f>G842*(1-0.570302778929905)</f>
        <v>0</v>
      </c>
      <c r="AM842" s="39">
        <f>F842*AE842</f>
        <v>0</v>
      </c>
      <c r="AN842" s="39">
        <f>F842*AF842</f>
        <v>0</v>
      </c>
      <c r="AO842" s="40" t="s">
        <v>1565</v>
      </c>
      <c r="AP842" s="40" t="s">
        <v>1607</v>
      </c>
      <c r="AQ842" s="31" t="s">
        <v>1614</v>
      </c>
    </row>
    <row r="843" ht="12.75">
      <c r="D843" s="18" t="s">
        <v>1355</v>
      </c>
    </row>
    <row r="844" spans="1:43" ht="12.75">
      <c r="A844" s="5" t="s">
        <v>505</v>
      </c>
      <c r="B844" s="5" t="s">
        <v>597</v>
      </c>
      <c r="C844" s="5" t="s">
        <v>876</v>
      </c>
      <c r="D844" s="5" t="s">
        <v>1356</v>
      </c>
      <c r="E844" s="5" t="s">
        <v>1504</v>
      </c>
      <c r="F844" s="22">
        <v>1</v>
      </c>
      <c r="G844" s="22">
        <v>0</v>
      </c>
      <c r="H844" s="22">
        <f>F844*AE844</f>
        <v>0</v>
      </c>
      <c r="I844" s="22">
        <f>J844-H844</f>
        <v>0</v>
      </c>
      <c r="J844" s="22">
        <f>F844*G844</f>
        <v>0</v>
      </c>
      <c r="K844" s="22">
        <v>0.00093</v>
      </c>
      <c r="L844" s="22">
        <f>F844*K844</f>
        <v>0.00093</v>
      </c>
      <c r="M844" s="35" t="s">
        <v>1531</v>
      </c>
      <c r="N844" s="35" t="s">
        <v>8</v>
      </c>
      <c r="O844" s="22">
        <f>IF(N844="5",I844,0)</f>
        <v>0</v>
      </c>
      <c r="Z844" s="22">
        <f>IF(AD844=0,J844,0)</f>
        <v>0</v>
      </c>
      <c r="AA844" s="22">
        <f>IF(AD844=15,J844,0)</f>
        <v>0</v>
      </c>
      <c r="AB844" s="22">
        <f>IF(AD844=21,J844,0)</f>
        <v>0</v>
      </c>
      <c r="AD844" s="39">
        <v>15</v>
      </c>
      <c r="AE844" s="39">
        <f>G844*0.653277586979244</f>
        <v>0</v>
      </c>
      <c r="AF844" s="39">
        <f>G844*(1-0.653277586979244)</f>
        <v>0</v>
      </c>
      <c r="AM844" s="39">
        <f>F844*AE844</f>
        <v>0</v>
      </c>
      <c r="AN844" s="39">
        <f>F844*AF844</f>
        <v>0</v>
      </c>
      <c r="AO844" s="40" t="s">
        <v>1565</v>
      </c>
      <c r="AP844" s="40" t="s">
        <v>1607</v>
      </c>
      <c r="AQ844" s="31" t="s">
        <v>1614</v>
      </c>
    </row>
    <row r="845" ht="39.6">
      <c r="D845" s="18" t="s">
        <v>1357</v>
      </c>
    </row>
    <row r="846" spans="1:43" ht="12.75">
      <c r="A846" s="6" t="s">
        <v>506</v>
      </c>
      <c r="B846" s="6" t="s">
        <v>597</v>
      </c>
      <c r="C846" s="6" t="s">
        <v>877</v>
      </c>
      <c r="D846" s="6" t="s">
        <v>1358</v>
      </c>
      <c r="E846" s="6" t="s">
        <v>1504</v>
      </c>
      <c r="F846" s="24">
        <v>3</v>
      </c>
      <c r="G846" s="24">
        <v>0</v>
      </c>
      <c r="H846" s="24">
        <f>F846*AE846</f>
        <v>0</v>
      </c>
      <c r="I846" s="24">
        <f>J846-H846</f>
        <v>0</v>
      </c>
      <c r="J846" s="24">
        <f>F846*G846</f>
        <v>0</v>
      </c>
      <c r="K846" s="24">
        <v>0.002</v>
      </c>
      <c r="L846" s="24">
        <f>F846*K846</f>
        <v>0.006</v>
      </c>
      <c r="M846" s="36" t="s">
        <v>1531</v>
      </c>
      <c r="N846" s="36" t="s">
        <v>1533</v>
      </c>
      <c r="O846" s="24">
        <f>IF(N846="5",I846,0)</f>
        <v>0</v>
      </c>
      <c r="Z846" s="24">
        <f>IF(AD846=0,J846,0)</f>
        <v>0</v>
      </c>
      <c r="AA846" s="24">
        <f>IF(AD846=15,J846,0)</f>
        <v>0</v>
      </c>
      <c r="AB846" s="24">
        <f>IF(AD846=21,J846,0)</f>
        <v>0</v>
      </c>
      <c r="AD846" s="39">
        <v>15</v>
      </c>
      <c r="AE846" s="39">
        <f>G846*1</f>
        <v>0</v>
      </c>
      <c r="AF846" s="39">
        <f>G846*(1-1)</f>
        <v>0</v>
      </c>
      <c r="AM846" s="39">
        <f>F846*AE846</f>
        <v>0</v>
      </c>
      <c r="AN846" s="39">
        <f>F846*AF846</f>
        <v>0</v>
      </c>
      <c r="AO846" s="40" t="s">
        <v>1565</v>
      </c>
      <c r="AP846" s="40" t="s">
        <v>1607</v>
      </c>
      <c r="AQ846" s="31" t="s">
        <v>1614</v>
      </c>
    </row>
    <row r="847" spans="1:13" ht="12.75">
      <c r="A847" s="7"/>
      <c r="B847" s="15" t="s">
        <v>598</v>
      </c>
      <c r="C847" s="15"/>
      <c r="D847" s="106" t="s">
        <v>1359</v>
      </c>
      <c r="E847" s="107"/>
      <c r="F847" s="107"/>
      <c r="G847" s="107"/>
      <c r="H847" s="43">
        <f>H848+H852+H889+H903+H908+H913+H957+H960+H966+H975+H985+H987+H989+H991+H993+H995</f>
        <v>0</v>
      </c>
      <c r="I847" s="43">
        <f>I848+I852+I889+I903+I908+I913+I957+I960+I966+I975+I985+I987+I989+I991+I993+I995</f>
        <v>0</v>
      </c>
      <c r="J847" s="43">
        <f>H847+I847</f>
        <v>0</v>
      </c>
      <c r="K847" s="32"/>
      <c r="L847" s="43">
        <f>L848+L852+L889+L903+L908+L913+L957+L960+L966+L975+L985+L987+L989+L991+L993+L995</f>
        <v>52.81664738</v>
      </c>
      <c r="M847" s="32"/>
    </row>
    <row r="848" spans="1:37" ht="12.75">
      <c r="A848" s="4"/>
      <c r="B848" s="14" t="s">
        <v>598</v>
      </c>
      <c r="C848" s="14" t="s">
        <v>37</v>
      </c>
      <c r="D848" s="104" t="s">
        <v>1360</v>
      </c>
      <c r="E848" s="105"/>
      <c r="F848" s="105"/>
      <c r="G848" s="105"/>
      <c r="H848" s="42">
        <f>SUM(H849:H849)</f>
        <v>0</v>
      </c>
      <c r="I848" s="42">
        <f>SUM(I849:I849)</f>
        <v>0</v>
      </c>
      <c r="J848" s="42">
        <f>H848+I848</f>
        <v>0</v>
      </c>
      <c r="K848" s="31"/>
      <c r="L848" s="42">
        <f>SUM(L849:L849)</f>
        <v>0.151014</v>
      </c>
      <c r="M848" s="31"/>
      <c r="P848" s="42">
        <f>IF(Q848="PR",J848,SUM(O849:O849))</f>
        <v>0</v>
      </c>
      <c r="Q848" s="31" t="s">
        <v>1536</v>
      </c>
      <c r="R848" s="42">
        <f>IF(Q848="HS",H848,0)</f>
        <v>0</v>
      </c>
      <c r="S848" s="42">
        <f>IF(Q848="HS",I848-P848,0)</f>
        <v>0</v>
      </c>
      <c r="T848" s="42">
        <f>IF(Q848="PS",H848,0)</f>
        <v>0</v>
      </c>
      <c r="U848" s="42">
        <f>IF(Q848="PS",I848-P848,0)</f>
        <v>0</v>
      </c>
      <c r="V848" s="42">
        <f>IF(Q848="MP",H848,0)</f>
        <v>0</v>
      </c>
      <c r="W848" s="42">
        <f>IF(Q848="MP",I848-P848,0)</f>
        <v>0</v>
      </c>
      <c r="X848" s="42">
        <f>IF(Q848="OM",H848,0)</f>
        <v>0</v>
      </c>
      <c r="Y848" s="31" t="s">
        <v>598</v>
      </c>
      <c r="AI848" s="42">
        <f>SUM(Z849:Z849)</f>
        <v>0</v>
      </c>
      <c r="AJ848" s="42">
        <f>SUM(AA849:AA849)</f>
        <v>0</v>
      </c>
      <c r="AK848" s="42">
        <f>SUM(AB849:AB849)</f>
        <v>0</v>
      </c>
    </row>
    <row r="849" spans="1:43" ht="12.75">
      <c r="A849" s="5" t="s">
        <v>507</v>
      </c>
      <c r="B849" s="5" t="s">
        <v>598</v>
      </c>
      <c r="C849" s="5" t="s">
        <v>878</v>
      </c>
      <c r="D849" s="5" t="s">
        <v>1361</v>
      </c>
      <c r="E849" s="5" t="s">
        <v>1512</v>
      </c>
      <c r="F849" s="22">
        <v>0.2</v>
      </c>
      <c r="G849" s="22">
        <v>0</v>
      </c>
      <c r="H849" s="22">
        <f>F849*AE849</f>
        <v>0</v>
      </c>
      <c r="I849" s="22">
        <f>J849-H849</f>
        <v>0</v>
      </c>
      <c r="J849" s="22">
        <f>F849*G849</f>
        <v>0</v>
      </c>
      <c r="K849" s="22">
        <v>0.75507</v>
      </c>
      <c r="L849" s="22">
        <f>F849*K849</f>
        <v>0.151014</v>
      </c>
      <c r="M849" s="35" t="s">
        <v>1531</v>
      </c>
      <c r="N849" s="35" t="s">
        <v>7</v>
      </c>
      <c r="O849" s="22">
        <f>IF(N849="5",I849,0)</f>
        <v>0</v>
      </c>
      <c r="Z849" s="22">
        <f>IF(AD849=0,J849,0)</f>
        <v>0</v>
      </c>
      <c r="AA849" s="22">
        <f>IF(AD849=15,J849,0)</f>
        <v>0</v>
      </c>
      <c r="AB849" s="22">
        <f>IF(AD849=21,J849,0)</f>
        <v>0</v>
      </c>
      <c r="AD849" s="39">
        <v>15</v>
      </c>
      <c r="AE849" s="39">
        <f>G849*0.595982160555005</f>
        <v>0</v>
      </c>
      <c r="AF849" s="39">
        <f>G849*(1-0.595982160555005)</f>
        <v>0</v>
      </c>
      <c r="AM849" s="39">
        <f>F849*AE849</f>
        <v>0</v>
      </c>
      <c r="AN849" s="39">
        <f>F849*AF849</f>
        <v>0</v>
      </c>
      <c r="AO849" s="40" t="s">
        <v>1594</v>
      </c>
      <c r="AP849" s="40" t="s">
        <v>1608</v>
      </c>
      <c r="AQ849" s="31" t="s">
        <v>1615</v>
      </c>
    </row>
    <row r="850" ht="12.75">
      <c r="D850" s="18" t="s">
        <v>1362</v>
      </c>
    </row>
    <row r="851" spans="4:6" ht="10.8" customHeight="1">
      <c r="D851" s="17" t="s">
        <v>1363</v>
      </c>
      <c r="F851" s="23">
        <v>0.2</v>
      </c>
    </row>
    <row r="852" spans="1:37" ht="12.75">
      <c r="A852" s="4"/>
      <c r="B852" s="14" t="s">
        <v>598</v>
      </c>
      <c r="C852" s="14" t="s">
        <v>68</v>
      </c>
      <c r="D852" s="104" t="s">
        <v>1364</v>
      </c>
      <c r="E852" s="105"/>
      <c r="F852" s="105"/>
      <c r="G852" s="105"/>
      <c r="H852" s="42">
        <f>SUM(H853:H887)</f>
        <v>0</v>
      </c>
      <c r="I852" s="42">
        <f>SUM(I853:I887)</f>
        <v>0</v>
      </c>
      <c r="J852" s="42">
        <f>H852+I852</f>
        <v>0</v>
      </c>
      <c r="K852" s="31"/>
      <c r="L852" s="42">
        <f>SUM(L853:L887)</f>
        <v>18.770867099999993</v>
      </c>
      <c r="M852" s="31"/>
      <c r="P852" s="42">
        <f>IF(Q852="PR",J852,SUM(O853:O887))</f>
        <v>0</v>
      </c>
      <c r="Q852" s="31" t="s">
        <v>1536</v>
      </c>
      <c r="R852" s="42">
        <f>IF(Q852="HS",H852,0)</f>
        <v>0</v>
      </c>
      <c r="S852" s="42">
        <f>IF(Q852="HS",I852-P852,0)</f>
        <v>0</v>
      </c>
      <c r="T852" s="42">
        <f>IF(Q852="PS",H852,0)</f>
        <v>0</v>
      </c>
      <c r="U852" s="42">
        <f>IF(Q852="PS",I852-P852,0)</f>
        <v>0</v>
      </c>
      <c r="V852" s="42">
        <f>IF(Q852="MP",H852,0)</f>
        <v>0</v>
      </c>
      <c r="W852" s="42">
        <f>IF(Q852="MP",I852-P852,0)</f>
        <v>0</v>
      </c>
      <c r="X852" s="42">
        <f>IF(Q852="OM",H852,0)</f>
        <v>0</v>
      </c>
      <c r="Y852" s="31" t="s">
        <v>598</v>
      </c>
      <c r="AI852" s="42">
        <f>SUM(Z853:Z887)</f>
        <v>0</v>
      </c>
      <c r="AJ852" s="42">
        <f>SUM(AA853:AA887)</f>
        <v>0</v>
      </c>
      <c r="AK852" s="42">
        <f>SUM(AB853:AB887)</f>
        <v>0</v>
      </c>
    </row>
    <row r="853" spans="1:43" ht="12.75">
      <c r="A853" s="5" t="s">
        <v>508</v>
      </c>
      <c r="B853" s="5" t="s">
        <v>598</v>
      </c>
      <c r="C853" s="5" t="s">
        <v>879</v>
      </c>
      <c r="D853" s="5" t="s">
        <v>1365</v>
      </c>
      <c r="E853" s="5" t="s">
        <v>1503</v>
      </c>
      <c r="F853" s="22">
        <v>53.55</v>
      </c>
      <c r="G853" s="22">
        <v>0</v>
      </c>
      <c r="H853" s="22">
        <f>F853*AE853</f>
        <v>0</v>
      </c>
      <c r="I853" s="22">
        <f>J853-H853</f>
        <v>0</v>
      </c>
      <c r="J853" s="22">
        <f>F853*G853</f>
        <v>0</v>
      </c>
      <c r="K853" s="22">
        <v>0.01325</v>
      </c>
      <c r="L853" s="22">
        <f>F853*K853</f>
        <v>0.7095374999999999</v>
      </c>
      <c r="M853" s="35" t="s">
        <v>1531</v>
      </c>
      <c r="N853" s="35" t="s">
        <v>7</v>
      </c>
      <c r="O853" s="22">
        <f>IF(N853="5",I853,0)</f>
        <v>0</v>
      </c>
      <c r="Z853" s="22">
        <f>IF(AD853=0,J853,0)</f>
        <v>0</v>
      </c>
      <c r="AA853" s="22">
        <f>IF(AD853=15,J853,0)</f>
        <v>0</v>
      </c>
      <c r="AB853" s="22">
        <f>IF(AD853=21,J853,0)</f>
        <v>0</v>
      </c>
      <c r="AD853" s="39">
        <v>15</v>
      </c>
      <c r="AE853" s="39">
        <f>G853*0.707473233404711</f>
        <v>0</v>
      </c>
      <c r="AF853" s="39">
        <f>G853*(1-0.707473233404711)</f>
        <v>0</v>
      </c>
      <c r="AM853" s="39">
        <f>F853*AE853</f>
        <v>0</v>
      </c>
      <c r="AN853" s="39">
        <f>F853*AF853</f>
        <v>0</v>
      </c>
      <c r="AO853" s="40" t="s">
        <v>1595</v>
      </c>
      <c r="AP853" s="40" t="s">
        <v>1601</v>
      </c>
      <c r="AQ853" s="31" t="s">
        <v>1615</v>
      </c>
    </row>
    <row r="854" ht="12.75">
      <c r="D854" s="18" t="s">
        <v>1366</v>
      </c>
    </row>
    <row r="855" spans="4:6" ht="10.8" customHeight="1">
      <c r="D855" s="17" t="s">
        <v>1367</v>
      </c>
      <c r="F855" s="23">
        <v>53.55</v>
      </c>
    </row>
    <row r="856" spans="1:43" ht="12.75">
      <c r="A856" s="5" t="s">
        <v>509</v>
      </c>
      <c r="B856" s="5" t="s">
        <v>598</v>
      </c>
      <c r="C856" s="5" t="s">
        <v>880</v>
      </c>
      <c r="D856" s="5" t="s">
        <v>1368</v>
      </c>
      <c r="E856" s="5" t="s">
        <v>1503</v>
      </c>
      <c r="F856" s="22">
        <v>53.55</v>
      </c>
      <c r="G856" s="22">
        <v>0</v>
      </c>
      <c r="H856" s="22">
        <f>F856*AE856</f>
        <v>0</v>
      </c>
      <c r="I856" s="22">
        <f>J856-H856</f>
        <v>0</v>
      </c>
      <c r="J856" s="22">
        <f>F856*G856</f>
        <v>0</v>
      </c>
      <c r="K856" s="22">
        <v>0.00618</v>
      </c>
      <c r="L856" s="22">
        <f>F856*K856</f>
        <v>0.330939</v>
      </c>
      <c r="M856" s="35" t="s">
        <v>1531</v>
      </c>
      <c r="N856" s="35" t="s">
        <v>7</v>
      </c>
      <c r="O856" s="22">
        <f>IF(N856="5",I856,0)</f>
        <v>0</v>
      </c>
      <c r="Z856" s="22">
        <f>IF(AD856=0,J856,0)</f>
        <v>0</v>
      </c>
      <c r="AA856" s="22">
        <f>IF(AD856=15,J856,0)</f>
        <v>0</v>
      </c>
      <c r="AB856" s="22">
        <f>IF(AD856=21,J856,0)</f>
        <v>0</v>
      </c>
      <c r="AD856" s="39">
        <v>15</v>
      </c>
      <c r="AE856" s="39">
        <f>G856*0.693031358885018</f>
        <v>0</v>
      </c>
      <c r="AF856" s="39">
        <f>G856*(1-0.693031358885018)</f>
        <v>0</v>
      </c>
      <c r="AM856" s="39">
        <f>F856*AE856</f>
        <v>0</v>
      </c>
      <c r="AN856" s="39">
        <f>F856*AF856</f>
        <v>0</v>
      </c>
      <c r="AO856" s="40" t="s">
        <v>1595</v>
      </c>
      <c r="AP856" s="40" t="s">
        <v>1601</v>
      </c>
      <c r="AQ856" s="31" t="s">
        <v>1615</v>
      </c>
    </row>
    <row r="857" spans="4:6" ht="10.8" customHeight="1">
      <c r="D857" s="17" t="s">
        <v>1367</v>
      </c>
      <c r="F857" s="23">
        <v>53.55</v>
      </c>
    </row>
    <row r="858" spans="1:43" ht="12.75">
      <c r="A858" s="5" t="s">
        <v>510</v>
      </c>
      <c r="B858" s="5" t="s">
        <v>598</v>
      </c>
      <c r="C858" s="5" t="s">
        <v>880</v>
      </c>
      <c r="D858" s="5" t="s">
        <v>1368</v>
      </c>
      <c r="E858" s="5" t="s">
        <v>1503</v>
      </c>
      <c r="F858" s="22">
        <v>25</v>
      </c>
      <c r="G858" s="22">
        <v>0</v>
      </c>
      <c r="H858" s="22">
        <f>F858*AE858</f>
        <v>0</v>
      </c>
      <c r="I858" s="22">
        <f>J858-H858</f>
        <v>0</v>
      </c>
      <c r="J858" s="22">
        <f>F858*G858</f>
        <v>0</v>
      </c>
      <c r="K858" s="22">
        <v>0.00618</v>
      </c>
      <c r="L858" s="22">
        <f>F858*K858</f>
        <v>0.1545</v>
      </c>
      <c r="M858" s="35" t="s">
        <v>1531</v>
      </c>
      <c r="N858" s="35" t="s">
        <v>7</v>
      </c>
      <c r="O858" s="22">
        <f>IF(N858="5",I858,0)</f>
        <v>0</v>
      </c>
      <c r="Z858" s="22">
        <f>IF(AD858=0,J858,0)</f>
        <v>0</v>
      </c>
      <c r="AA858" s="22">
        <f>IF(AD858=15,J858,0)</f>
        <v>0</v>
      </c>
      <c r="AB858" s="22">
        <f>IF(AD858=21,J858,0)</f>
        <v>0</v>
      </c>
      <c r="AD858" s="39">
        <v>15</v>
      </c>
      <c r="AE858" s="39">
        <f>G858*0.693031358885018</f>
        <v>0</v>
      </c>
      <c r="AF858" s="39">
        <f>G858*(1-0.693031358885018)</f>
        <v>0</v>
      </c>
      <c r="AM858" s="39">
        <f>F858*AE858</f>
        <v>0</v>
      </c>
      <c r="AN858" s="39">
        <f>F858*AF858</f>
        <v>0</v>
      </c>
      <c r="AO858" s="40" t="s">
        <v>1595</v>
      </c>
      <c r="AP858" s="40" t="s">
        <v>1601</v>
      </c>
      <c r="AQ858" s="31" t="s">
        <v>1615</v>
      </c>
    </row>
    <row r="859" ht="12.75">
      <c r="D859" s="18" t="s">
        <v>1369</v>
      </c>
    </row>
    <row r="860" spans="4:6" ht="10.8" customHeight="1">
      <c r="D860" s="17" t="s">
        <v>1370</v>
      </c>
      <c r="F860" s="23">
        <v>25</v>
      </c>
    </row>
    <row r="861" spans="1:43" ht="12.75">
      <c r="A861" s="5" t="s">
        <v>511</v>
      </c>
      <c r="B861" s="5" t="s">
        <v>598</v>
      </c>
      <c r="C861" s="5" t="s">
        <v>881</v>
      </c>
      <c r="D861" s="5" t="s">
        <v>1371</v>
      </c>
      <c r="E861" s="5" t="s">
        <v>1503</v>
      </c>
      <c r="F861" s="22">
        <v>435.625</v>
      </c>
      <c r="G861" s="22">
        <v>0</v>
      </c>
      <c r="H861" s="22">
        <f>F861*AE861</f>
        <v>0</v>
      </c>
      <c r="I861" s="22">
        <f>J861-H861</f>
        <v>0</v>
      </c>
      <c r="J861" s="22">
        <f>F861*G861</f>
        <v>0</v>
      </c>
      <c r="K861" s="22">
        <v>0.03371</v>
      </c>
      <c r="L861" s="22">
        <f>F861*K861</f>
        <v>14.684918749999998</v>
      </c>
      <c r="M861" s="35" t="s">
        <v>1531</v>
      </c>
      <c r="N861" s="35" t="s">
        <v>7</v>
      </c>
      <c r="O861" s="22">
        <f>IF(N861="5",I861,0)</f>
        <v>0</v>
      </c>
      <c r="Z861" s="22">
        <f>IF(AD861=0,J861,0)</f>
        <v>0</v>
      </c>
      <c r="AA861" s="22">
        <f>IF(AD861=15,J861,0)</f>
        <v>0</v>
      </c>
      <c r="AB861" s="22">
        <f>IF(AD861=21,J861,0)</f>
        <v>0</v>
      </c>
      <c r="AD861" s="39">
        <v>15</v>
      </c>
      <c r="AE861" s="39">
        <f>G861*0.75066974595843</f>
        <v>0</v>
      </c>
      <c r="AF861" s="39">
        <f>G861*(1-0.75066974595843)</f>
        <v>0</v>
      </c>
      <c r="AM861" s="39">
        <f>F861*AE861</f>
        <v>0</v>
      </c>
      <c r="AN861" s="39">
        <f>F861*AF861</f>
        <v>0</v>
      </c>
      <c r="AO861" s="40" t="s">
        <v>1595</v>
      </c>
      <c r="AP861" s="40" t="s">
        <v>1601</v>
      </c>
      <c r="AQ861" s="31" t="s">
        <v>1615</v>
      </c>
    </row>
    <row r="862" ht="12.75">
      <c r="D862" s="18" t="s">
        <v>1366</v>
      </c>
    </row>
    <row r="863" spans="4:6" ht="10.8" customHeight="1">
      <c r="D863" s="17" t="s">
        <v>1372</v>
      </c>
      <c r="F863" s="23">
        <v>556.25</v>
      </c>
    </row>
    <row r="864" spans="4:6" ht="10.8" customHeight="1">
      <c r="D864" s="17" t="s">
        <v>1373</v>
      </c>
      <c r="F864" s="23">
        <v>-59.25</v>
      </c>
    </row>
    <row r="865" spans="4:6" ht="10.8" customHeight="1">
      <c r="D865" s="17" t="s">
        <v>1374</v>
      </c>
      <c r="F865" s="23">
        <v>-7.825</v>
      </c>
    </row>
    <row r="866" spans="4:6" ht="10.8" customHeight="1">
      <c r="D866" s="17" t="s">
        <v>1375</v>
      </c>
      <c r="F866" s="23">
        <v>-53.55</v>
      </c>
    </row>
    <row r="867" spans="1:43" ht="12.75">
      <c r="A867" s="5" t="s">
        <v>512</v>
      </c>
      <c r="B867" s="5" t="s">
        <v>598</v>
      </c>
      <c r="C867" s="5" t="s">
        <v>882</v>
      </c>
      <c r="D867" s="5" t="s">
        <v>1376</v>
      </c>
      <c r="E867" s="5" t="s">
        <v>1503</v>
      </c>
      <c r="F867" s="22">
        <v>33.39</v>
      </c>
      <c r="G867" s="22">
        <v>0</v>
      </c>
      <c r="H867" s="22">
        <f>F867*AE867</f>
        <v>0</v>
      </c>
      <c r="I867" s="22">
        <f>J867-H867</f>
        <v>0</v>
      </c>
      <c r="J867" s="22">
        <f>F867*G867</f>
        <v>0</v>
      </c>
      <c r="K867" s="22">
        <v>0.0148</v>
      </c>
      <c r="L867" s="22">
        <f>F867*K867</f>
        <v>0.49417200000000006</v>
      </c>
      <c r="M867" s="35" t="s">
        <v>1531</v>
      </c>
      <c r="N867" s="35" t="s">
        <v>7</v>
      </c>
      <c r="O867" s="22">
        <f>IF(N867="5",I867,0)</f>
        <v>0</v>
      </c>
      <c r="Z867" s="22">
        <f>IF(AD867=0,J867,0)</f>
        <v>0</v>
      </c>
      <c r="AA867" s="22">
        <f>IF(AD867=15,J867,0)</f>
        <v>0</v>
      </c>
      <c r="AB867" s="22">
        <f>IF(AD867=21,J867,0)</f>
        <v>0</v>
      </c>
      <c r="AD867" s="39">
        <v>15</v>
      </c>
      <c r="AE867" s="39">
        <f>G867*0.351608623548922</f>
        <v>0</v>
      </c>
      <c r="AF867" s="39">
        <f>G867*(1-0.351608623548922)</f>
        <v>0</v>
      </c>
      <c r="AM867" s="39">
        <f>F867*AE867</f>
        <v>0</v>
      </c>
      <c r="AN867" s="39">
        <f>F867*AF867</f>
        <v>0</v>
      </c>
      <c r="AO867" s="40" t="s">
        <v>1595</v>
      </c>
      <c r="AP867" s="40" t="s">
        <v>1601</v>
      </c>
      <c r="AQ867" s="31" t="s">
        <v>1615</v>
      </c>
    </row>
    <row r="868" ht="12.75">
      <c r="D868" s="18" t="s">
        <v>1366</v>
      </c>
    </row>
    <row r="869" spans="4:6" ht="10.8" customHeight="1">
      <c r="D869" s="17" t="s">
        <v>1377</v>
      </c>
      <c r="F869" s="23">
        <v>33.39</v>
      </c>
    </row>
    <row r="870" spans="1:43" ht="12.75">
      <c r="A870" s="5" t="s">
        <v>513</v>
      </c>
      <c r="B870" s="5" t="s">
        <v>598</v>
      </c>
      <c r="C870" s="5" t="s">
        <v>883</v>
      </c>
      <c r="D870" s="5" t="s">
        <v>1378</v>
      </c>
      <c r="E870" s="5" t="s">
        <v>1505</v>
      </c>
      <c r="F870" s="22">
        <v>66.94</v>
      </c>
      <c r="G870" s="22">
        <v>0</v>
      </c>
      <c r="H870" s="22">
        <f>F870*AE870</f>
        <v>0</v>
      </c>
      <c r="I870" s="22">
        <f>J870-H870</f>
        <v>0</v>
      </c>
      <c r="J870" s="22">
        <f>F870*G870</f>
        <v>0</v>
      </c>
      <c r="K870" s="22">
        <v>0.00207</v>
      </c>
      <c r="L870" s="22">
        <f>F870*K870</f>
        <v>0.1385658</v>
      </c>
      <c r="M870" s="35" t="s">
        <v>1531</v>
      </c>
      <c r="N870" s="35" t="s">
        <v>7</v>
      </c>
      <c r="O870" s="22">
        <f>IF(N870="5",I870,0)</f>
        <v>0</v>
      </c>
      <c r="Z870" s="22">
        <f>IF(AD870=0,J870,0)</f>
        <v>0</v>
      </c>
      <c r="AA870" s="22">
        <f>IF(AD870=15,J870,0)</f>
        <v>0</v>
      </c>
      <c r="AB870" s="22">
        <f>IF(AD870=21,J870,0)</f>
        <v>0</v>
      </c>
      <c r="AD870" s="39">
        <v>15</v>
      </c>
      <c r="AE870" s="39">
        <f>G870*0.552312703583062</f>
        <v>0</v>
      </c>
      <c r="AF870" s="39">
        <f>G870*(1-0.552312703583062)</f>
        <v>0</v>
      </c>
      <c r="AM870" s="39">
        <f>F870*AE870</f>
        <v>0</v>
      </c>
      <c r="AN870" s="39">
        <f>F870*AF870</f>
        <v>0</v>
      </c>
      <c r="AO870" s="40" t="s">
        <v>1595</v>
      </c>
      <c r="AP870" s="40" t="s">
        <v>1601</v>
      </c>
      <c r="AQ870" s="31" t="s">
        <v>1615</v>
      </c>
    </row>
    <row r="871" spans="4:6" ht="10.8" customHeight="1">
      <c r="D871" s="17" t="s">
        <v>1379</v>
      </c>
      <c r="F871" s="23">
        <v>66.94</v>
      </c>
    </row>
    <row r="872" spans="1:43" ht="12.75">
      <c r="A872" s="5" t="s">
        <v>514</v>
      </c>
      <c r="B872" s="5" t="s">
        <v>598</v>
      </c>
      <c r="C872" s="5" t="s">
        <v>884</v>
      </c>
      <c r="D872" s="5" t="s">
        <v>1380</v>
      </c>
      <c r="E872" s="5" t="s">
        <v>1503</v>
      </c>
      <c r="F872" s="22">
        <v>12</v>
      </c>
      <c r="G872" s="22">
        <v>0</v>
      </c>
      <c r="H872" s="22">
        <f>F872*AE872</f>
        <v>0</v>
      </c>
      <c r="I872" s="22">
        <f>J872-H872</f>
        <v>0</v>
      </c>
      <c r="J872" s="22">
        <f>F872*G872</f>
        <v>0</v>
      </c>
      <c r="K872" s="22">
        <v>0.04793</v>
      </c>
      <c r="L872" s="22">
        <f>F872*K872</f>
        <v>0.57516</v>
      </c>
      <c r="M872" s="35" t="s">
        <v>1531</v>
      </c>
      <c r="N872" s="35" t="s">
        <v>7</v>
      </c>
      <c r="O872" s="22">
        <f>IF(N872="5",I872,0)</f>
        <v>0</v>
      </c>
      <c r="Z872" s="22">
        <f>IF(AD872=0,J872,0)</f>
        <v>0</v>
      </c>
      <c r="AA872" s="22">
        <f>IF(AD872=15,J872,0)</f>
        <v>0</v>
      </c>
      <c r="AB872" s="22">
        <f>IF(AD872=21,J872,0)</f>
        <v>0</v>
      </c>
      <c r="AD872" s="39">
        <v>15</v>
      </c>
      <c r="AE872" s="39">
        <f>G872*0.287068493150685</f>
        <v>0</v>
      </c>
      <c r="AF872" s="39">
        <f>G872*(1-0.287068493150685)</f>
        <v>0</v>
      </c>
      <c r="AM872" s="39">
        <f>F872*AE872</f>
        <v>0</v>
      </c>
      <c r="AN872" s="39">
        <f>F872*AF872</f>
        <v>0</v>
      </c>
      <c r="AO872" s="40" t="s">
        <v>1595</v>
      </c>
      <c r="AP872" s="40" t="s">
        <v>1601</v>
      </c>
      <c r="AQ872" s="31" t="s">
        <v>1615</v>
      </c>
    </row>
    <row r="873" ht="12.75">
      <c r="D873" s="18" t="s">
        <v>1369</v>
      </c>
    </row>
    <row r="874" spans="1:43" ht="12.75">
      <c r="A874" s="5" t="s">
        <v>515</v>
      </c>
      <c r="B874" s="5" t="s">
        <v>598</v>
      </c>
      <c r="C874" s="5" t="s">
        <v>885</v>
      </c>
      <c r="D874" s="5" t="s">
        <v>1381</v>
      </c>
      <c r="E874" s="5" t="s">
        <v>1503</v>
      </c>
      <c r="F874" s="22">
        <v>522.565</v>
      </c>
      <c r="G874" s="22">
        <v>0</v>
      </c>
      <c r="H874" s="22">
        <f>F874*AE874</f>
        <v>0</v>
      </c>
      <c r="I874" s="22">
        <f>J874-H874</f>
        <v>0</v>
      </c>
      <c r="J874" s="22">
        <f>F874*G874</f>
        <v>0</v>
      </c>
      <c r="K874" s="22">
        <v>2E-05</v>
      </c>
      <c r="L874" s="22">
        <f>F874*K874</f>
        <v>0.010451300000000002</v>
      </c>
      <c r="M874" s="35" t="s">
        <v>1531</v>
      </c>
      <c r="N874" s="35" t="s">
        <v>7</v>
      </c>
      <c r="O874" s="22">
        <f>IF(N874="5",I874,0)</f>
        <v>0</v>
      </c>
      <c r="Z874" s="22">
        <f>IF(AD874=0,J874,0)</f>
        <v>0</v>
      </c>
      <c r="AA874" s="22">
        <f>IF(AD874=15,J874,0)</f>
        <v>0</v>
      </c>
      <c r="AB874" s="22">
        <f>IF(AD874=21,J874,0)</f>
        <v>0</v>
      </c>
      <c r="AD874" s="39">
        <v>15</v>
      </c>
      <c r="AE874" s="39">
        <f>G874*0.0849964780464898</f>
        <v>0</v>
      </c>
      <c r="AF874" s="39">
        <f>G874*(1-0.0849964780464898)</f>
        <v>0</v>
      </c>
      <c r="AM874" s="39">
        <f>F874*AE874</f>
        <v>0</v>
      </c>
      <c r="AN874" s="39">
        <f>F874*AF874</f>
        <v>0</v>
      </c>
      <c r="AO874" s="40" t="s">
        <v>1595</v>
      </c>
      <c r="AP874" s="40" t="s">
        <v>1601</v>
      </c>
      <c r="AQ874" s="31" t="s">
        <v>1615</v>
      </c>
    </row>
    <row r="875" spans="4:6" ht="10.8" customHeight="1">
      <c r="D875" s="17" t="s">
        <v>1382</v>
      </c>
      <c r="F875" s="23">
        <v>522.565</v>
      </c>
    </row>
    <row r="876" spans="1:43" ht="12.75">
      <c r="A876" s="5" t="s">
        <v>516</v>
      </c>
      <c r="B876" s="5" t="s">
        <v>598</v>
      </c>
      <c r="C876" s="5" t="s">
        <v>886</v>
      </c>
      <c r="D876" s="5" t="s">
        <v>1383</v>
      </c>
      <c r="E876" s="5" t="s">
        <v>1505</v>
      </c>
      <c r="F876" s="22">
        <v>44.1</v>
      </c>
      <c r="G876" s="22">
        <v>0</v>
      </c>
      <c r="H876" s="22">
        <f>F876*AE876</f>
        <v>0</v>
      </c>
      <c r="I876" s="22">
        <f>J876-H876</f>
        <v>0</v>
      </c>
      <c r="J876" s="22">
        <f>F876*G876</f>
        <v>0</v>
      </c>
      <c r="K876" s="22">
        <v>7E-05</v>
      </c>
      <c r="L876" s="22">
        <f>F876*K876</f>
        <v>0.003087</v>
      </c>
      <c r="M876" s="35" t="s">
        <v>1531</v>
      </c>
      <c r="N876" s="35" t="s">
        <v>7</v>
      </c>
      <c r="O876" s="22">
        <f>IF(N876="5",I876,0)</f>
        <v>0</v>
      </c>
      <c r="Z876" s="22">
        <f>IF(AD876=0,J876,0)</f>
        <v>0</v>
      </c>
      <c r="AA876" s="22">
        <f>IF(AD876=15,J876,0)</f>
        <v>0</v>
      </c>
      <c r="AB876" s="22">
        <f>IF(AD876=21,J876,0)</f>
        <v>0</v>
      </c>
      <c r="AD876" s="39">
        <v>15</v>
      </c>
      <c r="AE876" s="39">
        <f>G876*0.34</f>
        <v>0</v>
      </c>
      <c r="AF876" s="39">
        <f>G876*(1-0.34)</f>
        <v>0</v>
      </c>
      <c r="AM876" s="39">
        <f>F876*AE876</f>
        <v>0</v>
      </c>
      <c r="AN876" s="39">
        <f>F876*AF876</f>
        <v>0</v>
      </c>
      <c r="AO876" s="40" t="s">
        <v>1595</v>
      </c>
      <c r="AP876" s="40" t="s">
        <v>1601</v>
      </c>
      <c r="AQ876" s="31" t="s">
        <v>1615</v>
      </c>
    </row>
    <row r="877" spans="4:6" ht="10.8" customHeight="1">
      <c r="D877" s="17" t="s">
        <v>1384</v>
      </c>
      <c r="F877" s="23">
        <v>44.1</v>
      </c>
    </row>
    <row r="878" spans="1:43" ht="12.75">
      <c r="A878" s="5" t="s">
        <v>517</v>
      </c>
      <c r="B878" s="5" t="s">
        <v>598</v>
      </c>
      <c r="C878" s="5" t="s">
        <v>887</v>
      </c>
      <c r="D878" s="5" t="s">
        <v>1385</v>
      </c>
      <c r="E878" s="5" t="s">
        <v>1505</v>
      </c>
      <c r="F878" s="22">
        <v>122.9</v>
      </c>
      <c r="G878" s="22">
        <v>0</v>
      </c>
      <c r="H878" s="22">
        <f>F878*AE878</f>
        <v>0</v>
      </c>
      <c r="I878" s="22">
        <f>J878-H878</f>
        <v>0</v>
      </c>
      <c r="J878" s="22">
        <f>F878*G878</f>
        <v>0</v>
      </c>
      <c r="K878" s="22">
        <v>0.00015</v>
      </c>
      <c r="L878" s="22">
        <f>F878*K878</f>
        <v>0.018435</v>
      </c>
      <c r="M878" s="35" t="s">
        <v>1531</v>
      </c>
      <c r="N878" s="35" t="s">
        <v>7</v>
      </c>
      <c r="O878" s="22">
        <f>IF(N878="5",I878,0)</f>
        <v>0</v>
      </c>
      <c r="Z878" s="22">
        <f>IF(AD878=0,J878,0)</f>
        <v>0</v>
      </c>
      <c r="AA878" s="22">
        <f>IF(AD878=15,J878,0)</f>
        <v>0</v>
      </c>
      <c r="AB878" s="22">
        <f>IF(AD878=21,J878,0)</f>
        <v>0</v>
      </c>
      <c r="AD878" s="39">
        <v>15</v>
      </c>
      <c r="AE878" s="39">
        <f>G878*0.492093023255814</f>
        <v>0</v>
      </c>
      <c r="AF878" s="39">
        <f>G878*(1-0.492093023255814)</f>
        <v>0</v>
      </c>
      <c r="AM878" s="39">
        <f>F878*AE878</f>
        <v>0</v>
      </c>
      <c r="AN878" s="39">
        <f>F878*AF878</f>
        <v>0</v>
      </c>
      <c r="AO878" s="40" t="s">
        <v>1595</v>
      </c>
      <c r="AP878" s="40" t="s">
        <v>1601</v>
      </c>
      <c r="AQ878" s="31" t="s">
        <v>1615</v>
      </c>
    </row>
    <row r="879" ht="12.75">
      <c r="D879" s="18" t="s">
        <v>1386</v>
      </c>
    </row>
    <row r="880" spans="4:6" ht="10.8" customHeight="1">
      <c r="D880" s="17" t="s">
        <v>1387</v>
      </c>
      <c r="F880" s="23">
        <v>111.3</v>
      </c>
    </row>
    <row r="881" spans="4:6" ht="10.8" customHeight="1">
      <c r="D881" s="17" t="s">
        <v>1388</v>
      </c>
      <c r="F881" s="23">
        <v>11.6</v>
      </c>
    </row>
    <row r="882" spans="1:43" ht="12.75">
      <c r="A882" s="5" t="s">
        <v>518</v>
      </c>
      <c r="B882" s="5" t="s">
        <v>598</v>
      </c>
      <c r="C882" s="5" t="s">
        <v>888</v>
      </c>
      <c r="D882" s="5" t="s">
        <v>1389</v>
      </c>
      <c r="E882" s="5" t="s">
        <v>1503</v>
      </c>
      <c r="F882" s="22">
        <v>469.015</v>
      </c>
      <c r="G882" s="22">
        <v>0</v>
      </c>
      <c r="H882" s="22">
        <f>F882*AE882</f>
        <v>0</v>
      </c>
      <c r="I882" s="22">
        <f>J882-H882</f>
        <v>0</v>
      </c>
      <c r="J882" s="22">
        <f>F882*G882</f>
        <v>0</v>
      </c>
      <c r="K882" s="22">
        <v>0.00315</v>
      </c>
      <c r="L882" s="22">
        <f>F882*K882</f>
        <v>1.4773972499999999</v>
      </c>
      <c r="M882" s="35" t="s">
        <v>1531</v>
      </c>
      <c r="N882" s="35" t="s">
        <v>7</v>
      </c>
      <c r="O882" s="22">
        <f>IF(N882="5",I882,0)</f>
        <v>0</v>
      </c>
      <c r="Z882" s="22">
        <f>IF(AD882=0,J882,0)</f>
        <v>0</v>
      </c>
      <c r="AA882" s="22">
        <f>IF(AD882=15,J882,0)</f>
        <v>0</v>
      </c>
      <c r="AB882" s="22">
        <f>IF(AD882=21,J882,0)</f>
        <v>0</v>
      </c>
      <c r="AD882" s="39">
        <v>15</v>
      </c>
      <c r="AE882" s="39">
        <f>G882*0.347760703040556</f>
        <v>0</v>
      </c>
      <c r="AF882" s="39">
        <f>G882*(1-0.347760703040556)</f>
        <v>0</v>
      </c>
      <c r="AM882" s="39">
        <f>F882*AE882</f>
        <v>0</v>
      </c>
      <c r="AN882" s="39">
        <f>F882*AF882</f>
        <v>0</v>
      </c>
      <c r="AO882" s="40" t="s">
        <v>1595</v>
      </c>
      <c r="AP882" s="40" t="s">
        <v>1601</v>
      </c>
      <c r="AQ882" s="31" t="s">
        <v>1615</v>
      </c>
    </row>
    <row r="883" ht="12.75">
      <c r="D883" s="18" t="s">
        <v>1390</v>
      </c>
    </row>
    <row r="884" spans="4:6" ht="10.8" customHeight="1">
      <c r="D884" s="17" t="s">
        <v>1391</v>
      </c>
      <c r="F884" s="23">
        <v>469.015</v>
      </c>
    </row>
    <row r="885" spans="1:43" ht="12.75">
      <c r="A885" s="5" t="s">
        <v>519</v>
      </c>
      <c r="B885" s="5" t="s">
        <v>598</v>
      </c>
      <c r="C885" s="5" t="s">
        <v>889</v>
      </c>
      <c r="D885" s="5" t="s">
        <v>1392</v>
      </c>
      <c r="E885" s="5" t="s">
        <v>1503</v>
      </c>
      <c r="F885" s="22">
        <v>469.015</v>
      </c>
      <c r="G885" s="22">
        <v>0</v>
      </c>
      <c r="H885" s="22">
        <f>F885*AE885</f>
        <v>0</v>
      </c>
      <c r="I885" s="22">
        <f>J885-H885</f>
        <v>0</v>
      </c>
      <c r="J885" s="22">
        <f>F885*G885</f>
        <v>0</v>
      </c>
      <c r="K885" s="22">
        <v>0.00032</v>
      </c>
      <c r="L885" s="22">
        <f>F885*K885</f>
        <v>0.15008480000000002</v>
      </c>
      <c r="M885" s="35" t="s">
        <v>1531</v>
      </c>
      <c r="N885" s="35" t="s">
        <v>7</v>
      </c>
      <c r="O885" s="22">
        <f>IF(N885="5",I885,0)</f>
        <v>0</v>
      </c>
      <c r="Z885" s="22">
        <f>IF(AD885=0,J885,0)</f>
        <v>0</v>
      </c>
      <c r="AA885" s="22">
        <f>IF(AD885=15,J885,0)</f>
        <v>0</v>
      </c>
      <c r="AB885" s="22">
        <f>IF(AD885=21,J885,0)</f>
        <v>0</v>
      </c>
      <c r="AD885" s="39">
        <v>15</v>
      </c>
      <c r="AE885" s="39">
        <f>G885*0.581081081081081</f>
        <v>0</v>
      </c>
      <c r="AF885" s="39">
        <f>G885*(1-0.581081081081081)</f>
        <v>0</v>
      </c>
      <c r="AM885" s="39">
        <f>F885*AE885</f>
        <v>0</v>
      </c>
      <c r="AN885" s="39">
        <f>F885*AF885</f>
        <v>0</v>
      </c>
      <c r="AO885" s="40" t="s">
        <v>1595</v>
      </c>
      <c r="AP885" s="40" t="s">
        <v>1601</v>
      </c>
      <c r="AQ885" s="31" t="s">
        <v>1615</v>
      </c>
    </row>
    <row r="886" spans="4:6" ht="10.8" customHeight="1">
      <c r="D886" s="17" t="s">
        <v>1391</v>
      </c>
      <c r="F886" s="23">
        <v>469.015</v>
      </c>
    </row>
    <row r="887" spans="1:43" ht="12.75">
      <c r="A887" s="6" t="s">
        <v>520</v>
      </c>
      <c r="B887" s="6" t="s">
        <v>598</v>
      </c>
      <c r="C887" s="6" t="s">
        <v>890</v>
      </c>
      <c r="D887" s="6" t="s">
        <v>1393</v>
      </c>
      <c r="E887" s="6" t="s">
        <v>1505</v>
      </c>
      <c r="F887" s="24">
        <v>236.187</v>
      </c>
      <c r="G887" s="24">
        <v>0</v>
      </c>
      <c r="H887" s="24">
        <f>F887*AE887</f>
        <v>0</v>
      </c>
      <c r="I887" s="24">
        <f>J887-H887</f>
        <v>0</v>
      </c>
      <c r="J887" s="24">
        <f>F887*G887</f>
        <v>0</v>
      </c>
      <c r="K887" s="24">
        <v>0.0001</v>
      </c>
      <c r="L887" s="24">
        <f>F887*K887</f>
        <v>0.023618700000000003</v>
      </c>
      <c r="M887" s="36" t="s">
        <v>1531</v>
      </c>
      <c r="N887" s="36" t="s">
        <v>1533</v>
      </c>
      <c r="O887" s="24">
        <f>IF(N887="5",I887,0)</f>
        <v>0</v>
      </c>
      <c r="Z887" s="24">
        <f>IF(AD887=0,J887,0)</f>
        <v>0</v>
      </c>
      <c r="AA887" s="24">
        <f>IF(AD887=15,J887,0)</f>
        <v>0</v>
      </c>
      <c r="AB887" s="24">
        <f>IF(AD887=21,J887,0)</f>
        <v>0</v>
      </c>
      <c r="AD887" s="39">
        <v>15</v>
      </c>
      <c r="AE887" s="39">
        <f>G887*1</f>
        <v>0</v>
      </c>
      <c r="AF887" s="39">
        <f>G887*(1-1)</f>
        <v>0</v>
      </c>
      <c r="AM887" s="39">
        <f>F887*AE887</f>
        <v>0</v>
      </c>
      <c r="AN887" s="39">
        <f>F887*AF887</f>
        <v>0</v>
      </c>
      <c r="AO887" s="40" t="s">
        <v>1595</v>
      </c>
      <c r="AP887" s="40" t="s">
        <v>1601</v>
      </c>
      <c r="AQ887" s="31" t="s">
        <v>1615</v>
      </c>
    </row>
    <row r="888" spans="4:6" ht="10.8" customHeight="1">
      <c r="D888" s="17" t="s">
        <v>1394</v>
      </c>
      <c r="F888" s="23">
        <v>236.187</v>
      </c>
    </row>
    <row r="889" spans="1:37" ht="12.75">
      <c r="A889" s="4"/>
      <c r="B889" s="14" t="s">
        <v>598</v>
      </c>
      <c r="C889" s="14" t="s">
        <v>70</v>
      </c>
      <c r="D889" s="104" t="s">
        <v>980</v>
      </c>
      <c r="E889" s="105"/>
      <c r="F889" s="105"/>
      <c r="G889" s="105"/>
      <c r="H889" s="42">
        <f>SUM(H890:H902)</f>
        <v>0</v>
      </c>
      <c r="I889" s="42">
        <f>SUM(I890:I902)</f>
        <v>0</v>
      </c>
      <c r="J889" s="42">
        <f>H889+I889</f>
        <v>0</v>
      </c>
      <c r="K889" s="31"/>
      <c r="L889" s="42">
        <f>SUM(L890:L902)</f>
        <v>4.35168</v>
      </c>
      <c r="M889" s="31"/>
      <c r="P889" s="42">
        <f>IF(Q889="PR",J889,SUM(O890:O902))</f>
        <v>0</v>
      </c>
      <c r="Q889" s="31" t="s">
        <v>1536</v>
      </c>
      <c r="R889" s="42">
        <f>IF(Q889="HS",H889,0)</f>
        <v>0</v>
      </c>
      <c r="S889" s="42">
        <f>IF(Q889="HS",I889-P889,0)</f>
        <v>0</v>
      </c>
      <c r="T889" s="42">
        <f>IF(Q889="PS",H889,0)</f>
        <v>0</v>
      </c>
      <c r="U889" s="42">
        <f>IF(Q889="PS",I889-P889,0)</f>
        <v>0</v>
      </c>
      <c r="V889" s="42">
        <f>IF(Q889="MP",H889,0)</f>
        <v>0</v>
      </c>
      <c r="W889" s="42">
        <f>IF(Q889="MP",I889-P889,0)</f>
        <v>0</v>
      </c>
      <c r="X889" s="42">
        <f>IF(Q889="OM",H889,0)</f>
        <v>0</v>
      </c>
      <c r="Y889" s="31" t="s">
        <v>598</v>
      </c>
      <c r="AI889" s="42">
        <f>SUM(Z890:Z902)</f>
        <v>0</v>
      </c>
      <c r="AJ889" s="42">
        <f>SUM(AA890:AA902)</f>
        <v>0</v>
      </c>
      <c r="AK889" s="42">
        <f>SUM(AB890:AB902)</f>
        <v>0</v>
      </c>
    </row>
    <row r="890" spans="1:43" ht="12.75">
      <c r="A890" s="6" t="s">
        <v>521</v>
      </c>
      <c r="B890" s="6" t="s">
        <v>598</v>
      </c>
      <c r="C890" s="6" t="s">
        <v>891</v>
      </c>
      <c r="D890" s="6" t="s">
        <v>1395</v>
      </c>
      <c r="E890" s="6" t="s">
        <v>1504</v>
      </c>
      <c r="F890" s="24">
        <v>21</v>
      </c>
      <c r="G890" s="24">
        <v>0</v>
      </c>
      <c r="H890" s="24">
        <f aca="true" t="shared" si="214" ref="H890:H902">F890*AE890</f>
        <v>0</v>
      </c>
      <c r="I890" s="24">
        <f aca="true" t="shared" si="215" ref="I890:I902">J890-H890</f>
        <v>0</v>
      </c>
      <c r="J890" s="24">
        <f aca="true" t="shared" si="216" ref="J890:J902">F890*G890</f>
        <v>0</v>
      </c>
      <c r="K890" s="24">
        <v>0.068</v>
      </c>
      <c r="L890" s="24">
        <f aca="true" t="shared" si="217" ref="L890:L902">F890*K890</f>
        <v>1.4280000000000002</v>
      </c>
      <c r="M890" s="36" t="s">
        <v>1531</v>
      </c>
      <c r="N890" s="36" t="s">
        <v>1533</v>
      </c>
      <c r="O890" s="24">
        <f aca="true" t="shared" si="218" ref="O890:O902">IF(N890="5",I890,0)</f>
        <v>0</v>
      </c>
      <c r="Z890" s="24">
        <f aca="true" t="shared" si="219" ref="Z890:Z902">IF(AD890=0,J890,0)</f>
        <v>0</v>
      </c>
      <c r="AA890" s="24">
        <f aca="true" t="shared" si="220" ref="AA890:AA902">IF(AD890=15,J890,0)</f>
        <v>0</v>
      </c>
      <c r="AB890" s="24">
        <f aca="true" t="shared" si="221" ref="AB890:AB902">IF(AD890=21,J890,0)</f>
        <v>0</v>
      </c>
      <c r="AD890" s="39">
        <v>15</v>
      </c>
      <c r="AE890" s="39">
        <f>G890*1</f>
        <v>0</v>
      </c>
      <c r="AF890" s="39">
        <f>G890*(1-1)</f>
        <v>0</v>
      </c>
      <c r="AM890" s="39">
        <f aca="true" t="shared" si="222" ref="AM890:AM902">F890*AE890</f>
        <v>0</v>
      </c>
      <c r="AN890" s="39">
        <f aca="true" t="shared" si="223" ref="AN890:AN902">F890*AF890</f>
        <v>0</v>
      </c>
      <c r="AO890" s="40" t="s">
        <v>1547</v>
      </c>
      <c r="AP890" s="40" t="s">
        <v>1601</v>
      </c>
      <c r="AQ890" s="31" t="s">
        <v>1615</v>
      </c>
    </row>
    <row r="891" spans="1:43" ht="12.75">
      <c r="A891" s="5" t="s">
        <v>522</v>
      </c>
      <c r="B891" s="5" t="s">
        <v>598</v>
      </c>
      <c r="C891" s="5" t="s">
        <v>892</v>
      </c>
      <c r="D891" s="5" t="s">
        <v>1396</v>
      </c>
      <c r="E891" s="5" t="s">
        <v>1504</v>
      </c>
      <c r="F891" s="22">
        <v>21</v>
      </c>
      <c r="G891" s="22">
        <v>0</v>
      </c>
      <c r="H891" s="22">
        <f t="shared" si="214"/>
        <v>0</v>
      </c>
      <c r="I891" s="22">
        <f t="shared" si="215"/>
        <v>0</v>
      </c>
      <c r="J891" s="22">
        <f t="shared" si="216"/>
        <v>0</v>
      </c>
      <c r="K891" s="22">
        <v>0.00165</v>
      </c>
      <c r="L891" s="22">
        <f t="shared" si="217"/>
        <v>0.03465</v>
      </c>
      <c r="M891" s="35" t="s">
        <v>1531</v>
      </c>
      <c r="N891" s="35" t="s">
        <v>7</v>
      </c>
      <c r="O891" s="22">
        <f t="shared" si="218"/>
        <v>0</v>
      </c>
      <c r="Z891" s="22">
        <f t="shared" si="219"/>
        <v>0</v>
      </c>
      <c r="AA891" s="22">
        <f t="shared" si="220"/>
        <v>0</v>
      </c>
      <c r="AB891" s="22">
        <f t="shared" si="221"/>
        <v>0</v>
      </c>
      <c r="AD891" s="39">
        <v>15</v>
      </c>
      <c r="AE891" s="39">
        <f>G891*0.158382608695652</f>
        <v>0</v>
      </c>
      <c r="AF891" s="39">
        <f>G891*(1-0.158382608695652)</f>
        <v>0</v>
      </c>
      <c r="AM891" s="39">
        <f t="shared" si="222"/>
        <v>0</v>
      </c>
      <c r="AN891" s="39">
        <f t="shared" si="223"/>
        <v>0</v>
      </c>
      <c r="AO891" s="40" t="s">
        <v>1547</v>
      </c>
      <c r="AP891" s="40" t="s">
        <v>1601</v>
      </c>
      <c r="AQ891" s="31" t="s">
        <v>1615</v>
      </c>
    </row>
    <row r="892" spans="1:43" ht="12.75">
      <c r="A892" s="6" t="s">
        <v>523</v>
      </c>
      <c r="B892" s="6" t="s">
        <v>598</v>
      </c>
      <c r="C892" s="6" t="s">
        <v>893</v>
      </c>
      <c r="D892" s="6" t="s">
        <v>1397</v>
      </c>
      <c r="E892" s="6" t="s">
        <v>1504</v>
      </c>
      <c r="F892" s="24">
        <v>5</v>
      </c>
      <c r="G892" s="24">
        <v>0</v>
      </c>
      <c r="H892" s="24">
        <f t="shared" si="214"/>
        <v>0</v>
      </c>
      <c r="I892" s="24">
        <f t="shared" si="215"/>
        <v>0</v>
      </c>
      <c r="J892" s="24">
        <f t="shared" si="216"/>
        <v>0</v>
      </c>
      <c r="K892" s="24">
        <v>0.0131</v>
      </c>
      <c r="L892" s="24">
        <f t="shared" si="217"/>
        <v>0.0655</v>
      </c>
      <c r="M892" s="36" t="s">
        <v>1531</v>
      </c>
      <c r="N892" s="36" t="s">
        <v>1533</v>
      </c>
      <c r="O892" s="24">
        <f t="shared" si="218"/>
        <v>0</v>
      </c>
      <c r="Z892" s="24">
        <f t="shared" si="219"/>
        <v>0</v>
      </c>
      <c r="AA892" s="24">
        <f t="shared" si="220"/>
        <v>0</v>
      </c>
      <c r="AB892" s="24">
        <f t="shared" si="221"/>
        <v>0</v>
      </c>
      <c r="AD892" s="39">
        <v>15</v>
      </c>
      <c r="AE892" s="39">
        <f>G892*1</f>
        <v>0</v>
      </c>
      <c r="AF892" s="39">
        <f>G892*(1-1)</f>
        <v>0</v>
      </c>
      <c r="AM892" s="39">
        <f t="shared" si="222"/>
        <v>0</v>
      </c>
      <c r="AN892" s="39">
        <f t="shared" si="223"/>
        <v>0</v>
      </c>
      <c r="AO892" s="40" t="s">
        <v>1547</v>
      </c>
      <c r="AP892" s="40" t="s">
        <v>1601</v>
      </c>
      <c r="AQ892" s="31" t="s">
        <v>1615</v>
      </c>
    </row>
    <row r="893" spans="1:43" ht="12.75">
      <c r="A893" s="5" t="s">
        <v>524</v>
      </c>
      <c r="B893" s="5" t="s">
        <v>598</v>
      </c>
      <c r="C893" s="5" t="s">
        <v>894</v>
      </c>
      <c r="D893" s="5" t="s">
        <v>1398</v>
      </c>
      <c r="E893" s="5" t="s">
        <v>1504</v>
      </c>
      <c r="F893" s="22">
        <v>5</v>
      </c>
      <c r="G893" s="22">
        <v>0</v>
      </c>
      <c r="H893" s="22">
        <f t="shared" si="214"/>
        <v>0</v>
      </c>
      <c r="I893" s="22">
        <f t="shared" si="215"/>
        <v>0</v>
      </c>
      <c r="J893" s="22">
        <f t="shared" si="216"/>
        <v>0</v>
      </c>
      <c r="K893" s="22">
        <v>0.0009</v>
      </c>
      <c r="L893" s="22">
        <f t="shared" si="217"/>
        <v>0.0045</v>
      </c>
      <c r="M893" s="35" t="s">
        <v>1531</v>
      </c>
      <c r="N893" s="35" t="s">
        <v>7</v>
      </c>
      <c r="O893" s="22">
        <f t="shared" si="218"/>
        <v>0</v>
      </c>
      <c r="Z893" s="22">
        <f t="shared" si="219"/>
        <v>0</v>
      </c>
      <c r="AA893" s="22">
        <f t="shared" si="220"/>
        <v>0</v>
      </c>
      <c r="AB893" s="22">
        <f t="shared" si="221"/>
        <v>0</v>
      </c>
      <c r="AD893" s="39">
        <v>15</v>
      </c>
      <c r="AE893" s="39">
        <f>G893*0.116371359223301</f>
        <v>0</v>
      </c>
      <c r="AF893" s="39">
        <f>G893*(1-0.116371359223301)</f>
        <v>0</v>
      </c>
      <c r="AM893" s="39">
        <f t="shared" si="222"/>
        <v>0</v>
      </c>
      <c r="AN893" s="39">
        <f t="shared" si="223"/>
        <v>0</v>
      </c>
      <c r="AO893" s="40" t="s">
        <v>1547</v>
      </c>
      <c r="AP893" s="40" t="s">
        <v>1601</v>
      </c>
      <c r="AQ893" s="31" t="s">
        <v>1615</v>
      </c>
    </row>
    <row r="894" spans="1:43" ht="12.75">
      <c r="A894" s="6" t="s">
        <v>525</v>
      </c>
      <c r="B894" s="6" t="s">
        <v>598</v>
      </c>
      <c r="C894" s="6" t="s">
        <v>895</v>
      </c>
      <c r="D894" s="6" t="s">
        <v>1399</v>
      </c>
      <c r="E894" s="6" t="s">
        <v>1504</v>
      </c>
      <c r="F894" s="24">
        <v>4</v>
      </c>
      <c r="G894" s="24">
        <v>0</v>
      </c>
      <c r="H894" s="24">
        <f t="shared" si="214"/>
        <v>0</v>
      </c>
      <c r="I894" s="24">
        <f t="shared" si="215"/>
        <v>0</v>
      </c>
      <c r="J894" s="24">
        <f t="shared" si="216"/>
        <v>0</v>
      </c>
      <c r="K894" s="24">
        <v>0.034</v>
      </c>
      <c r="L894" s="24">
        <f t="shared" si="217"/>
        <v>0.136</v>
      </c>
      <c r="M894" s="36" t="s">
        <v>1531</v>
      </c>
      <c r="N894" s="36" t="s">
        <v>1533</v>
      </c>
      <c r="O894" s="24">
        <f t="shared" si="218"/>
        <v>0</v>
      </c>
      <c r="Z894" s="24">
        <f t="shared" si="219"/>
        <v>0</v>
      </c>
      <c r="AA894" s="24">
        <f t="shared" si="220"/>
        <v>0</v>
      </c>
      <c r="AB894" s="24">
        <f t="shared" si="221"/>
        <v>0</v>
      </c>
      <c r="AD894" s="39">
        <v>15</v>
      </c>
      <c r="AE894" s="39">
        <f>G894*1</f>
        <v>0</v>
      </c>
      <c r="AF894" s="39">
        <f>G894*(1-1)</f>
        <v>0</v>
      </c>
      <c r="AM894" s="39">
        <f t="shared" si="222"/>
        <v>0</v>
      </c>
      <c r="AN894" s="39">
        <f t="shared" si="223"/>
        <v>0</v>
      </c>
      <c r="AO894" s="40" t="s">
        <v>1547</v>
      </c>
      <c r="AP894" s="40" t="s">
        <v>1601</v>
      </c>
      <c r="AQ894" s="31" t="s">
        <v>1615</v>
      </c>
    </row>
    <row r="895" spans="1:43" ht="12.75">
      <c r="A895" s="5" t="s">
        <v>526</v>
      </c>
      <c r="B895" s="5" t="s">
        <v>598</v>
      </c>
      <c r="C895" s="5" t="s">
        <v>896</v>
      </c>
      <c r="D895" s="5" t="s">
        <v>1400</v>
      </c>
      <c r="E895" s="5" t="s">
        <v>1504</v>
      </c>
      <c r="F895" s="22">
        <v>4</v>
      </c>
      <c r="G895" s="22">
        <v>0</v>
      </c>
      <c r="H895" s="22">
        <f t="shared" si="214"/>
        <v>0</v>
      </c>
      <c r="I895" s="22">
        <f t="shared" si="215"/>
        <v>0</v>
      </c>
      <c r="J895" s="22">
        <f t="shared" si="216"/>
        <v>0</v>
      </c>
      <c r="K895" s="22">
        <v>0.00182</v>
      </c>
      <c r="L895" s="22">
        <f t="shared" si="217"/>
        <v>0.00728</v>
      </c>
      <c r="M895" s="35" t="s">
        <v>1531</v>
      </c>
      <c r="N895" s="35" t="s">
        <v>9</v>
      </c>
      <c r="O895" s="22">
        <f t="shared" si="218"/>
        <v>0</v>
      </c>
      <c r="Z895" s="22">
        <f t="shared" si="219"/>
        <v>0</v>
      </c>
      <c r="AA895" s="22">
        <f t="shared" si="220"/>
        <v>0</v>
      </c>
      <c r="AB895" s="22">
        <f t="shared" si="221"/>
        <v>0</v>
      </c>
      <c r="AD895" s="39">
        <v>15</v>
      </c>
      <c r="AE895" s="39">
        <f>G895*0.198452380952381</f>
        <v>0</v>
      </c>
      <c r="AF895" s="39">
        <f>G895*(1-0.198452380952381)</f>
        <v>0</v>
      </c>
      <c r="AM895" s="39">
        <f t="shared" si="222"/>
        <v>0</v>
      </c>
      <c r="AN895" s="39">
        <f t="shared" si="223"/>
        <v>0</v>
      </c>
      <c r="AO895" s="40" t="s">
        <v>1547</v>
      </c>
      <c r="AP895" s="40" t="s">
        <v>1601</v>
      </c>
      <c r="AQ895" s="31" t="s">
        <v>1615</v>
      </c>
    </row>
    <row r="896" spans="1:43" ht="12.75">
      <c r="A896" s="6" t="s">
        <v>527</v>
      </c>
      <c r="B896" s="6" t="s">
        <v>598</v>
      </c>
      <c r="C896" s="6" t="s">
        <v>897</v>
      </c>
      <c r="D896" s="6" t="s">
        <v>1401</v>
      </c>
      <c r="E896" s="6" t="s">
        <v>1504</v>
      </c>
      <c r="F896" s="24">
        <v>2</v>
      </c>
      <c r="G896" s="24">
        <v>0</v>
      </c>
      <c r="H896" s="24">
        <f t="shared" si="214"/>
        <v>0</v>
      </c>
      <c r="I896" s="24">
        <f t="shared" si="215"/>
        <v>0</v>
      </c>
      <c r="J896" s="24">
        <f t="shared" si="216"/>
        <v>0</v>
      </c>
      <c r="K896" s="24">
        <v>0.042</v>
      </c>
      <c r="L896" s="24">
        <f t="shared" si="217"/>
        <v>0.084</v>
      </c>
      <c r="M896" s="36" t="s">
        <v>1531</v>
      </c>
      <c r="N896" s="36" t="s">
        <v>1533</v>
      </c>
      <c r="O896" s="24">
        <f t="shared" si="218"/>
        <v>0</v>
      </c>
      <c r="Z896" s="24">
        <f t="shared" si="219"/>
        <v>0</v>
      </c>
      <c r="AA896" s="24">
        <f t="shared" si="220"/>
        <v>0</v>
      </c>
      <c r="AB896" s="24">
        <f t="shared" si="221"/>
        <v>0</v>
      </c>
      <c r="AD896" s="39">
        <v>15</v>
      </c>
      <c r="AE896" s="39">
        <f>G896*1</f>
        <v>0</v>
      </c>
      <c r="AF896" s="39">
        <f>G896*(1-1)</f>
        <v>0</v>
      </c>
      <c r="AM896" s="39">
        <f t="shared" si="222"/>
        <v>0</v>
      </c>
      <c r="AN896" s="39">
        <f t="shared" si="223"/>
        <v>0</v>
      </c>
      <c r="AO896" s="40" t="s">
        <v>1547</v>
      </c>
      <c r="AP896" s="40" t="s">
        <v>1601</v>
      </c>
      <c r="AQ896" s="31" t="s">
        <v>1615</v>
      </c>
    </row>
    <row r="897" spans="1:43" ht="12.75">
      <c r="A897" s="5" t="s">
        <v>528</v>
      </c>
      <c r="B897" s="5" t="s">
        <v>598</v>
      </c>
      <c r="C897" s="5" t="s">
        <v>898</v>
      </c>
      <c r="D897" s="5" t="s">
        <v>1402</v>
      </c>
      <c r="E897" s="5" t="s">
        <v>1504</v>
      </c>
      <c r="F897" s="22">
        <v>2</v>
      </c>
      <c r="G897" s="22">
        <v>0</v>
      </c>
      <c r="H897" s="22">
        <f t="shared" si="214"/>
        <v>0</v>
      </c>
      <c r="I897" s="22">
        <f t="shared" si="215"/>
        <v>0</v>
      </c>
      <c r="J897" s="22">
        <f t="shared" si="216"/>
        <v>0</v>
      </c>
      <c r="K897" s="22">
        <v>0.00162</v>
      </c>
      <c r="L897" s="22">
        <f t="shared" si="217"/>
        <v>0.00324</v>
      </c>
      <c r="M897" s="35" t="s">
        <v>1531</v>
      </c>
      <c r="N897" s="35" t="s">
        <v>9</v>
      </c>
      <c r="O897" s="22">
        <f t="shared" si="218"/>
        <v>0</v>
      </c>
      <c r="Z897" s="22">
        <f t="shared" si="219"/>
        <v>0</v>
      </c>
      <c r="AA897" s="22">
        <f t="shared" si="220"/>
        <v>0</v>
      </c>
      <c r="AB897" s="22">
        <f t="shared" si="221"/>
        <v>0</v>
      </c>
      <c r="AD897" s="39">
        <v>15</v>
      </c>
      <c r="AE897" s="39">
        <f>G897*0.159044679307549</f>
        <v>0</v>
      </c>
      <c r="AF897" s="39">
        <f>G897*(1-0.159044679307549)</f>
        <v>0</v>
      </c>
      <c r="AM897" s="39">
        <f t="shared" si="222"/>
        <v>0</v>
      </c>
      <c r="AN897" s="39">
        <f t="shared" si="223"/>
        <v>0</v>
      </c>
      <c r="AO897" s="40" t="s">
        <v>1547</v>
      </c>
      <c r="AP897" s="40" t="s">
        <v>1601</v>
      </c>
      <c r="AQ897" s="31" t="s">
        <v>1615</v>
      </c>
    </row>
    <row r="898" spans="1:43" ht="12.75">
      <c r="A898" s="6" t="s">
        <v>529</v>
      </c>
      <c r="B898" s="6" t="s">
        <v>598</v>
      </c>
      <c r="C898" s="6" t="s">
        <v>899</v>
      </c>
      <c r="D898" s="6" t="s">
        <v>1403</v>
      </c>
      <c r="E898" s="6" t="s">
        <v>1504</v>
      </c>
      <c r="F898" s="24">
        <v>1</v>
      </c>
      <c r="G898" s="24">
        <v>0</v>
      </c>
      <c r="H898" s="24">
        <f t="shared" si="214"/>
        <v>0</v>
      </c>
      <c r="I898" s="24">
        <f t="shared" si="215"/>
        <v>0</v>
      </c>
      <c r="J898" s="24">
        <f t="shared" si="216"/>
        <v>0</v>
      </c>
      <c r="K898" s="24">
        <v>0.044</v>
      </c>
      <c r="L898" s="24">
        <f t="shared" si="217"/>
        <v>0.044</v>
      </c>
      <c r="M898" s="36" t="s">
        <v>1531</v>
      </c>
      <c r="N898" s="36" t="s">
        <v>1533</v>
      </c>
      <c r="O898" s="24">
        <f t="shared" si="218"/>
        <v>0</v>
      </c>
      <c r="Z898" s="24">
        <f t="shared" si="219"/>
        <v>0</v>
      </c>
      <c r="AA898" s="24">
        <f t="shared" si="220"/>
        <v>0</v>
      </c>
      <c r="AB898" s="24">
        <f t="shared" si="221"/>
        <v>0</v>
      </c>
      <c r="AD898" s="39">
        <v>15</v>
      </c>
      <c r="AE898" s="39">
        <f>G898*1</f>
        <v>0</v>
      </c>
      <c r="AF898" s="39">
        <f>G898*(1-1)</f>
        <v>0</v>
      </c>
      <c r="AM898" s="39">
        <f t="shared" si="222"/>
        <v>0</v>
      </c>
      <c r="AN898" s="39">
        <f t="shared" si="223"/>
        <v>0</v>
      </c>
      <c r="AO898" s="40" t="s">
        <v>1547</v>
      </c>
      <c r="AP898" s="40" t="s">
        <v>1601</v>
      </c>
      <c r="AQ898" s="31" t="s">
        <v>1615</v>
      </c>
    </row>
    <row r="899" spans="1:43" ht="12.75">
      <c r="A899" s="5" t="s">
        <v>530</v>
      </c>
      <c r="B899" s="5" t="s">
        <v>598</v>
      </c>
      <c r="C899" s="5" t="s">
        <v>900</v>
      </c>
      <c r="D899" s="5" t="s">
        <v>1404</v>
      </c>
      <c r="E899" s="5" t="s">
        <v>1504</v>
      </c>
      <c r="F899" s="22">
        <v>1</v>
      </c>
      <c r="G899" s="22">
        <v>0</v>
      </c>
      <c r="H899" s="22">
        <f t="shared" si="214"/>
        <v>0</v>
      </c>
      <c r="I899" s="22">
        <f t="shared" si="215"/>
        <v>0</v>
      </c>
      <c r="J899" s="22">
        <f t="shared" si="216"/>
        <v>0</v>
      </c>
      <c r="K899" s="22">
        <v>0.15231</v>
      </c>
      <c r="L899" s="22">
        <f t="shared" si="217"/>
        <v>0.15231</v>
      </c>
      <c r="M899" s="35" t="s">
        <v>1531</v>
      </c>
      <c r="N899" s="35" t="s">
        <v>9</v>
      </c>
      <c r="O899" s="22">
        <f t="shared" si="218"/>
        <v>0</v>
      </c>
      <c r="Z899" s="22">
        <f t="shared" si="219"/>
        <v>0</v>
      </c>
      <c r="AA899" s="22">
        <f t="shared" si="220"/>
        <v>0</v>
      </c>
      <c r="AB899" s="22">
        <f t="shared" si="221"/>
        <v>0</v>
      </c>
      <c r="AD899" s="39">
        <v>15</v>
      </c>
      <c r="AE899" s="39">
        <f>G899*0.439766168637517</f>
        <v>0</v>
      </c>
      <c r="AF899" s="39">
        <f>G899*(1-0.439766168637517)</f>
        <v>0</v>
      </c>
      <c r="AM899" s="39">
        <f t="shared" si="222"/>
        <v>0</v>
      </c>
      <c r="AN899" s="39">
        <f t="shared" si="223"/>
        <v>0</v>
      </c>
      <c r="AO899" s="40" t="s">
        <v>1547</v>
      </c>
      <c r="AP899" s="40" t="s">
        <v>1601</v>
      </c>
      <c r="AQ899" s="31" t="s">
        <v>1615</v>
      </c>
    </row>
    <row r="900" spans="1:43" ht="12.75">
      <c r="A900" s="6" t="s">
        <v>531</v>
      </c>
      <c r="B900" s="6" t="s">
        <v>598</v>
      </c>
      <c r="C900" s="6" t="s">
        <v>901</v>
      </c>
      <c r="D900" s="6" t="s">
        <v>1405</v>
      </c>
      <c r="E900" s="6" t="s">
        <v>1504</v>
      </c>
      <c r="F900" s="24">
        <v>3</v>
      </c>
      <c r="G900" s="24">
        <v>0</v>
      </c>
      <c r="H900" s="24">
        <f t="shared" si="214"/>
        <v>0</v>
      </c>
      <c r="I900" s="24">
        <f t="shared" si="215"/>
        <v>0</v>
      </c>
      <c r="J900" s="24">
        <f t="shared" si="216"/>
        <v>0</v>
      </c>
      <c r="K900" s="24">
        <v>0</v>
      </c>
      <c r="L900" s="24">
        <f t="shared" si="217"/>
        <v>0</v>
      </c>
      <c r="M900" s="36" t="s">
        <v>1531</v>
      </c>
      <c r="N900" s="36" t="s">
        <v>1533</v>
      </c>
      <c r="O900" s="24">
        <f t="shared" si="218"/>
        <v>0</v>
      </c>
      <c r="Z900" s="24">
        <f t="shared" si="219"/>
        <v>0</v>
      </c>
      <c r="AA900" s="24">
        <f t="shared" si="220"/>
        <v>0</v>
      </c>
      <c r="AB900" s="24">
        <f t="shared" si="221"/>
        <v>0</v>
      </c>
      <c r="AD900" s="39">
        <v>15</v>
      </c>
      <c r="AE900" s="39">
        <f>G900*1</f>
        <v>0</v>
      </c>
      <c r="AF900" s="39">
        <f>G900*(1-1)</f>
        <v>0</v>
      </c>
      <c r="AM900" s="39">
        <f t="shared" si="222"/>
        <v>0</v>
      </c>
      <c r="AN900" s="39">
        <f t="shared" si="223"/>
        <v>0</v>
      </c>
      <c r="AO900" s="40" t="s">
        <v>1547</v>
      </c>
      <c r="AP900" s="40" t="s">
        <v>1601</v>
      </c>
      <c r="AQ900" s="31" t="s">
        <v>1615</v>
      </c>
    </row>
    <row r="901" spans="1:43" ht="12.75">
      <c r="A901" s="5" t="s">
        <v>532</v>
      </c>
      <c r="B901" s="5" t="s">
        <v>598</v>
      </c>
      <c r="C901" s="5" t="s">
        <v>902</v>
      </c>
      <c r="D901" s="5" t="s">
        <v>1406</v>
      </c>
      <c r="E901" s="5" t="s">
        <v>1504</v>
      </c>
      <c r="F901" s="22">
        <v>6</v>
      </c>
      <c r="G901" s="22">
        <v>0</v>
      </c>
      <c r="H901" s="22">
        <f t="shared" si="214"/>
        <v>0</v>
      </c>
      <c r="I901" s="22">
        <f t="shared" si="215"/>
        <v>0</v>
      </c>
      <c r="J901" s="22">
        <f t="shared" si="216"/>
        <v>0</v>
      </c>
      <c r="K901" s="22">
        <v>0</v>
      </c>
      <c r="L901" s="22">
        <f t="shared" si="217"/>
        <v>0</v>
      </c>
      <c r="M901" s="35" t="s">
        <v>1531</v>
      </c>
      <c r="N901" s="35" t="s">
        <v>7</v>
      </c>
      <c r="O901" s="22">
        <f t="shared" si="218"/>
        <v>0</v>
      </c>
      <c r="Z901" s="22">
        <f t="shared" si="219"/>
        <v>0</v>
      </c>
      <c r="AA901" s="22">
        <f t="shared" si="220"/>
        <v>0</v>
      </c>
      <c r="AB901" s="22">
        <f t="shared" si="221"/>
        <v>0</v>
      </c>
      <c r="AD901" s="39">
        <v>15</v>
      </c>
      <c r="AE901" s="39">
        <f>G901*0</f>
        <v>0</v>
      </c>
      <c r="AF901" s="39">
        <f>G901*(1-0)</f>
        <v>0</v>
      </c>
      <c r="AM901" s="39">
        <f t="shared" si="222"/>
        <v>0</v>
      </c>
      <c r="AN901" s="39">
        <f t="shared" si="223"/>
        <v>0</v>
      </c>
      <c r="AO901" s="40" t="s">
        <v>1547</v>
      </c>
      <c r="AP901" s="40" t="s">
        <v>1601</v>
      </c>
      <c r="AQ901" s="31" t="s">
        <v>1615</v>
      </c>
    </row>
    <row r="902" spans="1:43" ht="12.75">
      <c r="A902" s="6" t="s">
        <v>533</v>
      </c>
      <c r="B902" s="6" t="s">
        <v>598</v>
      </c>
      <c r="C902" s="6" t="s">
        <v>903</v>
      </c>
      <c r="D902" s="6" t="s">
        <v>1407</v>
      </c>
      <c r="E902" s="6" t="s">
        <v>1504</v>
      </c>
      <c r="F902" s="24">
        <v>6</v>
      </c>
      <c r="G902" s="24">
        <v>0</v>
      </c>
      <c r="H902" s="24">
        <f t="shared" si="214"/>
        <v>0</v>
      </c>
      <c r="I902" s="24">
        <f t="shared" si="215"/>
        <v>0</v>
      </c>
      <c r="J902" s="24">
        <f t="shared" si="216"/>
        <v>0</v>
      </c>
      <c r="K902" s="24">
        <v>0.3987</v>
      </c>
      <c r="L902" s="24">
        <f t="shared" si="217"/>
        <v>2.3922</v>
      </c>
      <c r="M902" s="36" t="s">
        <v>1531</v>
      </c>
      <c r="N902" s="36" t="s">
        <v>1533</v>
      </c>
      <c r="O902" s="24">
        <f t="shared" si="218"/>
        <v>0</v>
      </c>
      <c r="Z902" s="24">
        <f t="shared" si="219"/>
        <v>0</v>
      </c>
      <c r="AA902" s="24">
        <f t="shared" si="220"/>
        <v>0</v>
      </c>
      <c r="AB902" s="24">
        <f t="shared" si="221"/>
        <v>0</v>
      </c>
      <c r="AD902" s="39">
        <v>15</v>
      </c>
      <c r="AE902" s="39">
        <f>G902*1</f>
        <v>0</v>
      </c>
      <c r="AF902" s="39">
        <f>G902*(1-1)</f>
        <v>0</v>
      </c>
      <c r="AM902" s="39">
        <f t="shared" si="222"/>
        <v>0</v>
      </c>
      <c r="AN902" s="39">
        <f t="shared" si="223"/>
        <v>0</v>
      </c>
      <c r="AO902" s="40" t="s">
        <v>1547</v>
      </c>
      <c r="AP902" s="40" t="s">
        <v>1601</v>
      </c>
      <c r="AQ902" s="31" t="s">
        <v>1615</v>
      </c>
    </row>
    <row r="903" spans="1:37" ht="12.75">
      <c r="A903" s="4"/>
      <c r="B903" s="14" t="s">
        <v>598</v>
      </c>
      <c r="C903" s="14" t="s">
        <v>612</v>
      </c>
      <c r="D903" s="104" t="s">
        <v>987</v>
      </c>
      <c r="E903" s="105"/>
      <c r="F903" s="105"/>
      <c r="G903" s="105"/>
      <c r="H903" s="42">
        <f>SUM(H904:H906)</f>
        <v>0</v>
      </c>
      <c r="I903" s="42">
        <f>SUM(I904:I906)</f>
        <v>0</v>
      </c>
      <c r="J903" s="42">
        <f>H903+I903</f>
        <v>0</v>
      </c>
      <c r="K903" s="31"/>
      <c r="L903" s="42">
        <f>SUM(L904:L906)</f>
        <v>2.52</v>
      </c>
      <c r="M903" s="31"/>
      <c r="P903" s="42">
        <f>IF(Q903="PR",J903,SUM(O904:O906))</f>
        <v>0</v>
      </c>
      <c r="Q903" s="31" t="s">
        <v>1537</v>
      </c>
      <c r="R903" s="42">
        <f>IF(Q903="HS",H903,0)</f>
        <v>0</v>
      </c>
      <c r="S903" s="42">
        <f>IF(Q903="HS",I903-P903,0)</f>
        <v>0</v>
      </c>
      <c r="T903" s="42">
        <f>IF(Q903="PS",H903,0)</f>
        <v>0</v>
      </c>
      <c r="U903" s="42">
        <f>IF(Q903="PS",I903-P903,0)</f>
        <v>0</v>
      </c>
      <c r="V903" s="42">
        <f>IF(Q903="MP",H903,0)</f>
        <v>0</v>
      </c>
      <c r="W903" s="42">
        <f>IF(Q903="MP",I903-P903,0)</f>
        <v>0</v>
      </c>
      <c r="X903" s="42">
        <f>IF(Q903="OM",H903,0)</f>
        <v>0</v>
      </c>
      <c r="Y903" s="31" t="s">
        <v>598</v>
      </c>
      <c r="AI903" s="42">
        <f>SUM(Z904:Z906)</f>
        <v>0</v>
      </c>
      <c r="AJ903" s="42">
        <f>SUM(AA904:AA906)</f>
        <v>0</v>
      </c>
      <c r="AK903" s="42">
        <f>SUM(AB904:AB906)</f>
        <v>0</v>
      </c>
    </row>
    <row r="904" spans="1:43" ht="12.75">
      <c r="A904" s="5" t="s">
        <v>534</v>
      </c>
      <c r="B904" s="5" t="s">
        <v>598</v>
      </c>
      <c r="C904" s="5" t="s">
        <v>904</v>
      </c>
      <c r="D904" s="5" t="s">
        <v>1408</v>
      </c>
      <c r="E904" s="5" t="s">
        <v>1503</v>
      </c>
      <c r="F904" s="22">
        <v>225</v>
      </c>
      <c r="G904" s="22">
        <v>0</v>
      </c>
      <c r="H904" s="22">
        <f>F904*AE904</f>
        <v>0</v>
      </c>
      <c r="I904" s="22">
        <f>J904-H904</f>
        <v>0</v>
      </c>
      <c r="J904" s="22">
        <f>F904*G904</f>
        <v>0</v>
      </c>
      <c r="K904" s="22">
        <v>0</v>
      </c>
      <c r="L904" s="22">
        <f>F904*K904</f>
        <v>0</v>
      </c>
      <c r="M904" s="35" t="s">
        <v>1531</v>
      </c>
      <c r="N904" s="35" t="s">
        <v>7</v>
      </c>
      <c r="O904" s="22">
        <f>IF(N904="5",I904,0)</f>
        <v>0</v>
      </c>
      <c r="Z904" s="22">
        <f>IF(AD904=0,J904,0)</f>
        <v>0</v>
      </c>
      <c r="AA904" s="22">
        <f>IF(AD904=15,J904,0)</f>
        <v>0</v>
      </c>
      <c r="AB904" s="22">
        <f>IF(AD904=21,J904,0)</f>
        <v>0</v>
      </c>
      <c r="AD904" s="39">
        <v>15</v>
      </c>
      <c r="AE904" s="39">
        <f>G904*0</f>
        <v>0</v>
      </c>
      <c r="AF904" s="39">
        <f>G904*(1-0)</f>
        <v>0</v>
      </c>
      <c r="AM904" s="39">
        <f>F904*AE904</f>
        <v>0</v>
      </c>
      <c r="AN904" s="39">
        <f>F904*AF904</f>
        <v>0</v>
      </c>
      <c r="AO904" s="40" t="s">
        <v>1548</v>
      </c>
      <c r="AP904" s="40" t="s">
        <v>1602</v>
      </c>
      <c r="AQ904" s="31" t="s">
        <v>1615</v>
      </c>
    </row>
    <row r="905" ht="12.75">
      <c r="D905" s="18" t="s">
        <v>1409</v>
      </c>
    </row>
    <row r="906" spans="1:43" ht="12.75">
      <c r="A906" s="6" t="s">
        <v>535</v>
      </c>
      <c r="B906" s="6" t="s">
        <v>598</v>
      </c>
      <c r="C906" s="6" t="s">
        <v>905</v>
      </c>
      <c r="D906" s="6" t="s">
        <v>1410</v>
      </c>
      <c r="E906" s="6" t="s">
        <v>1503</v>
      </c>
      <c r="F906" s="24">
        <v>450</v>
      </c>
      <c r="G906" s="24">
        <v>0</v>
      </c>
      <c r="H906" s="24">
        <f>F906*AE906</f>
        <v>0</v>
      </c>
      <c r="I906" s="24">
        <f>J906-H906</f>
        <v>0</v>
      </c>
      <c r="J906" s="24">
        <f>F906*G906</f>
        <v>0</v>
      </c>
      <c r="K906" s="24">
        <v>0.0056</v>
      </c>
      <c r="L906" s="24">
        <f>F906*K906</f>
        <v>2.52</v>
      </c>
      <c r="M906" s="36" t="s">
        <v>1531</v>
      </c>
      <c r="N906" s="36" t="s">
        <v>1533</v>
      </c>
      <c r="O906" s="24">
        <f>IF(N906="5",I906,0)</f>
        <v>0</v>
      </c>
      <c r="Z906" s="24">
        <f>IF(AD906=0,J906,0)</f>
        <v>0</v>
      </c>
      <c r="AA906" s="24">
        <f>IF(AD906=15,J906,0)</f>
        <v>0</v>
      </c>
      <c r="AB906" s="24">
        <f>IF(AD906=21,J906,0)</f>
        <v>0</v>
      </c>
      <c r="AD906" s="39">
        <v>15</v>
      </c>
      <c r="AE906" s="39">
        <f>G906*1</f>
        <v>0</v>
      </c>
      <c r="AF906" s="39">
        <f>G906*(1-1)</f>
        <v>0</v>
      </c>
      <c r="AM906" s="39">
        <f>F906*AE906</f>
        <v>0</v>
      </c>
      <c r="AN906" s="39">
        <f>F906*AF906</f>
        <v>0</v>
      </c>
      <c r="AO906" s="40" t="s">
        <v>1548</v>
      </c>
      <c r="AP906" s="40" t="s">
        <v>1602</v>
      </c>
      <c r="AQ906" s="31" t="s">
        <v>1615</v>
      </c>
    </row>
    <row r="907" spans="4:6" ht="10.8" customHeight="1">
      <c r="D907" s="17" t="s">
        <v>1411</v>
      </c>
      <c r="F907" s="23">
        <v>450</v>
      </c>
    </row>
    <row r="908" spans="1:37" ht="12.75">
      <c r="A908" s="4"/>
      <c r="B908" s="14" t="s">
        <v>598</v>
      </c>
      <c r="C908" s="14" t="s">
        <v>906</v>
      </c>
      <c r="D908" s="104" t="s">
        <v>1412</v>
      </c>
      <c r="E908" s="105"/>
      <c r="F908" s="105"/>
      <c r="G908" s="105"/>
      <c r="H908" s="42">
        <f>SUM(H909:H911)</f>
        <v>0</v>
      </c>
      <c r="I908" s="42">
        <f>SUM(I909:I911)</f>
        <v>0</v>
      </c>
      <c r="J908" s="42">
        <f>H908+I908</f>
        <v>0</v>
      </c>
      <c r="K908" s="31"/>
      <c r="L908" s="42">
        <f>SUM(L909:L911)</f>
        <v>1.3566175</v>
      </c>
      <c r="M908" s="31"/>
      <c r="P908" s="42">
        <f>IF(Q908="PR",J908,SUM(O909:O911))</f>
        <v>0</v>
      </c>
      <c r="Q908" s="31" t="s">
        <v>1537</v>
      </c>
      <c r="R908" s="42">
        <f>IF(Q908="HS",H908,0)</f>
        <v>0</v>
      </c>
      <c r="S908" s="42">
        <f>IF(Q908="HS",I908-P908,0)</f>
        <v>0</v>
      </c>
      <c r="T908" s="42">
        <f>IF(Q908="PS",H908,0)</f>
        <v>0</v>
      </c>
      <c r="U908" s="42">
        <f>IF(Q908="PS",I908-P908,0)</f>
        <v>0</v>
      </c>
      <c r="V908" s="42">
        <f>IF(Q908="MP",H908,0)</f>
        <v>0</v>
      </c>
      <c r="W908" s="42">
        <f>IF(Q908="MP",I908-P908,0)</f>
        <v>0</v>
      </c>
      <c r="X908" s="42">
        <f>IF(Q908="OM",H908,0)</f>
        <v>0</v>
      </c>
      <c r="Y908" s="31" t="s">
        <v>598</v>
      </c>
      <c r="AI908" s="42">
        <f>SUM(Z909:Z911)</f>
        <v>0</v>
      </c>
      <c r="AJ908" s="42">
        <f>SUM(AA909:AA911)</f>
        <v>0</v>
      </c>
      <c r="AK908" s="42">
        <f>SUM(AB909:AB911)</f>
        <v>0</v>
      </c>
    </row>
    <row r="909" spans="1:43" ht="12.75">
      <c r="A909" s="5" t="s">
        <v>536</v>
      </c>
      <c r="B909" s="5" t="s">
        <v>598</v>
      </c>
      <c r="C909" s="5" t="s">
        <v>907</v>
      </c>
      <c r="D909" s="5" t="s">
        <v>1413</v>
      </c>
      <c r="E909" s="5" t="s">
        <v>1505</v>
      </c>
      <c r="F909" s="22">
        <v>20</v>
      </c>
      <c r="G909" s="22">
        <v>0</v>
      </c>
      <c r="H909" s="22">
        <f>F909*AE909</f>
        <v>0</v>
      </c>
      <c r="I909" s="22">
        <f>J909-H909</f>
        <v>0</v>
      </c>
      <c r="J909" s="22">
        <f>F909*G909</f>
        <v>0</v>
      </c>
      <c r="K909" s="22">
        <v>0.01025</v>
      </c>
      <c r="L909" s="22">
        <f>F909*K909</f>
        <v>0.20500000000000002</v>
      </c>
      <c r="M909" s="35" t="s">
        <v>1531</v>
      </c>
      <c r="N909" s="35" t="s">
        <v>7</v>
      </c>
      <c r="O909" s="22">
        <f>IF(N909="5",I909,0)</f>
        <v>0</v>
      </c>
      <c r="Z909" s="22">
        <f>IF(AD909=0,J909,0)</f>
        <v>0</v>
      </c>
      <c r="AA909" s="22">
        <f>IF(AD909=15,J909,0)</f>
        <v>0</v>
      </c>
      <c r="AB909" s="22">
        <f>IF(AD909=21,J909,0)</f>
        <v>0</v>
      </c>
      <c r="AD909" s="39">
        <v>15</v>
      </c>
      <c r="AE909" s="39">
        <f>G909*0.443</f>
        <v>0</v>
      </c>
      <c r="AF909" s="39">
        <f>G909*(1-0.443)</f>
        <v>0</v>
      </c>
      <c r="AM909" s="39">
        <f>F909*AE909</f>
        <v>0</v>
      </c>
      <c r="AN909" s="39">
        <f>F909*AF909</f>
        <v>0</v>
      </c>
      <c r="AO909" s="40" t="s">
        <v>1596</v>
      </c>
      <c r="AP909" s="40" t="s">
        <v>1604</v>
      </c>
      <c r="AQ909" s="31" t="s">
        <v>1615</v>
      </c>
    </row>
    <row r="910" ht="12.75">
      <c r="D910" s="18" t="s">
        <v>1414</v>
      </c>
    </row>
    <row r="911" spans="1:43" ht="12.75">
      <c r="A911" s="5" t="s">
        <v>537</v>
      </c>
      <c r="B911" s="5" t="s">
        <v>598</v>
      </c>
      <c r="C911" s="5" t="s">
        <v>908</v>
      </c>
      <c r="D911" s="5" t="s">
        <v>1415</v>
      </c>
      <c r="E911" s="5" t="s">
        <v>1503</v>
      </c>
      <c r="F911" s="22">
        <v>272.25</v>
      </c>
      <c r="G911" s="22">
        <v>0</v>
      </c>
      <c r="H911" s="22">
        <f>F911*AE911</f>
        <v>0</v>
      </c>
      <c r="I911" s="22">
        <f>J911-H911</f>
        <v>0</v>
      </c>
      <c r="J911" s="22">
        <f>F911*G911</f>
        <v>0</v>
      </c>
      <c r="K911" s="22">
        <v>0.00423</v>
      </c>
      <c r="L911" s="22">
        <f>F911*K911</f>
        <v>1.1516175</v>
      </c>
      <c r="M911" s="35" t="s">
        <v>1531</v>
      </c>
      <c r="N911" s="35" t="s">
        <v>9</v>
      </c>
      <c r="O911" s="22">
        <f>IF(N911="5",I911,0)</f>
        <v>0</v>
      </c>
      <c r="Z911" s="22">
        <f>IF(AD911=0,J911,0)</f>
        <v>0</v>
      </c>
      <c r="AA911" s="22">
        <f>IF(AD911=15,J911,0)</f>
        <v>0</v>
      </c>
      <c r="AB911" s="22">
        <f>IF(AD911=21,J911,0)</f>
        <v>0</v>
      </c>
      <c r="AD911" s="39">
        <v>15</v>
      </c>
      <c r="AE911" s="39">
        <f>G911*0.412213164251208</f>
        <v>0</v>
      </c>
      <c r="AF911" s="39">
        <f>G911*(1-0.412213164251208)</f>
        <v>0</v>
      </c>
      <c r="AM911" s="39">
        <f>F911*AE911</f>
        <v>0</v>
      </c>
      <c r="AN911" s="39">
        <f>F911*AF911</f>
        <v>0</v>
      </c>
      <c r="AO911" s="40" t="s">
        <v>1596</v>
      </c>
      <c r="AP911" s="40" t="s">
        <v>1604</v>
      </c>
      <c r="AQ911" s="31" t="s">
        <v>1615</v>
      </c>
    </row>
    <row r="912" ht="12.75">
      <c r="D912" s="18" t="s">
        <v>1416</v>
      </c>
    </row>
    <row r="913" spans="1:37" ht="12.75">
      <c r="A913" s="4"/>
      <c r="B913" s="14" t="s">
        <v>598</v>
      </c>
      <c r="C913" s="14" t="s">
        <v>909</v>
      </c>
      <c r="D913" s="104" t="s">
        <v>1417</v>
      </c>
      <c r="E913" s="105"/>
      <c r="F913" s="105"/>
      <c r="G913" s="105"/>
      <c r="H913" s="42">
        <f>SUM(H914:H956)</f>
        <v>0</v>
      </c>
      <c r="I913" s="42">
        <f>SUM(I914:I956)</f>
        <v>0</v>
      </c>
      <c r="J913" s="42">
        <f>H913+I913</f>
        <v>0</v>
      </c>
      <c r="K913" s="31"/>
      <c r="L913" s="42">
        <f>SUM(L914:L956)</f>
        <v>4.18150538</v>
      </c>
      <c r="M913" s="31"/>
      <c r="P913" s="42">
        <f>IF(Q913="PR",J913,SUM(O914:O956))</f>
        <v>0</v>
      </c>
      <c r="Q913" s="31" t="s">
        <v>1537</v>
      </c>
      <c r="R913" s="42">
        <f>IF(Q913="HS",H913,0)</f>
        <v>0</v>
      </c>
      <c r="S913" s="42">
        <f>IF(Q913="HS",I913-P913,0)</f>
        <v>0</v>
      </c>
      <c r="T913" s="42">
        <f>IF(Q913="PS",H913,0)</f>
        <v>0</v>
      </c>
      <c r="U913" s="42">
        <f>IF(Q913="PS",I913-P913,0)</f>
        <v>0</v>
      </c>
      <c r="V913" s="42">
        <f>IF(Q913="MP",H913,0)</f>
        <v>0</v>
      </c>
      <c r="W913" s="42">
        <f>IF(Q913="MP",I913-P913,0)</f>
        <v>0</v>
      </c>
      <c r="X913" s="42">
        <f>IF(Q913="OM",H913,0)</f>
        <v>0</v>
      </c>
      <c r="Y913" s="31" t="s">
        <v>598</v>
      </c>
      <c r="AI913" s="42">
        <f>SUM(Z914:Z956)</f>
        <v>0</v>
      </c>
      <c r="AJ913" s="42">
        <f>SUM(AA914:AA956)</f>
        <v>0</v>
      </c>
      <c r="AK913" s="42">
        <f>SUM(AB914:AB956)</f>
        <v>0</v>
      </c>
    </row>
    <row r="914" spans="1:43" ht="12.75">
      <c r="A914" s="5" t="s">
        <v>538</v>
      </c>
      <c r="B914" s="5" t="s">
        <v>598</v>
      </c>
      <c r="C914" s="5" t="s">
        <v>910</v>
      </c>
      <c r="D914" s="5" t="s">
        <v>1418</v>
      </c>
      <c r="E914" s="5" t="s">
        <v>1503</v>
      </c>
      <c r="F914" s="22">
        <v>272.25</v>
      </c>
      <c r="G914" s="22">
        <v>0</v>
      </c>
      <c r="H914" s="22">
        <f>F914*AE914</f>
        <v>0</v>
      </c>
      <c r="I914" s="22">
        <f>J914-H914</f>
        <v>0</v>
      </c>
      <c r="J914" s="22">
        <f>F914*G914</f>
        <v>0</v>
      </c>
      <c r="K914" s="22">
        <v>0.00732</v>
      </c>
      <c r="L914" s="22">
        <f>F914*K914</f>
        <v>1.9928700000000001</v>
      </c>
      <c r="M914" s="35" t="s">
        <v>1531</v>
      </c>
      <c r="N914" s="35" t="s">
        <v>9</v>
      </c>
      <c r="O914" s="22">
        <f>IF(N914="5",I914,0)</f>
        <v>0</v>
      </c>
      <c r="Z914" s="22">
        <f>IF(AD914=0,J914,0)</f>
        <v>0</v>
      </c>
      <c r="AA914" s="22">
        <f>IF(AD914=15,J914,0)</f>
        <v>0</v>
      </c>
      <c r="AB914" s="22">
        <f>IF(AD914=21,J914,0)</f>
        <v>0</v>
      </c>
      <c r="AD914" s="39">
        <v>15</v>
      </c>
      <c r="AE914" s="39">
        <f>G914*0</f>
        <v>0</v>
      </c>
      <c r="AF914" s="39">
        <f>G914*(1-0)</f>
        <v>0</v>
      </c>
      <c r="AM914" s="39">
        <f>F914*AE914</f>
        <v>0</v>
      </c>
      <c r="AN914" s="39">
        <f>F914*AF914</f>
        <v>0</v>
      </c>
      <c r="AO914" s="40" t="s">
        <v>1597</v>
      </c>
      <c r="AP914" s="40" t="s">
        <v>1604</v>
      </c>
      <c r="AQ914" s="31" t="s">
        <v>1615</v>
      </c>
    </row>
    <row r="915" ht="12.75">
      <c r="D915" s="18" t="s">
        <v>1419</v>
      </c>
    </row>
    <row r="916" spans="4:6" ht="10.8" customHeight="1">
      <c r="D916" s="17" t="s">
        <v>1420</v>
      </c>
      <c r="F916" s="23">
        <v>272.25</v>
      </c>
    </row>
    <row r="917" spans="1:43" ht="12.75">
      <c r="A917" s="5" t="s">
        <v>539</v>
      </c>
      <c r="B917" s="5" t="s">
        <v>598</v>
      </c>
      <c r="C917" s="5" t="s">
        <v>911</v>
      </c>
      <c r="D917" s="5" t="s">
        <v>1421</v>
      </c>
      <c r="E917" s="5" t="s">
        <v>1505</v>
      </c>
      <c r="F917" s="22">
        <v>22.5</v>
      </c>
      <c r="G917" s="22">
        <v>0</v>
      </c>
      <c r="H917" s="22">
        <f>F917*AE917</f>
        <v>0</v>
      </c>
      <c r="I917" s="22">
        <f>J917-H917</f>
        <v>0</v>
      </c>
      <c r="J917" s="22">
        <f>F917*G917</f>
        <v>0</v>
      </c>
      <c r="K917" s="22">
        <v>0.0014</v>
      </c>
      <c r="L917" s="22">
        <f>F917*K917</f>
        <v>0.0315</v>
      </c>
      <c r="M917" s="35" t="s">
        <v>1531</v>
      </c>
      <c r="N917" s="35" t="s">
        <v>9</v>
      </c>
      <c r="O917" s="22">
        <f>IF(N917="5",I917,0)</f>
        <v>0</v>
      </c>
      <c r="Z917" s="22">
        <f>IF(AD917=0,J917,0)</f>
        <v>0</v>
      </c>
      <c r="AA917" s="22">
        <f>IF(AD917=15,J917,0)</f>
        <v>0</v>
      </c>
      <c r="AB917" s="22">
        <f>IF(AD917=21,J917,0)</f>
        <v>0</v>
      </c>
      <c r="AD917" s="39">
        <v>15</v>
      </c>
      <c r="AE917" s="39">
        <f>G917*0.914403833505591</f>
        <v>0</v>
      </c>
      <c r="AF917" s="39">
        <f>G917*(1-0.914403833505591)</f>
        <v>0</v>
      </c>
      <c r="AM917" s="39">
        <f>F917*AE917</f>
        <v>0</v>
      </c>
      <c r="AN917" s="39">
        <f>F917*AF917</f>
        <v>0</v>
      </c>
      <c r="AO917" s="40" t="s">
        <v>1597</v>
      </c>
      <c r="AP917" s="40" t="s">
        <v>1604</v>
      </c>
      <c r="AQ917" s="31" t="s">
        <v>1615</v>
      </c>
    </row>
    <row r="918" spans="1:43" ht="12.75">
      <c r="A918" s="5" t="s">
        <v>540</v>
      </c>
      <c r="B918" s="5" t="s">
        <v>598</v>
      </c>
      <c r="C918" s="5" t="s">
        <v>912</v>
      </c>
      <c r="D918" s="5" t="s">
        <v>1422</v>
      </c>
      <c r="E918" s="5" t="s">
        <v>1504</v>
      </c>
      <c r="F918" s="22">
        <v>4</v>
      </c>
      <c r="G918" s="22">
        <v>0</v>
      </c>
      <c r="H918" s="22">
        <f>F918*AE918</f>
        <v>0</v>
      </c>
      <c r="I918" s="22">
        <f>J918-H918</f>
        <v>0</v>
      </c>
      <c r="J918" s="22">
        <f>F918*G918</f>
        <v>0</v>
      </c>
      <c r="K918" s="22">
        <v>0.0004</v>
      </c>
      <c r="L918" s="22">
        <f>F918*K918</f>
        <v>0.0016</v>
      </c>
      <c r="M918" s="35" t="s">
        <v>1531</v>
      </c>
      <c r="N918" s="35" t="s">
        <v>7</v>
      </c>
      <c r="O918" s="22">
        <f>IF(N918="5",I918,0)</f>
        <v>0</v>
      </c>
      <c r="Z918" s="22">
        <f>IF(AD918=0,J918,0)</f>
        <v>0</v>
      </c>
      <c r="AA918" s="22">
        <f>IF(AD918=15,J918,0)</f>
        <v>0</v>
      </c>
      <c r="AB918" s="22">
        <f>IF(AD918=21,J918,0)</f>
        <v>0</v>
      </c>
      <c r="AD918" s="39">
        <v>15</v>
      </c>
      <c r="AE918" s="39">
        <f>G918*0.596975228161669</f>
        <v>0</v>
      </c>
      <c r="AF918" s="39">
        <f>G918*(1-0.596975228161669)</f>
        <v>0</v>
      </c>
      <c r="AM918" s="39">
        <f>F918*AE918</f>
        <v>0</v>
      </c>
      <c r="AN918" s="39">
        <f>F918*AF918</f>
        <v>0</v>
      </c>
      <c r="AO918" s="40" t="s">
        <v>1597</v>
      </c>
      <c r="AP918" s="40" t="s">
        <v>1604</v>
      </c>
      <c r="AQ918" s="31" t="s">
        <v>1615</v>
      </c>
    </row>
    <row r="919" spans="1:43" ht="12.75">
      <c r="A919" s="5" t="s">
        <v>541</v>
      </c>
      <c r="B919" s="5" t="s">
        <v>598</v>
      </c>
      <c r="C919" s="5" t="s">
        <v>913</v>
      </c>
      <c r="D919" s="5" t="s">
        <v>1423</v>
      </c>
      <c r="E919" s="5" t="s">
        <v>1505</v>
      </c>
      <c r="F919" s="22">
        <v>33.6</v>
      </c>
      <c r="G919" s="22">
        <v>0</v>
      </c>
      <c r="H919" s="22">
        <f>F919*AE919</f>
        <v>0</v>
      </c>
      <c r="I919" s="22">
        <f>J919-H919</f>
        <v>0</v>
      </c>
      <c r="J919" s="22">
        <f>F919*G919</f>
        <v>0</v>
      </c>
      <c r="K919" s="22">
        <v>0.00312</v>
      </c>
      <c r="L919" s="22">
        <f>F919*K919</f>
        <v>0.10483200000000001</v>
      </c>
      <c r="M919" s="35" t="s">
        <v>1531</v>
      </c>
      <c r="N919" s="35" t="s">
        <v>7</v>
      </c>
      <c r="O919" s="22">
        <f>IF(N919="5",I919,0)</f>
        <v>0</v>
      </c>
      <c r="Z919" s="22">
        <f>IF(AD919=0,J919,0)</f>
        <v>0</v>
      </c>
      <c r="AA919" s="22">
        <f>IF(AD919=15,J919,0)</f>
        <v>0</v>
      </c>
      <c r="AB919" s="22">
        <f>IF(AD919=21,J919,0)</f>
        <v>0</v>
      </c>
      <c r="AD919" s="39">
        <v>15</v>
      </c>
      <c r="AE919" s="39">
        <f>G919*0.826669528971896</f>
        <v>0</v>
      </c>
      <c r="AF919" s="39">
        <f>G919*(1-0.826669528971896)</f>
        <v>0</v>
      </c>
      <c r="AM919" s="39">
        <f>F919*AE919</f>
        <v>0</v>
      </c>
      <c r="AN919" s="39">
        <f>F919*AF919</f>
        <v>0</v>
      </c>
      <c r="AO919" s="40" t="s">
        <v>1597</v>
      </c>
      <c r="AP919" s="40" t="s">
        <v>1604</v>
      </c>
      <c r="AQ919" s="31" t="s">
        <v>1615</v>
      </c>
    </row>
    <row r="920" spans="4:6" ht="10.8" customHeight="1">
      <c r="D920" s="17" t="s">
        <v>1424</v>
      </c>
      <c r="F920" s="23">
        <v>33.6</v>
      </c>
    </row>
    <row r="921" spans="1:43" ht="12.75">
      <c r="A921" s="5" t="s">
        <v>542</v>
      </c>
      <c r="B921" s="5" t="s">
        <v>598</v>
      </c>
      <c r="C921" s="5" t="s">
        <v>914</v>
      </c>
      <c r="D921" s="5" t="s">
        <v>1425</v>
      </c>
      <c r="E921" s="5" t="s">
        <v>1505</v>
      </c>
      <c r="F921" s="22">
        <v>24.2</v>
      </c>
      <c r="G921" s="22">
        <v>0</v>
      </c>
      <c r="H921" s="22">
        <f>F921*AE921</f>
        <v>0</v>
      </c>
      <c r="I921" s="22">
        <f>J921-H921</f>
        <v>0</v>
      </c>
      <c r="J921" s="22">
        <f>F921*G921</f>
        <v>0</v>
      </c>
      <c r="K921" s="22">
        <v>0.00128</v>
      </c>
      <c r="L921" s="22">
        <f>F921*K921</f>
        <v>0.030976</v>
      </c>
      <c r="M921" s="35" t="s">
        <v>1531</v>
      </c>
      <c r="N921" s="35" t="s">
        <v>7</v>
      </c>
      <c r="O921" s="22">
        <f>IF(N921="5",I921,0)</f>
        <v>0</v>
      </c>
      <c r="Z921" s="22">
        <f>IF(AD921=0,J921,0)</f>
        <v>0</v>
      </c>
      <c r="AA921" s="22">
        <f>IF(AD921=15,J921,0)</f>
        <v>0</v>
      </c>
      <c r="AB921" s="22">
        <f>IF(AD921=21,J921,0)</f>
        <v>0</v>
      </c>
      <c r="AD921" s="39">
        <v>15</v>
      </c>
      <c r="AE921" s="39">
        <f>G921*0.730682852807284</f>
        <v>0</v>
      </c>
      <c r="AF921" s="39">
        <f>G921*(1-0.730682852807284)</f>
        <v>0</v>
      </c>
      <c r="AM921" s="39">
        <f>F921*AE921</f>
        <v>0</v>
      </c>
      <c r="AN921" s="39">
        <f>F921*AF921</f>
        <v>0</v>
      </c>
      <c r="AO921" s="40" t="s">
        <v>1597</v>
      </c>
      <c r="AP921" s="40" t="s">
        <v>1604</v>
      </c>
      <c r="AQ921" s="31" t="s">
        <v>1615</v>
      </c>
    </row>
    <row r="922" spans="4:6" ht="10.8" customHeight="1">
      <c r="D922" s="17" t="s">
        <v>1426</v>
      </c>
      <c r="F922" s="23">
        <v>24.2</v>
      </c>
    </row>
    <row r="923" spans="1:43" ht="12.75">
      <c r="A923" s="5" t="s">
        <v>543</v>
      </c>
      <c r="B923" s="5" t="s">
        <v>598</v>
      </c>
      <c r="C923" s="5" t="s">
        <v>915</v>
      </c>
      <c r="D923" s="5" t="s">
        <v>1427</v>
      </c>
      <c r="E923" s="5" t="s">
        <v>1505</v>
      </c>
      <c r="F923" s="22">
        <v>44</v>
      </c>
      <c r="G923" s="22">
        <v>0</v>
      </c>
      <c r="H923" s="22">
        <f>F923*AE923</f>
        <v>0</v>
      </c>
      <c r="I923" s="22">
        <f>J923-H923</f>
        <v>0</v>
      </c>
      <c r="J923" s="22">
        <f>F923*G923</f>
        <v>0</v>
      </c>
      <c r="K923" s="22">
        <v>0.00225</v>
      </c>
      <c r="L923" s="22">
        <f>F923*K923</f>
        <v>0.09899999999999999</v>
      </c>
      <c r="M923" s="35" t="s">
        <v>1531</v>
      </c>
      <c r="N923" s="35" t="s">
        <v>7</v>
      </c>
      <c r="O923" s="22">
        <f>IF(N923="5",I923,0)</f>
        <v>0</v>
      </c>
      <c r="Z923" s="22">
        <f>IF(AD923=0,J923,0)</f>
        <v>0</v>
      </c>
      <c r="AA923" s="22">
        <f>IF(AD923=15,J923,0)</f>
        <v>0</v>
      </c>
      <c r="AB923" s="22">
        <f>IF(AD923=21,J923,0)</f>
        <v>0</v>
      </c>
      <c r="AD923" s="39">
        <v>15</v>
      </c>
      <c r="AE923" s="39">
        <f>G923*0.714233468193559</f>
        <v>0</v>
      </c>
      <c r="AF923" s="39">
        <f>G923*(1-0.714233468193559)</f>
        <v>0</v>
      </c>
      <c r="AM923" s="39">
        <f>F923*AE923</f>
        <v>0</v>
      </c>
      <c r="AN923" s="39">
        <f>F923*AF923</f>
        <v>0</v>
      </c>
      <c r="AO923" s="40" t="s">
        <v>1597</v>
      </c>
      <c r="AP923" s="40" t="s">
        <v>1604</v>
      </c>
      <c r="AQ923" s="31" t="s">
        <v>1615</v>
      </c>
    </row>
    <row r="924" spans="1:43" ht="12.75">
      <c r="A924" s="5" t="s">
        <v>544</v>
      </c>
      <c r="B924" s="5" t="s">
        <v>598</v>
      </c>
      <c r="C924" s="5" t="s">
        <v>916</v>
      </c>
      <c r="D924" s="5" t="s">
        <v>1428</v>
      </c>
      <c r="E924" s="5" t="s">
        <v>1503</v>
      </c>
      <c r="F924" s="22">
        <v>299.475</v>
      </c>
      <c r="G924" s="22">
        <v>0</v>
      </c>
      <c r="H924" s="22">
        <f>F924*AE924</f>
        <v>0</v>
      </c>
      <c r="I924" s="22">
        <f>J924-H924</f>
        <v>0</v>
      </c>
      <c r="J924" s="22">
        <f>F924*G924</f>
        <v>0</v>
      </c>
      <c r="K924" s="22">
        <v>9E-05</v>
      </c>
      <c r="L924" s="22">
        <f>F924*K924</f>
        <v>0.026952750000000004</v>
      </c>
      <c r="M924" s="35" t="s">
        <v>1531</v>
      </c>
      <c r="N924" s="35" t="s">
        <v>7</v>
      </c>
      <c r="O924" s="22">
        <f>IF(N924="5",I924,0)</f>
        <v>0</v>
      </c>
      <c r="Z924" s="22">
        <f>IF(AD924=0,J924,0)</f>
        <v>0</v>
      </c>
      <c r="AA924" s="22">
        <f>IF(AD924=15,J924,0)</f>
        <v>0</v>
      </c>
      <c r="AB924" s="22">
        <f>IF(AD924=21,J924,0)</f>
        <v>0</v>
      </c>
      <c r="AD924" s="39">
        <v>15</v>
      </c>
      <c r="AE924" s="39">
        <f>G924*0.675070028011204</f>
        <v>0</v>
      </c>
      <c r="AF924" s="39">
        <f>G924*(1-0.675070028011204)</f>
        <v>0</v>
      </c>
      <c r="AM924" s="39">
        <f>F924*AE924</f>
        <v>0</v>
      </c>
      <c r="AN924" s="39">
        <f>F924*AF924</f>
        <v>0</v>
      </c>
      <c r="AO924" s="40" t="s">
        <v>1597</v>
      </c>
      <c r="AP924" s="40" t="s">
        <v>1604</v>
      </c>
      <c r="AQ924" s="31" t="s">
        <v>1615</v>
      </c>
    </row>
    <row r="925" spans="4:6" ht="10.8" customHeight="1">
      <c r="D925" s="17" t="s">
        <v>1429</v>
      </c>
      <c r="F925" s="23">
        <v>299.475</v>
      </c>
    </row>
    <row r="926" spans="1:43" ht="12.75">
      <c r="A926" s="5" t="s">
        <v>545</v>
      </c>
      <c r="B926" s="5" t="s">
        <v>598</v>
      </c>
      <c r="C926" s="5" t="s">
        <v>917</v>
      </c>
      <c r="D926" s="5" t="s">
        <v>1430</v>
      </c>
      <c r="E926" s="5" t="s">
        <v>1505</v>
      </c>
      <c r="F926" s="22">
        <v>44.1</v>
      </c>
      <c r="G926" s="22">
        <v>0</v>
      </c>
      <c r="H926" s="22">
        <f>F926*AE926</f>
        <v>0</v>
      </c>
      <c r="I926" s="22">
        <f>J926-H926</f>
        <v>0</v>
      </c>
      <c r="J926" s="22">
        <f>F926*G926</f>
        <v>0</v>
      </c>
      <c r="K926" s="22">
        <v>0.00244</v>
      </c>
      <c r="L926" s="22">
        <f>F926*K926</f>
        <v>0.107604</v>
      </c>
      <c r="M926" s="35" t="s">
        <v>1531</v>
      </c>
      <c r="N926" s="35" t="s">
        <v>7</v>
      </c>
      <c r="O926" s="22">
        <f>IF(N926="5",I926,0)</f>
        <v>0</v>
      </c>
      <c r="Z926" s="22">
        <f>IF(AD926=0,J926,0)</f>
        <v>0</v>
      </c>
      <c r="AA926" s="22">
        <f>IF(AD926=15,J926,0)</f>
        <v>0</v>
      </c>
      <c r="AB926" s="22">
        <f>IF(AD926=21,J926,0)</f>
        <v>0</v>
      </c>
      <c r="AD926" s="39">
        <v>15</v>
      </c>
      <c r="AE926" s="39">
        <f>G926*0.401555118110236</f>
        <v>0</v>
      </c>
      <c r="AF926" s="39">
        <f>G926*(1-0.401555118110236)</f>
        <v>0</v>
      </c>
      <c r="AM926" s="39">
        <f>F926*AE926</f>
        <v>0</v>
      </c>
      <c r="AN926" s="39">
        <f>F926*AF926</f>
        <v>0</v>
      </c>
      <c r="AO926" s="40" t="s">
        <v>1597</v>
      </c>
      <c r="AP926" s="40" t="s">
        <v>1604</v>
      </c>
      <c r="AQ926" s="31" t="s">
        <v>1615</v>
      </c>
    </row>
    <row r="927" spans="4:6" ht="10.8" customHeight="1">
      <c r="D927" s="17" t="s">
        <v>1431</v>
      </c>
      <c r="F927" s="23">
        <v>44.1</v>
      </c>
    </row>
    <row r="928" spans="1:43" ht="12.75">
      <c r="A928" s="5" t="s">
        <v>546</v>
      </c>
      <c r="B928" s="5" t="s">
        <v>598</v>
      </c>
      <c r="C928" s="5" t="s">
        <v>918</v>
      </c>
      <c r="D928" s="5" t="s">
        <v>1432</v>
      </c>
      <c r="E928" s="5" t="s">
        <v>1505</v>
      </c>
      <c r="F928" s="22">
        <v>22.5</v>
      </c>
      <c r="G928" s="22">
        <v>0</v>
      </c>
      <c r="H928" s="22">
        <f>F928*AE928</f>
        <v>0</v>
      </c>
      <c r="I928" s="22">
        <f>J928-H928</f>
        <v>0</v>
      </c>
      <c r="J928" s="22">
        <f>F928*G928</f>
        <v>0</v>
      </c>
      <c r="K928" s="22">
        <v>0</v>
      </c>
      <c r="L928" s="22">
        <f>F928*K928</f>
        <v>0</v>
      </c>
      <c r="M928" s="35" t="s">
        <v>1531</v>
      </c>
      <c r="N928" s="35" t="s">
        <v>7</v>
      </c>
      <c r="O928" s="22">
        <f>IF(N928="5",I928,0)</f>
        <v>0</v>
      </c>
      <c r="Z928" s="22">
        <f>IF(AD928=0,J928,0)</f>
        <v>0</v>
      </c>
      <c r="AA928" s="22">
        <f>IF(AD928=15,J928,0)</f>
        <v>0</v>
      </c>
      <c r="AB928" s="22">
        <f>IF(AD928=21,J928,0)</f>
        <v>0</v>
      </c>
      <c r="AD928" s="39">
        <v>15</v>
      </c>
      <c r="AE928" s="39">
        <f>G928*0.915655577299413</f>
        <v>0</v>
      </c>
      <c r="AF928" s="39">
        <f>G928*(1-0.915655577299413)</f>
        <v>0</v>
      </c>
      <c r="AM928" s="39">
        <f>F928*AE928</f>
        <v>0</v>
      </c>
      <c r="AN928" s="39">
        <f>F928*AF928</f>
        <v>0</v>
      </c>
      <c r="AO928" s="40" t="s">
        <v>1597</v>
      </c>
      <c r="AP928" s="40" t="s">
        <v>1604</v>
      </c>
      <c r="AQ928" s="31" t="s">
        <v>1615</v>
      </c>
    </row>
    <row r="929" spans="1:43" ht="12.75">
      <c r="A929" s="5" t="s">
        <v>547</v>
      </c>
      <c r="B929" s="5" t="s">
        <v>598</v>
      </c>
      <c r="C929" s="5" t="s">
        <v>919</v>
      </c>
      <c r="D929" s="5" t="s">
        <v>1433</v>
      </c>
      <c r="E929" s="5" t="s">
        <v>1505</v>
      </c>
      <c r="F929" s="22">
        <v>45</v>
      </c>
      <c r="G929" s="22">
        <v>0</v>
      </c>
      <c r="H929" s="22">
        <f>F929*AE929</f>
        <v>0</v>
      </c>
      <c r="I929" s="22">
        <f>J929-H929</f>
        <v>0</v>
      </c>
      <c r="J929" s="22">
        <f>F929*G929</f>
        <v>0</v>
      </c>
      <c r="K929" s="22">
        <v>0</v>
      </c>
      <c r="L929" s="22">
        <f>F929*K929</f>
        <v>0</v>
      </c>
      <c r="M929" s="35" t="s">
        <v>1531</v>
      </c>
      <c r="N929" s="35" t="s">
        <v>7</v>
      </c>
      <c r="O929" s="22">
        <f>IF(N929="5",I929,0)</f>
        <v>0</v>
      </c>
      <c r="Z929" s="22">
        <f>IF(AD929=0,J929,0)</f>
        <v>0</v>
      </c>
      <c r="AA929" s="22">
        <f>IF(AD929=15,J929,0)</f>
        <v>0</v>
      </c>
      <c r="AB929" s="22">
        <f>IF(AD929=21,J929,0)</f>
        <v>0</v>
      </c>
      <c r="AD929" s="39">
        <v>15</v>
      </c>
      <c r="AE929" s="39">
        <f>G929*0.241549295774648</f>
        <v>0</v>
      </c>
      <c r="AF929" s="39">
        <f>G929*(1-0.241549295774648)</f>
        <v>0</v>
      </c>
      <c r="AM929" s="39">
        <f>F929*AE929</f>
        <v>0</v>
      </c>
      <c r="AN929" s="39">
        <f>F929*AF929</f>
        <v>0</v>
      </c>
      <c r="AO929" s="40" t="s">
        <v>1597</v>
      </c>
      <c r="AP929" s="40" t="s">
        <v>1604</v>
      </c>
      <c r="AQ929" s="31" t="s">
        <v>1615</v>
      </c>
    </row>
    <row r="930" spans="1:43" ht="12.75">
      <c r="A930" s="5" t="s">
        <v>548</v>
      </c>
      <c r="B930" s="5" t="s">
        <v>598</v>
      </c>
      <c r="C930" s="5" t="s">
        <v>920</v>
      </c>
      <c r="D930" s="5" t="s">
        <v>1434</v>
      </c>
      <c r="E930" s="5" t="s">
        <v>1504</v>
      </c>
      <c r="F930" s="22">
        <v>88</v>
      </c>
      <c r="G930" s="22">
        <v>0</v>
      </c>
      <c r="H930" s="22">
        <f>F930*AE930</f>
        <v>0</v>
      </c>
      <c r="I930" s="22">
        <f>J930-H930</f>
        <v>0</v>
      </c>
      <c r="J930" s="22">
        <f>F930*G930</f>
        <v>0</v>
      </c>
      <c r="K930" s="22">
        <v>0.0001</v>
      </c>
      <c r="L930" s="22">
        <f>F930*K930</f>
        <v>0.0088</v>
      </c>
      <c r="M930" s="35" t="s">
        <v>1531</v>
      </c>
      <c r="N930" s="35" t="s">
        <v>7</v>
      </c>
      <c r="O930" s="22">
        <f>IF(N930="5",I930,0)</f>
        <v>0</v>
      </c>
      <c r="Z930" s="22">
        <f>IF(AD930=0,J930,0)</f>
        <v>0</v>
      </c>
      <c r="AA930" s="22">
        <f>IF(AD930=15,J930,0)</f>
        <v>0</v>
      </c>
      <c r="AB930" s="22">
        <f>IF(AD930=21,J930,0)</f>
        <v>0</v>
      </c>
      <c r="AD930" s="39">
        <v>15</v>
      </c>
      <c r="AE930" s="39">
        <f>G930*0.627235142118863</f>
        <v>0</v>
      </c>
      <c r="AF930" s="39">
        <f>G930*(1-0.627235142118863)</f>
        <v>0</v>
      </c>
      <c r="AM930" s="39">
        <f>F930*AE930</f>
        <v>0</v>
      </c>
      <c r="AN930" s="39">
        <f>F930*AF930</f>
        <v>0</v>
      </c>
      <c r="AO930" s="40" t="s">
        <v>1597</v>
      </c>
      <c r="AP930" s="40" t="s">
        <v>1604</v>
      </c>
      <c r="AQ930" s="31" t="s">
        <v>1615</v>
      </c>
    </row>
    <row r="931" spans="1:43" ht="12.75">
      <c r="A931" s="5" t="s">
        <v>549</v>
      </c>
      <c r="B931" s="5" t="s">
        <v>598</v>
      </c>
      <c r="C931" s="5" t="s">
        <v>921</v>
      </c>
      <c r="D931" s="5" t="s">
        <v>1435</v>
      </c>
      <c r="E931" s="5" t="s">
        <v>1504</v>
      </c>
      <c r="F931" s="22">
        <v>2</v>
      </c>
      <c r="G931" s="22">
        <v>0</v>
      </c>
      <c r="H931" s="22">
        <f>F931*AE931</f>
        <v>0</v>
      </c>
      <c r="I931" s="22">
        <f>J931-H931</f>
        <v>0</v>
      </c>
      <c r="J931" s="22">
        <f>F931*G931</f>
        <v>0</v>
      </c>
      <c r="K931" s="22">
        <v>0.00851</v>
      </c>
      <c r="L931" s="22">
        <f>F931*K931</f>
        <v>0.01702</v>
      </c>
      <c r="M931" s="35" t="s">
        <v>1531</v>
      </c>
      <c r="N931" s="35" t="s">
        <v>7</v>
      </c>
      <c r="O931" s="22">
        <f>IF(N931="5",I931,0)</f>
        <v>0</v>
      </c>
      <c r="Z931" s="22">
        <f>IF(AD931=0,J931,0)</f>
        <v>0</v>
      </c>
      <c r="AA931" s="22">
        <f>IF(AD931=15,J931,0)</f>
        <v>0</v>
      </c>
      <c r="AB931" s="22">
        <f>IF(AD931=21,J931,0)</f>
        <v>0</v>
      </c>
      <c r="AD931" s="39">
        <v>15</v>
      </c>
      <c r="AE931" s="39">
        <f>G931*0.849253384548869</f>
        <v>0</v>
      </c>
      <c r="AF931" s="39">
        <f>G931*(1-0.849253384548869)</f>
        <v>0</v>
      </c>
      <c r="AM931" s="39">
        <f>F931*AE931</f>
        <v>0</v>
      </c>
      <c r="AN931" s="39">
        <f>F931*AF931</f>
        <v>0</v>
      </c>
      <c r="AO931" s="40" t="s">
        <v>1597</v>
      </c>
      <c r="AP931" s="40" t="s">
        <v>1604</v>
      </c>
      <c r="AQ931" s="31" t="s">
        <v>1615</v>
      </c>
    </row>
    <row r="932" spans="1:43" ht="12.75">
      <c r="A932" s="5" t="s">
        <v>550</v>
      </c>
      <c r="B932" s="5" t="s">
        <v>598</v>
      </c>
      <c r="C932" s="5" t="s">
        <v>922</v>
      </c>
      <c r="D932" s="5" t="s">
        <v>1436</v>
      </c>
      <c r="E932" s="5" t="s">
        <v>1503</v>
      </c>
      <c r="F932" s="22">
        <v>272.25</v>
      </c>
      <c r="G932" s="22">
        <v>0</v>
      </c>
      <c r="H932" s="22">
        <f>F932*AE932</f>
        <v>0</v>
      </c>
      <c r="I932" s="22">
        <f>J932-H932</f>
        <v>0</v>
      </c>
      <c r="J932" s="22">
        <f>F932*G932</f>
        <v>0</v>
      </c>
      <c r="K932" s="22">
        <v>0.00441</v>
      </c>
      <c r="L932" s="22">
        <f>F932*K932</f>
        <v>1.2006225</v>
      </c>
      <c r="M932" s="35" t="s">
        <v>1531</v>
      </c>
      <c r="N932" s="35" t="s">
        <v>7</v>
      </c>
      <c r="O932" s="22">
        <f>IF(N932="5",I932,0)</f>
        <v>0</v>
      </c>
      <c r="Z932" s="22">
        <f>IF(AD932=0,J932,0)</f>
        <v>0</v>
      </c>
      <c r="AA932" s="22">
        <f>IF(AD932=15,J932,0)</f>
        <v>0</v>
      </c>
      <c r="AB932" s="22">
        <f>IF(AD932=21,J932,0)</f>
        <v>0</v>
      </c>
      <c r="AD932" s="39">
        <v>15</v>
      </c>
      <c r="AE932" s="39">
        <f>G932*0.453930757050541</f>
        <v>0</v>
      </c>
      <c r="AF932" s="39">
        <f>G932*(1-0.453930757050541)</f>
        <v>0</v>
      </c>
      <c r="AM932" s="39">
        <f>F932*AE932</f>
        <v>0</v>
      </c>
      <c r="AN932" s="39">
        <f>F932*AF932</f>
        <v>0</v>
      </c>
      <c r="AO932" s="40" t="s">
        <v>1597</v>
      </c>
      <c r="AP932" s="40" t="s">
        <v>1604</v>
      </c>
      <c r="AQ932" s="31" t="s">
        <v>1615</v>
      </c>
    </row>
    <row r="933" spans="4:6" ht="10.8" customHeight="1">
      <c r="D933" s="17" t="s">
        <v>1420</v>
      </c>
      <c r="F933" s="23">
        <v>272.25</v>
      </c>
    </row>
    <row r="934" spans="1:43" ht="12.75">
      <c r="A934" s="6" t="s">
        <v>551</v>
      </c>
      <c r="B934" s="6" t="s">
        <v>598</v>
      </c>
      <c r="C934" s="6" t="s">
        <v>923</v>
      </c>
      <c r="D934" s="6" t="s">
        <v>1437</v>
      </c>
      <c r="E934" s="6" t="s">
        <v>1504</v>
      </c>
      <c r="F934" s="24">
        <v>3</v>
      </c>
      <c r="G934" s="24">
        <v>0</v>
      </c>
      <c r="H934" s="24">
        <f>F934*AE934</f>
        <v>0</v>
      </c>
      <c r="I934" s="24">
        <f>J934-H934</f>
        <v>0</v>
      </c>
      <c r="J934" s="24">
        <f>F934*G934</f>
        <v>0</v>
      </c>
      <c r="K934" s="24">
        <v>0.0003</v>
      </c>
      <c r="L934" s="24">
        <f>F934*K934</f>
        <v>0.0009</v>
      </c>
      <c r="M934" s="36" t="s">
        <v>1531</v>
      </c>
      <c r="N934" s="36" t="s">
        <v>1533</v>
      </c>
      <c r="O934" s="24">
        <f>IF(N934="5",I934,0)</f>
        <v>0</v>
      </c>
      <c r="Z934" s="24">
        <f>IF(AD934=0,J934,0)</f>
        <v>0</v>
      </c>
      <c r="AA934" s="24">
        <f>IF(AD934=15,J934,0)</f>
        <v>0</v>
      </c>
      <c r="AB934" s="24">
        <f>IF(AD934=21,J934,0)</f>
        <v>0</v>
      </c>
      <c r="AD934" s="39">
        <v>15</v>
      </c>
      <c r="AE934" s="39">
        <f>G934*1</f>
        <v>0</v>
      </c>
      <c r="AF934" s="39">
        <f>G934*(1-1)</f>
        <v>0</v>
      </c>
      <c r="AM934" s="39">
        <f>F934*AE934</f>
        <v>0</v>
      </c>
      <c r="AN934" s="39">
        <f>F934*AF934</f>
        <v>0</v>
      </c>
      <c r="AO934" s="40" t="s">
        <v>1597</v>
      </c>
      <c r="AP934" s="40" t="s">
        <v>1604</v>
      </c>
      <c r="AQ934" s="31" t="s">
        <v>1615</v>
      </c>
    </row>
    <row r="935" spans="1:43" ht="12.75">
      <c r="A935" s="6" t="s">
        <v>552</v>
      </c>
      <c r="B935" s="6" t="s">
        <v>598</v>
      </c>
      <c r="C935" s="6" t="s">
        <v>924</v>
      </c>
      <c r="D935" s="6" t="s">
        <v>1438</v>
      </c>
      <c r="E935" s="6" t="s">
        <v>1504</v>
      </c>
      <c r="F935" s="24">
        <v>3</v>
      </c>
      <c r="G935" s="24">
        <v>0</v>
      </c>
      <c r="H935" s="24">
        <f>F935*AE935</f>
        <v>0</v>
      </c>
      <c r="I935" s="24">
        <f>J935-H935</f>
        <v>0</v>
      </c>
      <c r="J935" s="24">
        <f>F935*G935</f>
        <v>0</v>
      </c>
      <c r="K935" s="24">
        <v>0.0015</v>
      </c>
      <c r="L935" s="24">
        <f>F935*K935</f>
        <v>0.0045000000000000005</v>
      </c>
      <c r="M935" s="36" t="s">
        <v>1531</v>
      </c>
      <c r="N935" s="36" t="s">
        <v>1533</v>
      </c>
      <c r="O935" s="24">
        <f>IF(N935="5",I935,0)</f>
        <v>0</v>
      </c>
      <c r="Z935" s="24">
        <f>IF(AD935=0,J935,0)</f>
        <v>0</v>
      </c>
      <c r="AA935" s="24">
        <f>IF(AD935=15,J935,0)</f>
        <v>0</v>
      </c>
      <c r="AB935" s="24">
        <f>IF(AD935=21,J935,0)</f>
        <v>0</v>
      </c>
      <c r="AD935" s="39">
        <v>15</v>
      </c>
      <c r="AE935" s="39">
        <f>G935*1</f>
        <v>0</v>
      </c>
      <c r="AF935" s="39">
        <f>G935*(1-1)</f>
        <v>0</v>
      </c>
      <c r="AM935" s="39">
        <f>F935*AE935</f>
        <v>0</v>
      </c>
      <c r="AN935" s="39">
        <f>F935*AF935</f>
        <v>0</v>
      </c>
      <c r="AO935" s="40" t="s">
        <v>1597</v>
      </c>
      <c r="AP935" s="40" t="s">
        <v>1604</v>
      </c>
      <c r="AQ935" s="31" t="s">
        <v>1615</v>
      </c>
    </row>
    <row r="936" spans="1:43" ht="12.75">
      <c r="A936" s="5" t="s">
        <v>553</v>
      </c>
      <c r="B936" s="5" t="s">
        <v>598</v>
      </c>
      <c r="C936" s="5" t="s">
        <v>925</v>
      </c>
      <c r="D936" s="5" t="s">
        <v>1439</v>
      </c>
      <c r="E936" s="5" t="s">
        <v>1505</v>
      </c>
      <c r="F936" s="22">
        <v>44.1</v>
      </c>
      <c r="G936" s="22">
        <v>0</v>
      </c>
      <c r="H936" s="22">
        <f>F936*AE936</f>
        <v>0</v>
      </c>
      <c r="I936" s="22">
        <f>J936-H936</f>
        <v>0</v>
      </c>
      <c r="J936" s="22">
        <f>F936*G936</f>
        <v>0</v>
      </c>
      <c r="K936" s="22">
        <v>0.00181</v>
      </c>
      <c r="L936" s="22">
        <f>F936*K936</f>
        <v>0.079821</v>
      </c>
      <c r="M936" s="35" t="s">
        <v>1531</v>
      </c>
      <c r="N936" s="35" t="s">
        <v>9</v>
      </c>
      <c r="O936" s="22">
        <f>IF(N936="5",I936,0)</f>
        <v>0</v>
      </c>
      <c r="Z936" s="22">
        <f>IF(AD936=0,J936,0)</f>
        <v>0</v>
      </c>
      <c r="AA936" s="22">
        <f>IF(AD936=15,J936,0)</f>
        <v>0</v>
      </c>
      <c r="AB936" s="22">
        <f>IF(AD936=21,J936,0)</f>
        <v>0</v>
      </c>
      <c r="AD936" s="39">
        <v>15</v>
      </c>
      <c r="AE936" s="39">
        <f>G936*0</f>
        <v>0</v>
      </c>
      <c r="AF936" s="39">
        <f>G936*(1-0)</f>
        <v>0</v>
      </c>
      <c r="AM936" s="39">
        <f>F936*AE936</f>
        <v>0</v>
      </c>
      <c r="AN936" s="39">
        <f>F936*AF936</f>
        <v>0</v>
      </c>
      <c r="AO936" s="40" t="s">
        <v>1597</v>
      </c>
      <c r="AP936" s="40" t="s">
        <v>1604</v>
      </c>
      <c r="AQ936" s="31" t="s">
        <v>1615</v>
      </c>
    </row>
    <row r="937" ht="12.75">
      <c r="D937" s="18" t="s">
        <v>1419</v>
      </c>
    </row>
    <row r="938" spans="4:6" ht="10.8" customHeight="1">
      <c r="D938" s="17" t="s">
        <v>1431</v>
      </c>
      <c r="F938" s="23">
        <v>44.1</v>
      </c>
    </row>
    <row r="939" spans="1:43" ht="12.75">
      <c r="A939" s="5" t="s">
        <v>554</v>
      </c>
      <c r="B939" s="5" t="s">
        <v>598</v>
      </c>
      <c r="C939" s="5" t="s">
        <v>926</v>
      </c>
      <c r="D939" s="5" t="s">
        <v>1440</v>
      </c>
      <c r="E939" s="5" t="s">
        <v>1505</v>
      </c>
      <c r="F939" s="22">
        <v>22.07</v>
      </c>
      <c r="G939" s="22">
        <v>0</v>
      </c>
      <c r="H939" s="22">
        <f>F939*AE939</f>
        <v>0</v>
      </c>
      <c r="I939" s="22">
        <f>J939-H939</f>
        <v>0</v>
      </c>
      <c r="J939" s="22">
        <f>F939*G939</f>
        <v>0</v>
      </c>
      <c r="K939" s="22">
        <v>0.00175</v>
      </c>
      <c r="L939" s="22">
        <f>F939*K939</f>
        <v>0.038622500000000004</v>
      </c>
      <c r="M939" s="35" t="s">
        <v>1531</v>
      </c>
      <c r="N939" s="35" t="s">
        <v>7</v>
      </c>
      <c r="O939" s="22">
        <f>IF(N939="5",I939,0)</f>
        <v>0</v>
      </c>
      <c r="Z939" s="22">
        <f>IF(AD939=0,J939,0)</f>
        <v>0</v>
      </c>
      <c r="AA939" s="22">
        <f>IF(AD939=15,J939,0)</f>
        <v>0</v>
      </c>
      <c r="AB939" s="22">
        <f>IF(AD939=21,J939,0)</f>
        <v>0</v>
      </c>
      <c r="AD939" s="39">
        <v>15</v>
      </c>
      <c r="AE939" s="39">
        <f>G939*0</f>
        <v>0</v>
      </c>
      <c r="AF939" s="39">
        <f>G939*(1-0)</f>
        <v>0</v>
      </c>
      <c r="AM939" s="39">
        <f>F939*AE939</f>
        <v>0</v>
      </c>
      <c r="AN939" s="39">
        <f>F939*AF939</f>
        <v>0</v>
      </c>
      <c r="AO939" s="40" t="s">
        <v>1597</v>
      </c>
      <c r="AP939" s="40" t="s">
        <v>1604</v>
      </c>
      <c r="AQ939" s="31" t="s">
        <v>1615</v>
      </c>
    </row>
    <row r="940" spans="1:43" ht="12.75">
      <c r="A940" s="5" t="s">
        <v>555</v>
      </c>
      <c r="B940" s="5" t="s">
        <v>598</v>
      </c>
      <c r="C940" s="5" t="s">
        <v>927</v>
      </c>
      <c r="D940" s="5" t="s">
        <v>1441</v>
      </c>
      <c r="E940" s="5" t="s">
        <v>1505</v>
      </c>
      <c r="F940" s="22">
        <v>22.07</v>
      </c>
      <c r="G940" s="22">
        <v>0</v>
      </c>
      <c r="H940" s="22">
        <f>F940*AE940</f>
        <v>0</v>
      </c>
      <c r="I940" s="22">
        <f>J940-H940</f>
        <v>0</v>
      </c>
      <c r="J940" s="22">
        <f>F940*G940</f>
        <v>0</v>
      </c>
      <c r="K940" s="22">
        <v>0.00254</v>
      </c>
      <c r="L940" s="22">
        <f>F940*K940</f>
        <v>0.056057800000000005</v>
      </c>
      <c r="M940" s="35" t="s">
        <v>1531</v>
      </c>
      <c r="N940" s="35" t="s">
        <v>7</v>
      </c>
      <c r="O940" s="22">
        <f>IF(N940="5",I940,0)</f>
        <v>0</v>
      </c>
      <c r="Z940" s="22">
        <f>IF(AD940=0,J940,0)</f>
        <v>0</v>
      </c>
      <c r="AA940" s="22">
        <f>IF(AD940=15,J940,0)</f>
        <v>0</v>
      </c>
      <c r="AB940" s="22">
        <f>IF(AD940=21,J940,0)</f>
        <v>0</v>
      </c>
      <c r="AD940" s="39">
        <v>15</v>
      </c>
      <c r="AE940" s="39">
        <f>G940*0.446179817270396</f>
        <v>0</v>
      </c>
      <c r="AF940" s="39">
        <f>G940*(1-0.446179817270396)</f>
        <v>0</v>
      </c>
      <c r="AM940" s="39">
        <f>F940*AE940</f>
        <v>0</v>
      </c>
      <c r="AN940" s="39">
        <f>F940*AF940</f>
        <v>0</v>
      </c>
      <c r="AO940" s="40" t="s">
        <v>1597</v>
      </c>
      <c r="AP940" s="40" t="s">
        <v>1604</v>
      </c>
      <c r="AQ940" s="31" t="s">
        <v>1615</v>
      </c>
    </row>
    <row r="941" spans="1:43" ht="12.75">
      <c r="A941" s="5" t="s">
        <v>556</v>
      </c>
      <c r="B941" s="5" t="s">
        <v>598</v>
      </c>
      <c r="C941" s="5" t="s">
        <v>928</v>
      </c>
      <c r="D941" s="5" t="s">
        <v>1442</v>
      </c>
      <c r="E941" s="5" t="s">
        <v>1505</v>
      </c>
      <c r="F941" s="22">
        <v>13.8</v>
      </c>
      <c r="G941" s="22">
        <v>0</v>
      </c>
      <c r="H941" s="22">
        <f>F941*AE941</f>
        <v>0</v>
      </c>
      <c r="I941" s="22">
        <f>J941-H941</f>
        <v>0</v>
      </c>
      <c r="J941" s="22">
        <f>F941*G941</f>
        <v>0</v>
      </c>
      <c r="K941" s="22">
        <v>0.00254</v>
      </c>
      <c r="L941" s="22">
        <f>F941*K941</f>
        <v>0.03505200000000001</v>
      </c>
      <c r="M941" s="35" t="s">
        <v>1531</v>
      </c>
      <c r="N941" s="35" t="s">
        <v>7</v>
      </c>
      <c r="O941" s="22">
        <f>IF(N941="5",I941,0)</f>
        <v>0</v>
      </c>
      <c r="Z941" s="22">
        <f>IF(AD941=0,J941,0)</f>
        <v>0</v>
      </c>
      <c r="AA941" s="22">
        <f>IF(AD941=15,J941,0)</f>
        <v>0</v>
      </c>
      <c r="AB941" s="22">
        <f>IF(AD941=21,J941,0)</f>
        <v>0</v>
      </c>
      <c r="AD941" s="39">
        <v>15</v>
      </c>
      <c r="AE941" s="39">
        <f>G941*0.431528683483023</f>
        <v>0</v>
      </c>
      <c r="AF941" s="39">
        <f>G941*(1-0.431528683483023)</f>
        <v>0</v>
      </c>
      <c r="AM941" s="39">
        <f>F941*AE941</f>
        <v>0</v>
      </c>
      <c r="AN941" s="39">
        <f>F941*AF941</f>
        <v>0</v>
      </c>
      <c r="AO941" s="40" t="s">
        <v>1597</v>
      </c>
      <c r="AP941" s="40" t="s">
        <v>1604</v>
      </c>
      <c r="AQ941" s="31" t="s">
        <v>1615</v>
      </c>
    </row>
    <row r="942" spans="4:6" ht="10.8" customHeight="1">
      <c r="D942" s="17" t="s">
        <v>1443</v>
      </c>
      <c r="F942" s="23">
        <v>13.8</v>
      </c>
    </row>
    <row r="943" spans="1:43" ht="12.75">
      <c r="A943" s="5" t="s">
        <v>557</v>
      </c>
      <c r="B943" s="5" t="s">
        <v>598</v>
      </c>
      <c r="C943" s="5" t="s">
        <v>929</v>
      </c>
      <c r="D943" s="5" t="s">
        <v>1444</v>
      </c>
      <c r="E943" s="5" t="s">
        <v>1505</v>
      </c>
      <c r="F943" s="22">
        <v>44</v>
      </c>
      <c r="G943" s="22">
        <v>0</v>
      </c>
      <c r="H943" s="22">
        <f>F943*AE943</f>
        <v>0</v>
      </c>
      <c r="I943" s="22">
        <f>J943-H943</f>
        <v>0</v>
      </c>
      <c r="J943" s="22">
        <f>F943*G943</f>
        <v>0</v>
      </c>
      <c r="K943" s="22">
        <v>0.00464</v>
      </c>
      <c r="L943" s="22">
        <f>F943*K943</f>
        <v>0.20416</v>
      </c>
      <c r="M943" s="35" t="s">
        <v>1531</v>
      </c>
      <c r="N943" s="35" t="s">
        <v>9</v>
      </c>
      <c r="O943" s="22">
        <f>IF(N943="5",I943,0)</f>
        <v>0</v>
      </c>
      <c r="Z943" s="22">
        <f>IF(AD943=0,J943,0)</f>
        <v>0</v>
      </c>
      <c r="AA943" s="22">
        <f>IF(AD943=15,J943,0)</f>
        <v>0</v>
      </c>
      <c r="AB943" s="22">
        <f>IF(AD943=21,J943,0)</f>
        <v>0</v>
      </c>
      <c r="AD943" s="39">
        <v>15</v>
      </c>
      <c r="AE943" s="39">
        <f>G943*0</f>
        <v>0</v>
      </c>
      <c r="AF943" s="39">
        <f>G943*(1-0)</f>
        <v>0</v>
      </c>
      <c r="AM943" s="39">
        <f>F943*AE943</f>
        <v>0</v>
      </c>
      <c r="AN943" s="39">
        <f>F943*AF943</f>
        <v>0</v>
      </c>
      <c r="AO943" s="40" t="s">
        <v>1597</v>
      </c>
      <c r="AP943" s="40" t="s">
        <v>1604</v>
      </c>
      <c r="AQ943" s="31" t="s">
        <v>1615</v>
      </c>
    </row>
    <row r="944" ht="12.75">
      <c r="D944" s="18" t="s">
        <v>1419</v>
      </c>
    </row>
    <row r="945" spans="1:43" ht="12.75">
      <c r="A945" s="5" t="s">
        <v>558</v>
      </c>
      <c r="B945" s="5" t="s">
        <v>598</v>
      </c>
      <c r="C945" s="5" t="s">
        <v>930</v>
      </c>
      <c r="D945" s="5" t="s">
        <v>1445</v>
      </c>
      <c r="E945" s="5" t="s">
        <v>1504</v>
      </c>
      <c r="F945" s="22">
        <v>46</v>
      </c>
      <c r="G945" s="22">
        <v>0</v>
      </c>
      <c r="H945" s="22">
        <f>F945*AE945</f>
        <v>0</v>
      </c>
      <c r="I945" s="22">
        <f>J945-H945</f>
        <v>0</v>
      </c>
      <c r="J945" s="22">
        <f>F945*G945</f>
        <v>0</v>
      </c>
      <c r="K945" s="22">
        <v>0.00096</v>
      </c>
      <c r="L945" s="22">
        <f>F945*K945</f>
        <v>0.04416</v>
      </c>
      <c r="M945" s="35" t="s">
        <v>1531</v>
      </c>
      <c r="N945" s="35" t="s">
        <v>7</v>
      </c>
      <c r="O945" s="22">
        <f>IF(N945="5",I945,0)</f>
        <v>0</v>
      </c>
      <c r="Z945" s="22">
        <f>IF(AD945=0,J945,0)</f>
        <v>0</v>
      </c>
      <c r="AA945" s="22">
        <f>IF(AD945=15,J945,0)</f>
        <v>0</v>
      </c>
      <c r="AB945" s="22">
        <f>IF(AD945=21,J945,0)</f>
        <v>0</v>
      </c>
      <c r="AD945" s="39">
        <v>15</v>
      </c>
      <c r="AE945" s="39">
        <f>G945*0</f>
        <v>0</v>
      </c>
      <c r="AF945" s="39">
        <f>G945*(1-0)</f>
        <v>0</v>
      </c>
      <c r="AM945" s="39">
        <f>F945*AE945</f>
        <v>0</v>
      </c>
      <c r="AN945" s="39">
        <f>F945*AF945</f>
        <v>0</v>
      </c>
      <c r="AO945" s="40" t="s">
        <v>1597</v>
      </c>
      <c r="AP945" s="40" t="s">
        <v>1604</v>
      </c>
      <c r="AQ945" s="31" t="s">
        <v>1615</v>
      </c>
    </row>
    <row r="946" spans="1:43" ht="12.75">
      <c r="A946" s="5" t="s">
        <v>559</v>
      </c>
      <c r="B946" s="5" t="s">
        <v>598</v>
      </c>
      <c r="C946" s="5" t="s">
        <v>931</v>
      </c>
      <c r="D946" s="5" t="s">
        <v>1446</v>
      </c>
      <c r="E946" s="5" t="s">
        <v>1504</v>
      </c>
      <c r="F946" s="22">
        <v>46</v>
      </c>
      <c r="G946" s="22">
        <v>0</v>
      </c>
      <c r="H946" s="22">
        <f>F946*AE946</f>
        <v>0</v>
      </c>
      <c r="I946" s="22">
        <f>J946-H946</f>
        <v>0</v>
      </c>
      <c r="J946" s="22">
        <f>F946*G946</f>
        <v>0</v>
      </c>
      <c r="K946" s="22">
        <v>5E-05</v>
      </c>
      <c r="L946" s="22">
        <f>F946*K946</f>
        <v>0.0023</v>
      </c>
      <c r="M946" s="35" t="s">
        <v>1531</v>
      </c>
      <c r="N946" s="35" t="s">
        <v>7</v>
      </c>
      <c r="O946" s="22">
        <f>IF(N946="5",I946,0)</f>
        <v>0</v>
      </c>
      <c r="Z946" s="22">
        <f>IF(AD946=0,J946,0)</f>
        <v>0</v>
      </c>
      <c r="AA946" s="22">
        <f>IF(AD946=15,J946,0)</f>
        <v>0</v>
      </c>
      <c r="AB946" s="22">
        <f>IF(AD946=21,J946,0)</f>
        <v>0</v>
      </c>
      <c r="AD946" s="39">
        <v>15</v>
      </c>
      <c r="AE946" s="39">
        <f>G946*0.0832448502866851</f>
        <v>0</v>
      </c>
      <c r="AF946" s="39">
        <f>G946*(1-0.0832448502866851)</f>
        <v>0</v>
      </c>
      <c r="AM946" s="39">
        <f>F946*AE946</f>
        <v>0</v>
      </c>
      <c r="AN946" s="39">
        <f>F946*AF946</f>
        <v>0</v>
      </c>
      <c r="AO946" s="40" t="s">
        <v>1597</v>
      </c>
      <c r="AP946" s="40" t="s">
        <v>1604</v>
      </c>
      <c r="AQ946" s="31" t="s">
        <v>1615</v>
      </c>
    </row>
    <row r="947" spans="1:43" ht="12.75">
      <c r="A947" s="6" t="s">
        <v>560</v>
      </c>
      <c r="B947" s="6" t="s">
        <v>598</v>
      </c>
      <c r="C947" s="6" t="s">
        <v>932</v>
      </c>
      <c r="D947" s="6" t="s">
        <v>1447</v>
      </c>
      <c r="E947" s="6" t="s">
        <v>1504</v>
      </c>
      <c r="F947" s="24">
        <v>46</v>
      </c>
      <c r="G947" s="24">
        <v>0</v>
      </c>
      <c r="H947" s="24">
        <f>F947*AE947</f>
        <v>0</v>
      </c>
      <c r="I947" s="24">
        <f>J947-H947</f>
        <v>0</v>
      </c>
      <c r="J947" s="24">
        <f>F947*G947</f>
        <v>0</v>
      </c>
      <c r="K947" s="24">
        <v>0.0008</v>
      </c>
      <c r="L947" s="24">
        <f>F947*K947</f>
        <v>0.0368</v>
      </c>
      <c r="M947" s="36" t="s">
        <v>1531</v>
      </c>
      <c r="N947" s="36" t="s">
        <v>1533</v>
      </c>
      <c r="O947" s="24">
        <f>IF(N947="5",I947,0)</f>
        <v>0</v>
      </c>
      <c r="Z947" s="24">
        <f>IF(AD947=0,J947,0)</f>
        <v>0</v>
      </c>
      <c r="AA947" s="24">
        <f>IF(AD947=15,J947,0)</f>
        <v>0</v>
      </c>
      <c r="AB947" s="24">
        <f>IF(AD947=21,J947,0)</f>
        <v>0</v>
      </c>
      <c r="AD947" s="39">
        <v>15</v>
      </c>
      <c r="AE947" s="39">
        <f>G947*1</f>
        <v>0</v>
      </c>
      <c r="AF947" s="39">
        <f>G947*(1-1)</f>
        <v>0</v>
      </c>
      <c r="AM947" s="39">
        <f>F947*AE947</f>
        <v>0</v>
      </c>
      <c r="AN947" s="39">
        <f>F947*AF947</f>
        <v>0</v>
      </c>
      <c r="AO947" s="40" t="s">
        <v>1597</v>
      </c>
      <c r="AP947" s="40" t="s">
        <v>1604</v>
      </c>
      <c r="AQ947" s="31" t="s">
        <v>1615</v>
      </c>
    </row>
    <row r="948" spans="1:43" ht="12.75">
      <c r="A948" s="6" t="s">
        <v>561</v>
      </c>
      <c r="B948" s="6" t="s">
        <v>598</v>
      </c>
      <c r="C948" s="6" t="s">
        <v>933</v>
      </c>
      <c r="D948" s="6" t="s">
        <v>1448</v>
      </c>
      <c r="E948" s="6" t="s">
        <v>1504</v>
      </c>
      <c r="F948" s="24">
        <v>16</v>
      </c>
      <c r="G948" s="24">
        <v>0</v>
      </c>
      <c r="H948" s="24">
        <f>F948*AE948</f>
        <v>0</v>
      </c>
      <c r="I948" s="24">
        <f>J948-H948</f>
        <v>0</v>
      </c>
      <c r="J948" s="24">
        <f>F948*G948</f>
        <v>0</v>
      </c>
      <c r="K948" s="24">
        <v>7E-05</v>
      </c>
      <c r="L948" s="24">
        <f>F948*K948</f>
        <v>0.00112</v>
      </c>
      <c r="M948" s="36" t="s">
        <v>1531</v>
      </c>
      <c r="N948" s="36" t="s">
        <v>1533</v>
      </c>
      <c r="O948" s="24">
        <f>IF(N948="5",I948,0)</f>
        <v>0</v>
      </c>
      <c r="Z948" s="24">
        <f>IF(AD948=0,J948,0)</f>
        <v>0</v>
      </c>
      <c r="AA948" s="24">
        <f>IF(AD948=15,J948,0)</f>
        <v>0</v>
      </c>
      <c r="AB948" s="24">
        <f>IF(AD948=21,J948,0)</f>
        <v>0</v>
      </c>
      <c r="AD948" s="39">
        <v>15</v>
      </c>
      <c r="AE948" s="39">
        <f>G948*1</f>
        <v>0</v>
      </c>
      <c r="AF948" s="39">
        <f>G948*(1-1)</f>
        <v>0</v>
      </c>
      <c r="AM948" s="39">
        <f>F948*AE948</f>
        <v>0</v>
      </c>
      <c r="AN948" s="39">
        <f>F948*AF948</f>
        <v>0</v>
      </c>
      <c r="AO948" s="40" t="s">
        <v>1597</v>
      </c>
      <c r="AP948" s="40" t="s">
        <v>1604</v>
      </c>
      <c r="AQ948" s="31" t="s">
        <v>1615</v>
      </c>
    </row>
    <row r="949" spans="1:43" ht="12.75">
      <c r="A949" s="5" t="s">
        <v>562</v>
      </c>
      <c r="B949" s="5" t="s">
        <v>598</v>
      </c>
      <c r="C949" s="5" t="s">
        <v>934</v>
      </c>
      <c r="D949" s="5" t="s">
        <v>1449</v>
      </c>
      <c r="E949" s="5" t="s">
        <v>1503</v>
      </c>
      <c r="F949" s="22">
        <v>3.471</v>
      </c>
      <c r="G949" s="22">
        <v>0</v>
      </c>
      <c r="H949" s="22">
        <f>F949*AE949</f>
        <v>0</v>
      </c>
      <c r="I949" s="22">
        <f>J949-H949</f>
        <v>0</v>
      </c>
      <c r="J949" s="22">
        <f>F949*G949</f>
        <v>0</v>
      </c>
      <c r="K949" s="22">
        <v>0.00732</v>
      </c>
      <c r="L949" s="22">
        <f>F949*K949</f>
        <v>0.02540772</v>
      </c>
      <c r="M949" s="35" t="s">
        <v>1531</v>
      </c>
      <c r="N949" s="35" t="s">
        <v>9</v>
      </c>
      <c r="O949" s="22">
        <f>IF(N949="5",I949,0)</f>
        <v>0</v>
      </c>
      <c r="Z949" s="22">
        <f>IF(AD949=0,J949,0)</f>
        <v>0</v>
      </c>
      <c r="AA949" s="22">
        <f>IF(AD949=15,J949,0)</f>
        <v>0</v>
      </c>
      <c r="AB949" s="22">
        <f>IF(AD949=21,J949,0)</f>
        <v>0</v>
      </c>
      <c r="AD949" s="39">
        <v>15</v>
      </c>
      <c r="AE949" s="39">
        <f>G949*0</f>
        <v>0</v>
      </c>
      <c r="AF949" s="39">
        <f>G949*(1-0)</f>
        <v>0</v>
      </c>
      <c r="AM949" s="39">
        <f>F949*AE949</f>
        <v>0</v>
      </c>
      <c r="AN949" s="39">
        <f>F949*AF949</f>
        <v>0</v>
      </c>
      <c r="AO949" s="40" t="s">
        <v>1597</v>
      </c>
      <c r="AP949" s="40" t="s">
        <v>1604</v>
      </c>
      <c r="AQ949" s="31" t="s">
        <v>1615</v>
      </c>
    </row>
    <row r="950" spans="4:6" ht="10.8" customHeight="1">
      <c r="D950" s="17" t="s">
        <v>1450</v>
      </c>
      <c r="F950" s="23">
        <v>2.511</v>
      </c>
    </row>
    <row r="951" spans="4:6" ht="10.8" customHeight="1">
      <c r="D951" s="17" t="s">
        <v>1451</v>
      </c>
      <c r="F951" s="23">
        <v>0.96</v>
      </c>
    </row>
    <row r="952" spans="1:43" ht="12.75">
      <c r="A952" s="5" t="s">
        <v>563</v>
      </c>
      <c r="B952" s="5" t="s">
        <v>598</v>
      </c>
      <c r="C952" s="5" t="s">
        <v>935</v>
      </c>
      <c r="D952" s="5" t="s">
        <v>1452</v>
      </c>
      <c r="E952" s="5" t="s">
        <v>1505</v>
      </c>
      <c r="F952" s="22">
        <v>8</v>
      </c>
      <c r="G952" s="22">
        <v>0</v>
      </c>
      <c r="H952" s="22">
        <f>F952*AE952</f>
        <v>0</v>
      </c>
      <c r="I952" s="22">
        <f>J952-H952</f>
        <v>0</v>
      </c>
      <c r="J952" s="22">
        <f>F952*G952</f>
        <v>0</v>
      </c>
      <c r="K952" s="22">
        <v>0.00128</v>
      </c>
      <c r="L952" s="22">
        <f>F952*K952</f>
        <v>0.01024</v>
      </c>
      <c r="M952" s="35" t="s">
        <v>1531</v>
      </c>
      <c r="N952" s="35" t="s">
        <v>7</v>
      </c>
      <c r="O952" s="22">
        <f>IF(N952="5",I952,0)</f>
        <v>0</v>
      </c>
      <c r="Z952" s="22">
        <f>IF(AD952=0,J952,0)</f>
        <v>0</v>
      </c>
      <c r="AA952" s="22">
        <f>IF(AD952=15,J952,0)</f>
        <v>0</v>
      </c>
      <c r="AB952" s="22">
        <f>IF(AD952=21,J952,0)</f>
        <v>0</v>
      </c>
      <c r="AD952" s="39">
        <v>15</v>
      </c>
      <c r="AE952" s="39">
        <f>G952*0.730680529300567</f>
        <v>0</v>
      </c>
      <c r="AF952" s="39">
        <f>G952*(1-0.730680529300567)</f>
        <v>0</v>
      </c>
      <c r="AM952" s="39">
        <f>F952*AE952</f>
        <v>0</v>
      </c>
      <c r="AN952" s="39">
        <f>F952*AF952</f>
        <v>0</v>
      </c>
      <c r="AO952" s="40" t="s">
        <v>1597</v>
      </c>
      <c r="AP952" s="40" t="s">
        <v>1604</v>
      </c>
      <c r="AQ952" s="31" t="s">
        <v>1615</v>
      </c>
    </row>
    <row r="953" spans="1:43" ht="12.75">
      <c r="A953" s="5" t="s">
        <v>564</v>
      </c>
      <c r="B953" s="5" t="s">
        <v>598</v>
      </c>
      <c r="C953" s="5" t="s">
        <v>922</v>
      </c>
      <c r="D953" s="5" t="s">
        <v>1453</v>
      </c>
      <c r="E953" s="5" t="s">
        <v>1503</v>
      </c>
      <c r="F953" s="22">
        <v>3.471</v>
      </c>
      <c r="G953" s="22">
        <v>0</v>
      </c>
      <c r="H953" s="22">
        <f>F953*AE953</f>
        <v>0</v>
      </c>
      <c r="I953" s="22">
        <f>J953-H953</f>
        <v>0</v>
      </c>
      <c r="J953" s="22">
        <f>F953*G953</f>
        <v>0</v>
      </c>
      <c r="K953" s="22">
        <v>0.00441</v>
      </c>
      <c r="L953" s="22">
        <f>F953*K953</f>
        <v>0.01530711</v>
      </c>
      <c r="M953" s="35" t="s">
        <v>1531</v>
      </c>
      <c r="N953" s="35" t="s">
        <v>7</v>
      </c>
      <c r="O953" s="22">
        <f>IF(N953="5",I953,0)</f>
        <v>0</v>
      </c>
      <c r="Z953" s="22">
        <f>IF(AD953=0,J953,0)</f>
        <v>0</v>
      </c>
      <c r="AA953" s="22">
        <f>IF(AD953=15,J953,0)</f>
        <v>0</v>
      </c>
      <c r="AB953" s="22">
        <f>IF(AD953=21,J953,0)</f>
        <v>0</v>
      </c>
      <c r="AD953" s="39">
        <v>15</v>
      </c>
      <c r="AE953" s="39">
        <f>G953*0.453930757050541</f>
        <v>0</v>
      </c>
      <c r="AF953" s="39">
        <f>G953*(1-0.453930757050541)</f>
        <v>0</v>
      </c>
      <c r="AM953" s="39">
        <f>F953*AE953</f>
        <v>0</v>
      </c>
      <c r="AN953" s="39">
        <f>F953*AF953</f>
        <v>0</v>
      </c>
      <c r="AO953" s="40" t="s">
        <v>1597</v>
      </c>
      <c r="AP953" s="40" t="s">
        <v>1604</v>
      </c>
      <c r="AQ953" s="31" t="s">
        <v>1615</v>
      </c>
    </row>
    <row r="954" spans="4:6" ht="10.8" customHeight="1">
      <c r="D954" s="17" t="s">
        <v>1450</v>
      </c>
      <c r="F954" s="23">
        <v>2.511</v>
      </c>
    </row>
    <row r="955" spans="4:6" ht="10.8" customHeight="1">
      <c r="D955" s="17" t="s">
        <v>1451</v>
      </c>
      <c r="F955" s="23">
        <v>0.96</v>
      </c>
    </row>
    <row r="956" spans="1:43" ht="12.75">
      <c r="A956" s="6" t="s">
        <v>565</v>
      </c>
      <c r="B956" s="6" t="s">
        <v>598</v>
      </c>
      <c r="C956" s="6" t="s">
        <v>766</v>
      </c>
      <c r="D956" s="6" t="s">
        <v>1188</v>
      </c>
      <c r="E956" s="6" t="s">
        <v>1504</v>
      </c>
      <c r="F956" s="24">
        <v>12</v>
      </c>
      <c r="G956" s="24">
        <v>0</v>
      </c>
      <c r="H956" s="24">
        <f>F956*AE956</f>
        <v>0</v>
      </c>
      <c r="I956" s="24">
        <f>J956-H956</f>
        <v>0</v>
      </c>
      <c r="J956" s="24">
        <f>F956*G956</f>
        <v>0</v>
      </c>
      <c r="K956" s="24">
        <v>0.00044</v>
      </c>
      <c r="L956" s="24">
        <f>F956*K956</f>
        <v>0.00528</v>
      </c>
      <c r="M956" s="36" t="s">
        <v>1531</v>
      </c>
      <c r="N956" s="36" t="s">
        <v>1533</v>
      </c>
      <c r="O956" s="24">
        <f>IF(N956="5",I956,0)</f>
        <v>0</v>
      </c>
      <c r="Z956" s="24">
        <f>IF(AD956=0,J956,0)</f>
        <v>0</v>
      </c>
      <c r="AA956" s="24">
        <f>IF(AD956=15,J956,0)</f>
        <v>0</v>
      </c>
      <c r="AB956" s="24">
        <f>IF(AD956=21,J956,0)</f>
        <v>0</v>
      </c>
      <c r="AD956" s="39">
        <v>15</v>
      </c>
      <c r="AE956" s="39">
        <f>G956*1</f>
        <v>0</v>
      </c>
      <c r="AF956" s="39">
        <f>G956*(1-1)</f>
        <v>0</v>
      </c>
      <c r="AM956" s="39">
        <f>F956*AE956</f>
        <v>0</v>
      </c>
      <c r="AN956" s="39">
        <f>F956*AF956</f>
        <v>0</v>
      </c>
      <c r="AO956" s="40" t="s">
        <v>1597</v>
      </c>
      <c r="AP956" s="40" t="s">
        <v>1604</v>
      </c>
      <c r="AQ956" s="31" t="s">
        <v>1615</v>
      </c>
    </row>
    <row r="957" spans="1:37" ht="12.75">
      <c r="A957" s="4"/>
      <c r="B957" s="14" t="s">
        <v>598</v>
      </c>
      <c r="C957" s="14" t="s">
        <v>794</v>
      </c>
      <c r="D957" s="104" t="s">
        <v>1224</v>
      </c>
      <c r="E957" s="105"/>
      <c r="F957" s="105"/>
      <c r="G957" s="105"/>
      <c r="H957" s="42">
        <f>SUM(H958:H959)</f>
        <v>0</v>
      </c>
      <c r="I957" s="42">
        <f>SUM(I958:I959)</f>
        <v>0</v>
      </c>
      <c r="J957" s="42">
        <f>H957+I957</f>
        <v>0</v>
      </c>
      <c r="K957" s="31"/>
      <c r="L957" s="42">
        <f>SUM(L958:L959)</f>
        <v>0.016769999999999997</v>
      </c>
      <c r="M957" s="31"/>
      <c r="P957" s="42">
        <f>IF(Q957="PR",J957,SUM(O958:O959))</f>
        <v>0</v>
      </c>
      <c r="Q957" s="31" t="s">
        <v>1537</v>
      </c>
      <c r="R957" s="42">
        <f>IF(Q957="HS",H957,0)</f>
        <v>0</v>
      </c>
      <c r="S957" s="42">
        <f>IF(Q957="HS",I957-P957,0)</f>
        <v>0</v>
      </c>
      <c r="T957" s="42">
        <f>IF(Q957="PS",H957,0)</f>
        <v>0</v>
      </c>
      <c r="U957" s="42">
        <f>IF(Q957="PS",I957-P957,0)</f>
        <v>0</v>
      </c>
      <c r="V957" s="42">
        <f>IF(Q957="MP",H957,0)</f>
        <v>0</v>
      </c>
      <c r="W957" s="42">
        <f>IF(Q957="MP",I957-P957,0)</f>
        <v>0</v>
      </c>
      <c r="X957" s="42">
        <f>IF(Q957="OM",H957,0)</f>
        <v>0</v>
      </c>
      <c r="Y957" s="31" t="s">
        <v>598</v>
      </c>
      <c r="AI957" s="42">
        <f>SUM(Z958:Z959)</f>
        <v>0</v>
      </c>
      <c r="AJ957" s="42">
        <f>SUM(AA958:AA959)</f>
        <v>0</v>
      </c>
      <c r="AK957" s="42">
        <f>SUM(AB958:AB959)</f>
        <v>0</v>
      </c>
    </row>
    <row r="958" spans="1:43" ht="12.75">
      <c r="A958" s="5" t="s">
        <v>566</v>
      </c>
      <c r="B958" s="5" t="s">
        <v>598</v>
      </c>
      <c r="C958" s="5" t="s">
        <v>936</v>
      </c>
      <c r="D958" s="5" t="s">
        <v>1454</v>
      </c>
      <c r="E958" s="5" t="s">
        <v>1504</v>
      </c>
      <c r="F958" s="22">
        <v>3</v>
      </c>
      <c r="G958" s="22">
        <v>0</v>
      </c>
      <c r="H958" s="22">
        <f>F958*AE958</f>
        <v>0</v>
      </c>
      <c r="I958" s="22">
        <f>J958-H958</f>
        <v>0</v>
      </c>
      <c r="J958" s="22">
        <f>F958*G958</f>
        <v>0</v>
      </c>
      <c r="K958" s="22">
        <v>1E-05</v>
      </c>
      <c r="L958" s="22">
        <f>F958*K958</f>
        <v>3.0000000000000004E-05</v>
      </c>
      <c r="M958" s="35" t="s">
        <v>1531</v>
      </c>
      <c r="N958" s="35" t="s">
        <v>7</v>
      </c>
      <c r="O958" s="22">
        <f>IF(N958="5",I958,0)</f>
        <v>0</v>
      </c>
      <c r="Z958" s="22">
        <f>IF(AD958=0,J958,0)</f>
        <v>0</v>
      </c>
      <c r="AA958" s="22">
        <f>IF(AD958=15,J958,0)</f>
        <v>0</v>
      </c>
      <c r="AB958" s="22">
        <f>IF(AD958=21,J958,0)</f>
        <v>0</v>
      </c>
      <c r="AD958" s="39">
        <v>15</v>
      </c>
      <c r="AE958" s="39">
        <f>G958*0.0206015037593985</f>
        <v>0</v>
      </c>
      <c r="AF958" s="39">
        <f>G958*(1-0.0206015037593985)</f>
        <v>0</v>
      </c>
      <c r="AM958" s="39">
        <f>F958*AE958</f>
        <v>0</v>
      </c>
      <c r="AN958" s="39">
        <f>F958*AF958</f>
        <v>0</v>
      </c>
      <c r="AO958" s="40" t="s">
        <v>1576</v>
      </c>
      <c r="AP958" s="40" t="s">
        <v>1604</v>
      </c>
      <c r="AQ958" s="31" t="s">
        <v>1615</v>
      </c>
    </row>
    <row r="959" spans="1:43" ht="12.75">
      <c r="A959" s="6" t="s">
        <v>567</v>
      </c>
      <c r="B959" s="6" t="s">
        <v>598</v>
      </c>
      <c r="C959" s="6" t="s">
        <v>937</v>
      </c>
      <c r="D959" s="6" t="s">
        <v>1455</v>
      </c>
      <c r="E959" s="6" t="s">
        <v>1504</v>
      </c>
      <c r="F959" s="24">
        <v>3</v>
      </c>
      <c r="G959" s="24">
        <v>0</v>
      </c>
      <c r="H959" s="24">
        <f>F959*AE959</f>
        <v>0</v>
      </c>
      <c r="I959" s="24">
        <f>J959-H959</f>
        <v>0</v>
      </c>
      <c r="J959" s="24">
        <f>F959*G959</f>
        <v>0</v>
      </c>
      <c r="K959" s="24">
        <v>0.00558</v>
      </c>
      <c r="L959" s="24">
        <f>F959*K959</f>
        <v>0.016739999999999998</v>
      </c>
      <c r="M959" s="36" t="s">
        <v>1531</v>
      </c>
      <c r="N959" s="36" t="s">
        <v>1533</v>
      </c>
      <c r="O959" s="24">
        <f>IF(N959="5",I959,0)</f>
        <v>0</v>
      </c>
      <c r="Z959" s="24">
        <f>IF(AD959=0,J959,0)</f>
        <v>0</v>
      </c>
      <c r="AA959" s="24">
        <f>IF(AD959=15,J959,0)</f>
        <v>0</v>
      </c>
      <c r="AB959" s="24">
        <f>IF(AD959=21,J959,0)</f>
        <v>0</v>
      </c>
      <c r="AD959" s="39">
        <v>15</v>
      </c>
      <c r="AE959" s="39">
        <f>G959*1</f>
        <v>0</v>
      </c>
      <c r="AF959" s="39">
        <f>G959*(1-1)</f>
        <v>0</v>
      </c>
      <c r="AM959" s="39">
        <f>F959*AE959</f>
        <v>0</v>
      </c>
      <c r="AN959" s="39">
        <f>F959*AF959</f>
        <v>0</v>
      </c>
      <c r="AO959" s="40" t="s">
        <v>1576</v>
      </c>
      <c r="AP959" s="40" t="s">
        <v>1604</v>
      </c>
      <c r="AQ959" s="31" t="s">
        <v>1615</v>
      </c>
    </row>
    <row r="960" spans="1:37" ht="12.75">
      <c r="A960" s="4"/>
      <c r="B960" s="14" t="s">
        <v>598</v>
      </c>
      <c r="C960" s="14" t="s">
        <v>644</v>
      </c>
      <c r="D960" s="104" t="s">
        <v>1021</v>
      </c>
      <c r="E960" s="105"/>
      <c r="F960" s="105"/>
      <c r="G960" s="105"/>
      <c r="H960" s="42">
        <f>SUM(H961:H963)</f>
        <v>0</v>
      </c>
      <c r="I960" s="42">
        <f>SUM(I961:I963)</f>
        <v>0</v>
      </c>
      <c r="J960" s="42">
        <f>H960+I960</f>
        <v>0</v>
      </c>
      <c r="K960" s="31"/>
      <c r="L960" s="42">
        <f>SUM(L961:L963)</f>
        <v>0.110715</v>
      </c>
      <c r="M960" s="31"/>
      <c r="P960" s="42">
        <f>IF(Q960="PR",J960,SUM(O961:O963))</f>
        <v>0</v>
      </c>
      <c r="Q960" s="31" t="s">
        <v>1537</v>
      </c>
      <c r="R960" s="42">
        <f>IF(Q960="HS",H960,0)</f>
        <v>0</v>
      </c>
      <c r="S960" s="42">
        <f>IF(Q960="HS",I960-P960,0)</f>
        <v>0</v>
      </c>
      <c r="T960" s="42">
        <f>IF(Q960="PS",H960,0)</f>
        <v>0</v>
      </c>
      <c r="U960" s="42">
        <f>IF(Q960="PS",I960-P960,0)</f>
        <v>0</v>
      </c>
      <c r="V960" s="42">
        <f>IF(Q960="MP",H960,0)</f>
        <v>0</v>
      </c>
      <c r="W960" s="42">
        <f>IF(Q960="MP",I960-P960,0)</f>
        <v>0</v>
      </c>
      <c r="X960" s="42">
        <f>IF(Q960="OM",H960,0)</f>
        <v>0</v>
      </c>
      <c r="Y960" s="31" t="s">
        <v>598</v>
      </c>
      <c r="AI960" s="42">
        <f>SUM(Z961:Z963)</f>
        <v>0</v>
      </c>
      <c r="AJ960" s="42">
        <f>SUM(AA961:AA963)</f>
        <v>0</v>
      </c>
      <c r="AK960" s="42">
        <f>SUM(AB961:AB963)</f>
        <v>0</v>
      </c>
    </row>
    <row r="961" spans="1:43" ht="12.75">
      <c r="A961" s="5" t="s">
        <v>568</v>
      </c>
      <c r="B961" s="5" t="s">
        <v>598</v>
      </c>
      <c r="C961" s="5" t="s">
        <v>938</v>
      </c>
      <c r="D961" s="5" t="s">
        <v>1456</v>
      </c>
      <c r="E961" s="5" t="s">
        <v>1503</v>
      </c>
      <c r="F961" s="22">
        <v>12</v>
      </c>
      <c r="G961" s="22">
        <v>0</v>
      </c>
      <c r="H961" s="22">
        <f>F961*AE961</f>
        <v>0</v>
      </c>
      <c r="I961" s="22">
        <f>J961-H961</f>
        <v>0</v>
      </c>
      <c r="J961" s="22">
        <f>F961*G961</f>
        <v>0</v>
      </c>
      <c r="K961" s="22">
        <v>0.00042</v>
      </c>
      <c r="L961" s="22">
        <f>F961*K961</f>
        <v>0.00504</v>
      </c>
      <c r="M961" s="35" t="s">
        <v>1531</v>
      </c>
      <c r="N961" s="35" t="s">
        <v>7</v>
      </c>
      <c r="O961" s="22">
        <f>IF(N961="5",I961,0)</f>
        <v>0</v>
      </c>
      <c r="Z961" s="22">
        <f>IF(AD961=0,J961,0)</f>
        <v>0</v>
      </c>
      <c r="AA961" s="22">
        <f>IF(AD961=15,J961,0)</f>
        <v>0</v>
      </c>
      <c r="AB961" s="22">
        <f>IF(AD961=21,J961,0)</f>
        <v>0</v>
      </c>
      <c r="AD961" s="39">
        <v>15</v>
      </c>
      <c r="AE961" s="39">
        <f>G961*0.485707344724269</f>
        <v>0</v>
      </c>
      <c r="AF961" s="39">
        <f>G961*(1-0.485707344724269)</f>
        <v>0</v>
      </c>
      <c r="AM961" s="39">
        <f>F961*AE961</f>
        <v>0</v>
      </c>
      <c r="AN961" s="39">
        <f>F961*AF961</f>
        <v>0</v>
      </c>
      <c r="AO961" s="40" t="s">
        <v>1554</v>
      </c>
      <c r="AP961" s="40" t="s">
        <v>1606</v>
      </c>
      <c r="AQ961" s="31" t="s">
        <v>1615</v>
      </c>
    </row>
    <row r="962" ht="12.75">
      <c r="D962" s="18" t="s">
        <v>1457</v>
      </c>
    </row>
    <row r="963" spans="1:43" ht="12.75">
      <c r="A963" s="5" t="s">
        <v>569</v>
      </c>
      <c r="B963" s="5" t="s">
        <v>598</v>
      </c>
      <c r="C963" s="5" t="s">
        <v>939</v>
      </c>
      <c r="D963" s="5" t="s">
        <v>1458</v>
      </c>
      <c r="E963" s="5" t="s">
        <v>1503</v>
      </c>
      <c r="F963" s="22">
        <v>704.5</v>
      </c>
      <c r="G963" s="22">
        <v>0</v>
      </c>
      <c r="H963" s="22">
        <f>F963*AE963</f>
        <v>0</v>
      </c>
      <c r="I963" s="22">
        <f>J963-H963</f>
        <v>0</v>
      </c>
      <c r="J963" s="22">
        <f>F963*G963</f>
        <v>0</v>
      </c>
      <c r="K963" s="22">
        <v>0.00015</v>
      </c>
      <c r="L963" s="22">
        <f>F963*K963</f>
        <v>0.10567499999999999</v>
      </c>
      <c r="M963" s="35" t="s">
        <v>1531</v>
      </c>
      <c r="N963" s="35" t="s">
        <v>7</v>
      </c>
      <c r="O963" s="22">
        <f>IF(N963="5",I963,0)</f>
        <v>0</v>
      </c>
      <c r="Z963" s="22">
        <f>IF(AD963=0,J963,0)</f>
        <v>0</v>
      </c>
      <c r="AA963" s="22">
        <f>IF(AD963=15,J963,0)</f>
        <v>0</v>
      </c>
      <c r="AB963" s="22">
        <f>IF(AD963=21,J963,0)</f>
        <v>0</v>
      </c>
      <c r="AD963" s="39">
        <v>15</v>
      </c>
      <c r="AE963" s="39">
        <f>G963*0.18319646241314</f>
        <v>0</v>
      </c>
      <c r="AF963" s="39">
        <f>G963*(1-0.18319646241314)</f>
        <v>0</v>
      </c>
      <c r="AM963" s="39">
        <f>F963*AE963</f>
        <v>0</v>
      </c>
      <c r="AN963" s="39">
        <f>F963*AF963</f>
        <v>0</v>
      </c>
      <c r="AO963" s="40" t="s">
        <v>1554</v>
      </c>
      <c r="AP963" s="40" t="s">
        <v>1606</v>
      </c>
      <c r="AQ963" s="31" t="s">
        <v>1615</v>
      </c>
    </row>
    <row r="964" ht="26.4">
      <c r="D964" s="18" t="s">
        <v>1459</v>
      </c>
    </row>
    <row r="965" spans="4:6" ht="10.8" customHeight="1">
      <c r="D965" s="17" t="s">
        <v>1460</v>
      </c>
      <c r="F965" s="23">
        <v>704.5</v>
      </c>
    </row>
    <row r="966" spans="1:37" ht="12.75">
      <c r="A966" s="4"/>
      <c r="B966" s="14" t="s">
        <v>598</v>
      </c>
      <c r="C966" s="14" t="s">
        <v>100</v>
      </c>
      <c r="D966" s="104" t="s">
        <v>1033</v>
      </c>
      <c r="E966" s="105"/>
      <c r="F966" s="105"/>
      <c r="G966" s="105"/>
      <c r="H966" s="42">
        <f>SUM(H967:H973)</f>
        <v>0</v>
      </c>
      <c r="I966" s="42">
        <f>SUM(I967:I973)</f>
        <v>0</v>
      </c>
      <c r="J966" s="42">
        <f>H966+I966</f>
        <v>0</v>
      </c>
      <c r="K966" s="31"/>
      <c r="L966" s="42">
        <f>SUM(L967:L973)</f>
        <v>13.341908800000002</v>
      </c>
      <c r="M966" s="31"/>
      <c r="P966" s="42">
        <f>IF(Q966="PR",J966,SUM(O967:O973))</f>
        <v>0</v>
      </c>
      <c r="Q966" s="31" t="s">
        <v>1536</v>
      </c>
      <c r="R966" s="42">
        <f>IF(Q966="HS",H966,0)</f>
        <v>0</v>
      </c>
      <c r="S966" s="42">
        <f>IF(Q966="HS",I966-P966,0)</f>
        <v>0</v>
      </c>
      <c r="T966" s="42">
        <f>IF(Q966="PS",H966,0)</f>
        <v>0</v>
      </c>
      <c r="U966" s="42">
        <f>IF(Q966="PS",I966-P966,0)</f>
        <v>0</v>
      </c>
      <c r="V966" s="42">
        <f>IF(Q966="MP",H966,0)</f>
        <v>0</v>
      </c>
      <c r="W966" s="42">
        <f>IF(Q966="MP",I966-P966,0)</f>
        <v>0</v>
      </c>
      <c r="X966" s="42">
        <f>IF(Q966="OM",H966,0)</f>
        <v>0</v>
      </c>
      <c r="Y966" s="31" t="s">
        <v>598</v>
      </c>
      <c r="AI966" s="42">
        <f>SUM(Z967:Z973)</f>
        <v>0</v>
      </c>
      <c r="AJ966" s="42">
        <f>SUM(AA967:AA973)</f>
        <v>0</v>
      </c>
      <c r="AK966" s="42">
        <f>SUM(AB967:AB973)</f>
        <v>0</v>
      </c>
    </row>
    <row r="967" spans="1:43" ht="12.75">
      <c r="A967" s="5" t="s">
        <v>570</v>
      </c>
      <c r="B967" s="5" t="s">
        <v>598</v>
      </c>
      <c r="C967" s="5" t="s">
        <v>940</v>
      </c>
      <c r="D967" s="5" t="s">
        <v>1461</v>
      </c>
      <c r="E967" s="5" t="s">
        <v>1503</v>
      </c>
      <c r="F967" s="22">
        <v>656.59</v>
      </c>
      <c r="G967" s="22">
        <v>0</v>
      </c>
      <c r="H967" s="22">
        <f>F967*AE967</f>
        <v>0</v>
      </c>
      <c r="I967" s="22">
        <f>J967-H967</f>
        <v>0</v>
      </c>
      <c r="J967" s="22">
        <f>F967*G967</f>
        <v>0</v>
      </c>
      <c r="K967" s="22">
        <v>0</v>
      </c>
      <c r="L967" s="22">
        <f>F967*K967</f>
        <v>0</v>
      </c>
      <c r="M967" s="35" t="s">
        <v>1531</v>
      </c>
      <c r="N967" s="35" t="s">
        <v>7</v>
      </c>
      <c r="O967" s="22">
        <f>IF(N967="5",I967,0)</f>
        <v>0</v>
      </c>
      <c r="Z967" s="22">
        <f>IF(AD967=0,J967,0)</f>
        <v>0</v>
      </c>
      <c r="AA967" s="22">
        <f>IF(AD967=15,J967,0)</f>
        <v>0</v>
      </c>
      <c r="AB967" s="22">
        <f>IF(AD967=21,J967,0)</f>
        <v>0</v>
      </c>
      <c r="AD967" s="39">
        <v>15</v>
      </c>
      <c r="AE967" s="39">
        <f>G967*0</f>
        <v>0</v>
      </c>
      <c r="AF967" s="39">
        <f>G967*(1-0)</f>
        <v>0</v>
      </c>
      <c r="AM967" s="39">
        <f>F967*AE967</f>
        <v>0</v>
      </c>
      <c r="AN967" s="39">
        <f>F967*AF967</f>
        <v>0</v>
      </c>
      <c r="AO967" s="40" t="s">
        <v>1557</v>
      </c>
      <c r="AP967" s="40" t="s">
        <v>1607</v>
      </c>
      <c r="AQ967" s="31" t="s">
        <v>1615</v>
      </c>
    </row>
    <row r="968" spans="4:6" ht="10.8" customHeight="1">
      <c r="D968" s="17" t="s">
        <v>1462</v>
      </c>
      <c r="F968" s="23">
        <v>375.19</v>
      </c>
    </row>
    <row r="969" spans="4:6" ht="10.8" customHeight="1">
      <c r="D969" s="17" t="s">
        <v>1463</v>
      </c>
      <c r="F969" s="23">
        <v>281.4</v>
      </c>
    </row>
    <row r="970" spans="1:43" ht="12.75">
      <c r="A970" s="5" t="s">
        <v>571</v>
      </c>
      <c r="B970" s="5" t="s">
        <v>598</v>
      </c>
      <c r="C970" s="5" t="s">
        <v>941</v>
      </c>
      <c r="D970" s="5" t="s">
        <v>1464</v>
      </c>
      <c r="E970" s="5" t="s">
        <v>1503</v>
      </c>
      <c r="F970" s="22">
        <v>656.59</v>
      </c>
      <c r="G970" s="22">
        <v>0</v>
      </c>
      <c r="H970" s="22">
        <f>F970*AE970</f>
        <v>0</v>
      </c>
      <c r="I970" s="22">
        <f>J970-H970</f>
        <v>0</v>
      </c>
      <c r="J970" s="22">
        <f>F970*G970</f>
        <v>0</v>
      </c>
      <c r="K970" s="22">
        <v>0.01838</v>
      </c>
      <c r="L970" s="22">
        <f>F970*K970</f>
        <v>12.068124200000002</v>
      </c>
      <c r="M970" s="35" t="s">
        <v>1531</v>
      </c>
      <c r="N970" s="35" t="s">
        <v>7</v>
      </c>
      <c r="O970" s="22">
        <f>IF(N970="5",I970,0)</f>
        <v>0</v>
      </c>
      <c r="Z970" s="22">
        <f>IF(AD970=0,J970,0)</f>
        <v>0</v>
      </c>
      <c r="AA970" s="22">
        <f>IF(AD970=15,J970,0)</f>
        <v>0</v>
      </c>
      <c r="AB970" s="22">
        <f>IF(AD970=21,J970,0)</f>
        <v>0</v>
      </c>
      <c r="AD970" s="39">
        <v>15</v>
      </c>
      <c r="AE970" s="39">
        <f>G970*0.000623700623700624</f>
        <v>0</v>
      </c>
      <c r="AF970" s="39">
        <f>G970*(1-0.000623700623700624)</f>
        <v>0</v>
      </c>
      <c r="AM970" s="39">
        <f>F970*AE970</f>
        <v>0</v>
      </c>
      <c r="AN970" s="39">
        <f>F970*AF970</f>
        <v>0</v>
      </c>
      <c r="AO970" s="40" t="s">
        <v>1557</v>
      </c>
      <c r="AP970" s="40" t="s">
        <v>1607</v>
      </c>
      <c r="AQ970" s="31" t="s">
        <v>1615</v>
      </c>
    </row>
    <row r="971" spans="4:6" ht="10.8" customHeight="1">
      <c r="D971" s="17" t="s">
        <v>1462</v>
      </c>
      <c r="F971" s="23">
        <v>375.19</v>
      </c>
    </row>
    <row r="972" spans="4:6" ht="10.8" customHeight="1">
      <c r="D972" s="17" t="s">
        <v>1463</v>
      </c>
      <c r="F972" s="23">
        <v>281.4</v>
      </c>
    </row>
    <row r="973" spans="1:43" ht="12.75">
      <c r="A973" s="5" t="s">
        <v>572</v>
      </c>
      <c r="B973" s="5" t="s">
        <v>598</v>
      </c>
      <c r="C973" s="5" t="s">
        <v>942</v>
      </c>
      <c r="D973" s="5" t="s">
        <v>1465</v>
      </c>
      <c r="E973" s="5" t="s">
        <v>1503</v>
      </c>
      <c r="F973" s="22">
        <v>1313.18</v>
      </c>
      <c r="G973" s="22">
        <v>0</v>
      </c>
      <c r="H973" s="22">
        <f>F973*AE973</f>
        <v>0</v>
      </c>
      <c r="I973" s="22">
        <f>J973-H973</f>
        <v>0</v>
      </c>
      <c r="J973" s="22">
        <f>F973*G973</f>
        <v>0</v>
      </c>
      <c r="K973" s="22">
        <v>0.00097</v>
      </c>
      <c r="L973" s="22">
        <f>F973*K973</f>
        <v>1.2737846000000002</v>
      </c>
      <c r="M973" s="35" t="s">
        <v>1531</v>
      </c>
      <c r="N973" s="35" t="s">
        <v>7</v>
      </c>
      <c r="O973" s="22">
        <f>IF(N973="5",I973,0)</f>
        <v>0</v>
      </c>
      <c r="Z973" s="22">
        <f>IF(AD973=0,J973,0)</f>
        <v>0</v>
      </c>
      <c r="AA973" s="22">
        <f>IF(AD973=15,J973,0)</f>
        <v>0</v>
      </c>
      <c r="AB973" s="22">
        <f>IF(AD973=21,J973,0)</f>
        <v>0</v>
      </c>
      <c r="AD973" s="39">
        <v>15</v>
      </c>
      <c r="AE973" s="39">
        <f>G973*0.954889324740824</f>
        <v>0</v>
      </c>
      <c r="AF973" s="39">
        <f>G973*(1-0.954889324740824)</f>
        <v>0</v>
      </c>
      <c r="AM973" s="39">
        <f>F973*AE973</f>
        <v>0</v>
      </c>
      <c r="AN973" s="39">
        <f>F973*AF973</f>
        <v>0</v>
      </c>
      <c r="AO973" s="40" t="s">
        <v>1557</v>
      </c>
      <c r="AP973" s="40" t="s">
        <v>1607</v>
      </c>
      <c r="AQ973" s="31" t="s">
        <v>1615</v>
      </c>
    </row>
    <row r="974" spans="4:6" ht="10.8" customHeight="1">
      <c r="D974" s="17" t="s">
        <v>1466</v>
      </c>
      <c r="F974" s="23">
        <v>1313.18</v>
      </c>
    </row>
    <row r="975" spans="1:37" ht="12.75">
      <c r="A975" s="4"/>
      <c r="B975" s="14" t="s">
        <v>598</v>
      </c>
      <c r="C975" s="14" t="s">
        <v>102</v>
      </c>
      <c r="D975" s="104" t="s">
        <v>1267</v>
      </c>
      <c r="E975" s="105"/>
      <c r="F975" s="105"/>
      <c r="G975" s="105"/>
      <c r="H975" s="42">
        <f>SUM(H976:H982)</f>
        <v>0</v>
      </c>
      <c r="I975" s="42">
        <f>SUM(I976:I982)</f>
        <v>0</v>
      </c>
      <c r="J975" s="42">
        <f>H975+I975</f>
        <v>0</v>
      </c>
      <c r="K975" s="31"/>
      <c r="L975" s="42">
        <f>SUM(L976:L982)</f>
        <v>7.7161396</v>
      </c>
      <c r="M975" s="31"/>
      <c r="P975" s="42">
        <f>IF(Q975="PR",J975,SUM(O976:O982))</f>
        <v>0</v>
      </c>
      <c r="Q975" s="31" t="s">
        <v>1536</v>
      </c>
      <c r="R975" s="42">
        <f>IF(Q975="HS",H975,0)</f>
        <v>0</v>
      </c>
      <c r="S975" s="42">
        <f>IF(Q975="HS",I975-P975,0)</f>
        <v>0</v>
      </c>
      <c r="T975" s="42">
        <f>IF(Q975="PS",H975,0)</f>
        <v>0</v>
      </c>
      <c r="U975" s="42">
        <f>IF(Q975="PS",I975-P975,0)</f>
        <v>0</v>
      </c>
      <c r="V975" s="42">
        <f>IF(Q975="MP",H975,0)</f>
        <v>0</v>
      </c>
      <c r="W975" s="42">
        <f>IF(Q975="MP",I975-P975,0)</f>
        <v>0</v>
      </c>
      <c r="X975" s="42">
        <f>IF(Q975="OM",H975,0)</f>
        <v>0</v>
      </c>
      <c r="Y975" s="31" t="s">
        <v>598</v>
      </c>
      <c r="AI975" s="42">
        <f>SUM(Z976:Z982)</f>
        <v>0</v>
      </c>
      <c r="AJ975" s="42">
        <f>SUM(AA976:AA982)</f>
        <v>0</v>
      </c>
      <c r="AK975" s="42">
        <f>SUM(AB976:AB982)</f>
        <v>0</v>
      </c>
    </row>
    <row r="976" spans="1:43" ht="12.75">
      <c r="A976" s="5" t="s">
        <v>573</v>
      </c>
      <c r="B976" s="5" t="s">
        <v>598</v>
      </c>
      <c r="C976" s="5" t="s">
        <v>943</v>
      </c>
      <c r="D976" s="5" t="s">
        <v>1467</v>
      </c>
      <c r="E976" s="5" t="s">
        <v>1503</v>
      </c>
      <c r="F976" s="22">
        <v>81.87</v>
      </c>
      <c r="G976" s="22">
        <v>0</v>
      </c>
      <c r="H976" s="22">
        <f>F976*AE976</f>
        <v>0</v>
      </c>
      <c r="I976" s="22">
        <f>J976-H976</f>
        <v>0</v>
      </c>
      <c r="J976" s="22">
        <f>F976*G976</f>
        <v>0</v>
      </c>
      <c r="K976" s="22">
        <v>0.063</v>
      </c>
      <c r="L976" s="22">
        <f>F976*K976</f>
        <v>5.1578100000000004</v>
      </c>
      <c r="M976" s="35" t="s">
        <v>1531</v>
      </c>
      <c r="N976" s="35" t="s">
        <v>7</v>
      </c>
      <c r="O976" s="22">
        <f>IF(N976="5",I976,0)</f>
        <v>0</v>
      </c>
      <c r="Z976" s="22">
        <f>IF(AD976=0,J976,0)</f>
        <v>0</v>
      </c>
      <c r="AA976" s="22">
        <f>IF(AD976=15,J976,0)</f>
        <v>0</v>
      </c>
      <c r="AB976" s="22">
        <f>IF(AD976=21,J976,0)</f>
        <v>0</v>
      </c>
      <c r="AD976" s="39">
        <v>15</v>
      </c>
      <c r="AE976" s="39">
        <f>G976*0.133024191295603</f>
        <v>0</v>
      </c>
      <c r="AF976" s="39">
        <f>G976*(1-0.133024191295603)</f>
        <v>0</v>
      </c>
      <c r="AM976" s="39">
        <f>F976*AE976</f>
        <v>0</v>
      </c>
      <c r="AN976" s="39">
        <f>F976*AF976</f>
        <v>0</v>
      </c>
      <c r="AO976" s="40" t="s">
        <v>1579</v>
      </c>
      <c r="AP976" s="40" t="s">
        <v>1607</v>
      </c>
      <c r="AQ976" s="31" t="s">
        <v>1615</v>
      </c>
    </row>
    <row r="977" spans="4:6" ht="10.8" customHeight="1">
      <c r="D977" s="17" t="s">
        <v>1468</v>
      </c>
      <c r="F977" s="23">
        <v>70.56</v>
      </c>
    </row>
    <row r="978" spans="4:6" ht="10.8" customHeight="1">
      <c r="D978" s="17" t="s">
        <v>1469</v>
      </c>
      <c r="F978" s="23">
        <v>7.56</v>
      </c>
    </row>
    <row r="979" spans="4:6" ht="10.8" customHeight="1">
      <c r="D979" s="17" t="s">
        <v>1470</v>
      </c>
      <c r="F979" s="23">
        <v>3.75</v>
      </c>
    </row>
    <row r="980" spans="1:43" ht="12.75">
      <c r="A980" s="5" t="s">
        <v>574</v>
      </c>
      <c r="B980" s="5" t="s">
        <v>598</v>
      </c>
      <c r="C980" s="5" t="s">
        <v>944</v>
      </c>
      <c r="D980" s="5" t="s">
        <v>1471</v>
      </c>
      <c r="E980" s="5" t="s">
        <v>1503</v>
      </c>
      <c r="F980" s="22">
        <v>30.24</v>
      </c>
      <c r="G980" s="22">
        <v>0</v>
      </c>
      <c r="H980" s="22">
        <f>F980*AE980</f>
        <v>0</v>
      </c>
      <c r="I980" s="22">
        <f>J980-H980</f>
        <v>0</v>
      </c>
      <c r="J980" s="22">
        <f>F980*G980</f>
        <v>0</v>
      </c>
      <c r="K980" s="22">
        <v>0.06804</v>
      </c>
      <c r="L980" s="22">
        <f>F980*K980</f>
        <v>2.0575296</v>
      </c>
      <c r="M980" s="35" t="s">
        <v>1531</v>
      </c>
      <c r="N980" s="35" t="s">
        <v>7</v>
      </c>
      <c r="O980" s="22">
        <f>IF(N980="5",I980,0)</f>
        <v>0</v>
      </c>
      <c r="Z980" s="22">
        <f>IF(AD980=0,J980,0)</f>
        <v>0</v>
      </c>
      <c r="AA980" s="22">
        <f>IF(AD980=15,J980,0)</f>
        <v>0</v>
      </c>
      <c r="AB980" s="22">
        <f>IF(AD980=21,J980,0)</f>
        <v>0</v>
      </c>
      <c r="AD980" s="39">
        <v>15</v>
      </c>
      <c r="AE980" s="39">
        <f>G980*0.234383116883117</f>
        <v>0</v>
      </c>
      <c r="AF980" s="39">
        <f>G980*(1-0.234383116883117)</f>
        <v>0</v>
      </c>
      <c r="AM980" s="39">
        <f>F980*AE980</f>
        <v>0</v>
      </c>
      <c r="AN980" s="39">
        <f>F980*AF980</f>
        <v>0</v>
      </c>
      <c r="AO980" s="40" t="s">
        <v>1579</v>
      </c>
      <c r="AP980" s="40" t="s">
        <v>1607</v>
      </c>
      <c r="AQ980" s="31" t="s">
        <v>1615</v>
      </c>
    </row>
    <row r="981" spans="4:6" ht="10.8" customHeight="1">
      <c r="D981" s="17" t="s">
        <v>1472</v>
      </c>
      <c r="F981" s="23">
        <v>30.24</v>
      </c>
    </row>
    <row r="982" spans="1:43" ht="12.75">
      <c r="A982" s="5" t="s">
        <v>575</v>
      </c>
      <c r="B982" s="5" t="s">
        <v>598</v>
      </c>
      <c r="C982" s="5" t="s">
        <v>945</v>
      </c>
      <c r="D982" s="5" t="s">
        <v>1473</v>
      </c>
      <c r="E982" s="5" t="s">
        <v>1503</v>
      </c>
      <c r="F982" s="22">
        <v>7.825</v>
      </c>
      <c r="G982" s="22">
        <v>0</v>
      </c>
      <c r="H982" s="22">
        <f>F982*AE982</f>
        <v>0</v>
      </c>
      <c r="I982" s="22">
        <f>J982-H982</f>
        <v>0</v>
      </c>
      <c r="J982" s="22">
        <f>F982*G982</f>
        <v>0</v>
      </c>
      <c r="K982" s="22">
        <v>0.064</v>
      </c>
      <c r="L982" s="22">
        <f>F982*K982</f>
        <v>0.5008</v>
      </c>
      <c r="M982" s="35" t="s">
        <v>1531</v>
      </c>
      <c r="N982" s="35" t="s">
        <v>7</v>
      </c>
      <c r="O982" s="22">
        <f>IF(N982="5",I982,0)</f>
        <v>0</v>
      </c>
      <c r="Z982" s="22">
        <f>IF(AD982=0,J982,0)</f>
        <v>0</v>
      </c>
      <c r="AA982" s="22">
        <f>IF(AD982=15,J982,0)</f>
        <v>0</v>
      </c>
      <c r="AB982" s="22">
        <f>IF(AD982=21,J982,0)</f>
        <v>0</v>
      </c>
      <c r="AD982" s="39">
        <v>15</v>
      </c>
      <c r="AE982" s="39">
        <f>G982*0.115863746958637</f>
        <v>0</v>
      </c>
      <c r="AF982" s="39">
        <f>G982*(1-0.115863746958637)</f>
        <v>0</v>
      </c>
      <c r="AM982" s="39">
        <f>F982*AE982</f>
        <v>0</v>
      </c>
      <c r="AN982" s="39">
        <f>F982*AF982</f>
        <v>0</v>
      </c>
      <c r="AO982" s="40" t="s">
        <v>1579</v>
      </c>
      <c r="AP982" s="40" t="s">
        <v>1607</v>
      </c>
      <c r="AQ982" s="31" t="s">
        <v>1615</v>
      </c>
    </row>
    <row r="983" spans="4:6" ht="10.8" customHeight="1">
      <c r="D983" s="17" t="s">
        <v>1474</v>
      </c>
      <c r="F983" s="23">
        <v>3.2</v>
      </c>
    </row>
    <row r="984" spans="4:6" ht="10.8" customHeight="1">
      <c r="D984" s="17" t="s">
        <v>1475</v>
      </c>
      <c r="F984" s="23">
        <v>4.625</v>
      </c>
    </row>
    <row r="985" spans="1:37" ht="12.75">
      <c r="A985" s="4"/>
      <c r="B985" s="14" t="s">
        <v>598</v>
      </c>
      <c r="C985" s="14" t="s">
        <v>653</v>
      </c>
      <c r="D985" s="104" t="s">
        <v>1038</v>
      </c>
      <c r="E985" s="105"/>
      <c r="F985" s="105"/>
      <c r="G985" s="105"/>
      <c r="H985" s="42">
        <f>SUM(H986:H986)</f>
        <v>0</v>
      </c>
      <c r="I985" s="42">
        <f>SUM(I986:I986)</f>
        <v>0</v>
      </c>
      <c r="J985" s="42">
        <f>H985+I985</f>
        <v>0</v>
      </c>
      <c r="K985" s="31"/>
      <c r="L985" s="42">
        <f>SUM(L986:L986)</f>
        <v>0</v>
      </c>
      <c r="M985" s="31"/>
      <c r="P985" s="42">
        <f>IF(Q985="PR",J985,SUM(O986:O986))</f>
        <v>0</v>
      </c>
      <c r="Q985" s="31" t="s">
        <v>1536</v>
      </c>
      <c r="R985" s="42">
        <f>IF(Q985="HS",H985,0)</f>
        <v>0</v>
      </c>
      <c r="S985" s="42">
        <f>IF(Q985="HS",I985-P985,0)</f>
        <v>0</v>
      </c>
      <c r="T985" s="42">
        <f>IF(Q985="PS",H985,0)</f>
        <v>0</v>
      </c>
      <c r="U985" s="42">
        <f>IF(Q985="PS",I985-P985,0)</f>
        <v>0</v>
      </c>
      <c r="V985" s="42">
        <f>IF(Q985="MP",H985,0)</f>
        <v>0</v>
      </c>
      <c r="W985" s="42">
        <f>IF(Q985="MP",I985-P985,0)</f>
        <v>0</v>
      </c>
      <c r="X985" s="42">
        <f>IF(Q985="OM",H985,0)</f>
        <v>0</v>
      </c>
      <c r="Y985" s="31" t="s">
        <v>598</v>
      </c>
      <c r="AI985" s="42">
        <f>SUM(Z986:Z986)</f>
        <v>0</v>
      </c>
      <c r="AJ985" s="42">
        <f>SUM(AA986:AA986)</f>
        <v>0</v>
      </c>
      <c r="AK985" s="42">
        <f>SUM(AB986:AB986)</f>
        <v>0</v>
      </c>
    </row>
    <row r="986" spans="1:43" ht="12.75">
      <c r="A986" s="5" t="s">
        <v>576</v>
      </c>
      <c r="B986" s="5" t="s">
        <v>598</v>
      </c>
      <c r="C986" s="5" t="s">
        <v>820</v>
      </c>
      <c r="D986" s="5" t="s">
        <v>1284</v>
      </c>
      <c r="E986" s="5" t="s">
        <v>1508</v>
      </c>
      <c r="F986" s="22">
        <v>23.27</v>
      </c>
      <c r="G986" s="22">
        <v>0</v>
      </c>
      <c r="H986" s="22">
        <f>F986*AE986</f>
        <v>0</v>
      </c>
      <c r="I986" s="22">
        <f>J986-H986</f>
        <v>0</v>
      </c>
      <c r="J986" s="22">
        <f>F986*G986</f>
        <v>0</v>
      </c>
      <c r="K986" s="22">
        <v>0</v>
      </c>
      <c r="L986" s="22">
        <f>F986*K986</f>
        <v>0</v>
      </c>
      <c r="M986" s="35" t="s">
        <v>1531</v>
      </c>
      <c r="N986" s="35" t="s">
        <v>11</v>
      </c>
      <c r="O986" s="22">
        <f>IF(N986="5",I986,0)</f>
        <v>0</v>
      </c>
      <c r="Z986" s="22">
        <f>IF(AD986=0,J986,0)</f>
        <v>0</v>
      </c>
      <c r="AA986" s="22">
        <f>IF(AD986=15,J986,0)</f>
        <v>0</v>
      </c>
      <c r="AB986" s="22">
        <f>IF(AD986=21,J986,0)</f>
        <v>0</v>
      </c>
      <c r="AD986" s="39">
        <v>15</v>
      </c>
      <c r="AE986" s="39">
        <f>G986*0</f>
        <v>0</v>
      </c>
      <c r="AF986" s="39">
        <f>G986*(1-0)</f>
        <v>0</v>
      </c>
      <c r="AM986" s="39">
        <f>F986*AE986</f>
        <v>0</v>
      </c>
      <c r="AN986" s="39">
        <f>F986*AF986</f>
        <v>0</v>
      </c>
      <c r="AO986" s="40" t="s">
        <v>1559</v>
      </c>
      <c r="AP986" s="40" t="s">
        <v>1607</v>
      </c>
      <c r="AQ986" s="31" t="s">
        <v>1615</v>
      </c>
    </row>
    <row r="987" spans="1:37" ht="12.75">
      <c r="A987" s="4"/>
      <c r="B987" s="14" t="s">
        <v>598</v>
      </c>
      <c r="C987" s="14" t="s">
        <v>823</v>
      </c>
      <c r="D987" s="104" t="s">
        <v>987</v>
      </c>
      <c r="E987" s="105"/>
      <c r="F987" s="105"/>
      <c r="G987" s="105"/>
      <c r="H987" s="42">
        <f>SUM(H988:H988)</f>
        <v>0</v>
      </c>
      <c r="I987" s="42">
        <f>SUM(I988:I988)</f>
        <v>0</v>
      </c>
      <c r="J987" s="42">
        <f>H987+I987</f>
        <v>0</v>
      </c>
      <c r="K987" s="31"/>
      <c r="L987" s="42">
        <f>SUM(L988:L988)</f>
        <v>0</v>
      </c>
      <c r="M987" s="31"/>
      <c r="P987" s="42">
        <f>IF(Q987="PR",J987,SUM(O988:O988))</f>
        <v>0</v>
      </c>
      <c r="Q987" s="31" t="s">
        <v>1536</v>
      </c>
      <c r="R987" s="42">
        <f>IF(Q987="HS",H987,0)</f>
        <v>0</v>
      </c>
      <c r="S987" s="42">
        <f>IF(Q987="HS",I987-P987,0)</f>
        <v>0</v>
      </c>
      <c r="T987" s="42">
        <f>IF(Q987="PS",H987,0)</f>
        <v>0</v>
      </c>
      <c r="U987" s="42">
        <f>IF(Q987="PS",I987-P987,0)</f>
        <v>0</v>
      </c>
      <c r="V987" s="42">
        <f>IF(Q987="MP",H987,0)</f>
        <v>0</v>
      </c>
      <c r="W987" s="42">
        <f>IF(Q987="MP",I987-P987,0)</f>
        <v>0</v>
      </c>
      <c r="X987" s="42">
        <f>IF(Q987="OM",H987,0)</f>
        <v>0</v>
      </c>
      <c r="Y987" s="31" t="s">
        <v>598</v>
      </c>
      <c r="AI987" s="42">
        <f>SUM(Z988:Z988)</f>
        <v>0</v>
      </c>
      <c r="AJ987" s="42">
        <f>SUM(AA988:AA988)</f>
        <v>0</v>
      </c>
      <c r="AK987" s="42">
        <f>SUM(AB988:AB988)</f>
        <v>0</v>
      </c>
    </row>
    <row r="988" spans="1:43" ht="12.75">
      <c r="A988" s="5" t="s">
        <v>577</v>
      </c>
      <c r="B988" s="5" t="s">
        <v>598</v>
      </c>
      <c r="C988" s="5" t="s">
        <v>824</v>
      </c>
      <c r="D988" s="5" t="s">
        <v>1286</v>
      </c>
      <c r="E988" s="5" t="s">
        <v>1509</v>
      </c>
      <c r="F988" s="22">
        <v>1</v>
      </c>
      <c r="G988" s="22">
        <v>0</v>
      </c>
      <c r="H988" s="22">
        <f>F988*AE988</f>
        <v>0</v>
      </c>
      <c r="I988" s="22">
        <f>J988-H988</f>
        <v>0</v>
      </c>
      <c r="J988" s="22">
        <f>F988*G988</f>
        <v>0</v>
      </c>
      <c r="K988" s="22">
        <v>0</v>
      </c>
      <c r="L988" s="22">
        <f>F988*K988</f>
        <v>0</v>
      </c>
      <c r="M988" s="35" t="s">
        <v>1531</v>
      </c>
      <c r="N988" s="35" t="s">
        <v>11</v>
      </c>
      <c r="O988" s="22">
        <f>IF(N988="5",I988,0)</f>
        <v>0</v>
      </c>
      <c r="Z988" s="22">
        <f>IF(AD988=0,J988,0)</f>
        <v>0</v>
      </c>
      <c r="AA988" s="22">
        <f>IF(AD988=15,J988,0)</f>
        <v>0</v>
      </c>
      <c r="AB988" s="22">
        <f>IF(AD988=21,J988,0)</f>
        <v>0</v>
      </c>
      <c r="AD988" s="39">
        <v>15</v>
      </c>
      <c r="AE988" s="39">
        <f>G988*0</f>
        <v>0</v>
      </c>
      <c r="AF988" s="39">
        <f>G988*(1-0)</f>
        <v>0</v>
      </c>
      <c r="AM988" s="39">
        <f>F988*AE988</f>
        <v>0</v>
      </c>
      <c r="AN988" s="39">
        <f>F988*AF988</f>
        <v>0</v>
      </c>
      <c r="AO988" s="40" t="s">
        <v>1582</v>
      </c>
      <c r="AP988" s="40" t="s">
        <v>1607</v>
      </c>
      <c r="AQ988" s="31" t="s">
        <v>1615</v>
      </c>
    </row>
    <row r="989" spans="1:37" ht="12.75">
      <c r="A989" s="4"/>
      <c r="B989" s="14" t="s">
        <v>598</v>
      </c>
      <c r="C989" s="14" t="s">
        <v>946</v>
      </c>
      <c r="D989" s="104" t="s">
        <v>1412</v>
      </c>
      <c r="E989" s="105"/>
      <c r="F989" s="105"/>
      <c r="G989" s="105"/>
      <c r="H989" s="42">
        <f>SUM(H990:H990)</f>
        <v>0</v>
      </c>
      <c r="I989" s="42">
        <f>SUM(I990:I990)</f>
        <v>0</v>
      </c>
      <c r="J989" s="42">
        <f>H989+I989</f>
        <v>0</v>
      </c>
      <c r="K989" s="31"/>
      <c r="L989" s="42">
        <f>SUM(L990:L990)</f>
        <v>0</v>
      </c>
      <c r="M989" s="31"/>
      <c r="P989" s="42">
        <f>IF(Q989="PR",J989,SUM(O990:O990))</f>
        <v>0</v>
      </c>
      <c r="Q989" s="31" t="s">
        <v>1536</v>
      </c>
      <c r="R989" s="42">
        <f>IF(Q989="HS",H989,0)</f>
        <v>0</v>
      </c>
      <c r="S989" s="42">
        <f>IF(Q989="HS",I989-P989,0)</f>
        <v>0</v>
      </c>
      <c r="T989" s="42">
        <f>IF(Q989="PS",H989,0)</f>
        <v>0</v>
      </c>
      <c r="U989" s="42">
        <f>IF(Q989="PS",I989-P989,0)</f>
        <v>0</v>
      </c>
      <c r="V989" s="42">
        <f>IF(Q989="MP",H989,0)</f>
        <v>0</v>
      </c>
      <c r="W989" s="42">
        <f>IF(Q989="MP",I989-P989,0)</f>
        <v>0</v>
      </c>
      <c r="X989" s="42">
        <f>IF(Q989="OM",H989,0)</f>
        <v>0</v>
      </c>
      <c r="Y989" s="31" t="s">
        <v>598</v>
      </c>
      <c r="AI989" s="42">
        <f>SUM(Z990:Z990)</f>
        <v>0</v>
      </c>
      <c r="AJ989" s="42">
        <f>SUM(AA990:AA990)</f>
        <v>0</v>
      </c>
      <c r="AK989" s="42">
        <f>SUM(AB990:AB990)</f>
        <v>0</v>
      </c>
    </row>
    <row r="990" spans="1:43" ht="12.75">
      <c r="A990" s="5" t="s">
        <v>578</v>
      </c>
      <c r="B990" s="5" t="s">
        <v>598</v>
      </c>
      <c r="C990" s="5" t="s">
        <v>947</v>
      </c>
      <c r="D990" s="5" t="s">
        <v>1476</v>
      </c>
      <c r="E990" s="5" t="s">
        <v>1509</v>
      </c>
      <c r="F990" s="22">
        <v>1</v>
      </c>
      <c r="G990" s="22">
        <v>0</v>
      </c>
      <c r="H990" s="22">
        <f>F990*AE990</f>
        <v>0</v>
      </c>
      <c r="I990" s="22">
        <f>J990-H990</f>
        <v>0</v>
      </c>
      <c r="J990" s="22">
        <f>F990*G990</f>
        <v>0</v>
      </c>
      <c r="K990" s="22">
        <v>0</v>
      </c>
      <c r="L990" s="22">
        <f>F990*K990</f>
        <v>0</v>
      </c>
      <c r="M990" s="35" t="s">
        <v>1531</v>
      </c>
      <c r="N990" s="35" t="s">
        <v>11</v>
      </c>
      <c r="O990" s="22">
        <f>IF(N990="5",I990,0)</f>
        <v>0</v>
      </c>
      <c r="Z990" s="22">
        <f>IF(AD990=0,J990,0)</f>
        <v>0</v>
      </c>
      <c r="AA990" s="22">
        <f>IF(AD990=15,J990,0)</f>
        <v>0</v>
      </c>
      <c r="AB990" s="22">
        <f>IF(AD990=21,J990,0)</f>
        <v>0</v>
      </c>
      <c r="AD990" s="39">
        <v>15</v>
      </c>
      <c r="AE990" s="39">
        <f>G990*0</f>
        <v>0</v>
      </c>
      <c r="AF990" s="39">
        <f>G990*(1-0)</f>
        <v>0</v>
      </c>
      <c r="AM990" s="39">
        <f>F990*AE990</f>
        <v>0</v>
      </c>
      <c r="AN990" s="39">
        <f>F990*AF990</f>
        <v>0</v>
      </c>
      <c r="AO990" s="40" t="s">
        <v>1598</v>
      </c>
      <c r="AP990" s="40" t="s">
        <v>1607</v>
      </c>
      <c r="AQ990" s="31" t="s">
        <v>1615</v>
      </c>
    </row>
    <row r="991" spans="1:37" ht="12.75">
      <c r="A991" s="4"/>
      <c r="B991" s="14" t="s">
        <v>598</v>
      </c>
      <c r="C991" s="14" t="s">
        <v>948</v>
      </c>
      <c r="D991" s="104" t="s">
        <v>1417</v>
      </c>
      <c r="E991" s="105"/>
      <c r="F991" s="105"/>
      <c r="G991" s="105"/>
      <c r="H991" s="42">
        <f>SUM(H992:H992)</f>
        <v>0</v>
      </c>
      <c r="I991" s="42">
        <f>SUM(I992:I992)</f>
        <v>0</v>
      </c>
      <c r="J991" s="42">
        <f>H991+I991</f>
        <v>0</v>
      </c>
      <c r="K991" s="31"/>
      <c r="L991" s="42">
        <f>SUM(L992:L992)</f>
        <v>0</v>
      </c>
      <c r="M991" s="31"/>
      <c r="P991" s="42">
        <f>IF(Q991="PR",J991,SUM(O992:O992))</f>
        <v>0</v>
      </c>
      <c r="Q991" s="31" t="s">
        <v>1536</v>
      </c>
      <c r="R991" s="42">
        <f>IF(Q991="HS",H991,0)</f>
        <v>0</v>
      </c>
      <c r="S991" s="42">
        <f>IF(Q991="HS",I991-P991,0)</f>
        <v>0</v>
      </c>
      <c r="T991" s="42">
        <f>IF(Q991="PS",H991,0)</f>
        <v>0</v>
      </c>
      <c r="U991" s="42">
        <f>IF(Q991="PS",I991-P991,0)</f>
        <v>0</v>
      </c>
      <c r="V991" s="42">
        <f>IF(Q991="MP",H991,0)</f>
        <v>0</v>
      </c>
      <c r="W991" s="42">
        <f>IF(Q991="MP",I991-P991,0)</f>
        <v>0</v>
      </c>
      <c r="X991" s="42">
        <f>IF(Q991="OM",H991,0)</f>
        <v>0</v>
      </c>
      <c r="Y991" s="31" t="s">
        <v>598</v>
      </c>
      <c r="AI991" s="42">
        <f>SUM(Z992:Z992)</f>
        <v>0</v>
      </c>
      <c r="AJ991" s="42">
        <f>SUM(AA992:AA992)</f>
        <v>0</v>
      </c>
      <c r="AK991" s="42">
        <f>SUM(AB992:AB992)</f>
        <v>0</v>
      </c>
    </row>
    <row r="992" spans="1:43" ht="12.75">
      <c r="A992" s="5" t="s">
        <v>579</v>
      </c>
      <c r="B992" s="5" t="s">
        <v>598</v>
      </c>
      <c r="C992" s="5" t="s">
        <v>949</v>
      </c>
      <c r="D992" s="5" t="s">
        <v>1477</v>
      </c>
      <c r="E992" s="5" t="s">
        <v>1509</v>
      </c>
      <c r="F992" s="22">
        <v>1</v>
      </c>
      <c r="G992" s="22">
        <v>0</v>
      </c>
      <c r="H992" s="22">
        <f>F992*AE992</f>
        <v>0</v>
      </c>
      <c r="I992" s="22">
        <f>J992-H992</f>
        <v>0</v>
      </c>
      <c r="J992" s="22">
        <f>F992*G992</f>
        <v>0</v>
      </c>
      <c r="K992" s="22">
        <v>0</v>
      </c>
      <c r="L992" s="22">
        <f>F992*K992</f>
        <v>0</v>
      </c>
      <c r="M992" s="35" t="s">
        <v>1531</v>
      </c>
      <c r="N992" s="35" t="s">
        <v>11</v>
      </c>
      <c r="O992" s="22">
        <f>IF(N992="5",I992,0)</f>
        <v>0</v>
      </c>
      <c r="Z992" s="22">
        <f>IF(AD992=0,J992,0)</f>
        <v>0</v>
      </c>
      <c r="AA992" s="22">
        <f>IF(AD992=15,J992,0)</f>
        <v>0</v>
      </c>
      <c r="AB992" s="22">
        <f>IF(AD992=21,J992,0)</f>
        <v>0</v>
      </c>
      <c r="AD992" s="39">
        <v>15</v>
      </c>
      <c r="AE992" s="39">
        <f>G992*0</f>
        <v>0</v>
      </c>
      <c r="AF992" s="39">
        <f>G992*(1-0)</f>
        <v>0</v>
      </c>
      <c r="AM992" s="39">
        <f>F992*AE992</f>
        <v>0</v>
      </c>
      <c r="AN992" s="39">
        <f>F992*AF992</f>
        <v>0</v>
      </c>
      <c r="AO992" s="40" t="s">
        <v>1599</v>
      </c>
      <c r="AP992" s="40" t="s">
        <v>1607</v>
      </c>
      <c r="AQ992" s="31" t="s">
        <v>1615</v>
      </c>
    </row>
    <row r="993" spans="1:37" ht="12.75">
      <c r="A993" s="4"/>
      <c r="B993" s="14" t="s">
        <v>598</v>
      </c>
      <c r="C993" s="14" t="s">
        <v>841</v>
      </c>
      <c r="D993" s="104" t="s">
        <v>1224</v>
      </c>
      <c r="E993" s="105"/>
      <c r="F993" s="105"/>
      <c r="G993" s="105"/>
      <c r="H993" s="42">
        <f>SUM(H994:H994)</f>
        <v>0</v>
      </c>
      <c r="I993" s="42">
        <f>SUM(I994:I994)</f>
        <v>0</v>
      </c>
      <c r="J993" s="42">
        <f>H993+I993</f>
        <v>0</v>
      </c>
      <c r="K993" s="31"/>
      <c r="L993" s="42">
        <f>SUM(L994:L994)</f>
        <v>0</v>
      </c>
      <c r="M993" s="31"/>
      <c r="P993" s="42">
        <f>IF(Q993="PR",J993,SUM(O994:O994))</f>
        <v>0</v>
      </c>
      <c r="Q993" s="31" t="s">
        <v>1536</v>
      </c>
      <c r="R993" s="42">
        <f>IF(Q993="HS",H993,0)</f>
        <v>0</v>
      </c>
      <c r="S993" s="42">
        <f>IF(Q993="HS",I993-P993,0)</f>
        <v>0</v>
      </c>
      <c r="T993" s="42">
        <f>IF(Q993="PS",H993,0)</f>
        <v>0</v>
      </c>
      <c r="U993" s="42">
        <f>IF(Q993="PS",I993-P993,0)</f>
        <v>0</v>
      </c>
      <c r="V993" s="42">
        <f>IF(Q993="MP",H993,0)</f>
        <v>0</v>
      </c>
      <c r="W993" s="42">
        <f>IF(Q993="MP",I993-P993,0)</f>
        <v>0</v>
      </c>
      <c r="X993" s="42">
        <f>IF(Q993="OM",H993,0)</f>
        <v>0</v>
      </c>
      <c r="Y993" s="31" t="s">
        <v>598</v>
      </c>
      <c r="AI993" s="42">
        <f>SUM(Z994:Z994)</f>
        <v>0</v>
      </c>
      <c r="AJ993" s="42">
        <f>SUM(AA994:AA994)</f>
        <v>0</v>
      </c>
      <c r="AK993" s="42">
        <f>SUM(AB994:AB994)</f>
        <v>0</v>
      </c>
    </row>
    <row r="994" spans="1:43" ht="12.75">
      <c r="A994" s="5" t="s">
        <v>580</v>
      </c>
      <c r="B994" s="5" t="s">
        <v>598</v>
      </c>
      <c r="C994" s="5" t="s">
        <v>842</v>
      </c>
      <c r="D994" s="5" t="s">
        <v>1297</v>
      </c>
      <c r="E994" s="5" t="s">
        <v>1509</v>
      </c>
      <c r="F994" s="22">
        <v>1</v>
      </c>
      <c r="G994" s="22">
        <v>0</v>
      </c>
      <c r="H994" s="22">
        <f>F994*AE994</f>
        <v>0</v>
      </c>
      <c r="I994" s="22">
        <f>J994-H994</f>
        <v>0</v>
      </c>
      <c r="J994" s="22">
        <f>F994*G994</f>
        <v>0</v>
      </c>
      <c r="K994" s="22">
        <v>0</v>
      </c>
      <c r="L994" s="22">
        <f>F994*K994</f>
        <v>0</v>
      </c>
      <c r="M994" s="35" t="s">
        <v>1531</v>
      </c>
      <c r="N994" s="35" t="s">
        <v>11</v>
      </c>
      <c r="O994" s="22">
        <f>IF(N994="5",I994,0)</f>
        <v>0</v>
      </c>
      <c r="Z994" s="22">
        <f>IF(AD994=0,J994,0)</f>
        <v>0</v>
      </c>
      <c r="AA994" s="22">
        <f>IF(AD994=15,J994,0)</f>
        <v>0</v>
      </c>
      <c r="AB994" s="22">
        <f>IF(AD994=21,J994,0)</f>
        <v>0</v>
      </c>
      <c r="AD994" s="39">
        <v>15</v>
      </c>
      <c r="AE994" s="39">
        <f>G994*0</f>
        <v>0</v>
      </c>
      <c r="AF994" s="39">
        <f>G994*(1-0)</f>
        <v>0</v>
      </c>
      <c r="AM994" s="39">
        <f>F994*AE994</f>
        <v>0</v>
      </c>
      <c r="AN994" s="39">
        <f>F994*AF994</f>
        <v>0</v>
      </c>
      <c r="AO994" s="40" t="s">
        <v>1590</v>
      </c>
      <c r="AP994" s="40" t="s">
        <v>1607</v>
      </c>
      <c r="AQ994" s="31" t="s">
        <v>1615</v>
      </c>
    </row>
    <row r="995" spans="1:37" ht="12.75">
      <c r="A995" s="4"/>
      <c r="B995" s="14" t="s">
        <v>598</v>
      </c>
      <c r="C995" s="14" t="s">
        <v>665</v>
      </c>
      <c r="D995" s="104" t="s">
        <v>1045</v>
      </c>
      <c r="E995" s="105"/>
      <c r="F995" s="105"/>
      <c r="G995" s="105"/>
      <c r="H995" s="42">
        <f>SUM(H996:H996)</f>
        <v>0</v>
      </c>
      <c r="I995" s="42">
        <f>SUM(I996:I996)</f>
        <v>0</v>
      </c>
      <c r="J995" s="42">
        <f>H995+I995</f>
        <v>0</v>
      </c>
      <c r="K995" s="31"/>
      <c r="L995" s="42">
        <f>SUM(L996:L996)</f>
        <v>0.29943</v>
      </c>
      <c r="M995" s="31"/>
      <c r="P995" s="42">
        <f>IF(Q995="PR",J995,SUM(O996:O996))</f>
        <v>0</v>
      </c>
      <c r="Q995" s="31" t="s">
        <v>1538</v>
      </c>
      <c r="R995" s="42">
        <f>IF(Q995="HS",H995,0)</f>
        <v>0</v>
      </c>
      <c r="S995" s="42">
        <f>IF(Q995="HS",I995-P995,0)</f>
        <v>0</v>
      </c>
      <c r="T995" s="42">
        <f>IF(Q995="PS",H995,0)</f>
        <v>0</v>
      </c>
      <c r="U995" s="42">
        <f>IF(Q995="PS",I995-P995,0)</f>
        <v>0</v>
      </c>
      <c r="V995" s="42">
        <f>IF(Q995="MP",H995,0)</f>
        <v>0</v>
      </c>
      <c r="W995" s="42">
        <f>IF(Q995="MP",I995-P995,0)</f>
        <v>0</v>
      </c>
      <c r="X995" s="42">
        <f>IF(Q995="OM",H995,0)</f>
        <v>0</v>
      </c>
      <c r="Y995" s="31" t="s">
        <v>598</v>
      </c>
      <c r="AI995" s="42">
        <f>SUM(Z996:Z996)</f>
        <v>0</v>
      </c>
      <c r="AJ995" s="42">
        <f>SUM(AA996:AA996)</f>
        <v>0</v>
      </c>
      <c r="AK995" s="42">
        <f>SUM(AB996:AB996)</f>
        <v>0</v>
      </c>
    </row>
    <row r="996" spans="1:43" ht="12.75">
      <c r="A996" s="5" t="s">
        <v>581</v>
      </c>
      <c r="B996" s="5" t="s">
        <v>598</v>
      </c>
      <c r="C996" s="5" t="s">
        <v>950</v>
      </c>
      <c r="D996" s="5" t="s">
        <v>1478</v>
      </c>
      <c r="E996" s="5" t="s">
        <v>1513</v>
      </c>
      <c r="F996" s="22">
        <v>1</v>
      </c>
      <c r="G996" s="22">
        <v>0</v>
      </c>
      <c r="H996" s="22">
        <f>F996*AE996</f>
        <v>0</v>
      </c>
      <c r="I996" s="22">
        <f>J996-H996</f>
        <v>0</v>
      </c>
      <c r="J996" s="22">
        <f>F996*G996</f>
        <v>0</v>
      </c>
      <c r="K996" s="22">
        <v>0.29943</v>
      </c>
      <c r="L996" s="22">
        <f>F996*K996</f>
        <v>0.29943</v>
      </c>
      <c r="M996" s="35" t="s">
        <v>1531</v>
      </c>
      <c r="N996" s="35" t="s">
        <v>9</v>
      </c>
      <c r="O996" s="22">
        <f>IF(N996="5",I996,0)</f>
        <v>0</v>
      </c>
      <c r="Z996" s="22">
        <f>IF(AD996=0,J996,0)</f>
        <v>0</v>
      </c>
      <c r="AA996" s="22">
        <f>IF(AD996=15,J996,0)</f>
        <v>0</v>
      </c>
      <c r="AB996" s="22">
        <f>IF(AD996=21,J996,0)</f>
        <v>0</v>
      </c>
      <c r="AD996" s="39">
        <v>15</v>
      </c>
      <c r="AE996" s="39">
        <f>G996*0.220297327286969</f>
        <v>0</v>
      </c>
      <c r="AF996" s="39">
        <f>G996*(1-0.220297327286969)</f>
        <v>0</v>
      </c>
      <c r="AM996" s="39">
        <f>F996*AE996</f>
        <v>0</v>
      </c>
      <c r="AN996" s="39">
        <f>F996*AF996</f>
        <v>0</v>
      </c>
      <c r="AO996" s="40" t="s">
        <v>1565</v>
      </c>
      <c r="AP996" s="40" t="s">
        <v>1607</v>
      </c>
      <c r="AQ996" s="31" t="s">
        <v>1615</v>
      </c>
    </row>
    <row r="997" ht="26.4">
      <c r="D997" s="18" t="s">
        <v>1479</v>
      </c>
    </row>
    <row r="998" spans="1:13" ht="12.75">
      <c r="A998" s="7"/>
      <c r="B998" s="15" t="s">
        <v>599</v>
      </c>
      <c r="C998" s="15"/>
      <c r="D998" s="106" t="s">
        <v>1480</v>
      </c>
      <c r="E998" s="107"/>
      <c r="F998" s="107"/>
      <c r="G998" s="107"/>
      <c r="H998" s="43">
        <f>H999</f>
        <v>0</v>
      </c>
      <c r="I998" s="43">
        <f>I999</f>
        <v>0</v>
      </c>
      <c r="J998" s="43">
        <f>H998+I998</f>
        <v>0</v>
      </c>
      <c r="K998" s="32"/>
      <c r="L998" s="43">
        <f>L999</f>
        <v>0</v>
      </c>
      <c r="M998" s="32"/>
    </row>
    <row r="999" spans="1:37" ht="12.75">
      <c r="A999" s="4"/>
      <c r="B999" s="14" t="s">
        <v>599</v>
      </c>
      <c r="C999" s="14" t="s">
        <v>951</v>
      </c>
      <c r="D999" s="104" t="s">
        <v>1481</v>
      </c>
      <c r="E999" s="105"/>
      <c r="F999" s="105"/>
      <c r="G999" s="105"/>
      <c r="H999" s="42">
        <f>SUM(H1000:H1014)</f>
        <v>0</v>
      </c>
      <c r="I999" s="42">
        <f>SUM(I1000:I1014)</f>
        <v>0</v>
      </c>
      <c r="J999" s="42">
        <f>H999+I999</f>
        <v>0</v>
      </c>
      <c r="K999" s="31"/>
      <c r="L999" s="42">
        <f>SUM(L1000:L1014)</f>
        <v>0</v>
      </c>
      <c r="M999" s="31"/>
      <c r="P999" s="42">
        <f>IF(Q999="PR",J999,SUM(O1000:O1014))</f>
        <v>0</v>
      </c>
      <c r="Q999" s="31" t="s">
        <v>1536</v>
      </c>
      <c r="R999" s="42">
        <f>IF(Q999="HS",H999,0)</f>
        <v>0</v>
      </c>
      <c r="S999" s="42">
        <f>IF(Q999="HS",I999-P999,0)</f>
        <v>0</v>
      </c>
      <c r="T999" s="42">
        <f>IF(Q999="PS",H999,0)</f>
        <v>0</v>
      </c>
      <c r="U999" s="42">
        <f>IF(Q999="PS",I999-P999,0)</f>
        <v>0</v>
      </c>
      <c r="V999" s="42">
        <f>IF(Q999="MP",H999,0)</f>
        <v>0</v>
      </c>
      <c r="W999" s="42">
        <f>IF(Q999="MP",I999-P999,0)</f>
        <v>0</v>
      </c>
      <c r="X999" s="42">
        <f>IF(Q999="OM",H999,0)</f>
        <v>0</v>
      </c>
      <c r="Y999" s="31" t="s">
        <v>599</v>
      </c>
      <c r="AI999" s="42">
        <f>SUM(Z1000:Z1014)</f>
        <v>0</v>
      </c>
      <c r="AJ999" s="42">
        <f>SUM(AA1000:AA1014)</f>
        <v>0</v>
      </c>
      <c r="AK999" s="42">
        <f>SUM(AB1000:AB1014)</f>
        <v>0</v>
      </c>
    </row>
    <row r="1000" spans="1:43" ht="12.75">
      <c r="A1000" s="5" t="s">
        <v>582</v>
      </c>
      <c r="B1000" s="5" t="s">
        <v>599</v>
      </c>
      <c r="C1000" s="5" t="s">
        <v>952</v>
      </c>
      <c r="D1000" s="5" t="s">
        <v>1482</v>
      </c>
      <c r="E1000" s="5" t="s">
        <v>1509</v>
      </c>
      <c r="F1000" s="22">
        <v>2</v>
      </c>
      <c r="G1000" s="22">
        <v>0</v>
      </c>
      <c r="H1000" s="22">
        <f>F1000*AE1000</f>
        <v>0</v>
      </c>
      <c r="I1000" s="22">
        <f>J1000-H1000</f>
        <v>0</v>
      </c>
      <c r="J1000" s="22">
        <f>F1000*G1000</f>
        <v>0</v>
      </c>
      <c r="K1000" s="22">
        <v>0</v>
      </c>
      <c r="L1000" s="22">
        <f>F1000*K1000</f>
        <v>0</v>
      </c>
      <c r="M1000" s="35" t="s">
        <v>1532</v>
      </c>
      <c r="N1000" s="35" t="s">
        <v>7</v>
      </c>
      <c r="O1000" s="22">
        <f>IF(N1000="5",I1000,0)</f>
        <v>0</v>
      </c>
      <c r="Z1000" s="22">
        <f>IF(AD1000=0,J1000,0)</f>
        <v>0</v>
      </c>
      <c r="AA1000" s="22">
        <f>IF(AD1000=15,J1000,0)</f>
        <v>0</v>
      </c>
      <c r="AB1000" s="22">
        <f>IF(AD1000=21,J1000,0)</f>
        <v>0</v>
      </c>
      <c r="AD1000" s="39">
        <v>15</v>
      </c>
      <c r="AE1000" s="39">
        <f>G1000*0</f>
        <v>0</v>
      </c>
      <c r="AF1000" s="39">
        <f>G1000*(1-0)</f>
        <v>0</v>
      </c>
      <c r="AM1000" s="39">
        <f>F1000*AE1000</f>
        <v>0</v>
      </c>
      <c r="AN1000" s="39">
        <f>F1000*AF1000</f>
        <v>0</v>
      </c>
      <c r="AO1000" s="40" t="s">
        <v>1600</v>
      </c>
      <c r="AP1000" s="40" t="s">
        <v>1610</v>
      </c>
      <c r="AQ1000" s="31" t="s">
        <v>1616</v>
      </c>
    </row>
    <row r="1001" ht="12.75">
      <c r="D1001" s="18" t="s">
        <v>1483</v>
      </c>
    </row>
    <row r="1002" spans="1:43" ht="12.75">
      <c r="A1002" s="5" t="s">
        <v>583</v>
      </c>
      <c r="B1002" s="5" t="s">
        <v>599</v>
      </c>
      <c r="C1002" s="5" t="s">
        <v>953</v>
      </c>
      <c r="D1002" s="5" t="s">
        <v>1484</v>
      </c>
      <c r="E1002" s="5" t="s">
        <v>1509</v>
      </c>
      <c r="F1002" s="22">
        <v>2</v>
      </c>
      <c r="G1002" s="22">
        <v>0</v>
      </c>
      <c r="H1002" s="22">
        <f>F1002*AE1002</f>
        <v>0</v>
      </c>
      <c r="I1002" s="22">
        <f>J1002-H1002</f>
        <v>0</v>
      </c>
      <c r="J1002" s="22">
        <f>F1002*G1002</f>
        <v>0</v>
      </c>
      <c r="K1002" s="22">
        <v>0</v>
      </c>
      <c r="L1002" s="22">
        <f>F1002*K1002</f>
        <v>0</v>
      </c>
      <c r="M1002" s="35" t="s">
        <v>1532</v>
      </c>
      <c r="N1002" s="35" t="s">
        <v>7</v>
      </c>
      <c r="O1002" s="22">
        <f>IF(N1002="5",I1002,0)</f>
        <v>0</v>
      </c>
      <c r="Z1002" s="22">
        <f>IF(AD1002=0,J1002,0)</f>
        <v>0</v>
      </c>
      <c r="AA1002" s="22">
        <f>IF(AD1002=15,J1002,0)</f>
        <v>0</v>
      </c>
      <c r="AB1002" s="22">
        <f>IF(AD1002=21,J1002,0)</f>
        <v>0</v>
      </c>
      <c r="AD1002" s="39">
        <v>15</v>
      </c>
      <c r="AE1002" s="39">
        <f>G1002*0</f>
        <v>0</v>
      </c>
      <c r="AF1002" s="39">
        <f>G1002*(1-0)</f>
        <v>0</v>
      </c>
      <c r="AM1002" s="39">
        <f>F1002*AE1002</f>
        <v>0</v>
      </c>
      <c r="AN1002" s="39">
        <f>F1002*AF1002</f>
        <v>0</v>
      </c>
      <c r="AO1002" s="40" t="s">
        <v>1600</v>
      </c>
      <c r="AP1002" s="40" t="s">
        <v>1610</v>
      </c>
      <c r="AQ1002" s="31" t="s">
        <v>1616</v>
      </c>
    </row>
    <row r="1003" ht="12.75">
      <c r="D1003" s="18" t="s">
        <v>1485</v>
      </c>
    </row>
    <row r="1004" spans="1:43" ht="12.75">
      <c r="A1004" s="5" t="s">
        <v>584</v>
      </c>
      <c r="B1004" s="5" t="s">
        <v>599</v>
      </c>
      <c r="C1004" s="5" t="s">
        <v>954</v>
      </c>
      <c r="D1004" s="5" t="s">
        <v>1486</v>
      </c>
      <c r="E1004" s="5" t="s">
        <v>1509</v>
      </c>
      <c r="F1004" s="22">
        <v>1</v>
      </c>
      <c r="G1004" s="22">
        <v>0</v>
      </c>
      <c r="H1004" s="22">
        <f>F1004*AE1004</f>
        <v>0</v>
      </c>
      <c r="I1004" s="22">
        <f>J1004-H1004</f>
        <v>0</v>
      </c>
      <c r="J1004" s="22">
        <f>F1004*G1004</f>
        <v>0</v>
      </c>
      <c r="K1004" s="22">
        <v>0</v>
      </c>
      <c r="L1004" s="22">
        <f>F1004*K1004</f>
        <v>0</v>
      </c>
      <c r="M1004" s="35" t="s">
        <v>1532</v>
      </c>
      <c r="N1004" s="35" t="s">
        <v>7</v>
      </c>
      <c r="O1004" s="22">
        <f>IF(N1004="5",I1004,0)</f>
        <v>0</v>
      </c>
      <c r="Z1004" s="22">
        <f>IF(AD1004=0,J1004,0)</f>
        <v>0</v>
      </c>
      <c r="AA1004" s="22">
        <f>IF(AD1004=15,J1004,0)</f>
        <v>0</v>
      </c>
      <c r="AB1004" s="22">
        <f>IF(AD1004=21,J1004,0)</f>
        <v>0</v>
      </c>
      <c r="AD1004" s="39">
        <v>15</v>
      </c>
      <c r="AE1004" s="39">
        <f>G1004*0.686149936467598</f>
        <v>0</v>
      </c>
      <c r="AF1004" s="39">
        <f>G1004*(1-0.686149936467598)</f>
        <v>0</v>
      </c>
      <c r="AM1004" s="39">
        <f>F1004*AE1004</f>
        <v>0</v>
      </c>
      <c r="AN1004" s="39">
        <f>F1004*AF1004</f>
        <v>0</v>
      </c>
      <c r="AO1004" s="40" t="s">
        <v>1600</v>
      </c>
      <c r="AP1004" s="40" t="s">
        <v>1610</v>
      </c>
      <c r="AQ1004" s="31" t="s">
        <v>1616</v>
      </c>
    </row>
    <row r="1005" ht="12.75">
      <c r="D1005" s="18" t="s">
        <v>1487</v>
      </c>
    </row>
    <row r="1006" spans="1:43" ht="12.75">
      <c r="A1006" s="5" t="s">
        <v>585</v>
      </c>
      <c r="B1006" s="5" t="s">
        <v>599</v>
      </c>
      <c r="C1006" s="5" t="s">
        <v>955</v>
      </c>
      <c r="D1006" s="5" t="s">
        <v>1488</v>
      </c>
      <c r="E1006" s="5" t="s">
        <v>1509</v>
      </c>
      <c r="F1006" s="22">
        <v>1</v>
      </c>
      <c r="G1006" s="22">
        <v>0</v>
      </c>
      <c r="H1006" s="22">
        <f>F1006*AE1006</f>
        <v>0</v>
      </c>
      <c r="I1006" s="22">
        <f>J1006-H1006</f>
        <v>0</v>
      </c>
      <c r="J1006" s="22">
        <f>F1006*G1006</f>
        <v>0</v>
      </c>
      <c r="K1006" s="22">
        <v>0</v>
      </c>
      <c r="L1006" s="22">
        <f>F1006*K1006</f>
        <v>0</v>
      </c>
      <c r="M1006" s="35" t="s">
        <v>1532</v>
      </c>
      <c r="N1006" s="35" t="s">
        <v>7</v>
      </c>
      <c r="O1006" s="22">
        <f>IF(N1006="5",I1006,0)</f>
        <v>0</v>
      </c>
      <c r="Z1006" s="22">
        <f>IF(AD1006=0,J1006,0)</f>
        <v>0</v>
      </c>
      <c r="AA1006" s="22">
        <f>IF(AD1006=15,J1006,0)</f>
        <v>0</v>
      </c>
      <c r="AB1006" s="22">
        <f>IF(AD1006=21,J1006,0)</f>
        <v>0</v>
      </c>
      <c r="AD1006" s="39">
        <v>15</v>
      </c>
      <c r="AE1006" s="39">
        <f>G1006*0.442960905789361</f>
        <v>0</v>
      </c>
      <c r="AF1006" s="39">
        <f>G1006*(1-0.442960905789361)</f>
        <v>0</v>
      </c>
      <c r="AM1006" s="39">
        <f>F1006*AE1006</f>
        <v>0</v>
      </c>
      <c r="AN1006" s="39">
        <f>F1006*AF1006</f>
        <v>0</v>
      </c>
      <c r="AO1006" s="40" t="s">
        <v>1600</v>
      </c>
      <c r="AP1006" s="40" t="s">
        <v>1610</v>
      </c>
      <c r="AQ1006" s="31" t="s">
        <v>1616</v>
      </c>
    </row>
    <row r="1007" ht="26.4">
      <c r="D1007" s="18" t="s">
        <v>1489</v>
      </c>
    </row>
    <row r="1008" spans="1:43" ht="12.75">
      <c r="A1008" s="5" t="s">
        <v>586</v>
      </c>
      <c r="B1008" s="5" t="s">
        <v>599</v>
      </c>
      <c r="C1008" s="5" t="s">
        <v>956</v>
      </c>
      <c r="D1008" s="5" t="s">
        <v>1490</v>
      </c>
      <c r="E1008" s="5" t="s">
        <v>1509</v>
      </c>
      <c r="F1008" s="22">
        <v>1</v>
      </c>
      <c r="G1008" s="22">
        <v>0</v>
      </c>
      <c r="H1008" s="22">
        <f>F1008*AE1008</f>
        <v>0</v>
      </c>
      <c r="I1008" s="22">
        <f>J1008-H1008</f>
        <v>0</v>
      </c>
      <c r="J1008" s="22">
        <f>F1008*G1008</f>
        <v>0</v>
      </c>
      <c r="K1008" s="22">
        <v>0</v>
      </c>
      <c r="L1008" s="22">
        <f>F1008*K1008</f>
        <v>0</v>
      </c>
      <c r="M1008" s="35" t="s">
        <v>1532</v>
      </c>
      <c r="N1008" s="35" t="s">
        <v>7</v>
      </c>
      <c r="O1008" s="22">
        <f>IF(N1008="5",I1008,0)</f>
        <v>0</v>
      </c>
      <c r="Z1008" s="22">
        <f>IF(AD1008=0,J1008,0)</f>
        <v>0</v>
      </c>
      <c r="AA1008" s="22">
        <f>IF(AD1008=15,J1008,0)</f>
        <v>0</v>
      </c>
      <c r="AB1008" s="22">
        <f>IF(AD1008=21,J1008,0)</f>
        <v>0</v>
      </c>
      <c r="AD1008" s="39">
        <v>15</v>
      </c>
      <c r="AE1008" s="39">
        <f>G1008*0</f>
        <v>0</v>
      </c>
      <c r="AF1008" s="39">
        <f>G1008*(1-0)</f>
        <v>0</v>
      </c>
      <c r="AM1008" s="39">
        <f>F1008*AE1008</f>
        <v>0</v>
      </c>
      <c r="AN1008" s="39">
        <f>F1008*AF1008</f>
        <v>0</v>
      </c>
      <c r="AO1008" s="40" t="s">
        <v>1600</v>
      </c>
      <c r="AP1008" s="40" t="s">
        <v>1610</v>
      </c>
      <c r="AQ1008" s="31" t="s">
        <v>1616</v>
      </c>
    </row>
    <row r="1009" ht="39.6">
      <c r="D1009" s="18" t="s">
        <v>1491</v>
      </c>
    </row>
    <row r="1010" spans="1:43" ht="12.75">
      <c r="A1010" s="5" t="s">
        <v>587</v>
      </c>
      <c r="B1010" s="5" t="s">
        <v>599</v>
      </c>
      <c r="C1010" s="5" t="s">
        <v>957</v>
      </c>
      <c r="D1010" s="5" t="s">
        <v>1492</v>
      </c>
      <c r="E1010" s="5" t="s">
        <v>1509</v>
      </c>
      <c r="F1010" s="22">
        <v>6</v>
      </c>
      <c r="G1010" s="22">
        <v>0</v>
      </c>
      <c r="H1010" s="22">
        <f>F1010*AE1010</f>
        <v>0</v>
      </c>
      <c r="I1010" s="22">
        <f>J1010-H1010</f>
        <v>0</v>
      </c>
      <c r="J1010" s="22">
        <f>F1010*G1010</f>
        <v>0</v>
      </c>
      <c r="K1010" s="22">
        <v>0</v>
      </c>
      <c r="L1010" s="22">
        <f>F1010*K1010</f>
        <v>0</v>
      </c>
      <c r="M1010" s="35" t="s">
        <v>1532</v>
      </c>
      <c r="N1010" s="35" t="s">
        <v>7</v>
      </c>
      <c r="O1010" s="22">
        <f>IF(N1010="5",I1010,0)</f>
        <v>0</v>
      </c>
      <c r="Z1010" s="22">
        <f>IF(AD1010=0,J1010,0)</f>
        <v>0</v>
      </c>
      <c r="AA1010" s="22">
        <f>IF(AD1010=15,J1010,0)</f>
        <v>0</v>
      </c>
      <c r="AB1010" s="22">
        <f>IF(AD1010=21,J1010,0)</f>
        <v>0</v>
      </c>
      <c r="AD1010" s="39">
        <v>15</v>
      </c>
      <c r="AE1010" s="39">
        <f>G1010*0</f>
        <v>0</v>
      </c>
      <c r="AF1010" s="39">
        <f>G1010*(1-0)</f>
        <v>0</v>
      </c>
      <c r="AM1010" s="39">
        <f>F1010*AE1010</f>
        <v>0</v>
      </c>
      <c r="AN1010" s="39">
        <f>F1010*AF1010</f>
        <v>0</v>
      </c>
      <c r="AO1010" s="40" t="s">
        <v>1600</v>
      </c>
      <c r="AP1010" s="40" t="s">
        <v>1610</v>
      </c>
      <c r="AQ1010" s="31" t="s">
        <v>1616</v>
      </c>
    </row>
    <row r="1011" ht="12.75">
      <c r="D1011" s="18" t="s">
        <v>1493</v>
      </c>
    </row>
    <row r="1012" spans="1:43" ht="12.75">
      <c r="A1012" s="5" t="s">
        <v>588</v>
      </c>
      <c r="B1012" s="5" t="s">
        <v>599</v>
      </c>
      <c r="C1012" s="5" t="s">
        <v>958</v>
      </c>
      <c r="D1012" s="5" t="s">
        <v>1494</v>
      </c>
      <c r="E1012" s="5" t="s">
        <v>1509</v>
      </c>
      <c r="F1012" s="22">
        <v>1</v>
      </c>
      <c r="G1012" s="22">
        <v>0</v>
      </c>
      <c r="H1012" s="22">
        <f>F1012*AE1012</f>
        <v>0</v>
      </c>
      <c r="I1012" s="22">
        <f>J1012-H1012</f>
        <v>0</v>
      </c>
      <c r="J1012" s="22">
        <f>F1012*G1012</f>
        <v>0</v>
      </c>
      <c r="K1012" s="22">
        <v>0</v>
      </c>
      <c r="L1012" s="22">
        <f>F1012*K1012</f>
        <v>0</v>
      </c>
      <c r="M1012" s="35" t="s">
        <v>1532</v>
      </c>
      <c r="N1012" s="35" t="s">
        <v>7</v>
      </c>
      <c r="O1012" s="22">
        <f>IF(N1012="5",I1012,0)</f>
        <v>0</v>
      </c>
      <c r="Z1012" s="22">
        <f>IF(AD1012=0,J1012,0)</f>
        <v>0</v>
      </c>
      <c r="AA1012" s="22">
        <f>IF(AD1012=15,J1012,0)</f>
        <v>0</v>
      </c>
      <c r="AB1012" s="22">
        <f>IF(AD1012=21,J1012,0)</f>
        <v>0</v>
      </c>
      <c r="AD1012" s="39">
        <v>15</v>
      </c>
      <c r="AE1012" s="39">
        <f>G1012*0</f>
        <v>0</v>
      </c>
      <c r="AF1012" s="39">
        <f>G1012*(1-0)</f>
        <v>0</v>
      </c>
      <c r="AM1012" s="39">
        <f>F1012*AE1012</f>
        <v>0</v>
      </c>
      <c r="AN1012" s="39">
        <f>F1012*AF1012</f>
        <v>0</v>
      </c>
      <c r="AO1012" s="40" t="s">
        <v>1600</v>
      </c>
      <c r="AP1012" s="40" t="s">
        <v>1610</v>
      </c>
      <c r="AQ1012" s="31" t="s">
        <v>1616</v>
      </c>
    </row>
    <row r="1013" spans="1:43" ht="12.75">
      <c r="A1013" s="5" t="s">
        <v>589</v>
      </c>
      <c r="B1013" s="5" t="s">
        <v>599</v>
      </c>
      <c r="C1013" s="5" t="s">
        <v>959</v>
      </c>
      <c r="D1013" s="5" t="s">
        <v>1495</v>
      </c>
      <c r="E1013" s="5" t="s">
        <v>1509</v>
      </c>
      <c r="F1013" s="22">
        <v>1</v>
      </c>
      <c r="G1013" s="22">
        <v>0</v>
      </c>
      <c r="H1013" s="22">
        <f>F1013*AE1013</f>
        <v>0</v>
      </c>
      <c r="I1013" s="22">
        <f>J1013-H1013</f>
        <v>0</v>
      </c>
      <c r="J1013" s="22">
        <f>F1013*G1013</f>
        <v>0</v>
      </c>
      <c r="K1013" s="22">
        <v>0</v>
      </c>
      <c r="L1013" s="22">
        <f>F1013*K1013</f>
        <v>0</v>
      </c>
      <c r="M1013" s="35" t="s">
        <v>1532</v>
      </c>
      <c r="N1013" s="35" t="s">
        <v>7</v>
      </c>
      <c r="O1013" s="22">
        <f>IF(N1013="5",I1013,0)</f>
        <v>0</v>
      </c>
      <c r="Z1013" s="22">
        <f>IF(AD1013=0,J1013,0)</f>
        <v>0</v>
      </c>
      <c r="AA1013" s="22">
        <f>IF(AD1013=15,J1013,0)</f>
        <v>0</v>
      </c>
      <c r="AB1013" s="22">
        <f>IF(AD1013=21,J1013,0)</f>
        <v>0</v>
      </c>
      <c r="AD1013" s="39">
        <v>15</v>
      </c>
      <c r="AE1013" s="39">
        <f>G1013*0</f>
        <v>0</v>
      </c>
      <c r="AF1013" s="39">
        <f>G1013*(1-0)</f>
        <v>0</v>
      </c>
      <c r="AM1013" s="39">
        <f>F1013*AE1013</f>
        <v>0</v>
      </c>
      <c r="AN1013" s="39">
        <f>F1013*AF1013</f>
        <v>0</v>
      </c>
      <c r="AO1013" s="40" t="s">
        <v>1600</v>
      </c>
      <c r="AP1013" s="40" t="s">
        <v>1610</v>
      </c>
      <c r="AQ1013" s="31" t="s">
        <v>1616</v>
      </c>
    </row>
    <row r="1014" spans="1:43" ht="12.75">
      <c r="A1014" s="5" t="s">
        <v>590</v>
      </c>
      <c r="B1014" s="5" t="s">
        <v>599</v>
      </c>
      <c r="C1014" s="5" t="s">
        <v>960</v>
      </c>
      <c r="D1014" s="5" t="s">
        <v>1496</v>
      </c>
      <c r="E1014" s="5" t="s">
        <v>1509</v>
      </c>
      <c r="F1014" s="22">
        <v>1</v>
      </c>
      <c r="G1014" s="22">
        <v>0</v>
      </c>
      <c r="H1014" s="22">
        <f>F1014*AE1014</f>
        <v>0</v>
      </c>
      <c r="I1014" s="22">
        <f>J1014-H1014</f>
        <v>0</v>
      </c>
      <c r="J1014" s="22">
        <f>F1014*G1014</f>
        <v>0</v>
      </c>
      <c r="K1014" s="22">
        <v>0</v>
      </c>
      <c r="L1014" s="22">
        <f>F1014*K1014</f>
        <v>0</v>
      </c>
      <c r="M1014" s="35" t="s">
        <v>1532</v>
      </c>
      <c r="N1014" s="35" t="s">
        <v>7</v>
      </c>
      <c r="O1014" s="22">
        <f>IF(N1014="5",I1014,0)</f>
        <v>0</v>
      </c>
      <c r="Z1014" s="22">
        <f>IF(AD1014=0,J1014,0)</f>
        <v>0</v>
      </c>
      <c r="AA1014" s="22">
        <f>IF(AD1014=15,J1014,0)</f>
        <v>0</v>
      </c>
      <c r="AB1014" s="22">
        <f>IF(AD1014=21,J1014,0)</f>
        <v>0</v>
      </c>
      <c r="AD1014" s="39">
        <v>15</v>
      </c>
      <c r="AE1014" s="39">
        <f>G1014*0</f>
        <v>0</v>
      </c>
      <c r="AF1014" s="39">
        <f>G1014*(1-0)</f>
        <v>0</v>
      </c>
      <c r="AM1014" s="39">
        <f>F1014*AE1014</f>
        <v>0</v>
      </c>
      <c r="AN1014" s="39">
        <f>F1014*AF1014</f>
        <v>0</v>
      </c>
      <c r="AO1014" s="40" t="s">
        <v>1600</v>
      </c>
      <c r="AP1014" s="40" t="s">
        <v>1610</v>
      </c>
      <c r="AQ1014" s="31" t="s">
        <v>1616</v>
      </c>
    </row>
    <row r="1015" spans="1:13" ht="12.75">
      <c r="A1015" s="8"/>
      <c r="B1015" s="8"/>
      <c r="C1015" s="8"/>
      <c r="D1015" s="19" t="s">
        <v>1497</v>
      </c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28" ht="12.75">
      <c r="A1016" s="9"/>
      <c r="B1016" s="9"/>
      <c r="C1016" s="9"/>
      <c r="D1016" s="9"/>
      <c r="E1016" s="9"/>
      <c r="F1016" s="9"/>
      <c r="G1016" s="9"/>
      <c r="H1016" s="108" t="s">
        <v>1519</v>
      </c>
      <c r="I1016" s="109"/>
      <c r="J1016" s="44">
        <f>J13+J34+J41+J47+J60+J68+J73+J76+J78+J82+J88+J91+J94+J97+J99+J101+J103+J105+J107+J109+J138+J157+J169+J174+J177+J185+J191+J204+J229+J264+J274+J278+J281+J286+J291+J311+J315+J331+J341+J345+J360+J364+J369+J373+J375+J377+J395+J397+J399+J401+J403+J405+J407+J409+J411+J413+J415+J417+J419+J421+J423+J425+J427+J429+J431+J470+J489+J501+J506+J509+J517+J523+J536+J561+J596+J606+J610+J612+J617+J621+J641+J645+J661+J671+J675+J690+J694+J699+J703+J706+J709+J727+J729+J731+J733+J735+J737+J739+J741+J743+J745+J747+J749+J751+J753+J755+J757+J759+J761+J763+J802+J806+J809+J815+J817+J822+J827+J831+J833+J835+J837+J839+J841+J848+J852+J889+J903+J908+J913+J957+J960+J966+J975+J985+J987+J989+J991+J993+J995+J999</f>
        <v>0</v>
      </c>
      <c r="K1016" s="9"/>
      <c r="L1016" s="9"/>
      <c r="M1016" s="9"/>
      <c r="Z1016" s="45">
        <f>SUM(Z13:Z1015)</f>
        <v>0</v>
      </c>
      <c r="AA1016" s="45">
        <f>SUM(AA13:AA1015)</f>
        <v>0</v>
      </c>
      <c r="AB1016" s="45">
        <f>SUM(AB13:AB1015)</f>
        <v>0</v>
      </c>
    </row>
    <row r="1017" ht="10.8" customHeight="1">
      <c r="A1017" s="10" t="s">
        <v>591</v>
      </c>
    </row>
    <row r="1018" spans="1:13" ht="12.75" customHeight="1">
      <c r="A1018" s="93" t="s">
        <v>592</v>
      </c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</row>
  </sheetData>
  <mergeCells count="175">
    <mergeCell ref="D993:G993"/>
    <mergeCell ref="D995:G995"/>
    <mergeCell ref="D998:G998"/>
    <mergeCell ref="D999:G999"/>
    <mergeCell ref="H1016:I1016"/>
    <mergeCell ref="A1018:M1018"/>
    <mergeCell ref="D966:G966"/>
    <mergeCell ref="D975:G975"/>
    <mergeCell ref="D985:G985"/>
    <mergeCell ref="D987:G987"/>
    <mergeCell ref="D989:G989"/>
    <mergeCell ref="D991:G991"/>
    <mergeCell ref="D889:G889"/>
    <mergeCell ref="D903:G903"/>
    <mergeCell ref="D908:G908"/>
    <mergeCell ref="D913:G913"/>
    <mergeCell ref="D957:G957"/>
    <mergeCell ref="D960:G960"/>
    <mergeCell ref="D837:G837"/>
    <mergeCell ref="D839:G839"/>
    <mergeCell ref="D841:G841"/>
    <mergeCell ref="D847:G847"/>
    <mergeCell ref="D848:G848"/>
    <mergeCell ref="D852:G852"/>
    <mergeCell ref="D817:G817"/>
    <mergeCell ref="D822:G822"/>
    <mergeCell ref="D827:G827"/>
    <mergeCell ref="D831:G831"/>
    <mergeCell ref="D833:G833"/>
    <mergeCell ref="D835:G835"/>
    <mergeCell ref="D763:G763"/>
    <mergeCell ref="D801:G801"/>
    <mergeCell ref="D802:G802"/>
    <mergeCell ref="D806:G806"/>
    <mergeCell ref="D809:G809"/>
    <mergeCell ref="D815:G815"/>
    <mergeCell ref="D751:G751"/>
    <mergeCell ref="D753:G753"/>
    <mergeCell ref="D755:G755"/>
    <mergeCell ref="D757:G757"/>
    <mergeCell ref="D759:G759"/>
    <mergeCell ref="D761:G761"/>
    <mergeCell ref="D739:G739"/>
    <mergeCell ref="D741:G741"/>
    <mergeCell ref="D743:G743"/>
    <mergeCell ref="D745:G745"/>
    <mergeCell ref="D747:G747"/>
    <mergeCell ref="D749:G749"/>
    <mergeCell ref="D727:G727"/>
    <mergeCell ref="D729:G729"/>
    <mergeCell ref="D731:G731"/>
    <mergeCell ref="D733:G733"/>
    <mergeCell ref="D735:G735"/>
    <mergeCell ref="D737:G737"/>
    <mergeCell ref="D690:G690"/>
    <mergeCell ref="D694:G694"/>
    <mergeCell ref="D699:G699"/>
    <mergeCell ref="D703:G703"/>
    <mergeCell ref="D706:G706"/>
    <mergeCell ref="D709:G709"/>
    <mergeCell ref="D621:G621"/>
    <mergeCell ref="D641:G641"/>
    <mergeCell ref="D645:G645"/>
    <mergeCell ref="D661:G661"/>
    <mergeCell ref="D671:G671"/>
    <mergeCell ref="D675:G675"/>
    <mergeCell ref="D561:G561"/>
    <mergeCell ref="D596:G596"/>
    <mergeCell ref="D606:G606"/>
    <mergeCell ref="D610:G610"/>
    <mergeCell ref="D612:G612"/>
    <mergeCell ref="D617:G617"/>
    <mergeCell ref="D501:G501"/>
    <mergeCell ref="D506:G506"/>
    <mergeCell ref="D509:G509"/>
    <mergeCell ref="D517:G517"/>
    <mergeCell ref="D523:G523"/>
    <mergeCell ref="D536:G536"/>
    <mergeCell ref="D427:G427"/>
    <mergeCell ref="D429:G429"/>
    <mergeCell ref="D431:G431"/>
    <mergeCell ref="D469:G469"/>
    <mergeCell ref="D470:G470"/>
    <mergeCell ref="D489:G489"/>
    <mergeCell ref="D415:G415"/>
    <mergeCell ref="D417:G417"/>
    <mergeCell ref="D419:G419"/>
    <mergeCell ref="D421:G421"/>
    <mergeCell ref="D423:G423"/>
    <mergeCell ref="D425:G425"/>
    <mergeCell ref="D403:G403"/>
    <mergeCell ref="D405:G405"/>
    <mergeCell ref="D407:G407"/>
    <mergeCell ref="D409:G409"/>
    <mergeCell ref="D411:G411"/>
    <mergeCell ref="D413:G413"/>
    <mergeCell ref="D375:G375"/>
    <mergeCell ref="D377:G377"/>
    <mergeCell ref="D395:G395"/>
    <mergeCell ref="D397:G397"/>
    <mergeCell ref="D399:G399"/>
    <mergeCell ref="D401:G401"/>
    <mergeCell ref="D341:G341"/>
    <mergeCell ref="D345:G345"/>
    <mergeCell ref="D360:G360"/>
    <mergeCell ref="D364:G364"/>
    <mergeCell ref="D369:G369"/>
    <mergeCell ref="D373:G373"/>
    <mergeCell ref="D281:G281"/>
    <mergeCell ref="D286:G286"/>
    <mergeCell ref="D291:G291"/>
    <mergeCell ref="D311:G311"/>
    <mergeCell ref="D315:G315"/>
    <mergeCell ref="D331:G331"/>
    <mergeCell ref="D191:G191"/>
    <mergeCell ref="D204:G204"/>
    <mergeCell ref="D229:G229"/>
    <mergeCell ref="D264:G264"/>
    <mergeCell ref="D274:G274"/>
    <mergeCell ref="D278:G278"/>
    <mergeCell ref="D138:G138"/>
    <mergeCell ref="D157:G157"/>
    <mergeCell ref="D169:G169"/>
    <mergeCell ref="D174:G174"/>
    <mergeCell ref="D177:G177"/>
    <mergeCell ref="D185:G185"/>
    <mergeCell ref="D101:G101"/>
    <mergeCell ref="D103:G103"/>
    <mergeCell ref="D105:G105"/>
    <mergeCell ref="D107:G107"/>
    <mergeCell ref="D109:G109"/>
    <mergeCell ref="D137:G137"/>
    <mergeCell ref="D82:G82"/>
    <mergeCell ref="D88:G88"/>
    <mergeCell ref="D91:G91"/>
    <mergeCell ref="D94:G94"/>
    <mergeCell ref="D97:G97"/>
    <mergeCell ref="D99:G99"/>
    <mergeCell ref="D47:G47"/>
    <mergeCell ref="D60:G60"/>
    <mergeCell ref="D68:G68"/>
    <mergeCell ref="D73:G73"/>
    <mergeCell ref="D76:G76"/>
    <mergeCell ref="D78:G78"/>
    <mergeCell ref="H10:J10"/>
    <mergeCell ref="K10:L10"/>
    <mergeCell ref="D12:G12"/>
    <mergeCell ref="D13:G13"/>
    <mergeCell ref="D34:G34"/>
    <mergeCell ref="D41:G4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Brožek</dc:creator>
  <cp:keywords/>
  <dc:description/>
  <cp:lastModifiedBy>Ing. Jan Brožek</cp:lastModifiedBy>
  <dcterms:created xsi:type="dcterms:W3CDTF">2018-04-24T11:38:45Z</dcterms:created>
  <dcterms:modified xsi:type="dcterms:W3CDTF">2018-04-24T11:39:03Z</dcterms:modified>
  <cp:category/>
  <cp:version/>
  <cp:contentType/>
  <cp:contentStatus/>
</cp:coreProperties>
</file>